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5385" yWindow="-15" windowWidth="2040" windowHeight="6105" tabRatio="601" firstSheet="11" activeTab="12"/>
  </bookViews>
  <sheets>
    <sheet name="pointage" sheetId="23" r:id="rId1"/>
    <sheet name="SUIVI JOURNALIER AVRIL" sheetId="2" r:id="rId2"/>
    <sheet name="vs mars" sheetId="16" r:id="rId3"/>
    <sheet name="CONTROLES" sheetId="8" r:id="rId4"/>
    <sheet name="AVRIL" sheetId="4" r:id="rId5"/>
    <sheet name="R. AFFECTEES" sheetId="7" r:id="rId6"/>
    <sheet name="point sur les patentes" sheetId="22" r:id="rId7"/>
    <sheet name="labo" sheetId="32" r:id="rId8"/>
    <sheet name="tendances" sheetId="40" r:id="rId9"/>
    <sheet name="Plan d actions " sheetId="72" r:id="rId10"/>
    <sheet name="Etats des virements" sheetId="57" r:id="rId11"/>
    <sheet name="Etats des virements2" sheetId="65" r:id="rId12"/>
    <sheet name="Evaluation" sheetId="61" r:id="rId13"/>
    <sheet name="Feuil1" sheetId="71" r:id="rId14"/>
    <sheet name="reliquataires" sheetId="73" r:id="rId15"/>
    <sheet name="suivi des TAV" sheetId="74" r:id="rId16"/>
    <sheet name="Etat comparatif 1" sheetId="78" r:id="rId17"/>
    <sheet name="Etat comparatif 2" sheetId="80" r:id="rId18"/>
    <sheet name="Feuil2" sheetId="81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3" hidden="1">CONTROLES!$A$1:$CB$289</definedName>
    <definedName name="_xlnm._FilterDatabase" localSheetId="10" hidden="1">'Etats des virements'!$A$20:$J$657</definedName>
    <definedName name="_xlnm._FilterDatabase" localSheetId="11" hidden="1">'Etats des virements2'!$A$20:$F$58</definedName>
    <definedName name="_xlnm._FilterDatabase" localSheetId="13" hidden="1">Feuil1!$A$1:$E$27110</definedName>
    <definedName name="_xlnm._FilterDatabase" localSheetId="7" hidden="1">labo!$A$1:$D$349</definedName>
    <definedName name="_xlnm._FilterDatabase" localSheetId="6" hidden="1">'point sur les patentes'!$A$1:$AA$143</definedName>
    <definedName name="_xlnm._FilterDatabase" localSheetId="0" hidden="1">pointage!$A$1:$D$697</definedName>
    <definedName name="_xlnm._FilterDatabase" localSheetId="14" hidden="1">reliquataires!$B$5:$G$50</definedName>
    <definedName name="_xlnm._FilterDatabase" localSheetId="1" hidden="1">'SUIVI JOURNALIER AVRIL'!$A$1:$CG$27462</definedName>
    <definedName name="_xlnm._FilterDatabase" localSheetId="2" hidden="1">'vs mars'!$A$1:$AF$408</definedName>
    <definedName name="_xlnm.Print_Area" localSheetId="16">'Etat comparatif 1'!$A$1:$S$92</definedName>
    <definedName name="_xlnm.Print_Area" localSheetId="17">'Etat comparatif 2'!$A$1:$S$65</definedName>
    <definedName name="_xlnm.Print_Area" localSheetId="9">'Plan d actions '!$A$1:$J$312</definedName>
    <definedName name="_xlnm.Print_Area" localSheetId="2">'vs mars'!$I$179,'vs mars'!$C$181</definedName>
  </definedNames>
  <calcPr calcId="124519"/>
</workbook>
</file>

<file path=xl/calcChain.xml><?xml version="1.0" encoding="utf-8"?>
<calcChain xmlns="http://schemas.openxmlformats.org/spreadsheetml/2006/main">
  <c r="B32" i="4"/>
  <c r="I224" i="72"/>
  <c r="I11" i="8"/>
  <c r="N11" s="1"/>
  <c r="K11" l="1"/>
  <c r="L11"/>
  <c r="G21" i="81" l="1"/>
  <c r="G20"/>
  <c r="H20" s="1"/>
  <c r="G17"/>
  <c r="G16"/>
  <c r="H16" s="1"/>
  <c r="H21" l="1"/>
  <c r="H17"/>
  <c r="E79" i="78"/>
  <c r="E80"/>
  <c r="E81"/>
  <c r="E82"/>
  <c r="E83"/>
  <c r="D84"/>
  <c r="E84"/>
  <c r="D85"/>
  <c r="E85"/>
  <c r="G79"/>
  <c r="H79"/>
  <c r="G80"/>
  <c r="H80"/>
  <c r="G81"/>
  <c r="H81"/>
  <c r="G82"/>
  <c r="H82"/>
  <c r="G83"/>
  <c r="H83"/>
  <c r="G84"/>
  <c r="H84"/>
  <c r="G85"/>
  <c r="H85"/>
  <c r="J82"/>
  <c r="K21" i="40" l="1"/>
  <c r="J217" i="2"/>
  <c r="W211"/>
  <c r="O216"/>
  <c r="O215"/>
  <c r="O214"/>
  <c r="J216"/>
  <c r="J215"/>
  <c r="J214"/>
  <c r="O213"/>
  <c r="V213"/>
  <c r="W213"/>
  <c r="J213"/>
  <c r="M6" i="81"/>
  <c r="L8"/>
  <c r="L7"/>
  <c r="L4"/>
  <c r="L5"/>
  <c r="L6"/>
  <c r="L3"/>
  <c r="I29" i="8"/>
  <c r="W212" i="2"/>
  <c r="W209" l="1"/>
  <c r="Q210"/>
  <c r="Q208"/>
  <c r="F144" i="72"/>
  <c r="D24" i="40"/>
  <c r="O26" i="8"/>
  <c r="R35" i="2"/>
  <c r="S35"/>
  <c r="T35"/>
  <c r="R36"/>
  <c r="S36"/>
  <c r="T36"/>
  <c r="R37"/>
  <c r="S37"/>
  <c r="T37"/>
  <c r="R38"/>
  <c r="S38"/>
  <c r="T38"/>
  <c r="R39"/>
  <c r="S39"/>
  <c r="T39"/>
  <c r="R40"/>
  <c r="S40"/>
  <c r="T40"/>
  <c r="R41"/>
  <c r="S41"/>
  <c r="T41"/>
  <c r="R42"/>
  <c r="S42"/>
  <c r="T42"/>
  <c r="Q207" l="1"/>
  <c r="AA10" i="22" l="1"/>
  <c r="AA9"/>
  <c r="AA8"/>
  <c r="BR206" i="2"/>
  <c r="AL206"/>
  <c r="W206"/>
  <c r="AC206" s="1"/>
  <c r="T206"/>
  <c r="S206"/>
  <c r="R206"/>
  <c r="N206"/>
  <c r="M206"/>
  <c r="L206"/>
  <c r="F206"/>
  <c r="W135"/>
  <c r="BR203"/>
  <c r="AL203"/>
  <c r="AD203"/>
  <c r="AC203"/>
  <c r="AB203"/>
  <c r="T203"/>
  <c r="S203"/>
  <c r="R203"/>
  <c r="N203"/>
  <c r="M203"/>
  <c r="L203"/>
  <c r="F203"/>
  <c r="BR188"/>
  <c r="AL188"/>
  <c r="AD188"/>
  <c r="AC188"/>
  <c r="AB188"/>
  <c r="T188"/>
  <c r="S188"/>
  <c r="R188"/>
  <c r="N188"/>
  <c r="M188"/>
  <c r="L188"/>
  <c r="F188"/>
  <c r="BR187"/>
  <c r="AL187"/>
  <c r="AD187"/>
  <c r="AC187"/>
  <c r="AB187"/>
  <c r="T187"/>
  <c r="S187"/>
  <c r="R187"/>
  <c r="N187"/>
  <c r="M187"/>
  <c r="L187"/>
  <c r="F187"/>
  <c r="BR186"/>
  <c r="AL186"/>
  <c r="AD186"/>
  <c r="AC186"/>
  <c r="AB186"/>
  <c r="T186"/>
  <c r="S186"/>
  <c r="R186"/>
  <c r="N186"/>
  <c r="M186"/>
  <c r="L186"/>
  <c r="F186"/>
  <c r="BR185"/>
  <c r="AL185"/>
  <c r="AD185"/>
  <c r="AC185"/>
  <c r="AB185"/>
  <c r="T185"/>
  <c r="S185"/>
  <c r="R185"/>
  <c r="N185"/>
  <c r="M185"/>
  <c r="L185"/>
  <c r="F185"/>
  <c r="BR184"/>
  <c r="AL184"/>
  <c r="AD184"/>
  <c r="AC184"/>
  <c r="AB184"/>
  <c r="T184"/>
  <c r="S184"/>
  <c r="R184"/>
  <c r="N184"/>
  <c r="M184"/>
  <c r="L184"/>
  <c r="F184"/>
  <c r="BR183"/>
  <c r="AL183"/>
  <c r="AD183"/>
  <c r="AC183"/>
  <c r="AB183"/>
  <c r="T183"/>
  <c r="S183"/>
  <c r="R183"/>
  <c r="N183"/>
  <c r="M183"/>
  <c r="L183"/>
  <c r="F183"/>
  <c r="BR182"/>
  <c r="AL182"/>
  <c r="AD182"/>
  <c r="AC182"/>
  <c r="AB182"/>
  <c r="T182"/>
  <c r="S182"/>
  <c r="R182"/>
  <c r="N182"/>
  <c r="M182"/>
  <c r="L182"/>
  <c r="F182"/>
  <c r="BR181"/>
  <c r="AL181"/>
  <c r="AD181"/>
  <c r="AC181"/>
  <c r="AB181"/>
  <c r="T181"/>
  <c r="S181"/>
  <c r="R181"/>
  <c r="N181"/>
  <c r="M181"/>
  <c r="L181"/>
  <c r="F181"/>
  <c r="BR180"/>
  <c r="AL180"/>
  <c r="AD180"/>
  <c r="AC180"/>
  <c r="AB180"/>
  <c r="T180"/>
  <c r="S180"/>
  <c r="R180"/>
  <c r="N180"/>
  <c r="M180"/>
  <c r="L180"/>
  <c r="F180"/>
  <c r="BR179"/>
  <c r="AL179"/>
  <c r="AD179"/>
  <c r="AC179"/>
  <c r="T179"/>
  <c r="S179"/>
  <c r="R179"/>
  <c r="N179"/>
  <c r="M179"/>
  <c r="L179"/>
  <c r="F179"/>
  <c r="BR178"/>
  <c r="AL178"/>
  <c r="AD178"/>
  <c r="AC178"/>
  <c r="AB178"/>
  <c r="T178"/>
  <c r="S178"/>
  <c r="R178"/>
  <c r="N178"/>
  <c r="M178"/>
  <c r="L178"/>
  <c r="F178"/>
  <c r="BR177"/>
  <c r="AL177"/>
  <c r="AD177"/>
  <c r="AC177"/>
  <c r="AB177"/>
  <c r="T177"/>
  <c r="S177"/>
  <c r="R177"/>
  <c r="N177"/>
  <c r="M177"/>
  <c r="L177"/>
  <c r="F177"/>
  <c r="BR176"/>
  <c r="AL176"/>
  <c r="AD176"/>
  <c r="AC176"/>
  <c r="AB176"/>
  <c r="T176"/>
  <c r="S176"/>
  <c r="R176"/>
  <c r="N176"/>
  <c r="M176"/>
  <c r="L176"/>
  <c r="F176"/>
  <c r="BR175"/>
  <c r="AL175"/>
  <c r="AI175"/>
  <c r="AD175"/>
  <c r="AC175"/>
  <c r="AB175"/>
  <c r="T175"/>
  <c r="S175"/>
  <c r="R175"/>
  <c r="N175"/>
  <c r="M175"/>
  <c r="L175"/>
  <c r="F175"/>
  <c r="AB206" l="1"/>
  <c r="AD206"/>
  <c r="CH171" l="1"/>
  <c r="J90" i="72" l="1"/>
  <c r="J92"/>
  <c r="J100"/>
  <c r="J72"/>
  <c r="J73"/>
  <c r="J74"/>
  <c r="J79"/>
  <c r="J80"/>
  <c r="J83"/>
  <c r="BQ161" i="2"/>
  <c r="J162"/>
  <c r="BE161" l="1"/>
  <c r="BQ160"/>
  <c r="AL159"/>
  <c r="AD159"/>
  <c r="AC159"/>
  <c r="AB159"/>
  <c r="T159"/>
  <c r="S159"/>
  <c r="R159"/>
  <c r="N159"/>
  <c r="M159"/>
  <c r="L159"/>
  <c r="AL157"/>
  <c r="AD157"/>
  <c r="AC157"/>
  <c r="AB157"/>
  <c r="T157"/>
  <c r="S157"/>
  <c r="R157"/>
  <c r="N157"/>
  <c r="M157"/>
  <c r="L157"/>
  <c r="AL156"/>
  <c r="AD156"/>
  <c r="AC156"/>
  <c r="AB156"/>
  <c r="N156"/>
  <c r="M156"/>
  <c r="L156"/>
  <c r="BQ155"/>
  <c r="BE155"/>
  <c r="B150"/>
  <c r="B151"/>
  <c r="B152"/>
  <c r="B153"/>
  <c r="BQ154"/>
  <c r="BR142"/>
  <c r="AD142"/>
  <c r="AC142"/>
  <c r="AB142"/>
  <c r="N142"/>
  <c r="M142"/>
  <c r="L142"/>
  <c r="F142"/>
  <c r="W24" i="8"/>
  <c r="AA23"/>
  <c r="AB23"/>
  <c r="AD23"/>
  <c r="O138" i="2"/>
  <c r="J138"/>
  <c r="BR137" l="1"/>
  <c r="AL137"/>
  <c r="AD137"/>
  <c r="AC137"/>
  <c r="AB137"/>
  <c r="T137"/>
  <c r="S137"/>
  <c r="R137"/>
  <c r="N137"/>
  <c r="M137"/>
  <c r="L137"/>
  <c r="F137"/>
  <c r="BR136"/>
  <c r="AL136"/>
  <c r="AD136"/>
  <c r="AC136"/>
  <c r="AB136"/>
  <c r="T136"/>
  <c r="S136"/>
  <c r="R136"/>
  <c r="N136"/>
  <c r="M136"/>
  <c r="L136"/>
  <c r="F136"/>
  <c r="Q135"/>
  <c r="O134"/>
  <c r="BR133"/>
  <c r="BQ133"/>
  <c r="AL133"/>
  <c r="AD133"/>
  <c r="AC133"/>
  <c r="AB133"/>
  <c r="T133"/>
  <c r="S133"/>
  <c r="R133"/>
  <c r="N133"/>
  <c r="M133"/>
  <c r="L133"/>
  <c r="BR132" l="1"/>
  <c r="AL132"/>
  <c r="AD132"/>
  <c r="AC132"/>
  <c r="AB132"/>
  <c r="T132"/>
  <c r="S132"/>
  <c r="R132"/>
  <c r="N132"/>
  <c r="M132"/>
  <c r="L132"/>
  <c r="F132"/>
  <c r="AT129"/>
  <c r="J131"/>
  <c r="O131"/>
  <c r="BR128"/>
  <c r="AL128"/>
  <c r="AD128"/>
  <c r="AC128"/>
  <c r="AB128"/>
  <c r="T128"/>
  <c r="S128"/>
  <c r="R128"/>
  <c r="N128"/>
  <c r="M128"/>
  <c r="L128"/>
  <c r="F128"/>
  <c r="BR127"/>
  <c r="AL127"/>
  <c r="AD127"/>
  <c r="AC127"/>
  <c r="AB127"/>
  <c r="T127"/>
  <c r="S127"/>
  <c r="R127"/>
  <c r="N127"/>
  <c r="M127"/>
  <c r="L127"/>
  <c r="F127"/>
  <c r="AL125" l="1"/>
  <c r="AD125"/>
  <c r="AC125"/>
  <c r="AB125"/>
  <c r="T125"/>
  <c r="S125"/>
  <c r="R125"/>
  <c r="N125"/>
  <c r="M125"/>
  <c r="L125"/>
  <c r="BR124"/>
  <c r="AL124"/>
  <c r="AD124"/>
  <c r="AC124"/>
  <c r="AB124"/>
  <c r="T124"/>
  <c r="S124"/>
  <c r="R124"/>
  <c r="N124"/>
  <c r="M124"/>
  <c r="L124"/>
  <c r="AL123"/>
  <c r="AD123"/>
  <c r="AC123"/>
  <c r="AB123"/>
  <c r="T123"/>
  <c r="S123"/>
  <c r="R123"/>
  <c r="N123"/>
  <c r="M123"/>
  <c r="L123"/>
  <c r="AL122"/>
  <c r="AD122"/>
  <c r="AC122"/>
  <c r="AB122"/>
  <c r="T122"/>
  <c r="S122"/>
  <c r="R122"/>
  <c r="N122"/>
  <c r="M122"/>
  <c r="L122"/>
  <c r="AL120"/>
  <c r="AD120"/>
  <c r="AC120"/>
  <c r="AB120"/>
  <c r="T120"/>
  <c r="S120"/>
  <c r="R120"/>
  <c r="N120"/>
  <c r="M120"/>
  <c r="L120"/>
  <c r="J121"/>
  <c r="J119" l="1"/>
  <c r="J118"/>
  <c r="O113"/>
  <c r="BM20" i="8"/>
  <c r="BN20" s="1"/>
  <c r="BM19"/>
  <c r="BN19" s="1"/>
  <c r="CK117" i="2"/>
  <c r="J117"/>
  <c r="L117" s="1"/>
  <c r="M117"/>
  <c r="N117"/>
  <c r="O117"/>
  <c r="R117"/>
  <c r="S117"/>
  <c r="T117"/>
  <c r="W117"/>
  <c r="AB117"/>
  <c r="AC117"/>
  <c r="AD117"/>
  <c r="AL117"/>
  <c r="BR117"/>
  <c r="BS117"/>
  <c r="BT117"/>
  <c r="BU117"/>
  <c r="BV117"/>
  <c r="BW117"/>
  <c r="BX117"/>
  <c r="BY117"/>
  <c r="BZ117"/>
  <c r="CC117"/>
  <c r="CD117"/>
  <c r="CG117"/>
  <c r="CL117"/>
  <c r="CB117" l="1"/>
  <c r="BE113" l="1"/>
  <c r="BR114"/>
  <c r="AL114"/>
  <c r="AD114"/>
  <c r="AC114"/>
  <c r="AB114"/>
  <c r="T114"/>
  <c r="S114"/>
  <c r="R114"/>
  <c r="N114"/>
  <c r="M114"/>
  <c r="L114"/>
  <c r="G114"/>
  <c r="BR113"/>
  <c r="AL113"/>
  <c r="AD113"/>
  <c r="AC113"/>
  <c r="AB113"/>
  <c r="T113"/>
  <c r="S113"/>
  <c r="R113"/>
  <c r="N113"/>
  <c r="M113"/>
  <c r="L113"/>
  <c r="G113"/>
  <c r="BR112"/>
  <c r="AL112"/>
  <c r="AD112"/>
  <c r="AC112"/>
  <c r="AB112"/>
  <c r="T112"/>
  <c r="S112"/>
  <c r="R112"/>
  <c r="N112"/>
  <c r="M112"/>
  <c r="L112"/>
  <c r="G112"/>
  <c r="BR111"/>
  <c r="AL111"/>
  <c r="AD111"/>
  <c r="AC111"/>
  <c r="AB111"/>
  <c r="T111"/>
  <c r="S111"/>
  <c r="R111"/>
  <c r="N111"/>
  <c r="M111"/>
  <c r="L111"/>
  <c r="G111"/>
  <c r="BR110"/>
  <c r="AL110"/>
  <c r="AD110"/>
  <c r="AC110"/>
  <c r="AB110"/>
  <c r="T110"/>
  <c r="S110"/>
  <c r="R110"/>
  <c r="N110"/>
  <c r="M110"/>
  <c r="L110"/>
  <c r="G110"/>
  <c r="BR109"/>
  <c r="AL109"/>
  <c r="AD109"/>
  <c r="AC109"/>
  <c r="AB109"/>
  <c r="T109"/>
  <c r="S109"/>
  <c r="R109"/>
  <c r="N109"/>
  <c r="M109"/>
  <c r="L109"/>
  <c r="G109"/>
  <c r="BR108"/>
  <c r="AL108"/>
  <c r="AD108"/>
  <c r="AC108"/>
  <c r="AB108"/>
  <c r="T108"/>
  <c r="S108"/>
  <c r="R108"/>
  <c r="N108"/>
  <c r="M108"/>
  <c r="L108"/>
  <c r="G108"/>
  <c r="BR51"/>
  <c r="BQ51"/>
  <c r="BG51"/>
  <c r="BF51"/>
  <c r="BE51"/>
  <c r="W51"/>
  <c r="O51"/>
  <c r="J51"/>
  <c r="BR70"/>
  <c r="AL70"/>
  <c r="AD70"/>
  <c r="AC70"/>
  <c r="AB70"/>
  <c r="T70"/>
  <c r="S70"/>
  <c r="R70"/>
  <c r="N70"/>
  <c r="M70"/>
  <c r="L70"/>
  <c r="K70"/>
  <c r="G70"/>
  <c r="BR62"/>
  <c r="AL62"/>
  <c r="AD62"/>
  <c r="AC62"/>
  <c r="AB62"/>
  <c r="T62"/>
  <c r="Q62"/>
  <c r="R62" s="1"/>
  <c r="N62"/>
  <c r="M62"/>
  <c r="L62"/>
  <c r="G62"/>
  <c r="BR61"/>
  <c r="AL61"/>
  <c r="AD61"/>
  <c r="AC61"/>
  <c r="AB61"/>
  <c r="Q61"/>
  <c r="R61" s="1"/>
  <c r="N61"/>
  <c r="M61"/>
  <c r="L61"/>
  <c r="G61"/>
  <c r="S62" l="1"/>
  <c r="T61"/>
  <c r="S61"/>
  <c r="V56" l="1"/>
  <c r="BQ57"/>
  <c r="BQ56"/>
  <c r="BG56"/>
  <c r="BG57"/>
  <c r="BE57"/>
  <c r="BE56"/>
  <c r="J56"/>
  <c r="J57"/>
  <c r="B57"/>
  <c r="CK57" s="1"/>
  <c r="CL57"/>
  <c r="CG57"/>
  <c r="CC57"/>
  <c r="BZ57"/>
  <c r="BY57"/>
  <c r="BX57"/>
  <c r="BW57"/>
  <c r="BV57"/>
  <c r="BU57"/>
  <c r="BT57"/>
  <c r="BS57"/>
  <c r="BR57"/>
  <c r="AL57"/>
  <c r="AD57"/>
  <c r="AC57"/>
  <c r="AB57"/>
  <c r="T57"/>
  <c r="S57"/>
  <c r="R57"/>
  <c r="CD57"/>
  <c r="N57" l="1"/>
  <c r="M57"/>
  <c r="L57"/>
  <c r="CB57" l="1"/>
  <c r="CB52"/>
  <c r="CB53"/>
  <c r="CB54"/>
  <c r="CB55"/>
  <c r="A96" i="23" l="1"/>
  <c r="AL51" i="2"/>
  <c r="AD51"/>
  <c r="AC51"/>
  <c r="AB51"/>
  <c r="T51"/>
  <c r="S51"/>
  <c r="R51"/>
  <c r="N51"/>
  <c r="M51"/>
  <c r="L51"/>
  <c r="G51"/>
  <c r="AL50"/>
  <c r="AD50"/>
  <c r="AC50"/>
  <c r="AB50"/>
  <c r="T50"/>
  <c r="S50"/>
  <c r="R50"/>
  <c r="N50"/>
  <c r="M50"/>
  <c r="L50"/>
  <c r="G50"/>
  <c r="K7" l="1"/>
  <c r="CG42"/>
  <c r="BR42"/>
  <c r="AL42"/>
  <c r="W42"/>
  <c r="AC42" s="1"/>
  <c r="N42"/>
  <c r="M42"/>
  <c r="L42"/>
  <c r="J49"/>
  <c r="J48"/>
  <c r="W47"/>
  <c r="CL47"/>
  <c r="CK47"/>
  <c r="CG47"/>
  <c r="CF47"/>
  <c r="CC47"/>
  <c r="BR47"/>
  <c r="AL47"/>
  <c r="AD47"/>
  <c r="AB47"/>
  <c r="AC47"/>
  <c r="T47"/>
  <c r="S47"/>
  <c r="R47"/>
  <c r="N47"/>
  <c r="M47"/>
  <c r="L47"/>
  <c r="CL46"/>
  <c r="CK46"/>
  <c r="CG46"/>
  <c r="CC46"/>
  <c r="BR46"/>
  <c r="AL46"/>
  <c r="AD46"/>
  <c r="AB46"/>
  <c r="W46"/>
  <c r="AC46" s="1"/>
  <c r="T46"/>
  <c r="S46"/>
  <c r="R46"/>
  <c r="N46"/>
  <c r="M46"/>
  <c r="L46"/>
  <c r="AB42" l="1"/>
  <c r="CD42"/>
  <c r="AD42"/>
  <c r="CC42"/>
  <c r="CB47"/>
  <c r="CD47"/>
  <c r="CB46"/>
  <c r="CD46"/>
  <c r="CB42" l="1"/>
  <c r="V45" l="1"/>
  <c r="W44"/>
  <c r="W43"/>
  <c r="BR22" l="1"/>
  <c r="AL22"/>
  <c r="AD22"/>
  <c r="AC22"/>
  <c r="AB22"/>
  <c r="Q22"/>
  <c r="R22" s="1"/>
  <c r="N22"/>
  <c r="M22"/>
  <c r="L22"/>
  <c r="BQ25"/>
  <c r="BR25" s="1"/>
  <c r="AL25"/>
  <c r="AD25"/>
  <c r="AC25"/>
  <c r="AB25"/>
  <c r="T25"/>
  <c r="R25"/>
  <c r="Q25"/>
  <c r="S25" s="1"/>
  <c r="N25"/>
  <c r="M25"/>
  <c r="L25"/>
  <c r="T22" l="1"/>
  <c r="S22"/>
  <c r="J11" l="1"/>
  <c r="CF7"/>
  <c r="AL7"/>
  <c r="AD7"/>
  <c r="AC7"/>
  <c r="AB7"/>
  <c r="T7"/>
  <c r="S7"/>
  <c r="R7"/>
  <c r="N7"/>
  <c r="M7" l="1"/>
  <c r="L7"/>
  <c r="J5" l="1"/>
  <c r="BW20" i="8"/>
  <c r="BA20"/>
  <c r="BW19"/>
  <c r="BA19"/>
  <c r="BW17"/>
  <c r="O17"/>
  <c r="I17"/>
  <c r="J3" i="2" l="1"/>
  <c r="J2"/>
  <c r="I9" i="8"/>
  <c r="O7" l="1"/>
  <c r="R9"/>
  <c r="AB2" l="1"/>
  <c r="W2"/>
  <c r="D23" i="40" l="1"/>
  <c r="D22"/>
  <c r="D20"/>
  <c r="C23"/>
  <c r="C22"/>
  <c r="C21"/>
  <c r="C20"/>
  <c r="C19"/>
  <c r="D24" i="72"/>
  <c r="D23"/>
  <c r="D21"/>
  <c r="F73" l="1"/>
  <c r="B12" i="22"/>
  <c r="B13"/>
  <c r="C13"/>
  <c r="B14"/>
  <c r="C14"/>
  <c r="B15"/>
  <c r="C15"/>
  <c r="B16"/>
  <c r="C16"/>
  <c r="B17"/>
  <c r="C17"/>
  <c r="B18"/>
  <c r="C18"/>
  <c r="B19"/>
  <c r="C19"/>
  <c r="B20"/>
  <c r="C20"/>
  <c r="B21"/>
  <c r="C21"/>
  <c r="B22"/>
  <c r="C22"/>
  <c r="B23"/>
  <c r="C23"/>
  <c r="B24"/>
  <c r="C24"/>
  <c r="B25"/>
  <c r="C25"/>
  <c r="B26"/>
  <c r="C26"/>
  <c r="B27"/>
  <c r="C27"/>
  <c r="B28"/>
  <c r="C28"/>
  <c r="B29"/>
  <c r="C29"/>
  <c r="B30"/>
  <c r="C30"/>
  <c r="B31"/>
  <c r="C31"/>
  <c r="B32"/>
  <c r="C32"/>
  <c r="B33"/>
  <c r="C33"/>
  <c r="B34"/>
  <c r="C34"/>
  <c r="B35"/>
  <c r="C35"/>
  <c r="B36"/>
  <c r="C36"/>
  <c r="B37"/>
  <c r="C37"/>
  <c r="B38"/>
  <c r="C38"/>
  <c r="B39"/>
  <c r="C39"/>
  <c r="B40"/>
  <c r="C40"/>
  <c r="B41"/>
  <c r="C41"/>
  <c r="B42"/>
  <c r="C42"/>
  <c r="B43"/>
  <c r="C43"/>
  <c r="B44"/>
  <c r="C44"/>
  <c r="B45"/>
  <c r="C45"/>
  <c r="B46"/>
  <c r="C46"/>
  <c r="B47"/>
  <c r="C47"/>
  <c r="B48"/>
  <c r="C48"/>
  <c r="B49"/>
  <c r="C49"/>
  <c r="B50"/>
  <c r="C50"/>
  <c r="B51"/>
  <c r="C51"/>
  <c r="B52"/>
  <c r="C52"/>
  <c r="B53"/>
  <c r="C53"/>
  <c r="B54"/>
  <c r="C54"/>
  <c r="B55"/>
  <c r="C55"/>
  <c r="B56"/>
  <c r="C56"/>
  <c r="B57"/>
  <c r="C57"/>
  <c r="B58"/>
  <c r="C58"/>
  <c r="B59"/>
  <c r="C59"/>
  <c r="B60"/>
  <c r="C60"/>
  <c r="B61"/>
  <c r="C61"/>
  <c r="B62"/>
  <c r="C62"/>
  <c r="B63"/>
  <c r="C63"/>
  <c r="B64"/>
  <c r="C64"/>
  <c r="B65"/>
  <c r="C65"/>
  <c r="B66"/>
  <c r="C66"/>
  <c r="B67"/>
  <c r="C67"/>
  <c r="B68"/>
  <c r="C68"/>
  <c r="B69"/>
  <c r="C69"/>
  <c r="B70"/>
  <c r="C70"/>
  <c r="B71"/>
  <c r="C71"/>
  <c r="B72"/>
  <c r="C72"/>
  <c r="B73"/>
  <c r="C73"/>
  <c r="B74"/>
  <c r="C74"/>
  <c r="B75"/>
  <c r="C75"/>
  <c r="B76"/>
  <c r="C76"/>
  <c r="B77"/>
  <c r="C77"/>
  <c r="B78"/>
  <c r="C78"/>
  <c r="B79"/>
  <c r="C79"/>
  <c r="B80"/>
  <c r="C80"/>
  <c r="B81"/>
  <c r="C81"/>
  <c r="B82"/>
  <c r="C82"/>
  <c r="B83"/>
  <c r="C83"/>
  <c r="B84"/>
  <c r="C84"/>
  <c r="B85"/>
  <c r="C85"/>
  <c r="B86"/>
  <c r="C86"/>
  <c r="B87"/>
  <c r="C87"/>
  <c r="B88"/>
  <c r="C88"/>
  <c r="B89"/>
  <c r="C89"/>
  <c r="B90"/>
  <c r="C90"/>
  <c r="B91"/>
  <c r="C91"/>
  <c r="B92"/>
  <c r="C92"/>
  <c r="B93"/>
  <c r="C93"/>
  <c r="B94"/>
  <c r="C94"/>
  <c r="B95"/>
  <c r="C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B111"/>
  <c r="C111"/>
  <c r="B112"/>
  <c r="C112"/>
  <c r="B113"/>
  <c r="C113"/>
  <c r="B114"/>
  <c r="C114"/>
  <c r="B115"/>
  <c r="C115"/>
  <c r="B116"/>
  <c r="C116"/>
  <c r="B117"/>
  <c r="C117"/>
  <c r="B118"/>
  <c r="C118"/>
  <c r="B119"/>
  <c r="C119"/>
  <c r="B120"/>
  <c r="C120"/>
  <c r="B121"/>
  <c r="C121"/>
  <c r="B122"/>
  <c r="C122"/>
  <c r="B123"/>
  <c r="C123"/>
  <c r="B124"/>
  <c r="C124"/>
  <c r="B125"/>
  <c r="C125"/>
  <c r="B126"/>
  <c r="C126"/>
  <c r="B127"/>
  <c r="C127"/>
  <c r="B128"/>
  <c r="C128"/>
  <c r="B129"/>
  <c r="C129"/>
  <c r="B130"/>
  <c r="C130"/>
  <c r="K2" i="8"/>
  <c r="L2"/>
  <c r="N2"/>
  <c r="Q2"/>
  <c r="R2"/>
  <c r="T2"/>
  <c r="K3"/>
  <c r="L3"/>
  <c r="N3"/>
  <c r="Q3"/>
  <c r="R3"/>
  <c r="T3"/>
  <c r="Q4"/>
  <c r="R4"/>
  <c r="T4"/>
  <c r="AA4"/>
  <c r="AB4"/>
  <c r="AD4"/>
  <c r="BY4"/>
  <c r="Q5"/>
  <c r="R5"/>
  <c r="T5"/>
  <c r="AA5"/>
  <c r="AB5"/>
  <c r="AD5"/>
  <c r="BY5"/>
  <c r="Q6"/>
  <c r="R6"/>
  <c r="T6"/>
  <c r="AA6"/>
  <c r="AB6"/>
  <c r="AD6"/>
  <c r="BY6"/>
  <c r="K7"/>
  <c r="L7"/>
  <c r="N7"/>
  <c r="BY7"/>
  <c r="Q8"/>
  <c r="R8"/>
  <c r="T8"/>
  <c r="AA8"/>
  <c r="AB8"/>
  <c r="AD8"/>
  <c r="BY8"/>
  <c r="K9"/>
  <c r="L9"/>
  <c r="N9"/>
  <c r="Q9"/>
  <c r="T9"/>
  <c r="AA9"/>
  <c r="AB9"/>
  <c r="AD9"/>
  <c r="BY9"/>
  <c r="K10"/>
  <c r="L10"/>
  <c r="N10"/>
  <c r="Q10"/>
  <c r="R10"/>
  <c r="T10"/>
  <c r="AA10"/>
  <c r="AB10"/>
  <c r="AD10"/>
  <c r="BY10"/>
  <c r="Q11"/>
  <c r="R11"/>
  <c r="T11"/>
  <c r="AA11"/>
  <c r="AB11"/>
  <c r="AD11"/>
  <c r="BY11"/>
  <c r="K12"/>
  <c r="L12"/>
  <c r="N12"/>
  <c r="Q12"/>
  <c r="R12"/>
  <c r="T12"/>
  <c r="BY12"/>
  <c r="Q13"/>
  <c r="R13"/>
  <c r="T13"/>
  <c r="AA13"/>
  <c r="AB13"/>
  <c r="AD13"/>
  <c r="BY13"/>
  <c r="K14"/>
  <c r="L14"/>
  <c r="N14"/>
  <c r="AA14"/>
  <c r="AB14"/>
  <c r="AD14"/>
  <c r="BY14"/>
  <c r="AA15"/>
  <c r="AB15"/>
  <c r="AD15"/>
  <c r="BY15"/>
  <c r="K16"/>
  <c r="L16"/>
  <c r="N16"/>
  <c r="Q16"/>
  <c r="R16"/>
  <c r="T16"/>
  <c r="AA16"/>
  <c r="AB16"/>
  <c r="AD16"/>
  <c r="BY16"/>
  <c r="K17"/>
  <c r="L17"/>
  <c r="N17"/>
  <c r="Q17"/>
  <c r="R17"/>
  <c r="T17"/>
  <c r="AA17"/>
  <c r="AB17"/>
  <c r="AD17"/>
  <c r="BY17"/>
  <c r="Q18"/>
  <c r="R18"/>
  <c r="T18"/>
  <c r="AA18"/>
  <c r="AB18"/>
  <c r="AD18"/>
  <c r="BY18"/>
  <c r="K19"/>
  <c r="L19"/>
  <c r="N19"/>
  <c r="Q19"/>
  <c r="R19"/>
  <c r="T19"/>
  <c r="AA19"/>
  <c r="AB19"/>
  <c r="AD19"/>
  <c r="BY19"/>
  <c r="K20"/>
  <c r="L20"/>
  <c r="N20"/>
  <c r="Q20"/>
  <c r="R20"/>
  <c r="T20"/>
  <c r="AA20"/>
  <c r="AB20"/>
  <c r="AD20"/>
  <c r="BY20"/>
  <c r="K21"/>
  <c r="L21"/>
  <c r="N21"/>
  <c r="Q21"/>
  <c r="R21"/>
  <c r="T21"/>
  <c r="AA21"/>
  <c r="AB21"/>
  <c r="AD21"/>
  <c r="BY21"/>
  <c r="K22"/>
  <c r="L22"/>
  <c r="N22"/>
  <c r="Q22"/>
  <c r="R22"/>
  <c r="T22"/>
  <c r="BY22"/>
  <c r="Q23"/>
  <c r="R23"/>
  <c r="T23"/>
  <c r="BY23"/>
  <c r="K24"/>
  <c r="L24"/>
  <c r="N24"/>
  <c r="Q24"/>
  <c r="R24"/>
  <c r="T24"/>
  <c r="BY24"/>
  <c r="K25"/>
  <c r="L25"/>
  <c r="N25"/>
  <c r="Q25"/>
  <c r="R25"/>
  <c r="T25"/>
  <c r="AA25"/>
  <c r="AB25"/>
  <c r="AD25"/>
  <c r="BY25"/>
  <c r="K26"/>
  <c r="L26"/>
  <c r="N26"/>
  <c r="Q26"/>
  <c r="R26"/>
  <c r="T26"/>
  <c r="AA26"/>
  <c r="AB26"/>
  <c r="AD26"/>
  <c r="BY26"/>
  <c r="K27"/>
  <c r="L27"/>
  <c r="N27"/>
  <c r="Q27"/>
  <c r="R27"/>
  <c r="T27"/>
  <c r="AA27"/>
  <c r="AB27"/>
  <c r="AD27"/>
  <c r="BY27"/>
  <c r="K28"/>
  <c r="L28"/>
  <c r="N28"/>
  <c r="Q28"/>
  <c r="R28"/>
  <c r="T28"/>
  <c r="AA28"/>
  <c r="AB28"/>
  <c r="AD28"/>
  <c r="BY28"/>
  <c r="K29"/>
  <c r="L29"/>
  <c r="N29"/>
  <c r="Q29"/>
  <c r="R29"/>
  <c r="T29"/>
  <c r="AA29"/>
  <c r="AB29"/>
  <c r="AD29"/>
  <c r="BY29"/>
  <c r="K30"/>
  <c r="L30"/>
  <c r="N30"/>
  <c r="Q30"/>
  <c r="R30"/>
  <c r="T30"/>
  <c r="AA30"/>
  <c r="AB30"/>
  <c r="AD30"/>
  <c r="BY30"/>
  <c r="K31"/>
  <c r="L31"/>
  <c r="N31"/>
  <c r="Q31"/>
  <c r="R31"/>
  <c r="T31"/>
  <c r="AA31"/>
  <c r="AB31"/>
  <c r="AD31"/>
  <c r="BY31"/>
  <c r="K32"/>
  <c r="L32"/>
  <c r="N32"/>
  <c r="Q32"/>
  <c r="R32"/>
  <c r="T32"/>
  <c r="AA32"/>
  <c r="AB32"/>
  <c r="AD32"/>
  <c r="BY32"/>
  <c r="K33"/>
  <c r="L33"/>
  <c r="N33"/>
  <c r="Q33"/>
  <c r="R33"/>
  <c r="T33"/>
  <c r="AA33"/>
  <c r="AB33"/>
  <c r="AD33"/>
  <c r="BY33"/>
  <c r="K34"/>
  <c r="L34"/>
  <c r="N34"/>
  <c r="Q34"/>
  <c r="R34"/>
  <c r="T34"/>
  <c r="AA34"/>
  <c r="AB34"/>
  <c r="AD34"/>
  <c r="BY34"/>
  <c r="K35"/>
  <c r="L35"/>
  <c r="N35"/>
  <c r="Q35"/>
  <c r="R35"/>
  <c r="T35"/>
  <c r="AA35"/>
  <c r="AB35"/>
  <c r="AD35"/>
  <c r="BY35"/>
  <c r="K36"/>
  <c r="L36"/>
  <c r="N36"/>
  <c r="Q36"/>
  <c r="R36"/>
  <c r="T36"/>
  <c r="AA36"/>
  <c r="AB36"/>
  <c r="AD36"/>
  <c r="BY36"/>
  <c r="L2" i="2"/>
  <c r="M2"/>
  <c r="N2"/>
  <c r="R2"/>
  <c r="S2"/>
  <c r="T2"/>
  <c r="AB2"/>
  <c r="AC2"/>
  <c r="AD2"/>
  <c r="AL2"/>
  <c r="BR2"/>
  <c r="BS2"/>
  <c r="BT2"/>
  <c r="BU2"/>
  <c r="BV2"/>
  <c r="BW2"/>
  <c r="BX2"/>
  <c r="BY2"/>
  <c r="BZ2"/>
  <c r="CC2"/>
  <c r="CD2"/>
  <c r="CG2"/>
  <c r="L3"/>
  <c r="M3"/>
  <c r="N3"/>
  <c r="R3"/>
  <c r="S3"/>
  <c r="T3"/>
  <c r="AB3"/>
  <c r="AC3"/>
  <c r="AD3"/>
  <c r="AL3"/>
  <c r="BR3"/>
  <c r="BS3"/>
  <c r="BT3"/>
  <c r="BU3"/>
  <c r="BV3"/>
  <c r="BW3"/>
  <c r="BX3"/>
  <c r="BY3"/>
  <c r="BZ3"/>
  <c r="CC3"/>
  <c r="CD3"/>
  <c r="CG3"/>
  <c r="R4"/>
  <c r="S4"/>
  <c r="T4"/>
  <c r="AB4"/>
  <c r="AC4"/>
  <c r="AD4"/>
  <c r="AL4"/>
  <c r="BR4"/>
  <c r="BS4"/>
  <c r="BT4"/>
  <c r="BU4"/>
  <c r="BV4"/>
  <c r="BW4"/>
  <c r="BX4"/>
  <c r="BY4"/>
  <c r="BZ4"/>
  <c r="CC4"/>
  <c r="CD4"/>
  <c r="CG4"/>
  <c r="L5"/>
  <c r="M5"/>
  <c r="N5"/>
  <c r="R5"/>
  <c r="S5"/>
  <c r="T5"/>
  <c r="AB5"/>
  <c r="AC5"/>
  <c r="AD5"/>
  <c r="AL5"/>
  <c r="BR5"/>
  <c r="BS5"/>
  <c r="BT5"/>
  <c r="BU5"/>
  <c r="BV5"/>
  <c r="BW5"/>
  <c r="BX5"/>
  <c r="BY5"/>
  <c r="BZ5"/>
  <c r="CC5"/>
  <c r="CD5"/>
  <c r="CG5"/>
  <c r="L6"/>
  <c r="M6"/>
  <c r="N6"/>
  <c r="AB6"/>
  <c r="AC6"/>
  <c r="AD6"/>
  <c r="AL6"/>
  <c r="BR6"/>
  <c r="BS6"/>
  <c r="BT6"/>
  <c r="BU6"/>
  <c r="BV6"/>
  <c r="BW6"/>
  <c r="BX6"/>
  <c r="BY6"/>
  <c r="BZ6"/>
  <c r="CC6"/>
  <c r="CD6"/>
  <c r="CG6"/>
  <c r="CB7"/>
  <c r="CC7"/>
  <c r="CD7"/>
  <c r="CG7"/>
  <c r="J77" i="72" s="1"/>
  <c r="CB8" i="2"/>
  <c r="CC8"/>
  <c r="CD8"/>
  <c r="CG8"/>
  <c r="CB9"/>
  <c r="CC9"/>
  <c r="CD9"/>
  <c r="CG9"/>
  <c r="CB10"/>
  <c r="CC10"/>
  <c r="CD10"/>
  <c r="CG10"/>
  <c r="L11"/>
  <c r="M11"/>
  <c r="N11"/>
  <c r="R11"/>
  <c r="S11"/>
  <c r="T11"/>
  <c r="AB11"/>
  <c r="AC11"/>
  <c r="AD11"/>
  <c r="AL11"/>
  <c r="BR11"/>
  <c r="BS11"/>
  <c r="BT11"/>
  <c r="BU11"/>
  <c r="BV11"/>
  <c r="BW11"/>
  <c r="BX11"/>
  <c r="BY11"/>
  <c r="BZ11"/>
  <c r="CC11"/>
  <c r="CD11"/>
  <c r="CG11"/>
  <c r="B12"/>
  <c r="L12"/>
  <c r="M12"/>
  <c r="N12"/>
  <c r="R12"/>
  <c r="S12"/>
  <c r="T12"/>
  <c r="AB12"/>
  <c r="AC12"/>
  <c r="AD12"/>
  <c r="AL12"/>
  <c r="BR12"/>
  <c r="BS12"/>
  <c r="BT12"/>
  <c r="BU12"/>
  <c r="BV12"/>
  <c r="BW12"/>
  <c r="BX12"/>
  <c r="BY12"/>
  <c r="BZ12"/>
  <c r="CC12"/>
  <c r="CD12"/>
  <c r="CG12"/>
  <c r="B13"/>
  <c r="L13"/>
  <c r="M13"/>
  <c r="N13"/>
  <c r="R13"/>
  <c r="S13"/>
  <c r="T13"/>
  <c r="AB13"/>
  <c r="AC13"/>
  <c r="AD13"/>
  <c r="AL13"/>
  <c r="BR13"/>
  <c r="BS13"/>
  <c r="BT13"/>
  <c r="BU13"/>
  <c r="BV13"/>
  <c r="BW13"/>
  <c r="BX13"/>
  <c r="BY13"/>
  <c r="BZ13"/>
  <c r="CC13"/>
  <c r="CD13"/>
  <c r="CG13"/>
  <c r="B14"/>
  <c r="L14"/>
  <c r="M14"/>
  <c r="N14"/>
  <c r="R14"/>
  <c r="S14"/>
  <c r="T14"/>
  <c r="AB14"/>
  <c r="AC14"/>
  <c r="AD14"/>
  <c r="AL14"/>
  <c r="BR14"/>
  <c r="BS14"/>
  <c r="BT14"/>
  <c r="BU14"/>
  <c r="BV14"/>
  <c r="BW14"/>
  <c r="BX14"/>
  <c r="BY14"/>
  <c r="BZ14"/>
  <c r="CC14"/>
  <c r="CD14"/>
  <c r="CG14"/>
  <c r="B15"/>
  <c r="L15"/>
  <c r="M15"/>
  <c r="N15"/>
  <c r="R15"/>
  <c r="S15"/>
  <c r="T15"/>
  <c r="AB15"/>
  <c r="AC15"/>
  <c r="AD15"/>
  <c r="AL15"/>
  <c r="BR15"/>
  <c r="BS15"/>
  <c r="BT15"/>
  <c r="BU15"/>
  <c r="BV15"/>
  <c r="BW15"/>
  <c r="BX15"/>
  <c r="BY15"/>
  <c r="BZ15"/>
  <c r="CC15"/>
  <c r="CD15"/>
  <c r="CG15"/>
  <c r="B16"/>
  <c r="L16"/>
  <c r="M16"/>
  <c r="N16"/>
  <c r="R16"/>
  <c r="S16"/>
  <c r="T16"/>
  <c r="AB16"/>
  <c r="AC16"/>
  <c r="AD16"/>
  <c r="AL16"/>
  <c r="BR16"/>
  <c r="BS16"/>
  <c r="BT16"/>
  <c r="BU16"/>
  <c r="BV16"/>
  <c r="BW16"/>
  <c r="BX16"/>
  <c r="BY16"/>
  <c r="BZ16"/>
  <c r="CC16"/>
  <c r="CD16"/>
  <c r="CG16"/>
  <c r="B17"/>
  <c r="L17"/>
  <c r="M17"/>
  <c r="N17"/>
  <c r="R17"/>
  <c r="S17"/>
  <c r="T17"/>
  <c r="AB17"/>
  <c r="AC17"/>
  <c r="AD17"/>
  <c r="AL17"/>
  <c r="BR17"/>
  <c r="BS17"/>
  <c r="BT17"/>
  <c r="BU17"/>
  <c r="BV17"/>
  <c r="BW17"/>
  <c r="BX17"/>
  <c r="BY17"/>
  <c r="BZ17"/>
  <c r="CC17"/>
  <c r="CD17"/>
  <c r="CF17"/>
  <c r="CG17"/>
  <c r="B18"/>
  <c r="L18"/>
  <c r="M18"/>
  <c r="N18"/>
  <c r="R18"/>
  <c r="S18"/>
  <c r="T18"/>
  <c r="AB18"/>
  <c r="AC18"/>
  <c r="AD18"/>
  <c r="AL18"/>
  <c r="BR18"/>
  <c r="BS18"/>
  <c r="BT18"/>
  <c r="BU18"/>
  <c r="BV18"/>
  <c r="BW18"/>
  <c r="BX18"/>
  <c r="BY18"/>
  <c r="BZ18"/>
  <c r="CC18"/>
  <c r="CD18"/>
  <c r="CG18"/>
  <c r="B19"/>
  <c r="L19"/>
  <c r="M19"/>
  <c r="N19"/>
  <c r="R19"/>
  <c r="S19"/>
  <c r="T19"/>
  <c r="AB19"/>
  <c r="AC19"/>
  <c r="AD19"/>
  <c r="AL19"/>
  <c r="BR19"/>
  <c r="BS19"/>
  <c r="BT19"/>
  <c r="BU19"/>
  <c r="BV19"/>
  <c r="BW19"/>
  <c r="BX19"/>
  <c r="BY19"/>
  <c r="BZ19"/>
  <c r="CC19"/>
  <c r="CD19"/>
  <c r="CG19"/>
  <c r="L20"/>
  <c r="M20"/>
  <c r="N20"/>
  <c r="R20"/>
  <c r="S20"/>
  <c r="T20"/>
  <c r="AB20"/>
  <c r="AC20"/>
  <c r="AD20"/>
  <c r="AL20"/>
  <c r="BR20"/>
  <c r="BS20"/>
  <c r="BT20"/>
  <c r="BU20"/>
  <c r="BV20"/>
  <c r="BW20"/>
  <c r="BX20"/>
  <c r="BY20"/>
  <c r="BZ20"/>
  <c r="CC20"/>
  <c r="CD20"/>
  <c r="CG20"/>
  <c r="L21"/>
  <c r="M21"/>
  <c r="N21"/>
  <c r="R21"/>
  <c r="S21"/>
  <c r="T21"/>
  <c r="AB21"/>
  <c r="AC21"/>
  <c r="AD21"/>
  <c r="AL21"/>
  <c r="BR21"/>
  <c r="BS21"/>
  <c r="BT21"/>
  <c r="BU21"/>
  <c r="BV21"/>
  <c r="BW21"/>
  <c r="BX21"/>
  <c r="BY21"/>
  <c r="BZ21"/>
  <c r="CC21"/>
  <c r="CD21"/>
  <c r="CG21"/>
  <c r="CB22"/>
  <c r="CC22"/>
  <c r="CD22"/>
  <c r="CF22"/>
  <c r="CG22"/>
  <c r="CB23"/>
  <c r="CC23"/>
  <c r="CD23"/>
  <c r="CF23"/>
  <c r="CG23"/>
  <c r="CB24"/>
  <c r="CC24"/>
  <c r="CD24"/>
  <c r="CF24"/>
  <c r="CG24"/>
  <c r="CB25"/>
  <c r="CC25"/>
  <c r="CD25"/>
  <c r="CF25"/>
  <c r="CG25"/>
  <c r="CB26"/>
  <c r="CC26"/>
  <c r="CD26"/>
  <c r="CF26"/>
  <c r="CG26"/>
  <c r="CB27"/>
  <c r="CC27"/>
  <c r="CD27"/>
  <c r="CF27"/>
  <c r="CG27"/>
  <c r="CB28"/>
  <c r="CC28"/>
  <c r="CD28"/>
  <c r="CF28"/>
  <c r="CG28"/>
  <c r="CB29"/>
  <c r="CC29"/>
  <c r="CD29"/>
  <c r="CG29"/>
  <c r="CB30"/>
  <c r="CC30"/>
  <c r="CD30"/>
  <c r="CF30"/>
  <c r="CG30"/>
  <c r="CB31"/>
  <c r="CC31"/>
  <c r="CD31"/>
  <c r="CF31"/>
  <c r="CG31"/>
  <c r="CB32"/>
  <c r="CC32"/>
  <c r="CD32"/>
  <c r="CG32"/>
  <c r="CB33"/>
  <c r="CC33"/>
  <c r="CD33"/>
  <c r="CF33"/>
  <c r="CG33"/>
  <c r="CB34"/>
  <c r="CC34"/>
  <c r="CD34"/>
  <c r="CF34"/>
  <c r="CG34"/>
  <c r="CB35"/>
  <c r="CC35"/>
  <c r="CD35"/>
  <c r="CF35"/>
  <c r="CG35"/>
  <c r="CB36"/>
  <c r="CC36"/>
  <c r="CD36"/>
  <c r="CF36"/>
  <c r="CG36"/>
  <c r="CB37"/>
  <c r="CC37"/>
  <c r="CD37"/>
  <c r="CF37"/>
  <c r="CG37"/>
  <c r="CB38"/>
  <c r="CC38"/>
  <c r="CD38"/>
  <c r="CF38"/>
  <c r="CG38"/>
  <c r="CB39"/>
  <c r="CC39"/>
  <c r="CD39"/>
  <c r="CF39"/>
  <c r="CG39"/>
  <c r="CB40"/>
  <c r="CC40"/>
  <c r="CD40"/>
  <c r="CF40"/>
  <c r="CG40"/>
  <c r="CB41"/>
  <c r="CC41"/>
  <c r="CD41"/>
  <c r="CG41"/>
  <c r="L43"/>
  <c r="M43"/>
  <c r="N43"/>
  <c r="R43"/>
  <c r="S43"/>
  <c r="T43"/>
  <c r="AB43"/>
  <c r="AC43"/>
  <c r="AD43"/>
  <c r="AL43"/>
  <c r="BR43"/>
  <c r="BS43"/>
  <c r="BT43"/>
  <c r="BU43"/>
  <c r="BV43"/>
  <c r="BW43"/>
  <c r="BX43"/>
  <c r="BY43"/>
  <c r="BZ43"/>
  <c r="CC43"/>
  <c r="CD43"/>
  <c r="CG43"/>
  <c r="B44"/>
  <c r="L44"/>
  <c r="M44"/>
  <c r="N44"/>
  <c r="R44"/>
  <c r="S44"/>
  <c r="T44"/>
  <c r="AB44"/>
  <c r="AC44"/>
  <c r="AD44"/>
  <c r="AL44"/>
  <c r="BR44"/>
  <c r="BS44"/>
  <c r="BT44"/>
  <c r="BU44"/>
  <c r="BV44"/>
  <c r="BW44"/>
  <c r="BX44"/>
  <c r="BY44"/>
  <c r="BZ44"/>
  <c r="CC44"/>
  <c r="CD44"/>
  <c r="CF44"/>
  <c r="CG44"/>
  <c r="B45"/>
  <c r="L45"/>
  <c r="M45"/>
  <c r="N45"/>
  <c r="R45"/>
  <c r="S45"/>
  <c r="T45"/>
  <c r="AB45"/>
  <c r="AC45"/>
  <c r="AD45"/>
  <c r="AL45"/>
  <c r="BR45"/>
  <c r="BS45"/>
  <c r="BT45"/>
  <c r="BU45"/>
  <c r="BV45"/>
  <c r="BW45"/>
  <c r="BX45"/>
  <c r="BY45"/>
  <c r="BZ45"/>
  <c r="CC45"/>
  <c r="CD45"/>
  <c r="CG45"/>
  <c r="L48"/>
  <c r="M48"/>
  <c r="N48"/>
  <c r="R48"/>
  <c r="S48"/>
  <c r="T48"/>
  <c r="AB48"/>
  <c r="AC48"/>
  <c r="AD48"/>
  <c r="AL48"/>
  <c r="BR48"/>
  <c r="BS48"/>
  <c r="BT48"/>
  <c r="BU48"/>
  <c r="BV48"/>
  <c r="BW48"/>
  <c r="BX48"/>
  <c r="BY48"/>
  <c r="BZ48"/>
  <c r="CC48"/>
  <c r="CD48"/>
  <c r="CG48"/>
  <c r="L49"/>
  <c r="M49"/>
  <c r="N49"/>
  <c r="R49"/>
  <c r="S49"/>
  <c r="T49"/>
  <c r="AB49"/>
  <c r="AC49"/>
  <c r="AD49"/>
  <c r="AL49"/>
  <c r="BR49"/>
  <c r="BS49"/>
  <c r="BT49"/>
  <c r="BU49"/>
  <c r="BV49"/>
  <c r="BW49"/>
  <c r="BX49"/>
  <c r="BY49"/>
  <c r="BZ49"/>
  <c r="CC49"/>
  <c r="CD49"/>
  <c r="CG49"/>
  <c r="CC50"/>
  <c r="CD50"/>
  <c r="CF50"/>
  <c r="CG50"/>
  <c r="CC51"/>
  <c r="CD51"/>
  <c r="CF51"/>
  <c r="CG51"/>
  <c r="CC52"/>
  <c r="CD52"/>
  <c r="CF52"/>
  <c r="CG52"/>
  <c r="CC53"/>
  <c r="CD53"/>
  <c r="CF53"/>
  <c r="CG53"/>
  <c r="CC54"/>
  <c r="CD54"/>
  <c r="CF54"/>
  <c r="CG54"/>
  <c r="CC55"/>
  <c r="CD55"/>
  <c r="CF55"/>
  <c r="CG55"/>
  <c r="L56"/>
  <c r="M56"/>
  <c r="N56"/>
  <c r="R56"/>
  <c r="S56"/>
  <c r="T56"/>
  <c r="AB56"/>
  <c r="AC56"/>
  <c r="AD56"/>
  <c r="AL56"/>
  <c r="BR56"/>
  <c r="BS56"/>
  <c r="BT56"/>
  <c r="BU56"/>
  <c r="BV56"/>
  <c r="BW56"/>
  <c r="BX56"/>
  <c r="BY56"/>
  <c r="BZ56"/>
  <c r="CC56"/>
  <c r="CD56"/>
  <c r="CG56"/>
  <c r="B58"/>
  <c r="L58"/>
  <c r="M58"/>
  <c r="N58"/>
  <c r="R58"/>
  <c r="S58"/>
  <c r="T58"/>
  <c r="AB58"/>
  <c r="AC58"/>
  <c r="AD58"/>
  <c r="AL58"/>
  <c r="BR58"/>
  <c r="BS58"/>
  <c r="BT58"/>
  <c r="BU58"/>
  <c r="BV58"/>
  <c r="BW58"/>
  <c r="BX58"/>
  <c r="BY58"/>
  <c r="BZ58"/>
  <c r="CC58"/>
  <c r="CD58"/>
  <c r="CG58"/>
  <c r="B59"/>
  <c r="L59"/>
  <c r="M59"/>
  <c r="N59"/>
  <c r="R59"/>
  <c r="S59"/>
  <c r="T59"/>
  <c r="AB59"/>
  <c r="AC59"/>
  <c r="AD59"/>
  <c r="AL59"/>
  <c r="BR59"/>
  <c r="BS59"/>
  <c r="BT59"/>
  <c r="BU59"/>
  <c r="BV59"/>
  <c r="BW59"/>
  <c r="BX59"/>
  <c r="BY59"/>
  <c r="BZ59"/>
  <c r="CC59"/>
  <c r="CD59"/>
  <c r="CG59"/>
  <c r="L60"/>
  <c r="M60"/>
  <c r="N60"/>
  <c r="R60"/>
  <c r="S60"/>
  <c r="T60"/>
  <c r="AB60"/>
  <c r="AC60"/>
  <c r="AD60"/>
  <c r="AL60"/>
  <c r="BR60"/>
  <c r="BS60"/>
  <c r="BT60"/>
  <c r="BU60"/>
  <c r="BV60"/>
  <c r="BW60"/>
  <c r="BX60"/>
  <c r="BY60"/>
  <c r="BZ60"/>
  <c r="CC60"/>
  <c r="CD60"/>
  <c r="CG60"/>
  <c r="CC61"/>
  <c r="CD61"/>
  <c r="CF61"/>
  <c r="CG61"/>
  <c r="CC62"/>
  <c r="CD62"/>
  <c r="CF62"/>
  <c r="CG62"/>
  <c r="CC63"/>
  <c r="CD63"/>
  <c r="CF63"/>
  <c r="CG63"/>
  <c r="CC64"/>
  <c r="CD64"/>
  <c r="CF64"/>
  <c r="CG64"/>
  <c r="CC65"/>
  <c r="CD65"/>
  <c r="CF65"/>
  <c r="CG65"/>
  <c r="CC66"/>
  <c r="CD66"/>
  <c r="CF66"/>
  <c r="CG66"/>
  <c r="CC67"/>
  <c r="CD67"/>
  <c r="CF67"/>
  <c r="CG67"/>
  <c r="CC68"/>
  <c r="CD68"/>
  <c r="CF68"/>
  <c r="CG68"/>
  <c r="CC69"/>
  <c r="CD69"/>
  <c r="CF69"/>
  <c r="CG69"/>
  <c r="CC70"/>
  <c r="CD70"/>
  <c r="CF70"/>
  <c r="CG70"/>
  <c r="CC71"/>
  <c r="CD71"/>
  <c r="CF71"/>
  <c r="CG71"/>
  <c r="CC72"/>
  <c r="CD72"/>
  <c r="CF72"/>
  <c r="CG72"/>
  <c r="CC73"/>
  <c r="CD73"/>
  <c r="CF73"/>
  <c r="CG73"/>
  <c r="CC74"/>
  <c r="CD74"/>
  <c r="CF74"/>
  <c r="CG74"/>
  <c r="CC75"/>
  <c r="CD75"/>
  <c r="CF75"/>
  <c r="CG75"/>
  <c r="CC76"/>
  <c r="CD76"/>
  <c r="CF76"/>
  <c r="CG76"/>
  <c r="CC77"/>
  <c r="CD77"/>
  <c r="CF77"/>
  <c r="CG77"/>
  <c r="CC78"/>
  <c r="CD78"/>
  <c r="CF78"/>
  <c r="CG78"/>
  <c r="CC79"/>
  <c r="CD79"/>
  <c r="CF79"/>
  <c r="CG79"/>
  <c r="CC80"/>
  <c r="CD80"/>
  <c r="CF80"/>
  <c r="CG80"/>
  <c r="CC81"/>
  <c r="CD81"/>
  <c r="CF81"/>
  <c r="CG81"/>
  <c r="CC82"/>
  <c r="CD82"/>
  <c r="CF82"/>
  <c r="CG82"/>
  <c r="CC83"/>
  <c r="CD83"/>
  <c r="CF83"/>
  <c r="CG83"/>
  <c r="CC84"/>
  <c r="CD84"/>
  <c r="CF84"/>
  <c r="CG84"/>
  <c r="CC85"/>
  <c r="CD85"/>
  <c r="CF85"/>
  <c r="CG85"/>
  <c r="CC86"/>
  <c r="CD86"/>
  <c r="CF86"/>
  <c r="CG86"/>
  <c r="CC87"/>
  <c r="CD87"/>
  <c r="CF87"/>
  <c r="CG87"/>
  <c r="CC88"/>
  <c r="CD88"/>
  <c r="CF88"/>
  <c r="CG88"/>
  <c r="CC89"/>
  <c r="CD89"/>
  <c r="CF89"/>
  <c r="CG89"/>
  <c r="CC90"/>
  <c r="CD90"/>
  <c r="CF90"/>
  <c r="CG90"/>
  <c r="CC91"/>
  <c r="CD91"/>
  <c r="CF91"/>
  <c r="CG91"/>
  <c r="CC92"/>
  <c r="CD92"/>
  <c r="CF92"/>
  <c r="CG92"/>
  <c r="CC93"/>
  <c r="CD93"/>
  <c r="CF93"/>
  <c r="CG93"/>
  <c r="CC94"/>
  <c r="CD94"/>
  <c r="CF94"/>
  <c r="CG94"/>
  <c r="CC95"/>
  <c r="CD95"/>
  <c r="CF95"/>
  <c r="CG95"/>
  <c r="CC96"/>
  <c r="CD96"/>
  <c r="CF96"/>
  <c r="CG96"/>
  <c r="CC97"/>
  <c r="CD97"/>
  <c r="CF97"/>
  <c r="CG97"/>
  <c r="CC98"/>
  <c r="CD98"/>
  <c r="CF98"/>
  <c r="CG98"/>
  <c r="CC99"/>
  <c r="CD99"/>
  <c r="CF99"/>
  <c r="CG99"/>
  <c r="CC100"/>
  <c r="CD100"/>
  <c r="CF100"/>
  <c r="CG100"/>
  <c r="CC101"/>
  <c r="CD101"/>
  <c r="CF101"/>
  <c r="CG101"/>
  <c r="CC102"/>
  <c r="CD102"/>
  <c r="CF102"/>
  <c r="CG102"/>
  <c r="CC103"/>
  <c r="CD103"/>
  <c r="CF103"/>
  <c r="CG103"/>
  <c r="CC104"/>
  <c r="CD104"/>
  <c r="CG104"/>
  <c r="CC105"/>
  <c r="CD105"/>
  <c r="CG105"/>
  <c r="CC106"/>
  <c r="CD106"/>
  <c r="CG106"/>
  <c r="CC107"/>
  <c r="CD107"/>
  <c r="CG107"/>
  <c r="CC108"/>
  <c r="CD108"/>
  <c r="CF108"/>
  <c r="CG108"/>
  <c r="CC109"/>
  <c r="CD109"/>
  <c r="CF109"/>
  <c r="CG109"/>
  <c r="CC110"/>
  <c r="CD110"/>
  <c r="CF110"/>
  <c r="CG110"/>
  <c r="CC111"/>
  <c r="CD111"/>
  <c r="CF111"/>
  <c r="CG111"/>
  <c r="CC112"/>
  <c r="CD112"/>
  <c r="CF112"/>
  <c r="CG112"/>
  <c r="CC113"/>
  <c r="CD113"/>
  <c r="CF113"/>
  <c r="CG113"/>
  <c r="CC114"/>
  <c r="CD114"/>
  <c r="CG114"/>
  <c r="L115"/>
  <c r="M115"/>
  <c r="N115"/>
  <c r="R115"/>
  <c r="S115"/>
  <c r="T115"/>
  <c r="AB115"/>
  <c r="AC115"/>
  <c r="AD115"/>
  <c r="AL115"/>
  <c r="BR115"/>
  <c r="BS115"/>
  <c r="BT115"/>
  <c r="BU115"/>
  <c r="BV115"/>
  <c r="BW115"/>
  <c r="BX115"/>
  <c r="BY115"/>
  <c r="BZ115"/>
  <c r="CC115"/>
  <c r="CD115"/>
  <c r="CG115"/>
  <c r="L116"/>
  <c r="M116"/>
  <c r="N116"/>
  <c r="R116"/>
  <c r="S116"/>
  <c r="T116"/>
  <c r="AB116"/>
  <c r="AC116"/>
  <c r="AD116"/>
  <c r="AL116"/>
  <c r="BR116"/>
  <c r="BS116"/>
  <c r="BT116"/>
  <c r="BU116"/>
  <c r="BV116"/>
  <c r="BW116"/>
  <c r="BX116"/>
  <c r="BY116"/>
  <c r="BZ116"/>
  <c r="CC116"/>
  <c r="CD116"/>
  <c r="CG116"/>
  <c r="L118"/>
  <c r="M118"/>
  <c r="N118"/>
  <c r="R118"/>
  <c r="S118"/>
  <c r="T118"/>
  <c r="AB118"/>
  <c r="AC118"/>
  <c r="AD118"/>
  <c r="AL118"/>
  <c r="BR118"/>
  <c r="BS118"/>
  <c r="BT118"/>
  <c r="BU118"/>
  <c r="BV118"/>
  <c r="BW118"/>
  <c r="BX118"/>
  <c r="BY118"/>
  <c r="BZ118"/>
  <c r="CC118"/>
  <c r="CD118"/>
  <c r="CG118"/>
  <c r="L119"/>
  <c r="M119"/>
  <c r="N119"/>
  <c r="R119"/>
  <c r="S119"/>
  <c r="T119"/>
  <c r="AB119"/>
  <c r="AC119"/>
  <c r="AD119"/>
  <c r="AL119"/>
  <c r="BR119"/>
  <c r="BS119"/>
  <c r="BT119"/>
  <c r="BU119"/>
  <c r="BV119"/>
  <c r="BW119"/>
  <c r="BX119"/>
  <c r="BY119"/>
  <c r="BZ119"/>
  <c r="CC119"/>
  <c r="CD119"/>
  <c r="CG119"/>
  <c r="CC120"/>
  <c r="CD120"/>
  <c r="CF120"/>
  <c r="CG120"/>
  <c r="J78" i="72" s="1"/>
  <c r="L121" i="2"/>
  <c r="M121"/>
  <c r="N121"/>
  <c r="R121"/>
  <c r="S121"/>
  <c r="T121"/>
  <c r="AB121"/>
  <c r="AC121"/>
  <c r="AD121"/>
  <c r="AL121"/>
  <c r="BR121"/>
  <c r="BS121"/>
  <c r="BT121"/>
  <c r="BU121"/>
  <c r="BV121"/>
  <c r="BW121"/>
  <c r="BX121"/>
  <c r="BY121"/>
  <c r="BZ121"/>
  <c r="CC121"/>
  <c r="CD121"/>
  <c r="CG121"/>
  <c r="CC122"/>
  <c r="CD122"/>
  <c r="CF122"/>
  <c r="CG122"/>
  <c r="J75" i="72" s="1"/>
  <c r="CC123" i="2"/>
  <c r="CD123"/>
  <c r="CF123"/>
  <c r="CG123"/>
  <c r="CC124"/>
  <c r="CD124"/>
  <c r="CF124"/>
  <c r="CG124"/>
  <c r="CC125"/>
  <c r="CD125"/>
  <c r="CF125"/>
  <c r="CG125"/>
  <c r="J82" i="72" s="1"/>
  <c r="B126" i="2"/>
  <c r="L126"/>
  <c r="M126"/>
  <c r="N126"/>
  <c r="R126"/>
  <c r="S126"/>
  <c r="T126"/>
  <c r="AB126"/>
  <c r="AC126"/>
  <c r="AD126"/>
  <c r="AL126"/>
  <c r="BR126"/>
  <c r="BS126"/>
  <c r="BT126"/>
  <c r="BU126"/>
  <c r="BV126"/>
  <c r="BW126"/>
  <c r="BX126"/>
  <c r="BY126"/>
  <c r="BZ126"/>
  <c r="CC126"/>
  <c r="CD126"/>
  <c r="CF126"/>
  <c r="CG126"/>
  <c r="CC127"/>
  <c r="CD127"/>
  <c r="CF127"/>
  <c r="CG127"/>
  <c r="J97" i="72" s="1"/>
  <c r="CC128" i="2"/>
  <c r="CD128"/>
  <c r="CF128"/>
  <c r="CG128"/>
  <c r="J91" i="72" s="1"/>
  <c r="B129" i="2"/>
  <c r="L129"/>
  <c r="M129"/>
  <c r="N129"/>
  <c r="R129"/>
  <c r="S129"/>
  <c r="T129"/>
  <c r="AB129"/>
  <c r="AC129"/>
  <c r="AD129"/>
  <c r="AL129"/>
  <c r="BR129"/>
  <c r="BS129"/>
  <c r="BT129"/>
  <c r="BU129"/>
  <c r="BV129"/>
  <c r="BW129"/>
  <c r="BX129"/>
  <c r="BY129"/>
  <c r="BZ129"/>
  <c r="CC129"/>
  <c r="CD129"/>
  <c r="CG129"/>
  <c r="B130"/>
  <c r="L130"/>
  <c r="M130"/>
  <c r="N130"/>
  <c r="R130"/>
  <c r="S130"/>
  <c r="T130"/>
  <c r="AB130"/>
  <c r="AC130"/>
  <c r="AD130"/>
  <c r="AL130"/>
  <c r="BR130"/>
  <c r="BS130"/>
  <c r="BT130"/>
  <c r="BU130"/>
  <c r="BV130"/>
  <c r="BW130"/>
  <c r="BX130"/>
  <c r="BY130"/>
  <c r="BZ130"/>
  <c r="CC130"/>
  <c r="CD130"/>
  <c r="CG130"/>
  <c r="B131"/>
  <c r="L131"/>
  <c r="M131"/>
  <c r="N131"/>
  <c r="R131"/>
  <c r="S131"/>
  <c r="T131"/>
  <c r="AB131"/>
  <c r="AC131"/>
  <c r="AD131"/>
  <c r="AL131"/>
  <c r="BR131"/>
  <c r="BS131"/>
  <c r="BT131"/>
  <c r="BU131"/>
  <c r="BV131"/>
  <c r="BW131"/>
  <c r="BX131"/>
  <c r="BY131"/>
  <c r="BZ131"/>
  <c r="CC131"/>
  <c r="CD131"/>
  <c r="CF131"/>
  <c r="CG131"/>
  <c r="CC132"/>
  <c r="CD132"/>
  <c r="CF132"/>
  <c r="CG132"/>
  <c r="J94" i="72" s="1"/>
  <c r="CC133" i="2"/>
  <c r="CD133"/>
  <c r="CF133"/>
  <c r="CG133"/>
  <c r="B134"/>
  <c r="L134"/>
  <c r="M134"/>
  <c r="N134"/>
  <c r="R134"/>
  <c r="S134"/>
  <c r="T134"/>
  <c r="AB134"/>
  <c r="AC134"/>
  <c r="AD134"/>
  <c r="AL134"/>
  <c r="BR134"/>
  <c r="BS134"/>
  <c r="BT134"/>
  <c r="BU134"/>
  <c r="BV134"/>
  <c r="BW134"/>
  <c r="BX134"/>
  <c r="BY134"/>
  <c r="BZ134"/>
  <c r="CC134"/>
  <c r="CD134"/>
  <c r="CF134"/>
  <c r="CG134"/>
  <c r="B135"/>
  <c r="L135"/>
  <c r="M135"/>
  <c r="N135"/>
  <c r="R135"/>
  <c r="S135"/>
  <c r="T135"/>
  <c r="AB135"/>
  <c r="AC135"/>
  <c r="AD135"/>
  <c r="AL135"/>
  <c r="BR135"/>
  <c r="BS135"/>
  <c r="BT135"/>
  <c r="BU135"/>
  <c r="BV135"/>
  <c r="BW135"/>
  <c r="BX135"/>
  <c r="BY135"/>
  <c r="BZ135"/>
  <c r="CC135"/>
  <c r="CD135"/>
  <c r="CF135"/>
  <c r="CG135"/>
  <c r="CC136"/>
  <c r="CD136"/>
  <c r="CF136"/>
  <c r="CG136"/>
  <c r="J96" i="72" s="1"/>
  <c r="CC137" i="2"/>
  <c r="CD137"/>
  <c r="CF137"/>
  <c r="CG137"/>
  <c r="L138"/>
  <c r="M138"/>
  <c r="N138"/>
  <c r="R138"/>
  <c r="S138"/>
  <c r="T138"/>
  <c r="AB138"/>
  <c r="AC138"/>
  <c r="AD138"/>
  <c r="AL138"/>
  <c r="BR138"/>
  <c r="BS138"/>
  <c r="BT138"/>
  <c r="BU138"/>
  <c r="BV138"/>
  <c r="BW138"/>
  <c r="BX138"/>
  <c r="BY138"/>
  <c r="BZ138"/>
  <c r="CC138"/>
  <c r="CD138"/>
  <c r="CG138"/>
  <c r="CC139"/>
  <c r="CD139"/>
  <c r="CG139"/>
  <c r="J93" i="72" s="1"/>
  <c r="CC140" i="2"/>
  <c r="CD140"/>
  <c r="CF140"/>
  <c r="CG140"/>
  <c r="J95" i="72" s="1"/>
  <c r="CC141" i="2"/>
  <c r="CD141"/>
  <c r="CF141"/>
  <c r="CG141"/>
  <c r="J99" i="72" s="1"/>
  <c r="CC142" i="2"/>
  <c r="CD142"/>
  <c r="CF142"/>
  <c r="CG142"/>
  <c r="CC143"/>
  <c r="CD143"/>
  <c r="CF143"/>
  <c r="CG143"/>
  <c r="CC144"/>
  <c r="CD144"/>
  <c r="CF144"/>
  <c r="CG144"/>
  <c r="CC145"/>
  <c r="CD145"/>
  <c r="CF145"/>
  <c r="CG145"/>
  <c r="CC146"/>
  <c r="CD146"/>
  <c r="CF146"/>
  <c r="CG146"/>
  <c r="CC147"/>
  <c r="CD147"/>
  <c r="CG147"/>
  <c r="CC148"/>
  <c r="CD148"/>
  <c r="CF148"/>
  <c r="CG148"/>
  <c r="CC149"/>
  <c r="CD149"/>
  <c r="CF149"/>
  <c r="CG149"/>
  <c r="CC150"/>
  <c r="CD150"/>
  <c r="CF150"/>
  <c r="CG150"/>
  <c r="CC151"/>
  <c r="CD151"/>
  <c r="CF151"/>
  <c r="CG151"/>
  <c r="CC152"/>
  <c r="CD152"/>
  <c r="CF152"/>
  <c r="CG152"/>
  <c r="J85" i="72" s="1"/>
  <c r="CC153" i="2"/>
  <c r="CD153"/>
  <c r="CF153"/>
  <c r="CG153"/>
  <c r="J81" i="72" s="1"/>
  <c r="B154" i="2"/>
  <c r="L154"/>
  <c r="M154"/>
  <c r="N154"/>
  <c r="R154"/>
  <c r="S154"/>
  <c r="T154"/>
  <c r="AB154"/>
  <c r="AC154"/>
  <c r="AD154"/>
  <c r="AL154"/>
  <c r="BR154"/>
  <c r="BS154"/>
  <c r="BT154"/>
  <c r="BU154"/>
  <c r="BV154"/>
  <c r="BW154"/>
  <c r="BX154"/>
  <c r="BY154"/>
  <c r="BZ154"/>
  <c r="CC154"/>
  <c r="CD154"/>
  <c r="CG154"/>
  <c r="L155"/>
  <c r="M155"/>
  <c r="N155"/>
  <c r="R155"/>
  <c r="S155"/>
  <c r="T155"/>
  <c r="AB155"/>
  <c r="AC155"/>
  <c r="AD155"/>
  <c r="AL155"/>
  <c r="BR155"/>
  <c r="BS155"/>
  <c r="BT155"/>
  <c r="BU155"/>
  <c r="BV155"/>
  <c r="BW155"/>
  <c r="BX155"/>
  <c r="BY155"/>
  <c r="BZ155"/>
  <c r="CC155"/>
  <c r="CD155"/>
  <c r="CG155"/>
  <c r="CC156"/>
  <c r="CD156"/>
  <c r="CF156"/>
  <c r="CG156"/>
  <c r="J76" i="72" s="1"/>
  <c r="CC157" i="2"/>
  <c r="CD157"/>
  <c r="CF157"/>
  <c r="CG157"/>
  <c r="J84" i="72" s="1"/>
  <c r="B158" i="2"/>
  <c r="L158"/>
  <c r="M158"/>
  <c r="N158"/>
  <c r="R158"/>
  <c r="S158"/>
  <c r="T158"/>
  <c r="AB158"/>
  <c r="AC158"/>
  <c r="AD158"/>
  <c r="AL158"/>
  <c r="BR158"/>
  <c r="BS158"/>
  <c r="BT158"/>
  <c r="BU158"/>
  <c r="BV158"/>
  <c r="BW158"/>
  <c r="BX158"/>
  <c r="BY158"/>
  <c r="BZ158"/>
  <c r="CC158"/>
  <c r="CD158"/>
  <c r="CG158"/>
  <c r="CC159"/>
  <c r="CD159"/>
  <c r="CF159"/>
  <c r="CG159"/>
  <c r="L160"/>
  <c r="M160"/>
  <c r="N160"/>
  <c r="R160"/>
  <c r="S160"/>
  <c r="T160"/>
  <c r="AB160"/>
  <c r="AC160"/>
  <c r="AD160"/>
  <c r="AL160"/>
  <c r="BR160"/>
  <c r="BS160"/>
  <c r="BT160"/>
  <c r="BU160"/>
  <c r="BV160"/>
  <c r="BW160"/>
  <c r="BX160"/>
  <c r="BY160"/>
  <c r="BZ160"/>
  <c r="CC160"/>
  <c r="CD160"/>
  <c r="CG160"/>
  <c r="L161"/>
  <c r="M161"/>
  <c r="N161"/>
  <c r="R161"/>
  <c r="S161"/>
  <c r="T161"/>
  <c r="AB161"/>
  <c r="AC161"/>
  <c r="AD161"/>
  <c r="AL161"/>
  <c r="BR161"/>
  <c r="BS161"/>
  <c r="BT161"/>
  <c r="BU161"/>
  <c r="BV161"/>
  <c r="BW161"/>
  <c r="BX161"/>
  <c r="BY161"/>
  <c r="BZ161"/>
  <c r="CC161"/>
  <c r="CD161"/>
  <c r="CG161"/>
  <c r="L162"/>
  <c r="M162"/>
  <c r="N162"/>
  <c r="R162"/>
  <c r="S162"/>
  <c r="T162"/>
  <c r="AB162"/>
  <c r="AC162"/>
  <c r="AD162"/>
  <c r="AL162"/>
  <c r="BR162"/>
  <c r="BS162"/>
  <c r="BT162"/>
  <c r="BU162"/>
  <c r="BV162"/>
  <c r="BW162"/>
  <c r="BX162"/>
  <c r="BY162"/>
  <c r="BZ162"/>
  <c r="CC162"/>
  <c r="CD162"/>
  <c r="CG162"/>
  <c r="CC163"/>
  <c r="CD163"/>
  <c r="CF163"/>
  <c r="CG163"/>
  <c r="CC164"/>
  <c r="CD164"/>
  <c r="CF164"/>
  <c r="CG164"/>
  <c r="CC165"/>
  <c r="CD165"/>
  <c r="CF165"/>
  <c r="CG165"/>
  <c r="CC166"/>
  <c r="CD166"/>
  <c r="CF166"/>
  <c r="CG166"/>
  <c r="CC167"/>
  <c r="CD167"/>
  <c r="CF167"/>
  <c r="CG167"/>
  <c r="CC168"/>
  <c r="CD168"/>
  <c r="CF168"/>
  <c r="CG168"/>
  <c r="B169"/>
  <c r="C169"/>
  <c r="L169"/>
  <c r="M169"/>
  <c r="N169"/>
  <c r="R169"/>
  <c r="S169"/>
  <c r="T169"/>
  <c r="AB169"/>
  <c r="AC169"/>
  <c r="AD169"/>
  <c r="AL169"/>
  <c r="BR169"/>
  <c r="BS169"/>
  <c r="BT169"/>
  <c r="BU169"/>
  <c r="BV169"/>
  <c r="BW169"/>
  <c r="BX169"/>
  <c r="BY169"/>
  <c r="BZ169"/>
  <c r="CC169"/>
  <c r="CD169"/>
  <c r="CF169"/>
  <c r="CG169"/>
  <c r="B170"/>
  <c r="C170"/>
  <c r="L170"/>
  <c r="M170"/>
  <c r="N170"/>
  <c r="R170"/>
  <c r="S170"/>
  <c r="T170"/>
  <c r="AB170"/>
  <c r="AC170"/>
  <c r="AD170"/>
  <c r="AL170"/>
  <c r="BR170"/>
  <c r="BS170"/>
  <c r="BT170"/>
  <c r="BU170"/>
  <c r="BV170"/>
  <c r="BW170"/>
  <c r="BX170"/>
  <c r="BY170"/>
  <c r="BZ170"/>
  <c r="CC170"/>
  <c r="CD170"/>
  <c r="CF170"/>
  <c r="CG170"/>
  <c r="B171"/>
  <c r="C171"/>
  <c r="L171"/>
  <c r="M171"/>
  <c r="N171"/>
  <c r="R171"/>
  <c r="S171"/>
  <c r="T171"/>
  <c r="AB171"/>
  <c r="AC171"/>
  <c r="AD171"/>
  <c r="AL171"/>
  <c r="BR171"/>
  <c r="BS171"/>
  <c r="BT171"/>
  <c r="BU171"/>
  <c r="BV171"/>
  <c r="BW171"/>
  <c r="BX171"/>
  <c r="BY171"/>
  <c r="BZ171"/>
  <c r="CC171"/>
  <c r="CD171"/>
  <c r="CF171"/>
  <c r="CG171"/>
  <c r="B172"/>
  <c r="C172"/>
  <c r="L172"/>
  <c r="M172"/>
  <c r="N172"/>
  <c r="R172"/>
  <c r="S172"/>
  <c r="T172"/>
  <c r="AB172"/>
  <c r="AC172"/>
  <c r="AD172"/>
  <c r="AL172"/>
  <c r="BR172"/>
  <c r="BS172"/>
  <c r="BT172"/>
  <c r="BU172"/>
  <c r="BV172"/>
  <c r="BW172"/>
  <c r="BX172"/>
  <c r="BY172"/>
  <c r="BZ172"/>
  <c r="CC172"/>
  <c r="CD172"/>
  <c r="CF172"/>
  <c r="CG172"/>
  <c r="B173"/>
  <c r="C173"/>
  <c r="L173"/>
  <c r="M173"/>
  <c r="N173"/>
  <c r="R173"/>
  <c r="S173"/>
  <c r="T173"/>
  <c r="AB173"/>
  <c r="AC173"/>
  <c r="AD173"/>
  <c r="AL173"/>
  <c r="BR173"/>
  <c r="BS173"/>
  <c r="BT173"/>
  <c r="BU173"/>
  <c r="BV173"/>
  <c r="BW173"/>
  <c r="BX173"/>
  <c r="BY173"/>
  <c r="BZ173"/>
  <c r="CC173"/>
  <c r="CD173"/>
  <c r="CF173"/>
  <c r="CG173"/>
  <c r="B174"/>
  <c r="C174"/>
  <c r="L174"/>
  <c r="M174"/>
  <c r="N174"/>
  <c r="R174"/>
  <c r="S174"/>
  <c r="T174"/>
  <c r="AB174"/>
  <c r="AC174"/>
  <c r="AD174"/>
  <c r="AL174"/>
  <c r="BR174"/>
  <c r="BS174"/>
  <c r="BT174"/>
  <c r="BU174"/>
  <c r="BV174"/>
  <c r="BW174"/>
  <c r="BX174"/>
  <c r="BY174"/>
  <c r="BZ174"/>
  <c r="CC174"/>
  <c r="CD174"/>
  <c r="CF174"/>
  <c r="CG174"/>
  <c r="CC175"/>
  <c r="CD175"/>
  <c r="CF175"/>
  <c r="CG175"/>
  <c r="CC176"/>
  <c r="CD176"/>
  <c r="CF176"/>
  <c r="CG176"/>
  <c r="CC177"/>
  <c r="CD177"/>
  <c r="CF177"/>
  <c r="CG177"/>
  <c r="CC178"/>
  <c r="CD178"/>
  <c r="CF178"/>
  <c r="CG178"/>
  <c r="CC179"/>
  <c r="CD179"/>
  <c r="CF179"/>
  <c r="CG179"/>
  <c r="J101" i="72" s="1"/>
  <c r="CC180" i="2"/>
  <c r="CD180"/>
  <c r="CF180"/>
  <c r="CG180"/>
  <c r="CC181"/>
  <c r="CD181"/>
  <c r="CF181"/>
  <c r="CG181"/>
  <c r="CC182"/>
  <c r="CD182"/>
  <c r="CF182"/>
  <c r="CG182"/>
  <c r="CC183"/>
  <c r="CD183"/>
  <c r="CF183"/>
  <c r="CG183"/>
  <c r="CC184"/>
  <c r="CD184"/>
  <c r="CF184"/>
  <c r="CG184"/>
  <c r="J98" i="72" s="1"/>
  <c r="CC185" i="2"/>
  <c r="CD185"/>
  <c r="CF185"/>
  <c r="CG185"/>
  <c r="CC186"/>
  <c r="CD186"/>
  <c r="CF186"/>
  <c r="CG186"/>
  <c r="CC187"/>
  <c r="CD187"/>
  <c r="CF187"/>
  <c r="CG187"/>
  <c r="CC188"/>
  <c r="CD188"/>
  <c r="CF188"/>
  <c r="CG188"/>
  <c r="CC189"/>
  <c r="CD189"/>
  <c r="CF189"/>
  <c r="CG189"/>
  <c r="CC190"/>
  <c r="CD190"/>
  <c r="CF190"/>
  <c r="CG190"/>
  <c r="CC191"/>
  <c r="CD191"/>
  <c r="CF191"/>
  <c r="CG191"/>
  <c r="CC192"/>
  <c r="CD192"/>
  <c r="CF192"/>
  <c r="CG192"/>
  <c r="CC193"/>
  <c r="CD193"/>
  <c r="CF193"/>
  <c r="CG193"/>
  <c r="CC194"/>
  <c r="CD194"/>
  <c r="CF194"/>
  <c r="CG194"/>
  <c r="CC195"/>
  <c r="CD195"/>
  <c r="CF195"/>
  <c r="CG195"/>
  <c r="CC196"/>
  <c r="CD196"/>
  <c r="CF196"/>
  <c r="CG196"/>
  <c r="CC197"/>
  <c r="CD197"/>
  <c r="CF197"/>
  <c r="CG197"/>
  <c r="CC198"/>
  <c r="CD198"/>
  <c r="CF198"/>
  <c r="CG198"/>
  <c r="CC199"/>
  <c r="CD199"/>
  <c r="CF199"/>
  <c r="CG199"/>
  <c r="CC200"/>
  <c r="CD200"/>
  <c r="CG200"/>
  <c r="CC201"/>
  <c r="CD201"/>
  <c r="CG201"/>
  <c r="CC202"/>
  <c r="CD202"/>
  <c r="CG202"/>
  <c r="CC203"/>
  <c r="CD203"/>
  <c r="CF203"/>
  <c r="CG203"/>
  <c r="B204"/>
  <c r="L204"/>
  <c r="M204"/>
  <c r="N204"/>
  <c r="R204"/>
  <c r="S204"/>
  <c r="T204"/>
  <c r="AB204"/>
  <c r="AC204"/>
  <c r="AD204"/>
  <c r="AL204"/>
  <c r="BR204"/>
  <c r="BS204"/>
  <c r="BT204"/>
  <c r="BU204"/>
  <c r="BV204"/>
  <c r="BW204"/>
  <c r="BX204"/>
  <c r="BY204"/>
  <c r="BZ204"/>
  <c r="CC204"/>
  <c r="CD204"/>
  <c r="CF204"/>
  <c r="CG204"/>
  <c r="B205"/>
  <c r="L205"/>
  <c r="M205"/>
  <c r="N205"/>
  <c r="R205"/>
  <c r="S205"/>
  <c r="T205"/>
  <c r="AB205"/>
  <c r="AC205"/>
  <c r="AD205"/>
  <c r="AL205"/>
  <c r="BR205"/>
  <c r="BS205"/>
  <c r="BT205"/>
  <c r="BU205"/>
  <c r="BV205"/>
  <c r="BW205"/>
  <c r="BX205"/>
  <c r="BY205"/>
  <c r="BZ205"/>
  <c r="CC205"/>
  <c r="CD205"/>
  <c r="CG205"/>
  <c r="CC206"/>
  <c r="CD206"/>
  <c r="CF206"/>
  <c r="CG206"/>
  <c r="L207"/>
  <c r="M207"/>
  <c r="N207"/>
  <c r="R207"/>
  <c r="S207"/>
  <c r="T207"/>
  <c r="AB207"/>
  <c r="AC207"/>
  <c r="AD207"/>
  <c r="AL207"/>
  <c r="BR207"/>
  <c r="BS207"/>
  <c r="BT207"/>
  <c r="BU207"/>
  <c r="BV207"/>
  <c r="BW207"/>
  <c r="BX207"/>
  <c r="BY207"/>
  <c r="BZ207"/>
  <c r="CC207"/>
  <c r="CD207"/>
  <c r="CG207"/>
  <c r="B208"/>
  <c r="L208"/>
  <c r="M208"/>
  <c r="N208"/>
  <c r="R208"/>
  <c r="S208"/>
  <c r="T208"/>
  <c r="AB208"/>
  <c r="AC208"/>
  <c r="AD208"/>
  <c r="AL208"/>
  <c r="BR208"/>
  <c r="BS208"/>
  <c r="BT208"/>
  <c r="BU208"/>
  <c r="BV208"/>
  <c r="BW208"/>
  <c r="BX208"/>
  <c r="BY208"/>
  <c r="BZ208"/>
  <c r="CC208"/>
  <c r="CD208"/>
  <c r="CG208"/>
  <c r="B209"/>
  <c r="L209"/>
  <c r="M209"/>
  <c r="N209"/>
  <c r="R209"/>
  <c r="S209"/>
  <c r="T209"/>
  <c r="AB209"/>
  <c r="AC209"/>
  <c r="AD209"/>
  <c r="AL209"/>
  <c r="BR209"/>
  <c r="BS209"/>
  <c r="BT209"/>
  <c r="BU209"/>
  <c r="BV209"/>
  <c r="BW209"/>
  <c r="BX209"/>
  <c r="BY209"/>
  <c r="BZ209"/>
  <c r="CC209"/>
  <c r="CD209"/>
  <c r="CG209"/>
  <c r="B210"/>
  <c r="L210"/>
  <c r="M210"/>
  <c r="N210"/>
  <c r="R210"/>
  <c r="S210"/>
  <c r="T210"/>
  <c r="AB210"/>
  <c r="AC210"/>
  <c r="AD210"/>
  <c r="AL210"/>
  <c r="BR210"/>
  <c r="BS210"/>
  <c r="BT210"/>
  <c r="BU210"/>
  <c r="BV210"/>
  <c r="BW210"/>
  <c r="BX210"/>
  <c r="BY210"/>
  <c r="BZ210"/>
  <c r="CC210"/>
  <c r="CD210"/>
  <c r="CG210"/>
  <c r="L211"/>
  <c r="M211"/>
  <c r="N211"/>
  <c r="R211"/>
  <c r="S211"/>
  <c r="T211"/>
  <c r="AB211"/>
  <c r="AC211"/>
  <c r="AD211"/>
  <c r="AL211"/>
  <c r="BR211"/>
  <c r="BS211"/>
  <c r="BT211"/>
  <c r="BU211"/>
  <c r="BV211"/>
  <c r="BW211"/>
  <c r="BX211"/>
  <c r="BY211"/>
  <c r="BZ211"/>
  <c r="CC211"/>
  <c r="CD211"/>
  <c r="CG211"/>
  <c r="L212"/>
  <c r="M212"/>
  <c r="N212"/>
  <c r="R212"/>
  <c r="S212"/>
  <c r="T212"/>
  <c r="AB212"/>
  <c r="AC212"/>
  <c r="AD212"/>
  <c r="AL212"/>
  <c r="BR212"/>
  <c r="BS212"/>
  <c r="BT212"/>
  <c r="BU212"/>
  <c r="BV212"/>
  <c r="BW212"/>
  <c r="BX212"/>
  <c r="BY212"/>
  <c r="BZ212"/>
  <c r="CC212"/>
  <c r="CD212"/>
  <c r="CG212"/>
  <c r="L213"/>
  <c r="M213"/>
  <c r="N213"/>
  <c r="R213"/>
  <c r="S213"/>
  <c r="T213"/>
  <c r="AB213"/>
  <c r="AC213"/>
  <c r="AD213"/>
  <c r="AL213"/>
  <c r="BR213"/>
  <c r="BS213"/>
  <c r="BT213"/>
  <c r="BU213"/>
  <c r="BV213"/>
  <c r="BW213"/>
  <c r="BX213"/>
  <c r="BY213"/>
  <c r="BZ213"/>
  <c r="CC213"/>
  <c r="CD213"/>
  <c r="CG213"/>
  <c r="L214"/>
  <c r="M214"/>
  <c r="N214"/>
  <c r="R214"/>
  <c r="S214"/>
  <c r="T214"/>
  <c r="AB214"/>
  <c r="AC214"/>
  <c r="AD214"/>
  <c r="AL214"/>
  <c r="BR214"/>
  <c r="BS214"/>
  <c r="BT214"/>
  <c r="BU214"/>
  <c r="BV214"/>
  <c r="BW214"/>
  <c r="BX214"/>
  <c r="BY214"/>
  <c r="BZ214"/>
  <c r="CC214"/>
  <c r="CD214"/>
  <c r="CG214"/>
  <c r="L215"/>
  <c r="M215"/>
  <c r="N215"/>
  <c r="R215"/>
  <c r="S215"/>
  <c r="T215"/>
  <c r="AB215"/>
  <c r="AC215"/>
  <c r="AD215"/>
  <c r="AL215"/>
  <c r="BR215"/>
  <c r="BS215"/>
  <c r="BT215"/>
  <c r="BU215"/>
  <c r="BV215"/>
  <c r="BW215"/>
  <c r="BX215"/>
  <c r="BY215"/>
  <c r="BZ215"/>
  <c r="CC215"/>
  <c r="CD215"/>
  <c r="CG215"/>
  <c r="L216"/>
  <c r="M216"/>
  <c r="N216"/>
  <c r="R216"/>
  <c r="S216"/>
  <c r="T216"/>
  <c r="AB216"/>
  <c r="AC216"/>
  <c r="AD216"/>
  <c r="AL216"/>
  <c r="BR216"/>
  <c r="BS216"/>
  <c r="BT216"/>
  <c r="BU216"/>
  <c r="BV216"/>
  <c r="BW216"/>
  <c r="BX216"/>
  <c r="BY216"/>
  <c r="BZ216"/>
  <c r="CC216"/>
  <c r="CD216"/>
  <c r="CG216"/>
  <c r="B217"/>
  <c r="L217"/>
  <c r="M217"/>
  <c r="N217"/>
  <c r="R217"/>
  <c r="S217"/>
  <c r="T217"/>
  <c r="AB217"/>
  <c r="AC217"/>
  <c r="AD217"/>
  <c r="AL217"/>
  <c r="BR217"/>
  <c r="BS217"/>
  <c r="BT217"/>
  <c r="BU217"/>
  <c r="BV217"/>
  <c r="BW217"/>
  <c r="BX217"/>
  <c r="BY217"/>
  <c r="BZ217"/>
  <c r="CC217"/>
  <c r="CD217"/>
  <c r="CG217"/>
  <c r="B218"/>
  <c r="C218"/>
  <c r="L218"/>
  <c r="M218"/>
  <c r="N218"/>
  <c r="R218"/>
  <c r="S218"/>
  <c r="T218"/>
  <c r="AB218"/>
  <c r="AC218"/>
  <c r="AD218"/>
  <c r="AL218"/>
  <c r="BR218"/>
  <c r="BS218"/>
  <c r="BT218"/>
  <c r="BU218"/>
  <c r="BV218"/>
  <c r="BW218"/>
  <c r="BX218"/>
  <c r="BY218"/>
  <c r="BZ218"/>
  <c r="CC218"/>
  <c r="CD218"/>
  <c r="CF218"/>
  <c r="CG218"/>
  <c r="B219"/>
  <c r="C219"/>
  <c r="L219"/>
  <c r="M219"/>
  <c r="N219"/>
  <c r="R219"/>
  <c r="S219"/>
  <c r="T219"/>
  <c r="AB219"/>
  <c r="AC219"/>
  <c r="AD219"/>
  <c r="AL219"/>
  <c r="BR219"/>
  <c r="BS219"/>
  <c r="BT219"/>
  <c r="BU219"/>
  <c r="BV219"/>
  <c r="BW219"/>
  <c r="BX219"/>
  <c r="BY219"/>
  <c r="BZ219"/>
  <c r="CC219"/>
  <c r="CD219"/>
  <c r="CF219"/>
  <c r="CG219"/>
  <c r="B220"/>
  <c r="C220"/>
  <c r="L220"/>
  <c r="M220"/>
  <c r="N220"/>
  <c r="R220"/>
  <c r="S220"/>
  <c r="T220"/>
  <c r="AB220"/>
  <c r="AC220"/>
  <c r="AD220"/>
  <c r="AL220"/>
  <c r="BR220"/>
  <c r="BS220"/>
  <c r="BT220"/>
  <c r="BU220"/>
  <c r="BV220"/>
  <c r="BW220"/>
  <c r="BX220"/>
  <c r="BY220"/>
  <c r="BZ220"/>
  <c r="CC220"/>
  <c r="CD220"/>
  <c r="CF220"/>
  <c r="CG220"/>
  <c r="B221"/>
  <c r="C221"/>
  <c r="L221"/>
  <c r="M221"/>
  <c r="N221"/>
  <c r="R221"/>
  <c r="S221"/>
  <c r="T221"/>
  <c r="AB221"/>
  <c r="AC221"/>
  <c r="AD221"/>
  <c r="AL221"/>
  <c r="BR221"/>
  <c r="BS221"/>
  <c r="BT221"/>
  <c r="BU221"/>
  <c r="BV221"/>
  <c r="BW221"/>
  <c r="BX221"/>
  <c r="BY221"/>
  <c r="BZ221"/>
  <c r="CC221"/>
  <c r="CD221"/>
  <c r="CF221"/>
  <c r="CG221"/>
  <c r="B222"/>
  <c r="C222"/>
  <c r="L222"/>
  <c r="M222"/>
  <c r="N222"/>
  <c r="R222"/>
  <c r="S222"/>
  <c r="T222"/>
  <c r="AB222"/>
  <c r="AC222"/>
  <c r="AD222"/>
  <c r="AL222"/>
  <c r="BR222"/>
  <c r="BS222"/>
  <c r="BT222"/>
  <c r="BU222"/>
  <c r="BV222"/>
  <c r="BW222"/>
  <c r="BX222"/>
  <c r="BY222"/>
  <c r="BZ222"/>
  <c r="CC222"/>
  <c r="CD222"/>
  <c r="CF222"/>
  <c r="CG222"/>
  <c r="B223"/>
  <c r="C223"/>
  <c r="L223"/>
  <c r="M223"/>
  <c r="N223"/>
  <c r="R223"/>
  <c r="S223"/>
  <c r="T223"/>
  <c r="AB223"/>
  <c r="AC223"/>
  <c r="AD223"/>
  <c r="AL223"/>
  <c r="BR223"/>
  <c r="BS223"/>
  <c r="BT223"/>
  <c r="BU223"/>
  <c r="BV223"/>
  <c r="BW223"/>
  <c r="BX223"/>
  <c r="BY223"/>
  <c r="BZ223"/>
  <c r="CC223"/>
  <c r="CD223"/>
  <c r="CF223"/>
  <c r="CG223"/>
  <c r="B224"/>
  <c r="C224"/>
  <c r="L224"/>
  <c r="M224"/>
  <c r="N224"/>
  <c r="R224"/>
  <c r="S224"/>
  <c r="T224"/>
  <c r="AB224"/>
  <c r="AC224"/>
  <c r="AD224"/>
  <c r="AL224"/>
  <c r="BR224"/>
  <c r="BS224"/>
  <c r="BT224"/>
  <c r="BU224"/>
  <c r="BV224"/>
  <c r="BW224"/>
  <c r="BX224"/>
  <c r="BY224"/>
  <c r="BZ224"/>
  <c r="CC224"/>
  <c r="CD224"/>
  <c r="CF224"/>
  <c r="CG224"/>
  <c r="B225"/>
  <c r="C225"/>
  <c r="L225"/>
  <c r="M225"/>
  <c r="N225"/>
  <c r="R225"/>
  <c r="S225"/>
  <c r="T225"/>
  <c r="AB225"/>
  <c r="AC225"/>
  <c r="AD225"/>
  <c r="AL225"/>
  <c r="BR225"/>
  <c r="BS225"/>
  <c r="BT225"/>
  <c r="BU225"/>
  <c r="BV225"/>
  <c r="BW225"/>
  <c r="BX225"/>
  <c r="BY225"/>
  <c r="BZ225"/>
  <c r="CC225"/>
  <c r="CD225"/>
  <c r="CF225"/>
  <c r="CG225"/>
  <c r="B226"/>
  <c r="C226"/>
  <c r="L226"/>
  <c r="M226"/>
  <c r="N226"/>
  <c r="R226"/>
  <c r="S226"/>
  <c r="T226"/>
  <c r="AB226"/>
  <c r="AC226"/>
  <c r="AD226"/>
  <c r="AL226"/>
  <c r="BR226"/>
  <c r="BS226"/>
  <c r="BT226"/>
  <c r="BU226"/>
  <c r="BV226"/>
  <c r="BW226"/>
  <c r="BX226"/>
  <c r="BY226"/>
  <c r="BZ226"/>
  <c r="CC226"/>
  <c r="CD226"/>
  <c r="CF226"/>
  <c r="CG226"/>
  <c r="B227"/>
  <c r="C227"/>
  <c r="L227"/>
  <c r="M227"/>
  <c r="N227"/>
  <c r="R227"/>
  <c r="S227"/>
  <c r="T227"/>
  <c r="AB227"/>
  <c r="AC227"/>
  <c r="AD227"/>
  <c r="AL227"/>
  <c r="BR227"/>
  <c r="BS227"/>
  <c r="BT227"/>
  <c r="BU227"/>
  <c r="BV227"/>
  <c r="BW227"/>
  <c r="BX227"/>
  <c r="BY227"/>
  <c r="BZ227"/>
  <c r="CC227"/>
  <c r="CD227"/>
  <c r="CF227"/>
  <c r="CG227"/>
  <c r="B228"/>
  <c r="C228"/>
  <c r="L228"/>
  <c r="M228"/>
  <c r="N228"/>
  <c r="R228"/>
  <c r="S228"/>
  <c r="T228"/>
  <c r="AB228"/>
  <c r="AC228"/>
  <c r="AD228"/>
  <c r="AL228"/>
  <c r="BR228"/>
  <c r="BS228"/>
  <c r="BT228"/>
  <c r="BU228"/>
  <c r="BV228"/>
  <c r="BW228"/>
  <c r="BX228"/>
  <c r="BY228"/>
  <c r="BZ228"/>
  <c r="CC228"/>
  <c r="CD228"/>
  <c r="CF228"/>
  <c r="CG228"/>
  <c r="B229"/>
  <c r="C229"/>
  <c r="L229"/>
  <c r="M229"/>
  <c r="N229"/>
  <c r="R229"/>
  <c r="S229"/>
  <c r="T229"/>
  <c r="AB229"/>
  <c r="AC229"/>
  <c r="AD229"/>
  <c r="AL229"/>
  <c r="BR229"/>
  <c r="BS229"/>
  <c r="BT229"/>
  <c r="BU229"/>
  <c r="BV229"/>
  <c r="BW229"/>
  <c r="BX229"/>
  <c r="BY229"/>
  <c r="BZ229"/>
  <c r="CC229"/>
  <c r="CD229"/>
  <c r="CF229"/>
  <c r="CG229"/>
  <c r="B230"/>
  <c r="C230"/>
  <c r="L230"/>
  <c r="M230"/>
  <c r="N230"/>
  <c r="R230"/>
  <c r="S230"/>
  <c r="T230"/>
  <c r="AB230"/>
  <c r="AC230"/>
  <c r="AD230"/>
  <c r="AL230"/>
  <c r="BR230"/>
  <c r="BS230"/>
  <c r="BT230"/>
  <c r="BU230"/>
  <c r="BV230"/>
  <c r="BW230"/>
  <c r="BX230"/>
  <c r="BY230"/>
  <c r="BZ230"/>
  <c r="CC230"/>
  <c r="CD230"/>
  <c r="CF230"/>
  <c r="CG230"/>
  <c r="B231"/>
  <c r="C231"/>
  <c r="L231"/>
  <c r="M231"/>
  <c r="N231"/>
  <c r="R231"/>
  <c r="S231"/>
  <c r="T231"/>
  <c r="AB231"/>
  <c r="AC231"/>
  <c r="AD231"/>
  <c r="AL231"/>
  <c r="BR231"/>
  <c r="BS231"/>
  <c r="BT231"/>
  <c r="BU231"/>
  <c r="BV231"/>
  <c r="BW231"/>
  <c r="BX231"/>
  <c r="BY231"/>
  <c r="BZ231"/>
  <c r="CC231"/>
  <c r="CD231"/>
  <c r="CF231"/>
  <c r="CG231"/>
  <c r="B232"/>
  <c r="C232"/>
  <c r="L232"/>
  <c r="M232"/>
  <c r="N232"/>
  <c r="R232"/>
  <c r="S232"/>
  <c r="T232"/>
  <c r="AB232"/>
  <c r="AC232"/>
  <c r="AD232"/>
  <c r="AL232"/>
  <c r="BR232"/>
  <c r="BS232"/>
  <c r="BT232"/>
  <c r="BU232"/>
  <c r="BV232"/>
  <c r="BW232"/>
  <c r="BX232"/>
  <c r="BY232"/>
  <c r="BZ232"/>
  <c r="CC232"/>
  <c r="CD232"/>
  <c r="CF232"/>
  <c r="CG232"/>
  <c r="B233"/>
  <c r="C233"/>
  <c r="L233"/>
  <c r="M233"/>
  <c r="N233"/>
  <c r="R233"/>
  <c r="S233"/>
  <c r="T233"/>
  <c r="AB233"/>
  <c r="AC233"/>
  <c r="AD233"/>
  <c r="AL233"/>
  <c r="BR233"/>
  <c r="BS233"/>
  <c r="BT233"/>
  <c r="BU233"/>
  <c r="BV233"/>
  <c r="BW233"/>
  <c r="BX233"/>
  <c r="BY233"/>
  <c r="BZ233"/>
  <c r="CC233"/>
  <c r="CD233"/>
  <c r="CF233"/>
  <c r="CG233"/>
  <c r="B234"/>
  <c r="C234"/>
  <c r="L234"/>
  <c r="M234"/>
  <c r="N234"/>
  <c r="R234"/>
  <c r="S234"/>
  <c r="T234"/>
  <c r="AB234"/>
  <c r="AC234"/>
  <c r="AD234"/>
  <c r="AL234"/>
  <c r="BR234"/>
  <c r="BS234"/>
  <c r="BT234"/>
  <c r="BU234"/>
  <c r="BV234"/>
  <c r="BW234"/>
  <c r="BX234"/>
  <c r="BY234"/>
  <c r="BZ234"/>
  <c r="CC234"/>
  <c r="CD234"/>
  <c r="CF234"/>
  <c r="CG234"/>
  <c r="B235"/>
  <c r="C235"/>
  <c r="L235"/>
  <c r="M235"/>
  <c r="N235"/>
  <c r="R235"/>
  <c r="S235"/>
  <c r="T235"/>
  <c r="AB235"/>
  <c r="AC235"/>
  <c r="AD235"/>
  <c r="AL235"/>
  <c r="BR235"/>
  <c r="BS235"/>
  <c r="BT235"/>
  <c r="BU235"/>
  <c r="BV235"/>
  <c r="BW235"/>
  <c r="BX235"/>
  <c r="BY235"/>
  <c r="BZ235"/>
  <c r="CC235"/>
  <c r="CD235"/>
  <c r="CF235"/>
  <c r="CG235"/>
  <c r="B236"/>
  <c r="C236"/>
  <c r="L236"/>
  <c r="M236"/>
  <c r="N236"/>
  <c r="R236"/>
  <c r="S236"/>
  <c r="T236"/>
  <c r="AB236"/>
  <c r="AC236"/>
  <c r="AD236"/>
  <c r="AL236"/>
  <c r="BR236"/>
  <c r="BS236"/>
  <c r="BT236"/>
  <c r="BU236"/>
  <c r="BV236"/>
  <c r="BW236"/>
  <c r="BX236"/>
  <c r="BY236"/>
  <c r="BZ236"/>
  <c r="CC236"/>
  <c r="CD236"/>
  <c r="CF236"/>
  <c r="CG236"/>
  <c r="B237"/>
  <c r="C237"/>
  <c r="L237"/>
  <c r="M237"/>
  <c r="N237"/>
  <c r="R237"/>
  <c r="S237"/>
  <c r="T237"/>
  <c r="AB237"/>
  <c r="AC237"/>
  <c r="AD237"/>
  <c r="AL237"/>
  <c r="BR237"/>
  <c r="BS237"/>
  <c r="BT237"/>
  <c r="BU237"/>
  <c r="BV237"/>
  <c r="BW237"/>
  <c r="BX237"/>
  <c r="BY237"/>
  <c r="BZ237"/>
  <c r="CC237"/>
  <c r="CD237"/>
  <c r="CF237"/>
  <c r="CG237"/>
  <c r="B238"/>
  <c r="C238"/>
  <c r="L238"/>
  <c r="M238"/>
  <c r="N238"/>
  <c r="R238"/>
  <c r="S238"/>
  <c r="T238"/>
  <c r="AB238"/>
  <c r="AC238"/>
  <c r="AD238"/>
  <c r="AL238"/>
  <c r="BR238"/>
  <c r="BS238"/>
  <c r="BT238"/>
  <c r="BU238"/>
  <c r="BV238"/>
  <c r="BW238"/>
  <c r="BX238"/>
  <c r="BY238"/>
  <c r="BZ238"/>
  <c r="CC238"/>
  <c r="CD238"/>
  <c r="CF238"/>
  <c r="CG238"/>
  <c r="B239"/>
  <c r="C239"/>
  <c r="L239"/>
  <c r="M239"/>
  <c r="N239"/>
  <c r="R239"/>
  <c r="S239"/>
  <c r="T239"/>
  <c r="AB239"/>
  <c r="AC239"/>
  <c r="AD239"/>
  <c r="AL239"/>
  <c r="BR239"/>
  <c r="BS239"/>
  <c r="BT239"/>
  <c r="BU239"/>
  <c r="BV239"/>
  <c r="BW239"/>
  <c r="BX239"/>
  <c r="BY239"/>
  <c r="BZ239"/>
  <c r="CC239"/>
  <c r="CD239"/>
  <c r="CF239"/>
  <c r="CG239"/>
  <c r="B240"/>
  <c r="C240"/>
  <c r="L240"/>
  <c r="M240"/>
  <c r="N240"/>
  <c r="R240"/>
  <c r="S240"/>
  <c r="T240"/>
  <c r="AB240"/>
  <c r="AC240"/>
  <c r="AD240"/>
  <c r="AL240"/>
  <c r="BR240"/>
  <c r="BS240"/>
  <c r="BT240"/>
  <c r="BU240"/>
  <c r="BV240"/>
  <c r="BW240"/>
  <c r="BX240"/>
  <c r="BY240"/>
  <c r="BZ240"/>
  <c r="CC240"/>
  <c r="CD240"/>
  <c r="CF240"/>
  <c r="CG240"/>
  <c r="B241"/>
  <c r="C241"/>
  <c r="L241"/>
  <c r="M241"/>
  <c r="N241"/>
  <c r="R241"/>
  <c r="S241"/>
  <c r="T241"/>
  <c r="AB241"/>
  <c r="AC241"/>
  <c r="AD241"/>
  <c r="AL241"/>
  <c r="BR241"/>
  <c r="BS241"/>
  <c r="BT241"/>
  <c r="BU241"/>
  <c r="BV241"/>
  <c r="BW241"/>
  <c r="BX241"/>
  <c r="BY241"/>
  <c r="BZ241"/>
  <c r="CC241"/>
  <c r="CD241"/>
  <c r="CF241"/>
  <c r="CG241"/>
  <c r="B242"/>
  <c r="C242"/>
  <c r="L242"/>
  <c r="M242"/>
  <c r="N242"/>
  <c r="R242"/>
  <c r="S242"/>
  <c r="T242"/>
  <c r="AB242"/>
  <c r="AC242"/>
  <c r="AD242"/>
  <c r="AL242"/>
  <c r="BR242"/>
  <c r="BS242"/>
  <c r="BT242"/>
  <c r="BU242"/>
  <c r="BV242"/>
  <c r="BW242"/>
  <c r="BX242"/>
  <c r="BY242"/>
  <c r="BZ242"/>
  <c r="CC242"/>
  <c r="CD242"/>
  <c r="CF242"/>
  <c r="CG242"/>
  <c r="B243"/>
  <c r="C243"/>
  <c r="L243"/>
  <c r="M243"/>
  <c r="N243"/>
  <c r="R243"/>
  <c r="S243"/>
  <c r="T243"/>
  <c r="AB243"/>
  <c r="AC243"/>
  <c r="AD243"/>
  <c r="AL243"/>
  <c r="BR243"/>
  <c r="BS243"/>
  <c r="BT243"/>
  <c r="BU243"/>
  <c r="BV243"/>
  <c r="BW243"/>
  <c r="BX243"/>
  <c r="BY243"/>
  <c r="BZ243"/>
  <c r="CC243"/>
  <c r="CD243"/>
  <c r="CF243"/>
  <c r="CG243"/>
  <c r="B244"/>
  <c r="C244"/>
  <c r="L244"/>
  <c r="M244"/>
  <c r="N244"/>
  <c r="R244"/>
  <c r="S244"/>
  <c r="T244"/>
  <c r="AB244"/>
  <c r="AC244"/>
  <c r="AD244"/>
  <c r="AL244"/>
  <c r="BR244"/>
  <c r="BS244"/>
  <c r="BT244"/>
  <c r="BU244"/>
  <c r="BV244"/>
  <c r="BW244"/>
  <c r="BX244"/>
  <c r="BY244"/>
  <c r="BZ244"/>
  <c r="CC244"/>
  <c r="CD244"/>
  <c r="CF244"/>
  <c r="CG244"/>
  <c r="B245"/>
  <c r="C245"/>
  <c r="L245"/>
  <c r="M245"/>
  <c r="N245"/>
  <c r="R245"/>
  <c r="S245"/>
  <c r="T245"/>
  <c r="AB245"/>
  <c r="AC245"/>
  <c r="AD245"/>
  <c r="AL245"/>
  <c r="BR245"/>
  <c r="BS245"/>
  <c r="BT245"/>
  <c r="BU245"/>
  <c r="BV245"/>
  <c r="BW245"/>
  <c r="BX245"/>
  <c r="BY245"/>
  <c r="BZ245"/>
  <c r="CC245"/>
  <c r="CD245"/>
  <c r="CF245"/>
  <c r="CG245"/>
  <c r="B246"/>
  <c r="C246"/>
  <c r="L246"/>
  <c r="M246"/>
  <c r="N246"/>
  <c r="R246"/>
  <c r="S246"/>
  <c r="T246"/>
  <c r="AB246"/>
  <c r="AC246"/>
  <c r="AD246"/>
  <c r="AL246"/>
  <c r="BR246"/>
  <c r="BS246"/>
  <c r="BT246"/>
  <c r="BU246"/>
  <c r="BV246"/>
  <c r="BW246"/>
  <c r="BX246"/>
  <c r="BY246"/>
  <c r="BZ246"/>
  <c r="CC246"/>
  <c r="CD246"/>
  <c r="CF246"/>
  <c r="CG246"/>
  <c r="B247"/>
  <c r="C247"/>
  <c r="L247"/>
  <c r="M247"/>
  <c r="N247"/>
  <c r="R247"/>
  <c r="S247"/>
  <c r="T247"/>
  <c r="AB247"/>
  <c r="AC247"/>
  <c r="AD247"/>
  <c r="AL247"/>
  <c r="BR247"/>
  <c r="BS247"/>
  <c r="BT247"/>
  <c r="BU247"/>
  <c r="BV247"/>
  <c r="BW247"/>
  <c r="BX247"/>
  <c r="BY247"/>
  <c r="BZ247"/>
  <c r="CC247"/>
  <c r="CD247"/>
  <c r="CF247"/>
  <c r="CG247"/>
  <c r="B248"/>
  <c r="C248"/>
  <c r="L248"/>
  <c r="M248"/>
  <c r="N248"/>
  <c r="R248"/>
  <c r="S248"/>
  <c r="T248"/>
  <c r="AB248"/>
  <c r="AC248"/>
  <c r="AD248"/>
  <c r="AL248"/>
  <c r="BR248"/>
  <c r="BS248"/>
  <c r="BT248"/>
  <c r="BU248"/>
  <c r="BV248"/>
  <c r="BW248"/>
  <c r="BX248"/>
  <c r="BY248"/>
  <c r="BZ248"/>
  <c r="CC248"/>
  <c r="CD248"/>
  <c r="CF248"/>
  <c r="CG248"/>
  <c r="B249"/>
  <c r="C249"/>
  <c r="L249"/>
  <c r="M249"/>
  <c r="N249"/>
  <c r="R249"/>
  <c r="S249"/>
  <c r="T249"/>
  <c r="AB249"/>
  <c r="AC249"/>
  <c r="AD249"/>
  <c r="AL249"/>
  <c r="BR249"/>
  <c r="BS249"/>
  <c r="BT249"/>
  <c r="BU249"/>
  <c r="BV249"/>
  <c r="BW249"/>
  <c r="BX249"/>
  <c r="BY249"/>
  <c r="BZ249"/>
  <c r="CC249"/>
  <c r="CD249"/>
  <c r="CF249"/>
  <c r="CG249"/>
  <c r="B250"/>
  <c r="C250"/>
  <c r="L250"/>
  <c r="M250"/>
  <c r="N250"/>
  <c r="R250"/>
  <c r="S250"/>
  <c r="T250"/>
  <c r="AB250"/>
  <c r="AC250"/>
  <c r="AD250"/>
  <c r="AL250"/>
  <c r="BR250"/>
  <c r="BS250"/>
  <c r="BT250"/>
  <c r="BU250"/>
  <c r="BV250"/>
  <c r="BW250"/>
  <c r="BX250"/>
  <c r="BY250"/>
  <c r="BZ250"/>
  <c r="CC250"/>
  <c r="CD250"/>
  <c r="CF250"/>
  <c r="CG250"/>
  <c r="B251"/>
  <c r="C251"/>
  <c r="L251"/>
  <c r="M251"/>
  <c r="N251"/>
  <c r="R251"/>
  <c r="S251"/>
  <c r="T251"/>
  <c r="AB251"/>
  <c r="AC251"/>
  <c r="AD251"/>
  <c r="AL251"/>
  <c r="BR251"/>
  <c r="BS251"/>
  <c r="BT251"/>
  <c r="BU251"/>
  <c r="BV251"/>
  <c r="BW251"/>
  <c r="BX251"/>
  <c r="BY251"/>
  <c r="BZ251"/>
  <c r="CC251"/>
  <c r="CD251"/>
  <c r="CF251"/>
  <c r="CG251"/>
  <c r="B252"/>
  <c r="C252"/>
  <c r="L252"/>
  <c r="M252"/>
  <c r="N252"/>
  <c r="R252"/>
  <c r="S252"/>
  <c r="T252"/>
  <c r="AB252"/>
  <c r="AC252"/>
  <c r="AD252"/>
  <c r="AL252"/>
  <c r="BR252"/>
  <c r="BS252"/>
  <c r="BT252"/>
  <c r="BU252"/>
  <c r="BV252"/>
  <c r="BW252"/>
  <c r="BX252"/>
  <c r="BY252"/>
  <c r="BZ252"/>
  <c r="CC252"/>
  <c r="CD252"/>
  <c r="CF252"/>
  <c r="CG252"/>
  <c r="B253"/>
  <c r="C253"/>
  <c r="L253"/>
  <c r="M253"/>
  <c r="N253"/>
  <c r="R253"/>
  <c r="S253"/>
  <c r="T253"/>
  <c r="AB253"/>
  <c r="AC253"/>
  <c r="AD253"/>
  <c r="AL253"/>
  <c r="BR253"/>
  <c r="BS253"/>
  <c r="BT253"/>
  <c r="BU253"/>
  <c r="BV253"/>
  <c r="BW253"/>
  <c r="BX253"/>
  <c r="BY253"/>
  <c r="BZ253"/>
  <c r="CC253"/>
  <c r="CD253"/>
  <c r="CF253"/>
  <c r="CG253"/>
  <c r="B254"/>
  <c r="C254"/>
  <c r="L254"/>
  <c r="M254"/>
  <c r="N254"/>
  <c r="R254"/>
  <c r="S254"/>
  <c r="T254"/>
  <c r="AB254"/>
  <c r="AC254"/>
  <c r="AD254"/>
  <c r="AL254"/>
  <c r="BR254"/>
  <c r="BS254"/>
  <c r="BT254"/>
  <c r="BU254"/>
  <c r="BV254"/>
  <c r="BW254"/>
  <c r="BX254"/>
  <c r="BY254"/>
  <c r="BZ254"/>
  <c r="CC254"/>
  <c r="CD254"/>
  <c r="CF254"/>
  <c r="CG254"/>
  <c r="B255"/>
  <c r="C255"/>
  <c r="L255"/>
  <c r="M255"/>
  <c r="N255"/>
  <c r="R255"/>
  <c r="S255"/>
  <c r="T255"/>
  <c r="AB255"/>
  <c r="AC255"/>
  <c r="AD255"/>
  <c r="AL255"/>
  <c r="BR255"/>
  <c r="BS255"/>
  <c r="BT255"/>
  <c r="BU255"/>
  <c r="BV255"/>
  <c r="BW255"/>
  <c r="BX255"/>
  <c r="BY255"/>
  <c r="BZ255"/>
  <c r="CC255"/>
  <c r="CD255"/>
  <c r="CF255"/>
  <c r="CG255"/>
  <c r="B256"/>
  <c r="C256"/>
  <c r="L256"/>
  <c r="M256"/>
  <c r="N256"/>
  <c r="R256"/>
  <c r="S256"/>
  <c r="T256"/>
  <c r="AB256"/>
  <c r="AC256"/>
  <c r="AD256"/>
  <c r="AL256"/>
  <c r="BR256"/>
  <c r="BS256"/>
  <c r="BT256"/>
  <c r="BU256"/>
  <c r="BV256"/>
  <c r="BW256"/>
  <c r="BX256"/>
  <c r="BY256"/>
  <c r="BZ256"/>
  <c r="CC256"/>
  <c r="CD256"/>
  <c r="CF256"/>
  <c r="CG256"/>
  <c r="B257"/>
  <c r="C257"/>
  <c r="L257"/>
  <c r="M257"/>
  <c r="N257"/>
  <c r="R257"/>
  <c r="S257"/>
  <c r="T257"/>
  <c r="AB257"/>
  <c r="AC257"/>
  <c r="AD257"/>
  <c r="AL257"/>
  <c r="BR257"/>
  <c r="BS257"/>
  <c r="BT257"/>
  <c r="BU257"/>
  <c r="BV257"/>
  <c r="BW257"/>
  <c r="BX257"/>
  <c r="BY257"/>
  <c r="BZ257"/>
  <c r="CC257"/>
  <c r="CD257"/>
  <c r="CF257"/>
  <c r="CG257"/>
  <c r="B258"/>
  <c r="C258"/>
  <c r="L258"/>
  <c r="M258"/>
  <c r="N258"/>
  <c r="R258"/>
  <c r="S258"/>
  <c r="T258"/>
  <c r="AB258"/>
  <c r="AC258"/>
  <c r="AD258"/>
  <c r="AL258"/>
  <c r="BR258"/>
  <c r="BS258"/>
  <c r="BT258"/>
  <c r="BU258"/>
  <c r="BV258"/>
  <c r="BW258"/>
  <c r="BX258"/>
  <c r="BY258"/>
  <c r="BZ258"/>
  <c r="CC258"/>
  <c r="CD258"/>
  <c r="CF258"/>
  <c r="CG258"/>
  <c r="B259"/>
  <c r="C259"/>
  <c r="L259"/>
  <c r="M259"/>
  <c r="N259"/>
  <c r="R259"/>
  <c r="S259"/>
  <c r="T259"/>
  <c r="AB259"/>
  <c r="AC259"/>
  <c r="AD259"/>
  <c r="AL259"/>
  <c r="BR259"/>
  <c r="BS259"/>
  <c r="BT259"/>
  <c r="BU259"/>
  <c r="BV259"/>
  <c r="BW259"/>
  <c r="BX259"/>
  <c r="BY259"/>
  <c r="BZ259"/>
  <c r="CC259"/>
  <c r="CD259"/>
  <c r="CF259"/>
  <c r="CG259"/>
  <c r="B260"/>
  <c r="C260"/>
  <c r="L260"/>
  <c r="M260"/>
  <c r="N260"/>
  <c r="R260"/>
  <c r="S260"/>
  <c r="T260"/>
  <c r="AB260"/>
  <c r="AC260"/>
  <c r="AD260"/>
  <c r="AL260"/>
  <c r="BR260"/>
  <c r="BS260"/>
  <c r="BT260"/>
  <c r="BU260"/>
  <c r="BV260"/>
  <c r="BW260"/>
  <c r="BX260"/>
  <c r="BY260"/>
  <c r="BZ260"/>
  <c r="CC260"/>
  <c r="CD260"/>
  <c r="CF260"/>
  <c r="CG260"/>
  <c r="B261"/>
  <c r="C261"/>
  <c r="L261"/>
  <c r="M261"/>
  <c r="N261"/>
  <c r="R261"/>
  <c r="S261"/>
  <c r="T261"/>
  <c r="AB261"/>
  <c r="AC261"/>
  <c r="AD261"/>
  <c r="AL261"/>
  <c r="BR261"/>
  <c r="BS261"/>
  <c r="BT261"/>
  <c r="BU261"/>
  <c r="BV261"/>
  <c r="BW261"/>
  <c r="BX261"/>
  <c r="BY261"/>
  <c r="BZ261"/>
  <c r="CC261"/>
  <c r="CD261"/>
  <c r="CF261"/>
  <c r="CG261"/>
  <c r="B262"/>
  <c r="C262"/>
  <c r="L262"/>
  <c r="M262"/>
  <c r="N262"/>
  <c r="R262"/>
  <c r="S262"/>
  <c r="T262"/>
  <c r="AB262"/>
  <c r="AC262"/>
  <c r="AD262"/>
  <c r="AL262"/>
  <c r="BR262"/>
  <c r="BS262"/>
  <c r="BT262"/>
  <c r="BU262"/>
  <c r="BV262"/>
  <c r="BW262"/>
  <c r="BX262"/>
  <c r="BY262"/>
  <c r="BZ262"/>
  <c r="CC262"/>
  <c r="CD262"/>
  <c r="CF262"/>
  <c r="CG262"/>
  <c r="B263"/>
  <c r="C263"/>
  <c r="L263"/>
  <c r="M263"/>
  <c r="N263"/>
  <c r="R263"/>
  <c r="S263"/>
  <c r="T263"/>
  <c r="AB263"/>
  <c r="AC263"/>
  <c r="AD263"/>
  <c r="AL263"/>
  <c r="BR263"/>
  <c r="BS263"/>
  <c r="BT263"/>
  <c r="BU263"/>
  <c r="BV263"/>
  <c r="BW263"/>
  <c r="BX263"/>
  <c r="BY263"/>
  <c r="BZ263"/>
  <c r="CC263"/>
  <c r="CD263"/>
  <c r="CF263"/>
  <c r="CG263"/>
  <c r="B264"/>
  <c r="C264"/>
  <c r="L264"/>
  <c r="M264"/>
  <c r="N264"/>
  <c r="R264"/>
  <c r="S264"/>
  <c r="T264"/>
  <c r="AB264"/>
  <c r="AC264"/>
  <c r="AD264"/>
  <c r="AL264"/>
  <c r="BR264"/>
  <c r="BS264"/>
  <c r="BT264"/>
  <c r="BU264"/>
  <c r="BV264"/>
  <c r="BW264"/>
  <c r="BX264"/>
  <c r="BY264"/>
  <c r="BZ264"/>
  <c r="CC264"/>
  <c r="CD264"/>
  <c r="CF264"/>
  <c r="CG264"/>
  <c r="B265"/>
  <c r="C265"/>
  <c r="L265"/>
  <c r="M265"/>
  <c r="N265"/>
  <c r="R265"/>
  <c r="S265"/>
  <c r="T265"/>
  <c r="AB265"/>
  <c r="AC265"/>
  <c r="AD265"/>
  <c r="AL265"/>
  <c r="BR265"/>
  <c r="BS265"/>
  <c r="BT265"/>
  <c r="BU265"/>
  <c r="BV265"/>
  <c r="BW265"/>
  <c r="BX265"/>
  <c r="BY265"/>
  <c r="BZ265"/>
  <c r="CC265"/>
  <c r="CD265"/>
  <c r="CF265"/>
  <c r="CG265"/>
  <c r="B266"/>
  <c r="C266"/>
  <c r="L266"/>
  <c r="M266"/>
  <c r="N266"/>
  <c r="R266"/>
  <c r="S266"/>
  <c r="T266"/>
  <c r="AB266"/>
  <c r="AC266"/>
  <c r="AD266"/>
  <c r="AL266"/>
  <c r="BR266"/>
  <c r="BS266"/>
  <c r="BT266"/>
  <c r="BU266"/>
  <c r="BV266"/>
  <c r="BW266"/>
  <c r="BX266"/>
  <c r="BY266"/>
  <c r="BZ266"/>
  <c r="CC266"/>
  <c r="CD266"/>
  <c r="CF266"/>
  <c r="CG266"/>
  <c r="B267"/>
  <c r="C267"/>
  <c r="L267"/>
  <c r="M267"/>
  <c r="N267"/>
  <c r="R267"/>
  <c r="S267"/>
  <c r="T267"/>
  <c r="AB267"/>
  <c r="AC267"/>
  <c r="AD267"/>
  <c r="AL267"/>
  <c r="BR267"/>
  <c r="BS267"/>
  <c r="BT267"/>
  <c r="BU267"/>
  <c r="BV267"/>
  <c r="BW267"/>
  <c r="BX267"/>
  <c r="BY267"/>
  <c r="BZ267"/>
  <c r="CC267"/>
  <c r="CD267"/>
  <c r="CF267"/>
  <c r="CG267"/>
  <c r="B268"/>
  <c r="C268"/>
  <c r="L268"/>
  <c r="M268"/>
  <c r="N268"/>
  <c r="R268"/>
  <c r="S268"/>
  <c r="T268"/>
  <c r="AB268"/>
  <c r="AC268"/>
  <c r="AD268"/>
  <c r="AL268"/>
  <c r="BR268"/>
  <c r="BS268"/>
  <c r="BT268"/>
  <c r="BU268"/>
  <c r="BV268"/>
  <c r="BW268"/>
  <c r="BX268"/>
  <c r="BY268"/>
  <c r="BZ268"/>
  <c r="CC268"/>
  <c r="CD268"/>
  <c r="CF268"/>
  <c r="CG268"/>
  <c r="B269"/>
  <c r="C269"/>
  <c r="L269"/>
  <c r="M269"/>
  <c r="N269"/>
  <c r="R269"/>
  <c r="S269"/>
  <c r="T269"/>
  <c r="AB269"/>
  <c r="AC269"/>
  <c r="AD269"/>
  <c r="AL269"/>
  <c r="BR269"/>
  <c r="BS269"/>
  <c r="BT269"/>
  <c r="BU269"/>
  <c r="BV269"/>
  <c r="BW269"/>
  <c r="BX269"/>
  <c r="BY269"/>
  <c r="BZ269"/>
  <c r="CC269"/>
  <c r="CD269"/>
  <c r="CF269"/>
  <c r="CG269"/>
  <c r="B270"/>
  <c r="C270"/>
  <c r="L270"/>
  <c r="M270"/>
  <c r="N270"/>
  <c r="R270"/>
  <c r="S270"/>
  <c r="T270"/>
  <c r="AB270"/>
  <c r="AC270"/>
  <c r="AD270"/>
  <c r="AL270"/>
  <c r="BR270"/>
  <c r="BS270"/>
  <c r="BT270"/>
  <c r="BU270"/>
  <c r="BV270"/>
  <c r="BW270"/>
  <c r="BX270"/>
  <c r="BY270"/>
  <c r="BZ270"/>
  <c r="CC270"/>
  <c r="CD270"/>
  <c r="CF270"/>
  <c r="CG270"/>
  <c r="B271"/>
  <c r="C271"/>
  <c r="L271"/>
  <c r="M271"/>
  <c r="N271"/>
  <c r="R271"/>
  <c r="S271"/>
  <c r="T271"/>
  <c r="AB271"/>
  <c r="AC271"/>
  <c r="AD271"/>
  <c r="AL271"/>
  <c r="BR271"/>
  <c r="BS271"/>
  <c r="BT271"/>
  <c r="BU271"/>
  <c r="BV271"/>
  <c r="BW271"/>
  <c r="BX271"/>
  <c r="BY271"/>
  <c r="BZ271"/>
  <c r="CC271"/>
  <c r="CD271"/>
  <c r="CF271"/>
  <c r="CG271"/>
  <c r="B272"/>
  <c r="C272"/>
  <c r="L272"/>
  <c r="M272"/>
  <c r="N272"/>
  <c r="R272"/>
  <c r="S272"/>
  <c r="T272"/>
  <c r="AB272"/>
  <c r="AC272"/>
  <c r="AD272"/>
  <c r="AL272"/>
  <c r="BR272"/>
  <c r="BS272"/>
  <c r="BT272"/>
  <c r="BU272"/>
  <c r="BV272"/>
  <c r="BW272"/>
  <c r="BX272"/>
  <c r="BY272"/>
  <c r="BZ272"/>
  <c r="CC272"/>
  <c r="CD272"/>
  <c r="CF272"/>
  <c r="CG272"/>
  <c r="B273"/>
  <c r="C273"/>
  <c r="L273"/>
  <c r="M273"/>
  <c r="N273"/>
  <c r="R273"/>
  <c r="S273"/>
  <c r="T273"/>
  <c r="AB273"/>
  <c r="AC273"/>
  <c r="AD273"/>
  <c r="AL273"/>
  <c r="BR273"/>
  <c r="BS273"/>
  <c r="BT273"/>
  <c r="BU273"/>
  <c r="BV273"/>
  <c r="BW273"/>
  <c r="BX273"/>
  <c r="BY273"/>
  <c r="BZ273"/>
  <c r="CC273"/>
  <c r="CD273"/>
  <c r="CF273"/>
  <c r="CG273"/>
  <c r="B274"/>
  <c r="C274"/>
  <c r="L274"/>
  <c r="M274"/>
  <c r="N274"/>
  <c r="R274"/>
  <c r="S274"/>
  <c r="T274"/>
  <c r="AB274"/>
  <c r="AC274"/>
  <c r="AD274"/>
  <c r="AL274"/>
  <c r="BR274"/>
  <c r="BS274"/>
  <c r="BT274"/>
  <c r="BU274"/>
  <c r="BV274"/>
  <c r="BW274"/>
  <c r="BX274"/>
  <c r="BY274"/>
  <c r="BZ274"/>
  <c r="CC274"/>
  <c r="CD274"/>
  <c r="CF274"/>
  <c r="CG274"/>
  <c r="B275"/>
  <c r="C275"/>
  <c r="L275"/>
  <c r="M275"/>
  <c r="N275"/>
  <c r="R275"/>
  <c r="S275"/>
  <c r="T275"/>
  <c r="AB275"/>
  <c r="AC275"/>
  <c r="AD275"/>
  <c r="AL275"/>
  <c r="BR275"/>
  <c r="BS275"/>
  <c r="BT275"/>
  <c r="BU275"/>
  <c r="BV275"/>
  <c r="BW275"/>
  <c r="BX275"/>
  <c r="BY275"/>
  <c r="BZ275"/>
  <c r="CC275"/>
  <c r="CD275"/>
  <c r="CF275"/>
  <c r="CG275"/>
  <c r="B276"/>
  <c r="C276"/>
  <c r="L276"/>
  <c r="M276"/>
  <c r="N276"/>
  <c r="R276"/>
  <c r="S276"/>
  <c r="T276"/>
  <c r="AB276"/>
  <c r="AC276"/>
  <c r="AD276"/>
  <c r="AL276"/>
  <c r="BR276"/>
  <c r="BS276"/>
  <c r="BT276"/>
  <c r="BU276"/>
  <c r="BV276"/>
  <c r="BW276"/>
  <c r="BX276"/>
  <c r="BY276"/>
  <c r="BZ276"/>
  <c r="CC276"/>
  <c r="CD276"/>
  <c r="CF276"/>
  <c r="CG276"/>
  <c r="B277"/>
  <c r="C277"/>
  <c r="L277"/>
  <c r="M277"/>
  <c r="N277"/>
  <c r="R277"/>
  <c r="S277"/>
  <c r="T277"/>
  <c r="AB277"/>
  <c r="AC277"/>
  <c r="AD277"/>
  <c r="AL277"/>
  <c r="BR277"/>
  <c r="BS277"/>
  <c r="BT277"/>
  <c r="BU277"/>
  <c r="BV277"/>
  <c r="BW277"/>
  <c r="BX277"/>
  <c r="BY277"/>
  <c r="BZ277"/>
  <c r="CC277"/>
  <c r="CD277"/>
  <c r="CF277"/>
  <c r="CG277"/>
  <c r="B278"/>
  <c r="C278"/>
  <c r="L278"/>
  <c r="M278"/>
  <c r="N278"/>
  <c r="R278"/>
  <c r="S278"/>
  <c r="T278"/>
  <c r="AB278"/>
  <c r="AC278"/>
  <c r="AD278"/>
  <c r="AL278"/>
  <c r="BR278"/>
  <c r="BS278"/>
  <c r="BT278"/>
  <c r="BU278"/>
  <c r="BV278"/>
  <c r="BW278"/>
  <c r="BX278"/>
  <c r="BY278"/>
  <c r="BZ278"/>
  <c r="CC278"/>
  <c r="CD278"/>
  <c r="CF278"/>
  <c r="CG278"/>
  <c r="B279"/>
  <c r="C279"/>
  <c r="L279"/>
  <c r="M279"/>
  <c r="N279"/>
  <c r="R279"/>
  <c r="S279"/>
  <c r="T279"/>
  <c r="AB279"/>
  <c r="AC279"/>
  <c r="AD279"/>
  <c r="AL279"/>
  <c r="BR279"/>
  <c r="BS279"/>
  <c r="BT279"/>
  <c r="BU279"/>
  <c r="BV279"/>
  <c r="BW279"/>
  <c r="BX279"/>
  <c r="BY279"/>
  <c r="BZ279"/>
  <c r="CC279"/>
  <c r="CD279"/>
  <c r="CF279"/>
  <c r="CG279"/>
  <c r="B280"/>
  <c r="C280"/>
  <c r="L280"/>
  <c r="M280"/>
  <c r="N280"/>
  <c r="R280"/>
  <c r="S280"/>
  <c r="T280"/>
  <c r="AB280"/>
  <c r="AC280"/>
  <c r="AD280"/>
  <c r="AL280"/>
  <c r="BR280"/>
  <c r="BS280"/>
  <c r="BT280"/>
  <c r="BU280"/>
  <c r="BV280"/>
  <c r="BW280"/>
  <c r="BX280"/>
  <c r="BY280"/>
  <c r="BZ280"/>
  <c r="CC280"/>
  <c r="CD280"/>
  <c r="CF280"/>
  <c r="CG280"/>
  <c r="B281"/>
  <c r="C281"/>
  <c r="L281"/>
  <c r="M281"/>
  <c r="N281"/>
  <c r="R281"/>
  <c r="S281"/>
  <c r="T281"/>
  <c r="AB281"/>
  <c r="AC281"/>
  <c r="AD281"/>
  <c r="AL281"/>
  <c r="BR281"/>
  <c r="BS281"/>
  <c r="BT281"/>
  <c r="BU281"/>
  <c r="BV281"/>
  <c r="BW281"/>
  <c r="BX281"/>
  <c r="BY281"/>
  <c r="BZ281"/>
  <c r="CC281"/>
  <c r="CD281"/>
  <c r="CF281"/>
  <c r="CG281"/>
  <c r="B282"/>
  <c r="C282"/>
  <c r="L282"/>
  <c r="M282"/>
  <c r="N282"/>
  <c r="R282"/>
  <c r="S282"/>
  <c r="T282"/>
  <c r="AB282"/>
  <c r="AC282"/>
  <c r="AD282"/>
  <c r="AL282"/>
  <c r="BR282"/>
  <c r="BS282"/>
  <c r="BT282"/>
  <c r="BU282"/>
  <c r="BV282"/>
  <c r="BW282"/>
  <c r="BX282"/>
  <c r="BY282"/>
  <c r="BZ282"/>
  <c r="CC282"/>
  <c r="CD282"/>
  <c r="CF282"/>
  <c r="CG282"/>
  <c r="B283"/>
  <c r="C283"/>
  <c r="L283"/>
  <c r="M283"/>
  <c r="N283"/>
  <c r="R283"/>
  <c r="S283"/>
  <c r="T283"/>
  <c r="AB283"/>
  <c r="AC283"/>
  <c r="AD283"/>
  <c r="AL283"/>
  <c r="BR283"/>
  <c r="BS283"/>
  <c r="BT283"/>
  <c r="BU283"/>
  <c r="BV283"/>
  <c r="BW283"/>
  <c r="BX283"/>
  <c r="BY283"/>
  <c r="BZ283"/>
  <c r="CC283"/>
  <c r="CD283"/>
  <c r="CF283"/>
  <c r="CG283"/>
  <c r="B284"/>
  <c r="C284"/>
  <c r="L284"/>
  <c r="M284"/>
  <c r="N284"/>
  <c r="R284"/>
  <c r="S284"/>
  <c r="T284"/>
  <c r="AB284"/>
  <c r="AC284"/>
  <c r="AD284"/>
  <c r="AL284"/>
  <c r="BR284"/>
  <c r="BS284"/>
  <c r="BT284"/>
  <c r="BU284"/>
  <c r="BV284"/>
  <c r="BW284"/>
  <c r="BX284"/>
  <c r="BY284"/>
  <c r="BZ284"/>
  <c r="CC284"/>
  <c r="CD284"/>
  <c r="CF284"/>
  <c r="CG284"/>
  <c r="B285"/>
  <c r="C285"/>
  <c r="L285"/>
  <c r="M285"/>
  <c r="N285"/>
  <c r="R285"/>
  <c r="S285"/>
  <c r="T285"/>
  <c r="AB285"/>
  <c r="AC285"/>
  <c r="AD285"/>
  <c r="AL285"/>
  <c r="BR285"/>
  <c r="BS285"/>
  <c r="BT285"/>
  <c r="BU285"/>
  <c r="BV285"/>
  <c r="BW285"/>
  <c r="BX285"/>
  <c r="BY285"/>
  <c r="BZ285"/>
  <c r="CC285"/>
  <c r="CD285"/>
  <c r="CF285"/>
  <c r="CG285"/>
  <c r="B286"/>
  <c r="C286"/>
  <c r="L286"/>
  <c r="M286"/>
  <c r="N286"/>
  <c r="R286"/>
  <c r="S286"/>
  <c r="T286"/>
  <c r="AB286"/>
  <c r="AC286"/>
  <c r="AD286"/>
  <c r="AL286"/>
  <c r="BR286"/>
  <c r="BS286"/>
  <c r="BT286"/>
  <c r="BU286"/>
  <c r="BV286"/>
  <c r="BW286"/>
  <c r="BX286"/>
  <c r="BY286"/>
  <c r="BZ286"/>
  <c r="CC286"/>
  <c r="CD286"/>
  <c r="CF286"/>
  <c r="CG286"/>
  <c r="B287"/>
  <c r="C287"/>
  <c r="L287"/>
  <c r="M287"/>
  <c r="N287"/>
  <c r="R287"/>
  <c r="S287"/>
  <c r="T287"/>
  <c r="AB287"/>
  <c r="AC287"/>
  <c r="AD287"/>
  <c r="AL287"/>
  <c r="BR287"/>
  <c r="BS287"/>
  <c r="BT287"/>
  <c r="BU287"/>
  <c r="BV287"/>
  <c r="BW287"/>
  <c r="BX287"/>
  <c r="BY287"/>
  <c r="BZ287"/>
  <c r="CC287"/>
  <c r="CD287"/>
  <c r="CF287"/>
  <c r="CG287"/>
  <c r="B288"/>
  <c r="C288"/>
  <c r="L288"/>
  <c r="M288"/>
  <c r="N288"/>
  <c r="R288"/>
  <c r="S288"/>
  <c r="T288"/>
  <c r="AB288"/>
  <c r="AC288"/>
  <c r="AD288"/>
  <c r="AL288"/>
  <c r="BR288"/>
  <c r="BS288"/>
  <c r="BT288"/>
  <c r="BU288"/>
  <c r="BV288"/>
  <c r="BW288"/>
  <c r="BX288"/>
  <c r="BY288"/>
  <c r="BZ288"/>
  <c r="CC288"/>
  <c r="CD288"/>
  <c r="CF288"/>
  <c r="CG288"/>
  <c r="B289"/>
  <c r="C289"/>
  <c r="L289"/>
  <c r="M289"/>
  <c r="N289"/>
  <c r="R289"/>
  <c r="S289"/>
  <c r="T289"/>
  <c r="AB289"/>
  <c r="AC289"/>
  <c r="AD289"/>
  <c r="AL289"/>
  <c r="BR289"/>
  <c r="BS289"/>
  <c r="BT289"/>
  <c r="BU289"/>
  <c r="BV289"/>
  <c r="BW289"/>
  <c r="BX289"/>
  <c r="BY289"/>
  <c r="BZ289"/>
  <c r="CC289"/>
  <c r="CD289"/>
  <c r="CF289"/>
  <c r="CG289"/>
  <c r="B290"/>
  <c r="C290"/>
  <c r="L290"/>
  <c r="M290"/>
  <c r="N290"/>
  <c r="R290"/>
  <c r="S290"/>
  <c r="T290"/>
  <c r="AB290"/>
  <c r="AC290"/>
  <c r="AD290"/>
  <c r="AL290"/>
  <c r="BR290"/>
  <c r="BS290"/>
  <c r="BT290"/>
  <c r="BU290"/>
  <c r="BV290"/>
  <c r="BW290"/>
  <c r="BX290"/>
  <c r="BY290"/>
  <c r="BZ290"/>
  <c r="CC290"/>
  <c r="CD290"/>
  <c r="CF290"/>
  <c r="CG290"/>
  <c r="B291"/>
  <c r="C291"/>
  <c r="L291"/>
  <c r="M291"/>
  <c r="N291"/>
  <c r="R291"/>
  <c r="S291"/>
  <c r="T291"/>
  <c r="AB291"/>
  <c r="AC291"/>
  <c r="AD291"/>
  <c r="AL291"/>
  <c r="BR291"/>
  <c r="BS291"/>
  <c r="BT291"/>
  <c r="BU291"/>
  <c r="BV291"/>
  <c r="BW291"/>
  <c r="BX291"/>
  <c r="BY291"/>
  <c r="BZ291"/>
  <c r="CC291"/>
  <c r="CD291"/>
  <c r="CF291"/>
  <c r="CG291"/>
  <c r="B292"/>
  <c r="C292"/>
  <c r="L292"/>
  <c r="M292"/>
  <c r="N292"/>
  <c r="R292"/>
  <c r="S292"/>
  <c r="T292"/>
  <c r="AB292"/>
  <c r="AC292"/>
  <c r="AD292"/>
  <c r="AL292"/>
  <c r="BR292"/>
  <c r="BS292"/>
  <c r="BT292"/>
  <c r="BU292"/>
  <c r="BV292"/>
  <c r="BW292"/>
  <c r="BX292"/>
  <c r="BY292"/>
  <c r="BZ292"/>
  <c r="CC292"/>
  <c r="CD292"/>
  <c r="CF292"/>
  <c r="CG292"/>
  <c r="B293"/>
  <c r="C293"/>
  <c r="L293"/>
  <c r="M293"/>
  <c r="N293"/>
  <c r="R293"/>
  <c r="S293"/>
  <c r="T293"/>
  <c r="AB293"/>
  <c r="AC293"/>
  <c r="AD293"/>
  <c r="AL293"/>
  <c r="BR293"/>
  <c r="BS293"/>
  <c r="BT293"/>
  <c r="BU293"/>
  <c r="BV293"/>
  <c r="BW293"/>
  <c r="BX293"/>
  <c r="BY293"/>
  <c r="BZ293"/>
  <c r="CC293"/>
  <c r="CD293"/>
  <c r="CF293"/>
  <c r="CG293"/>
  <c r="B294"/>
  <c r="C294"/>
  <c r="L294"/>
  <c r="M294"/>
  <c r="N294"/>
  <c r="R294"/>
  <c r="S294"/>
  <c r="T294"/>
  <c r="AB294"/>
  <c r="AC294"/>
  <c r="AD294"/>
  <c r="AL294"/>
  <c r="BR294"/>
  <c r="BS294"/>
  <c r="BT294"/>
  <c r="BU294"/>
  <c r="BV294"/>
  <c r="BW294"/>
  <c r="BX294"/>
  <c r="BY294"/>
  <c r="BZ294"/>
  <c r="CC294"/>
  <c r="CD294"/>
  <c r="CF294"/>
  <c r="CG294"/>
  <c r="B295"/>
  <c r="C295"/>
  <c r="L295"/>
  <c r="M295"/>
  <c r="N295"/>
  <c r="R295"/>
  <c r="S295"/>
  <c r="T295"/>
  <c r="AB295"/>
  <c r="AC295"/>
  <c r="AD295"/>
  <c r="AL295"/>
  <c r="BR295"/>
  <c r="BS295"/>
  <c r="BT295"/>
  <c r="BU295"/>
  <c r="BV295"/>
  <c r="BW295"/>
  <c r="BX295"/>
  <c r="BY295"/>
  <c r="BZ295"/>
  <c r="CC295"/>
  <c r="CD295"/>
  <c r="CF295"/>
  <c r="CG295"/>
  <c r="B296"/>
  <c r="C296"/>
  <c r="L296"/>
  <c r="M296"/>
  <c r="N296"/>
  <c r="R296"/>
  <c r="S296"/>
  <c r="T296"/>
  <c r="AB296"/>
  <c r="AC296"/>
  <c r="AD296"/>
  <c r="AL296"/>
  <c r="BR296"/>
  <c r="BS296"/>
  <c r="BT296"/>
  <c r="BU296"/>
  <c r="BV296"/>
  <c r="BW296"/>
  <c r="BX296"/>
  <c r="BY296"/>
  <c r="BZ296"/>
  <c r="CC296"/>
  <c r="CD296"/>
  <c r="CF296"/>
  <c r="CG296"/>
  <c r="H90" i="72"/>
  <c r="H91"/>
  <c r="H92"/>
  <c r="H93"/>
  <c r="H94"/>
  <c r="H95"/>
  <c r="H96"/>
  <c r="H98"/>
  <c r="H99"/>
  <c r="H101"/>
  <c r="H72"/>
  <c r="H75"/>
  <c r="H76"/>
  <c r="H77"/>
  <c r="H78"/>
  <c r="H81"/>
  <c r="H82"/>
  <c r="H84"/>
  <c r="H85"/>
  <c r="H58"/>
  <c r="H59"/>
  <c r="H42"/>
  <c r="H43"/>
  <c r="H44"/>
  <c r="H45"/>
  <c r="H46"/>
  <c r="H47"/>
  <c r="H48"/>
  <c r="H49"/>
  <c r="H50"/>
  <c r="H51"/>
  <c r="H52"/>
  <c r="H34"/>
  <c r="H35"/>
  <c r="H36"/>
  <c r="H37"/>
  <c r="B2" i="71"/>
  <c r="BX6" i="8" l="1"/>
  <c r="BX33"/>
  <c r="BX30"/>
  <c r="BX21"/>
  <c r="BX11"/>
  <c r="BX5"/>
  <c r="BX23"/>
  <c r="BX18"/>
  <c r="BX13"/>
  <c r="BX9"/>
  <c r="BX8"/>
  <c r="BX19"/>
  <c r="BX16"/>
  <c r="BX10"/>
  <c r="BX36"/>
  <c r="BX29"/>
  <c r="BX26"/>
  <c r="BX31"/>
  <c r="BX27"/>
  <c r="BX35"/>
  <c r="BX34"/>
  <c r="BX32"/>
  <c r="BX28"/>
  <c r="F76" i="72"/>
  <c r="F77"/>
  <c r="BX25" i="8"/>
  <c r="BX24"/>
  <c r="CB294" i="2"/>
  <c r="CB278"/>
  <c r="CB270"/>
  <c r="CB262"/>
  <c r="CB254"/>
  <c r="CB246"/>
  <c r="CB238"/>
  <c r="CB295"/>
  <c r="CB291"/>
  <c r="CB287"/>
  <c r="CB283"/>
  <c r="CB279"/>
  <c r="CB275"/>
  <c r="CB271"/>
  <c r="CB267"/>
  <c r="CB263"/>
  <c r="CB259"/>
  <c r="CB255"/>
  <c r="CB251"/>
  <c r="CB247"/>
  <c r="CB243"/>
  <c r="CB239"/>
  <c r="CB235"/>
  <c r="CB231"/>
  <c r="CB227"/>
  <c r="CB223"/>
  <c r="CB219"/>
  <c r="CB215"/>
  <c r="CB211"/>
  <c r="CB207"/>
  <c r="CB203"/>
  <c r="CB199"/>
  <c r="CB195"/>
  <c r="CB191"/>
  <c r="CB187"/>
  <c r="CB183"/>
  <c r="CB179"/>
  <c r="CB175"/>
  <c r="CB171"/>
  <c r="CB167"/>
  <c r="CB163"/>
  <c r="CB159"/>
  <c r="CB155"/>
  <c r="CB151"/>
  <c r="CB147"/>
  <c r="CB143"/>
  <c r="CB139"/>
  <c r="CB135"/>
  <c r="CB131"/>
  <c r="CB127"/>
  <c r="CB123"/>
  <c r="CB119"/>
  <c r="CB115"/>
  <c r="CB111"/>
  <c r="CB107"/>
  <c r="CB103"/>
  <c r="CB99"/>
  <c r="CB95"/>
  <c r="CB91"/>
  <c r="CB87"/>
  <c r="CB83"/>
  <c r="CB79"/>
  <c r="CB75"/>
  <c r="CB71"/>
  <c r="CB67"/>
  <c r="CB63"/>
  <c r="CB59"/>
  <c r="CB51"/>
  <c r="CB21"/>
  <c r="CB19"/>
  <c r="CB13"/>
  <c r="CB282"/>
  <c r="CB292"/>
  <c r="CB288"/>
  <c r="CB280"/>
  <c r="CB272"/>
  <c r="CB264"/>
  <c r="CB256"/>
  <c r="CB248"/>
  <c r="CB244"/>
  <c r="CB240"/>
  <c r="CB236"/>
  <c r="CB232"/>
  <c r="CB228"/>
  <c r="CB224"/>
  <c r="CB220"/>
  <c r="CB216"/>
  <c r="CB212"/>
  <c r="CB208"/>
  <c r="CB204"/>
  <c r="CB200"/>
  <c r="CB196"/>
  <c r="CB192"/>
  <c r="CB188"/>
  <c r="CB184"/>
  <c r="CB180"/>
  <c r="CB176"/>
  <c r="CB172"/>
  <c r="CB168"/>
  <c r="CB164"/>
  <c r="CB160"/>
  <c r="CB156"/>
  <c r="CB152"/>
  <c r="CB148"/>
  <c r="CB144"/>
  <c r="CB140"/>
  <c r="CB136"/>
  <c r="CB132"/>
  <c r="CB128"/>
  <c r="CB124"/>
  <c r="CB120"/>
  <c r="CB116"/>
  <c r="CB112"/>
  <c r="CB108"/>
  <c r="CB104"/>
  <c r="CB100"/>
  <c r="CB96"/>
  <c r="CB92"/>
  <c r="CB88"/>
  <c r="CB84"/>
  <c r="CB80"/>
  <c r="CB76"/>
  <c r="CB72"/>
  <c r="CB68"/>
  <c r="CB64"/>
  <c r="CB60"/>
  <c r="CB56"/>
  <c r="CB18"/>
  <c r="CB17"/>
  <c r="CB16"/>
  <c r="CB12"/>
  <c r="CB290"/>
  <c r="CB274"/>
  <c r="CB296"/>
  <c r="CB284"/>
  <c r="CB276"/>
  <c r="CB268"/>
  <c r="CB260"/>
  <c r="CB252"/>
  <c r="CB293"/>
  <c r="CB289"/>
  <c r="CB285"/>
  <c r="CB281"/>
  <c r="CB277"/>
  <c r="CB273"/>
  <c r="CB269"/>
  <c r="CB265"/>
  <c r="CB261"/>
  <c r="CB257"/>
  <c r="CB253"/>
  <c r="CB249"/>
  <c r="CB245"/>
  <c r="CB241"/>
  <c r="CB237"/>
  <c r="CB233"/>
  <c r="CB229"/>
  <c r="CB225"/>
  <c r="CB221"/>
  <c r="CB217"/>
  <c r="CB213"/>
  <c r="CB209"/>
  <c r="CB205"/>
  <c r="CB201"/>
  <c r="CB197"/>
  <c r="CB193"/>
  <c r="CB189"/>
  <c r="CB185"/>
  <c r="CB181"/>
  <c r="CB177"/>
  <c r="CB173"/>
  <c r="CB169"/>
  <c r="CB165"/>
  <c r="CB161"/>
  <c r="CB157"/>
  <c r="CB153"/>
  <c r="CB149"/>
  <c r="CB145"/>
  <c r="CB141"/>
  <c r="CB137"/>
  <c r="CB133"/>
  <c r="CB129"/>
  <c r="CB125"/>
  <c r="CB121"/>
  <c r="CB113"/>
  <c r="CB109"/>
  <c r="CB105"/>
  <c r="CB101"/>
  <c r="CB97"/>
  <c r="CB93"/>
  <c r="CB89"/>
  <c r="CB85"/>
  <c r="CB81"/>
  <c r="CB77"/>
  <c r="CB73"/>
  <c r="CB69"/>
  <c r="CB65"/>
  <c r="CB61"/>
  <c r="CB20"/>
  <c r="CB15"/>
  <c r="CB286"/>
  <c r="CB266"/>
  <c r="CB258"/>
  <c r="CB250"/>
  <c r="CB242"/>
  <c r="CB234"/>
  <c r="CB230"/>
  <c r="CB226"/>
  <c r="CB222"/>
  <c r="CB218"/>
  <c r="CB214"/>
  <c r="CB210"/>
  <c r="CB206"/>
  <c r="CB202"/>
  <c r="CB198"/>
  <c r="CB194"/>
  <c r="CB190"/>
  <c r="CB186"/>
  <c r="CB182"/>
  <c r="CB178"/>
  <c r="CB174"/>
  <c r="CB170"/>
  <c r="CB166"/>
  <c r="CB162"/>
  <c r="CB158"/>
  <c r="CB154"/>
  <c r="CB150"/>
  <c r="CB146"/>
  <c r="CB142"/>
  <c r="CB138"/>
  <c r="CB134"/>
  <c r="CB130"/>
  <c r="CB126"/>
  <c r="CB122"/>
  <c r="CB118"/>
  <c r="CB114"/>
  <c r="CB110"/>
  <c r="CB106"/>
  <c r="CB102"/>
  <c r="CB98"/>
  <c r="CB94"/>
  <c r="CB90"/>
  <c r="CB86"/>
  <c r="CB82"/>
  <c r="CB78"/>
  <c r="CB74"/>
  <c r="CB70"/>
  <c r="CB66"/>
  <c r="CB62"/>
  <c r="CB58"/>
  <c r="CB50"/>
  <c r="CB14"/>
  <c r="CB2"/>
  <c r="CB49"/>
  <c r="CB48"/>
  <c r="CB45"/>
  <c r="CB44"/>
  <c r="CB43"/>
  <c r="CB11"/>
  <c r="CB6"/>
  <c r="CB5"/>
  <c r="BX22" i="8"/>
  <c r="BX20"/>
  <c r="BX17"/>
  <c r="BX15"/>
  <c r="CB4" i="2"/>
  <c r="CB3"/>
  <c r="BX14" i="8"/>
  <c r="BX12"/>
  <c r="BX7"/>
  <c r="BX4"/>
  <c r="CL292" i="2" l="1"/>
  <c r="CK292"/>
  <c r="CL289" l="1"/>
  <c r="CK289"/>
  <c r="CL288"/>
  <c r="CK288"/>
  <c r="CL284"/>
  <c r="CK284"/>
  <c r="F84" i="78"/>
  <c r="AA128" i="22" l="1"/>
  <c r="AA127"/>
  <c r="AA126"/>
  <c r="CR279" i="2" l="1"/>
  <c r="CS279" l="1"/>
  <c r="CL271" l="1"/>
  <c r="CK271"/>
  <c r="CL252"/>
  <c r="CK252"/>
  <c r="CK17"/>
  <c r="CL17"/>
  <c r="CK18"/>
  <c r="CL18"/>
  <c r="CK19"/>
  <c r="CL19"/>
  <c r="CL285"/>
  <c r="CL286"/>
  <c r="I19" i="40" l="1"/>
  <c r="E2" i="23"/>
  <c r="CL146" i="2"/>
  <c r="CK146"/>
  <c r="CL145"/>
  <c r="CK145"/>
  <c r="H10" i="23"/>
  <c r="CF297" i="2" l="1"/>
  <c r="CF298"/>
  <c r="CF299"/>
  <c r="CF300"/>
  <c r="CF301"/>
  <c r="CF302"/>
  <c r="CF303"/>
  <c r="CF304"/>
  <c r="CF305"/>
  <c r="CF306"/>
  <c r="CF307"/>
  <c r="CF308"/>
  <c r="CF309"/>
  <c r="CF310"/>
  <c r="CF311"/>
  <c r="CF312"/>
  <c r="CF313"/>
  <c r="CF314"/>
  <c r="CF315"/>
  <c r="CF316"/>
  <c r="CF317"/>
  <c r="CF318"/>
  <c r="CF319"/>
  <c r="CF320"/>
  <c r="CF321"/>
  <c r="CF322"/>
  <c r="CF323"/>
  <c r="CF324"/>
  <c r="CF325"/>
  <c r="CF326"/>
  <c r="CF327"/>
  <c r="CF328"/>
  <c r="CF329"/>
  <c r="CF330"/>
  <c r="CF331"/>
  <c r="CF332"/>
  <c r="CF333"/>
  <c r="CF334"/>
  <c r="CF335"/>
  <c r="CF336"/>
  <c r="CF337"/>
  <c r="CF338"/>
  <c r="CF339"/>
  <c r="CF340"/>
  <c r="CF341"/>
  <c r="CF342"/>
  <c r="CF343"/>
  <c r="CK12" l="1"/>
  <c r="CK13"/>
  <c r="CK14"/>
  <c r="CK15"/>
  <c r="CL15"/>
  <c r="CL14"/>
  <c r="CL13"/>
  <c r="CL12"/>
  <c r="CL11"/>
  <c r="CK11"/>
  <c r="F72" i="72" l="1"/>
  <c r="AA2" i="22"/>
  <c r="AA3"/>
  <c r="AA4"/>
  <c r="AA5"/>
  <c r="AA6"/>
  <c r="AA7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BY2" i="8"/>
  <c r="O57" i="4" s="1"/>
  <c r="BY3" i="8"/>
  <c r="F225" i="72"/>
  <c r="G225"/>
  <c r="F173"/>
  <c r="B3" i="71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N53" i="80"/>
  <c r="K53"/>
  <c r="H53"/>
  <c r="E53"/>
  <c r="B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B60" i="78"/>
  <c r="BX2" i="8" l="1"/>
  <c r="BX3"/>
  <c r="Q53" i="80"/>
  <c r="D62" l="1"/>
  <c r="D65" l="1"/>
  <c r="CL253" i="2" l="1"/>
  <c r="CK253"/>
  <c r="CL248"/>
  <c r="CK248"/>
  <c r="CL228" l="1"/>
  <c r="CK228"/>
  <c r="CL227" l="1"/>
  <c r="CK227"/>
  <c r="CO190" l="1"/>
  <c r="CL190"/>
  <c r="CK190"/>
  <c r="CL9" l="1"/>
  <c r="CK9"/>
  <c r="CL8" l="1"/>
  <c r="CK8"/>
  <c r="F83" i="72" l="1"/>
  <c r="I85" i="78" l="1"/>
  <c r="I83"/>
  <c r="I82"/>
  <c r="I81"/>
  <c r="I80"/>
  <c r="I79"/>
  <c r="F79"/>
  <c r="H86"/>
  <c r="G86"/>
  <c r="D86"/>
  <c r="I86" l="1"/>
  <c r="F85"/>
  <c r="Q33" l="1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32"/>
  <c r="D67" l="1"/>
  <c r="Q60"/>
  <c r="E60" l="1"/>
  <c r="H60"/>
  <c r="F81" s="1"/>
  <c r="K60"/>
  <c r="F82" s="1"/>
  <c r="N60"/>
  <c r="F83" s="1"/>
  <c r="H232" i="72"/>
  <c r="D66" i="78" l="1"/>
  <c r="D69" s="1"/>
  <c r="F80"/>
  <c r="E86"/>
  <c r="F86" s="1"/>
  <c r="D72" l="1"/>
  <c r="H225" i="72"/>
  <c r="G30" i="40" s="1"/>
  <c r="J85" i="78" s="1"/>
  <c r="F97" i="72"/>
  <c r="E115"/>
  <c r="CE2" i="8" l="1"/>
  <c r="F100" i="72" l="1"/>
  <c r="F99"/>
  <c r="F98"/>
  <c r="F79" l="1"/>
  <c r="CK235" i="2"/>
  <c r="CL235"/>
  <c r="CK236"/>
  <c r="CL236"/>
  <c r="D22" i="72"/>
  <c r="F279" i="57" l="1"/>
  <c r="F280"/>
  <c r="F270" l="1"/>
  <c r="F271"/>
  <c r="F272"/>
  <c r="F273"/>
  <c r="F274"/>
  <c r="F275"/>
  <c r="F276"/>
  <c r="F277"/>
  <c r="F278"/>
  <c r="F18" i="74"/>
  <c r="G18"/>
  <c r="H18"/>
  <c r="I18"/>
  <c r="F265" i="57" l="1"/>
  <c r="F266"/>
  <c r="F267"/>
  <c r="F268"/>
  <c r="F269"/>
  <c r="F259"/>
  <c r="F260"/>
  <c r="F261"/>
  <c r="F262"/>
  <c r="F263"/>
  <c r="F264"/>
  <c r="F22" i="65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21"/>
  <c r="J655" i="57"/>
  <c r="F257" l="1"/>
  <c r="F258"/>
  <c r="F17" i="74" l="1"/>
  <c r="G17"/>
  <c r="H17"/>
  <c r="I17"/>
  <c r="F247" i="57" l="1"/>
  <c r="F248"/>
  <c r="F249"/>
  <c r="F250"/>
  <c r="F251"/>
  <c r="F252"/>
  <c r="F253"/>
  <c r="F254"/>
  <c r="F255"/>
  <c r="F256"/>
  <c r="H17" i="61"/>
  <c r="D654" i="57" l="1"/>
  <c r="F60" i="72" l="1"/>
  <c r="F238" i="57" l="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9"/>
  <c r="F240"/>
  <c r="F241"/>
  <c r="F242"/>
  <c r="F243"/>
  <c r="F244"/>
  <c r="F245"/>
  <c r="F246"/>
  <c r="F21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247"/>
  <c r="J248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3"/>
  <c r="J24"/>
  <c r="J26"/>
  <c r="J27"/>
  <c r="J21"/>
  <c r="CL176" i="2" l="1"/>
  <c r="CK176"/>
  <c r="CL171" l="1"/>
  <c r="CK171"/>
  <c r="CL26" l="1"/>
  <c r="CK26"/>
  <c r="F78" i="72" l="1"/>
  <c r="F80"/>
  <c r="F81"/>
  <c r="F62"/>
  <c r="F65"/>
  <c r="F66"/>
  <c r="F84"/>
  <c r="F61"/>
  <c r="F63"/>
  <c r="F94"/>
  <c r="F85"/>
  <c r="F82"/>
  <c r="F96"/>
  <c r="F95"/>
  <c r="CK238" i="2"/>
  <c r="F24" i="40"/>
  <c r="CL238" i="2"/>
  <c r="CL217" l="1"/>
  <c r="CK217"/>
  <c r="F56" i="72"/>
  <c r="CL169" i="2" l="1"/>
  <c r="CK169"/>
  <c r="CL214" l="1"/>
  <c r="CK214"/>
  <c r="CL207"/>
  <c r="CK207"/>
  <c r="CC21" i="8" l="1"/>
  <c r="CC20"/>
  <c r="CC19"/>
  <c r="CC18"/>
  <c r="CC17"/>
  <c r="CC16"/>
  <c r="CC15"/>
  <c r="CC14"/>
  <c r="CC13"/>
  <c r="CC12"/>
  <c r="CC11"/>
  <c r="CC10"/>
  <c r="CC9"/>
  <c r="CC8"/>
  <c r="CC7"/>
  <c r="CC6"/>
  <c r="H251" i="72" l="1"/>
  <c r="H250"/>
  <c r="H249"/>
  <c r="H248"/>
  <c r="H247"/>
  <c r="H246"/>
  <c r="H245"/>
  <c r="H244"/>
  <c r="H243"/>
  <c r="CC4" i="8" l="1"/>
  <c r="CL109" i="2"/>
  <c r="CK109"/>
  <c r="CL31"/>
  <c r="CK31"/>
  <c r="CK34" l="1"/>
  <c r="CL34"/>
  <c r="CK35"/>
  <c r="CL35"/>
  <c r="CK36"/>
  <c r="CL36"/>
  <c r="CK37"/>
  <c r="CL37"/>
  <c r="CK38"/>
  <c r="CL38"/>
  <c r="CK39"/>
  <c r="CL39"/>
  <c r="CK40"/>
  <c r="CL40"/>
  <c r="CK45"/>
  <c r="CL45"/>
  <c r="CK41"/>
  <c r="CL41"/>
  <c r="CK43"/>
  <c r="CL43"/>
  <c r="CK49"/>
  <c r="CL49"/>
  <c r="CK50"/>
  <c r="CL50"/>
  <c r="CK51"/>
  <c r="CL51"/>
  <c r="CK44"/>
  <c r="CL44"/>
  <c r="CK53"/>
  <c r="CL53"/>
  <c r="CK54"/>
  <c r="CL54"/>
  <c r="CK55"/>
  <c r="CL55"/>
  <c r="CK56"/>
  <c r="CL56"/>
  <c r="E68" i="72" l="1"/>
  <c r="F101" l="1"/>
  <c r="CL80" i="2" l="1"/>
  <c r="CK80"/>
  <c r="CK183"/>
  <c r="CL183"/>
  <c r="CL10" l="1"/>
  <c r="CK10"/>
  <c r="H33" i="72" l="1"/>
  <c r="H41" l="1"/>
  <c r="H57"/>
  <c r="CK281" i="2"/>
  <c r="CK282"/>
  <c r="CK283"/>
  <c r="B297"/>
  <c r="C297"/>
  <c r="L297"/>
  <c r="M297"/>
  <c r="N297"/>
  <c r="R297"/>
  <c r="S297"/>
  <c r="T297"/>
  <c r="AB297"/>
  <c r="AC297"/>
  <c r="AD297"/>
  <c r="AL297"/>
  <c r="BR297"/>
  <c r="BS297"/>
  <c r="BT297"/>
  <c r="BU297"/>
  <c r="BV297"/>
  <c r="BW297"/>
  <c r="BX297"/>
  <c r="BY297"/>
  <c r="BZ297"/>
  <c r="CC297"/>
  <c r="CD297"/>
  <c r="CG297"/>
  <c r="B298"/>
  <c r="C298"/>
  <c r="L298"/>
  <c r="M298"/>
  <c r="N298"/>
  <c r="R298"/>
  <c r="S298"/>
  <c r="T298"/>
  <c r="AB298"/>
  <c r="AC298"/>
  <c r="AD298"/>
  <c r="AL298"/>
  <c r="BR298"/>
  <c r="BS298"/>
  <c r="BT298"/>
  <c r="BU298"/>
  <c r="BV298"/>
  <c r="BW298"/>
  <c r="BX298"/>
  <c r="BY298"/>
  <c r="BZ298"/>
  <c r="CC298"/>
  <c r="CD298"/>
  <c r="CG298"/>
  <c r="H20" i="72"/>
  <c r="K24" i="40"/>
  <c r="CB297" i="2" l="1"/>
  <c r="CB298"/>
  <c r="G86" i="72" l="1"/>
  <c r="G87" s="1"/>
  <c r="CL200" i="2" l="1"/>
  <c r="CK200"/>
  <c r="CL163" l="1"/>
  <c r="CK163"/>
  <c r="E145" i="72" l="1"/>
  <c r="F50"/>
  <c r="E53"/>
  <c r="F37"/>
  <c r="E38"/>
  <c r="CL179" i="2" l="1"/>
  <c r="CK179"/>
  <c r="CL131" l="1"/>
  <c r="CK131"/>
  <c r="I43" i="4" l="1"/>
  <c r="CL122" i="2"/>
  <c r="CK122"/>
  <c r="CL123"/>
  <c r="CK123"/>
  <c r="CL124"/>
  <c r="CK124"/>
  <c r="CL127"/>
  <c r="CK127"/>
  <c r="CL126"/>
  <c r="CK126"/>
  <c r="CL125"/>
  <c r="CK125"/>
  <c r="CL103"/>
  <c r="CK103"/>
  <c r="CL102"/>
  <c r="CK102"/>
  <c r="CL101"/>
  <c r="CK101"/>
  <c r="CL100"/>
  <c r="CK100"/>
  <c r="CL99"/>
  <c r="CK99"/>
  <c r="K37" i="8" l="1"/>
  <c r="L37"/>
  <c r="N37"/>
  <c r="Q37"/>
  <c r="R37"/>
  <c r="T37"/>
  <c r="AA37"/>
  <c r="AB37"/>
  <c r="AD37"/>
  <c r="BY37"/>
  <c r="K38"/>
  <c r="L38"/>
  <c r="N38"/>
  <c r="Q38"/>
  <c r="R38"/>
  <c r="T38"/>
  <c r="AA38"/>
  <c r="AB38"/>
  <c r="AD38"/>
  <c r="BY38"/>
  <c r="K39"/>
  <c r="L39"/>
  <c r="N39"/>
  <c r="Q39"/>
  <c r="R39"/>
  <c r="T39"/>
  <c r="AA39"/>
  <c r="AB39"/>
  <c r="AD39"/>
  <c r="BY39"/>
  <c r="BX39" l="1"/>
  <c r="BX38"/>
  <c r="BX37"/>
  <c r="CK220" i="2"/>
  <c r="BW299"/>
  <c r="BX299"/>
  <c r="BY299"/>
  <c r="BZ299"/>
  <c r="BW300"/>
  <c r="BX300"/>
  <c r="BY300"/>
  <c r="BZ300"/>
  <c r="BW301"/>
  <c r="BX301"/>
  <c r="BY301"/>
  <c r="BZ301"/>
  <c r="BW302"/>
  <c r="BX302"/>
  <c r="BY302"/>
  <c r="BZ302"/>
  <c r="BW303"/>
  <c r="BX303"/>
  <c r="BY303"/>
  <c r="BZ303"/>
  <c r="BW304"/>
  <c r="BX304"/>
  <c r="BY304"/>
  <c r="BZ304"/>
  <c r="BW305"/>
  <c r="BX305"/>
  <c r="BY305"/>
  <c r="BZ305"/>
  <c r="BW306"/>
  <c r="BX306"/>
  <c r="BY306"/>
  <c r="BZ306"/>
  <c r="BW307"/>
  <c r="BX307"/>
  <c r="BY307"/>
  <c r="BZ307"/>
  <c r="BW308"/>
  <c r="BX308"/>
  <c r="BY308"/>
  <c r="BZ308"/>
  <c r="BW309"/>
  <c r="BX309"/>
  <c r="BY309"/>
  <c r="BZ309"/>
  <c r="BW310"/>
  <c r="BX310"/>
  <c r="BY310"/>
  <c r="BZ310"/>
  <c r="BW311"/>
  <c r="BX311"/>
  <c r="BY311"/>
  <c r="BZ311"/>
  <c r="BW312"/>
  <c r="BX312"/>
  <c r="BY312"/>
  <c r="BZ312"/>
  <c r="BW313"/>
  <c r="BX313"/>
  <c r="BY313"/>
  <c r="BZ313"/>
  <c r="I4" i="23" l="1"/>
  <c r="I16" i="74" l="1"/>
  <c r="H16"/>
  <c r="G16"/>
  <c r="F16"/>
  <c r="I15"/>
  <c r="H15"/>
  <c r="G15"/>
  <c r="F15"/>
  <c r="I14"/>
  <c r="H14"/>
  <c r="G14"/>
  <c r="F14"/>
  <c r="I13"/>
  <c r="H13"/>
  <c r="G13"/>
  <c r="F13"/>
  <c r="I12"/>
  <c r="H12"/>
  <c r="G12"/>
  <c r="F12"/>
  <c r="I11"/>
  <c r="H11"/>
  <c r="G11"/>
  <c r="F11"/>
  <c r="I10"/>
  <c r="H10"/>
  <c r="G10"/>
  <c r="F10"/>
  <c r="I9"/>
  <c r="H9"/>
  <c r="G9"/>
  <c r="F9"/>
  <c r="I8"/>
  <c r="H8"/>
  <c r="G8"/>
  <c r="F8"/>
  <c r="I7"/>
  <c r="H7"/>
  <c r="G7"/>
  <c r="F7"/>
  <c r="I6"/>
  <c r="H6"/>
  <c r="G6"/>
  <c r="F6"/>
  <c r="I5"/>
  <c r="H5"/>
  <c r="G5"/>
  <c r="F5"/>
  <c r="I4"/>
  <c r="H4"/>
  <c r="G4"/>
  <c r="F4"/>
  <c r="I3"/>
  <c r="H3"/>
  <c r="G3"/>
  <c r="F3"/>
  <c r="M3" l="1"/>
  <c r="M4"/>
  <c r="M5"/>
  <c r="M6"/>
  <c r="M7"/>
  <c r="M8"/>
  <c r="M9"/>
  <c r="M10"/>
  <c r="M11"/>
  <c r="M12"/>
  <c r="M13"/>
  <c r="M14"/>
  <c r="M15"/>
  <c r="M16"/>
  <c r="AH344" i="2"/>
  <c r="F139" i="72" s="1"/>
  <c r="BS299" i="2"/>
  <c r="BT299"/>
  <c r="BU299"/>
  <c r="BV299"/>
  <c r="BS300"/>
  <c r="BT300"/>
  <c r="BU300"/>
  <c r="BV300"/>
  <c r="BS301"/>
  <c r="BT301"/>
  <c r="BU301"/>
  <c r="BV301"/>
  <c r="BS302"/>
  <c r="BT302"/>
  <c r="BU302"/>
  <c r="BV302"/>
  <c r="BS303"/>
  <c r="BT303"/>
  <c r="BU303"/>
  <c r="BV303"/>
  <c r="BS304"/>
  <c r="BT304"/>
  <c r="BU304"/>
  <c r="BV304"/>
  <c r="BS305"/>
  <c r="BT305"/>
  <c r="BU305"/>
  <c r="BV305"/>
  <c r="BS306"/>
  <c r="BT306"/>
  <c r="BU306"/>
  <c r="BV306"/>
  <c r="BS307"/>
  <c r="BT307"/>
  <c r="BU307"/>
  <c r="BV307"/>
  <c r="BS308"/>
  <c r="BT308"/>
  <c r="BU308"/>
  <c r="BV308"/>
  <c r="BS309"/>
  <c r="BT309"/>
  <c r="BU309"/>
  <c r="BV309"/>
  <c r="BS310"/>
  <c r="BT310"/>
  <c r="BU310"/>
  <c r="BV310"/>
  <c r="BS311"/>
  <c r="BT311"/>
  <c r="BU311"/>
  <c r="BV311"/>
  <c r="BS312"/>
  <c r="BT312"/>
  <c r="BU312"/>
  <c r="BV312"/>
  <c r="BS313"/>
  <c r="BT313"/>
  <c r="BU313"/>
  <c r="BV313"/>
  <c r="BS314"/>
  <c r="BT314"/>
  <c r="BU314"/>
  <c r="BV314"/>
  <c r="BW314"/>
  <c r="BX314"/>
  <c r="BY314"/>
  <c r="BZ314"/>
  <c r="BS315"/>
  <c r="BT315"/>
  <c r="BU315"/>
  <c r="BV315"/>
  <c r="BW315"/>
  <c r="BX315"/>
  <c r="BY315"/>
  <c r="BZ315"/>
  <c r="BS316"/>
  <c r="BT316"/>
  <c r="BU316"/>
  <c r="BV316"/>
  <c r="BW316"/>
  <c r="BX316"/>
  <c r="BY316"/>
  <c r="BZ316"/>
  <c r="BS317"/>
  <c r="BT317"/>
  <c r="BU317"/>
  <c r="BV317"/>
  <c r="BW317"/>
  <c r="BX317"/>
  <c r="BY317"/>
  <c r="BZ317"/>
  <c r="BS318"/>
  <c r="BT318"/>
  <c r="BU318"/>
  <c r="BV318"/>
  <c r="BW318"/>
  <c r="BX318"/>
  <c r="BY318"/>
  <c r="BZ318"/>
  <c r="BS319"/>
  <c r="BT319"/>
  <c r="BU319"/>
  <c r="BV319"/>
  <c r="BW319"/>
  <c r="BX319"/>
  <c r="BY319"/>
  <c r="BZ319"/>
  <c r="BS320"/>
  <c r="BT320"/>
  <c r="BU320"/>
  <c r="BV320"/>
  <c r="BW320"/>
  <c r="BX320"/>
  <c r="BY320"/>
  <c r="BZ320"/>
  <c r="BS321"/>
  <c r="BT321"/>
  <c r="BU321"/>
  <c r="BV321"/>
  <c r="BW321"/>
  <c r="BX321"/>
  <c r="BY321"/>
  <c r="BZ321"/>
  <c r="BS322"/>
  <c r="BT322"/>
  <c r="BU322"/>
  <c r="BV322"/>
  <c r="BW322"/>
  <c r="BX322"/>
  <c r="BY322"/>
  <c r="BZ322"/>
  <c r="BS323"/>
  <c r="BT323"/>
  <c r="BU323"/>
  <c r="BV323"/>
  <c r="BW323"/>
  <c r="BX323"/>
  <c r="BY323"/>
  <c r="BZ323"/>
  <c r="BS324"/>
  <c r="BT324"/>
  <c r="BU324"/>
  <c r="BV324"/>
  <c r="BW324"/>
  <c r="BX324"/>
  <c r="BY324"/>
  <c r="BZ324"/>
  <c r="BS325"/>
  <c r="BT325"/>
  <c r="BU325"/>
  <c r="BV325"/>
  <c r="BW325"/>
  <c r="BX325"/>
  <c r="BY325"/>
  <c r="BZ325"/>
  <c r="BS326"/>
  <c r="BT326"/>
  <c r="BU326"/>
  <c r="BV326"/>
  <c r="BW326"/>
  <c r="BX326"/>
  <c r="BY326"/>
  <c r="BZ326"/>
  <c r="BS327"/>
  <c r="BT327"/>
  <c r="BU327"/>
  <c r="BV327"/>
  <c r="BW327"/>
  <c r="BX327"/>
  <c r="BY327"/>
  <c r="BZ327"/>
  <c r="BS328"/>
  <c r="BT328"/>
  <c r="BU328"/>
  <c r="BV328"/>
  <c r="BW328"/>
  <c r="BX328"/>
  <c r="BY328"/>
  <c r="BZ328"/>
  <c r="BS329"/>
  <c r="BT329"/>
  <c r="BU329"/>
  <c r="BV329"/>
  <c r="BW329"/>
  <c r="BX329"/>
  <c r="BY329"/>
  <c r="BZ329"/>
  <c r="BS330"/>
  <c r="BT330"/>
  <c r="BU330"/>
  <c r="BV330"/>
  <c r="BW330"/>
  <c r="BX330"/>
  <c r="BY330"/>
  <c r="BZ330"/>
  <c r="BS331"/>
  <c r="BT331"/>
  <c r="BU331"/>
  <c r="BV331"/>
  <c r="BW331"/>
  <c r="BX331"/>
  <c r="BY331"/>
  <c r="BZ331"/>
  <c r="BS332"/>
  <c r="BT332"/>
  <c r="BU332"/>
  <c r="BV332"/>
  <c r="BW332"/>
  <c r="BX332"/>
  <c r="BY332"/>
  <c r="BZ332"/>
  <c r="BS333"/>
  <c r="BT333"/>
  <c r="BU333"/>
  <c r="BV333"/>
  <c r="BW333"/>
  <c r="BX333"/>
  <c r="BY333"/>
  <c r="BZ333"/>
  <c r="BS334"/>
  <c r="BT334"/>
  <c r="BU334"/>
  <c r="BV334"/>
  <c r="BW334"/>
  <c r="BX334"/>
  <c r="BY334"/>
  <c r="BZ334"/>
  <c r="BS335"/>
  <c r="BT335"/>
  <c r="BU335"/>
  <c r="BV335"/>
  <c r="BW335"/>
  <c r="BX335"/>
  <c r="BY335"/>
  <c r="BZ335"/>
  <c r="BS336"/>
  <c r="BT336"/>
  <c r="BU336"/>
  <c r="BV336"/>
  <c r="BW336"/>
  <c r="BX336"/>
  <c r="BY336"/>
  <c r="BZ336"/>
  <c r="BS337"/>
  <c r="BT337"/>
  <c r="BU337"/>
  <c r="BV337"/>
  <c r="BW337"/>
  <c r="BX337"/>
  <c r="BY337"/>
  <c r="BZ337"/>
  <c r="BS338"/>
  <c r="BT338"/>
  <c r="BU338"/>
  <c r="BV338"/>
  <c r="BW338"/>
  <c r="BX338"/>
  <c r="BY338"/>
  <c r="BZ338"/>
  <c r="BS339"/>
  <c r="BT339"/>
  <c r="BU339"/>
  <c r="BV339"/>
  <c r="BW339"/>
  <c r="BX339"/>
  <c r="BY339"/>
  <c r="BZ339"/>
  <c r="BS340"/>
  <c r="BT340"/>
  <c r="BU340"/>
  <c r="BV340"/>
  <c r="BW340"/>
  <c r="BX340"/>
  <c r="BY340"/>
  <c r="BZ340"/>
  <c r="BS341"/>
  <c r="BT341"/>
  <c r="BU341"/>
  <c r="BV341"/>
  <c r="BW341"/>
  <c r="BX341"/>
  <c r="BY341"/>
  <c r="BZ341"/>
  <c r="BS342"/>
  <c r="BT342"/>
  <c r="BU342"/>
  <c r="BV342"/>
  <c r="BW342"/>
  <c r="BX342"/>
  <c r="BY342"/>
  <c r="BZ342"/>
  <c r="BS343"/>
  <c r="BT343"/>
  <c r="BU343"/>
  <c r="BV343"/>
  <c r="BW343"/>
  <c r="BX343"/>
  <c r="BY343"/>
  <c r="BZ343"/>
  <c r="E18" i="57"/>
  <c r="AA89" i="22" l="1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9"/>
  <c r="AA130"/>
  <c r="B131"/>
  <c r="C131"/>
  <c r="AA131"/>
  <c r="B132"/>
  <c r="C132"/>
  <c r="AA132"/>
  <c r="B133"/>
  <c r="C133"/>
  <c r="AA133"/>
  <c r="B134"/>
  <c r="C134"/>
  <c r="AA134"/>
  <c r="B135"/>
  <c r="C135"/>
  <c r="AA135"/>
  <c r="H68" i="72"/>
  <c r="H71"/>
  <c r="H86" s="1"/>
  <c r="H38" l="1"/>
  <c r="H89"/>
  <c r="H53"/>
  <c r="G102" l="1"/>
  <c r="G53"/>
  <c r="G54" s="1"/>
  <c r="B299" i="2"/>
  <c r="C299"/>
  <c r="L299"/>
  <c r="M299"/>
  <c r="N299"/>
  <c r="R299"/>
  <c r="S299"/>
  <c r="T299"/>
  <c r="AB299"/>
  <c r="AC299"/>
  <c r="AD299"/>
  <c r="AL299"/>
  <c r="BR299"/>
  <c r="CC299"/>
  <c r="CD299"/>
  <c r="CG299"/>
  <c r="B300"/>
  <c r="C300"/>
  <c r="L300"/>
  <c r="M300"/>
  <c r="N300"/>
  <c r="R300"/>
  <c r="S300"/>
  <c r="T300"/>
  <c r="AB300"/>
  <c r="AC300"/>
  <c r="AD300"/>
  <c r="AL300"/>
  <c r="BR300"/>
  <c r="CC300"/>
  <c r="CD300"/>
  <c r="CG300"/>
  <c r="B301"/>
  <c r="C301"/>
  <c r="L301"/>
  <c r="M301"/>
  <c r="N301"/>
  <c r="R301"/>
  <c r="S301"/>
  <c r="T301"/>
  <c r="AB301"/>
  <c r="AC301"/>
  <c r="AD301"/>
  <c r="AL301"/>
  <c r="BR301"/>
  <c r="CC301"/>
  <c r="CD301"/>
  <c r="CG301"/>
  <c r="B302"/>
  <c r="C302"/>
  <c r="L302"/>
  <c r="M302"/>
  <c r="N302"/>
  <c r="R302"/>
  <c r="S302"/>
  <c r="T302"/>
  <c r="AB302"/>
  <c r="AC302"/>
  <c r="AD302"/>
  <c r="AL302"/>
  <c r="BR302"/>
  <c r="CC302"/>
  <c r="CD302"/>
  <c r="CG302"/>
  <c r="B303"/>
  <c r="C303"/>
  <c r="L303"/>
  <c r="M303"/>
  <c r="N303"/>
  <c r="R303"/>
  <c r="S303"/>
  <c r="T303"/>
  <c r="AB303"/>
  <c r="AC303"/>
  <c r="AD303"/>
  <c r="AL303"/>
  <c r="BR303"/>
  <c r="CC303"/>
  <c r="CD303"/>
  <c r="CG303"/>
  <c r="B304"/>
  <c r="C304"/>
  <c r="L304"/>
  <c r="M304"/>
  <c r="N304"/>
  <c r="R304"/>
  <c r="S304"/>
  <c r="T304"/>
  <c r="AB304"/>
  <c r="AC304"/>
  <c r="AD304"/>
  <c r="AL304"/>
  <c r="BR304"/>
  <c r="CC304"/>
  <c r="CD304"/>
  <c r="CG304"/>
  <c r="B305"/>
  <c r="C305"/>
  <c r="L305"/>
  <c r="M305"/>
  <c r="N305"/>
  <c r="R305"/>
  <c r="S305"/>
  <c r="T305"/>
  <c r="AB305"/>
  <c r="AC305"/>
  <c r="AD305"/>
  <c r="AL305"/>
  <c r="BR305"/>
  <c r="CC305"/>
  <c r="CD305"/>
  <c r="CG305"/>
  <c r="B306"/>
  <c r="C306"/>
  <c r="L306"/>
  <c r="M306"/>
  <c r="N306"/>
  <c r="R306"/>
  <c r="S306"/>
  <c r="T306"/>
  <c r="AB306"/>
  <c r="AC306"/>
  <c r="AD306"/>
  <c r="AL306"/>
  <c r="BR306"/>
  <c r="CC306"/>
  <c r="CD306"/>
  <c r="CG306"/>
  <c r="B307"/>
  <c r="C307"/>
  <c r="L307"/>
  <c r="M307"/>
  <c r="N307"/>
  <c r="R307"/>
  <c r="S307"/>
  <c r="T307"/>
  <c r="AB307"/>
  <c r="AC307"/>
  <c r="AD307"/>
  <c r="AL307"/>
  <c r="BR307"/>
  <c r="CC307"/>
  <c r="CD307"/>
  <c r="CG307"/>
  <c r="B308"/>
  <c r="C308"/>
  <c r="L308"/>
  <c r="M308"/>
  <c r="N308"/>
  <c r="R308"/>
  <c r="S308"/>
  <c r="T308"/>
  <c r="AB308"/>
  <c r="AC308"/>
  <c r="AD308"/>
  <c r="AL308"/>
  <c r="BR308"/>
  <c r="CC308"/>
  <c r="CD308"/>
  <c r="CG308"/>
  <c r="B309"/>
  <c r="C309"/>
  <c r="L309"/>
  <c r="M309"/>
  <c r="N309"/>
  <c r="R309"/>
  <c r="S309"/>
  <c r="T309"/>
  <c r="AB309"/>
  <c r="AC309"/>
  <c r="AD309"/>
  <c r="AL309"/>
  <c r="BR309"/>
  <c r="CC309"/>
  <c r="CD309"/>
  <c r="CG309"/>
  <c r="B310"/>
  <c r="C310"/>
  <c r="L310"/>
  <c r="M310"/>
  <c r="N310"/>
  <c r="R310"/>
  <c r="S310"/>
  <c r="T310"/>
  <c r="AB310"/>
  <c r="AC310"/>
  <c r="AD310"/>
  <c r="AL310"/>
  <c r="BR310"/>
  <c r="CC310"/>
  <c r="CD310"/>
  <c r="CG310"/>
  <c r="B311"/>
  <c r="C311"/>
  <c r="L311"/>
  <c r="M311"/>
  <c r="N311"/>
  <c r="R311"/>
  <c r="S311"/>
  <c r="T311"/>
  <c r="AB311"/>
  <c r="AC311"/>
  <c r="AD311"/>
  <c r="AL311"/>
  <c r="BR311"/>
  <c r="CC311"/>
  <c r="CD311"/>
  <c r="CG311"/>
  <c r="B312"/>
  <c r="C312"/>
  <c r="L312"/>
  <c r="M312"/>
  <c r="N312"/>
  <c r="R312"/>
  <c r="S312"/>
  <c r="T312"/>
  <c r="AB312"/>
  <c r="AC312"/>
  <c r="AD312"/>
  <c r="AL312"/>
  <c r="BR312"/>
  <c r="CC312"/>
  <c r="CD312"/>
  <c r="CG312"/>
  <c r="B313"/>
  <c r="C313"/>
  <c r="L313"/>
  <c r="M313"/>
  <c r="N313"/>
  <c r="R313"/>
  <c r="S313"/>
  <c r="T313"/>
  <c r="AB313"/>
  <c r="AC313"/>
  <c r="AD313"/>
  <c r="AL313"/>
  <c r="BR313"/>
  <c r="CC313"/>
  <c r="CD313"/>
  <c r="CG313"/>
  <c r="B314"/>
  <c r="C314"/>
  <c r="L314"/>
  <c r="M314"/>
  <c r="N314"/>
  <c r="R314"/>
  <c r="S314"/>
  <c r="T314"/>
  <c r="AB314"/>
  <c r="AC314"/>
  <c r="AD314"/>
  <c r="AL314"/>
  <c r="BR314"/>
  <c r="CC314"/>
  <c r="CD314"/>
  <c r="CG314"/>
  <c r="B315"/>
  <c r="C315"/>
  <c r="L315"/>
  <c r="M315"/>
  <c r="N315"/>
  <c r="R315"/>
  <c r="S315"/>
  <c r="T315"/>
  <c r="AB315"/>
  <c r="AC315"/>
  <c r="AD315"/>
  <c r="AL315"/>
  <c r="BR315"/>
  <c r="CC315"/>
  <c r="CD315"/>
  <c r="CG315"/>
  <c r="B316"/>
  <c r="C316"/>
  <c r="L316"/>
  <c r="M316"/>
  <c r="N316"/>
  <c r="R316"/>
  <c r="S316"/>
  <c r="T316"/>
  <c r="AB316"/>
  <c r="AC316"/>
  <c r="AD316"/>
  <c r="AL316"/>
  <c r="BR316"/>
  <c r="CC316"/>
  <c r="CD316"/>
  <c r="CG316"/>
  <c r="B317"/>
  <c r="C317"/>
  <c r="L317"/>
  <c r="M317"/>
  <c r="N317"/>
  <c r="R317"/>
  <c r="S317"/>
  <c r="T317"/>
  <c r="AB317"/>
  <c r="AC317"/>
  <c r="AD317"/>
  <c r="AL317"/>
  <c r="BR317"/>
  <c r="CC317"/>
  <c r="CD317"/>
  <c r="CG317"/>
  <c r="B318"/>
  <c r="C318"/>
  <c r="L318"/>
  <c r="M318"/>
  <c r="N318"/>
  <c r="R318"/>
  <c r="S318"/>
  <c r="T318"/>
  <c r="AB318"/>
  <c r="AC318"/>
  <c r="AD318"/>
  <c r="AL318"/>
  <c r="BR318"/>
  <c r="CC318"/>
  <c r="CD318"/>
  <c r="CG318"/>
  <c r="B319"/>
  <c r="C319"/>
  <c r="L319"/>
  <c r="M319"/>
  <c r="N319"/>
  <c r="R319"/>
  <c r="S319"/>
  <c r="T319"/>
  <c r="AB319"/>
  <c r="AC319"/>
  <c r="AD319"/>
  <c r="AL319"/>
  <c r="BR319"/>
  <c r="CC319"/>
  <c r="CD319"/>
  <c r="CG319"/>
  <c r="B320"/>
  <c r="C320"/>
  <c r="L320"/>
  <c r="M320"/>
  <c r="N320"/>
  <c r="R320"/>
  <c r="S320"/>
  <c r="T320"/>
  <c r="AB320"/>
  <c r="AC320"/>
  <c r="AD320"/>
  <c r="AL320"/>
  <c r="BR320"/>
  <c r="CC320"/>
  <c r="CD320"/>
  <c r="CG320"/>
  <c r="B321"/>
  <c r="C321"/>
  <c r="L321"/>
  <c r="M321"/>
  <c r="N321"/>
  <c r="R321"/>
  <c r="S321"/>
  <c r="T321"/>
  <c r="AB321"/>
  <c r="AC321"/>
  <c r="AD321"/>
  <c r="AL321"/>
  <c r="BR321"/>
  <c r="CC321"/>
  <c r="CD321"/>
  <c r="CG321"/>
  <c r="B322"/>
  <c r="C322"/>
  <c r="L322"/>
  <c r="M322"/>
  <c r="N322"/>
  <c r="R322"/>
  <c r="S322"/>
  <c r="T322"/>
  <c r="AB322"/>
  <c r="AC322"/>
  <c r="AD322"/>
  <c r="AL322"/>
  <c r="BR322"/>
  <c r="CC322"/>
  <c r="CD322"/>
  <c r="CG322"/>
  <c r="B323"/>
  <c r="C323"/>
  <c r="L323"/>
  <c r="M323"/>
  <c r="N323"/>
  <c r="R323"/>
  <c r="S323"/>
  <c r="T323"/>
  <c r="AB323"/>
  <c r="AC323"/>
  <c r="AD323"/>
  <c r="AL323"/>
  <c r="BR323"/>
  <c r="CC323"/>
  <c r="CD323"/>
  <c r="CG323"/>
  <c r="B324"/>
  <c r="C324"/>
  <c r="L324"/>
  <c r="M324"/>
  <c r="N324"/>
  <c r="R324"/>
  <c r="S324"/>
  <c r="T324"/>
  <c r="AB324"/>
  <c r="AC324"/>
  <c r="AD324"/>
  <c r="AL324"/>
  <c r="BR324"/>
  <c r="CC324"/>
  <c r="CD324"/>
  <c r="CG324"/>
  <c r="B325"/>
  <c r="C325"/>
  <c r="L325"/>
  <c r="M325"/>
  <c r="N325"/>
  <c r="R325"/>
  <c r="S325"/>
  <c r="T325"/>
  <c r="AB325"/>
  <c r="AC325"/>
  <c r="AD325"/>
  <c r="AL325"/>
  <c r="BR325"/>
  <c r="CC325"/>
  <c r="CD325"/>
  <c r="CG325"/>
  <c r="B326"/>
  <c r="C326"/>
  <c r="L326"/>
  <c r="M326"/>
  <c r="N326"/>
  <c r="R326"/>
  <c r="S326"/>
  <c r="T326"/>
  <c r="AB326"/>
  <c r="AC326"/>
  <c r="AD326"/>
  <c r="AL326"/>
  <c r="BR326"/>
  <c r="CC326"/>
  <c r="CD326"/>
  <c r="CG326"/>
  <c r="B327"/>
  <c r="C327"/>
  <c r="L327"/>
  <c r="M327"/>
  <c r="N327"/>
  <c r="R327"/>
  <c r="S327"/>
  <c r="T327"/>
  <c r="AB327"/>
  <c r="AC327"/>
  <c r="AD327"/>
  <c r="AL327"/>
  <c r="BR327"/>
  <c r="CC327"/>
  <c r="CD327"/>
  <c r="CG327"/>
  <c r="B328"/>
  <c r="C328"/>
  <c r="L328"/>
  <c r="M328"/>
  <c r="N328"/>
  <c r="R328"/>
  <c r="S328"/>
  <c r="T328"/>
  <c r="AB328"/>
  <c r="AC328"/>
  <c r="AD328"/>
  <c r="AL328"/>
  <c r="BR328"/>
  <c r="CC328"/>
  <c r="CD328"/>
  <c r="CG328"/>
  <c r="B329"/>
  <c r="C329"/>
  <c r="L329"/>
  <c r="M329"/>
  <c r="N329"/>
  <c r="R329"/>
  <c r="S329"/>
  <c r="T329"/>
  <c r="AB329"/>
  <c r="AC329"/>
  <c r="AD329"/>
  <c r="AL329"/>
  <c r="BR329"/>
  <c r="CC329"/>
  <c r="CD329"/>
  <c r="CG329"/>
  <c r="B330"/>
  <c r="C330"/>
  <c r="L330"/>
  <c r="M330"/>
  <c r="N330"/>
  <c r="R330"/>
  <c r="S330"/>
  <c r="T330"/>
  <c r="AB330"/>
  <c r="AC330"/>
  <c r="AD330"/>
  <c r="AL330"/>
  <c r="BR330"/>
  <c r="CC330"/>
  <c r="CD330"/>
  <c r="CG330"/>
  <c r="B331"/>
  <c r="C331"/>
  <c r="L331"/>
  <c r="M331"/>
  <c r="N331"/>
  <c r="R331"/>
  <c r="S331"/>
  <c r="T331"/>
  <c r="AB331"/>
  <c r="AC331"/>
  <c r="AD331"/>
  <c r="AL331"/>
  <c r="BR331"/>
  <c r="CC331"/>
  <c r="CD331"/>
  <c r="CG331"/>
  <c r="B332"/>
  <c r="C332"/>
  <c r="L332"/>
  <c r="M332"/>
  <c r="N332"/>
  <c r="R332"/>
  <c r="S332"/>
  <c r="T332"/>
  <c r="AB332"/>
  <c r="AC332"/>
  <c r="AD332"/>
  <c r="AL332"/>
  <c r="BR332"/>
  <c r="CC332"/>
  <c r="CD332"/>
  <c r="CG332"/>
  <c r="B333"/>
  <c r="C333"/>
  <c r="L333"/>
  <c r="M333"/>
  <c r="N333"/>
  <c r="R333"/>
  <c r="S333"/>
  <c r="T333"/>
  <c r="AB333"/>
  <c r="AC333"/>
  <c r="AD333"/>
  <c r="AL333"/>
  <c r="BR333"/>
  <c r="CC333"/>
  <c r="CD333"/>
  <c r="CG333"/>
  <c r="B334"/>
  <c r="C334"/>
  <c r="L334"/>
  <c r="M334"/>
  <c r="N334"/>
  <c r="R334"/>
  <c r="S334"/>
  <c r="T334"/>
  <c r="AB334"/>
  <c r="AC334"/>
  <c r="AD334"/>
  <c r="AL334"/>
  <c r="BR334"/>
  <c r="CC334"/>
  <c r="CD334"/>
  <c r="CG334"/>
  <c r="B335"/>
  <c r="C335"/>
  <c r="L335"/>
  <c r="M335"/>
  <c r="N335"/>
  <c r="R335"/>
  <c r="S335"/>
  <c r="T335"/>
  <c r="AB335"/>
  <c r="AC335"/>
  <c r="AD335"/>
  <c r="AL335"/>
  <c r="BR335"/>
  <c r="CC335"/>
  <c r="CD335"/>
  <c r="CG335"/>
  <c r="B336"/>
  <c r="C336"/>
  <c r="L336"/>
  <c r="M336"/>
  <c r="N336"/>
  <c r="R336"/>
  <c r="S336"/>
  <c r="T336"/>
  <c r="AB336"/>
  <c r="AC336"/>
  <c r="AD336"/>
  <c r="AL336"/>
  <c r="BR336"/>
  <c r="CC336"/>
  <c r="CD336"/>
  <c r="CG336"/>
  <c r="B337"/>
  <c r="C337"/>
  <c r="L337"/>
  <c r="M337"/>
  <c r="N337"/>
  <c r="R337"/>
  <c r="S337"/>
  <c r="T337"/>
  <c r="AB337"/>
  <c r="AC337"/>
  <c r="AD337"/>
  <c r="AL337"/>
  <c r="BR337"/>
  <c r="CC337"/>
  <c r="CD337"/>
  <c r="CG337"/>
  <c r="B338"/>
  <c r="C338"/>
  <c r="L338"/>
  <c r="M338"/>
  <c r="N338"/>
  <c r="R338"/>
  <c r="S338"/>
  <c r="T338"/>
  <c r="AB338"/>
  <c r="AC338"/>
  <c r="AD338"/>
  <c r="AL338"/>
  <c r="BR338"/>
  <c r="CC338"/>
  <c r="CD338"/>
  <c r="CG338"/>
  <c r="CB338" l="1"/>
  <c r="CB334"/>
  <c r="CB330"/>
  <c r="CB326"/>
  <c r="CB322"/>
  <c r="CB318"/>
  <c r="CB314"/>
  <c r="CB310"/>
  <c r="CB306"/>
  <c r="CB302"/>
  <c r="CB333"/>
  <c r="CB335"/>
  <c r="CB331"/>
  <c r="CB327"/>
  <c r="CB323"/>
  <c r="CB319"/>
  <c r="CB315"/>
  <c r="CB311"/>
  <c r="CB307"/>
  <c r="CB303"/>
  <c r="CB299"/>
  <c r="CB336"/>
  <c r="CB332"/>
  <c r="CB328"/>
  <c r="CB324"/>
  <c r="CB320"/>
  <c r="CB316"/>
  <c r="CB312"/>
  <c r="CB308"/>
  <c r="CB304"/>
  <c r="CB300"/>
  <c r="CB337"/>
  <c r="CB329"/>
  <c r="CB325"/>
  <c r="CB321"/>
  <c r="CB317"/>
  <c r="CB313"/>
  <c r="CB309"/>
  <c r="CB305"/>
  <c r="CB301"/>
  <c r="G657" i="57" l="1"/>
  <c r="G656"/>
  <c r="L5" i="23" l="1"/>
  <c r="L7"/>
  <c r="L6"/>
  <c r="L4"/>
  <c r="L3"/>
  <c r="B339" i="2" l="1"/>
  <c r="C339"/>
  <c r="L339"/>
  <c r="M339"/>
  <c r="N339"/>
  <c r="R339"/>
  <c r="S339"/>
  <c r="T339"/>
  <c r="AB339"/>
  <c r="AC339"/>
  <c r="AD339"/>
  <c r="AL339"/>
  <c r="BR339"/>
  <c r="CC339"/>
  <c r="CD339"/>
  <c r="CG339"/>
  <c r="B340"/>
  <c r="C340"/>
  <c r="L340"/>
  <c r="M340"/>
  <c r="N340"/>
  <c r="R340"/>
  <c r="S340"/>
  <c r="T340"/>
  <c r="AB340"/>
  <c r="AC340"/>
  <c r="AD340"/>
  <c r="AL340"/>
  <c r="BR340"/>
  <c r="CC340"/>
  <c r="CD340"/>
  <c r="CG340"/>
  <c r="B341"/>
  <c r="C341"/>
  <c r="L341"/>
  <c r="M341"/>
  <c r="N341"/>
  <c r="R341"/>
  <c r="S341"/>
  <c r="T341"/>
  <c r="AB341"/>
  <c r="AC341"/>
  <c r="AD341"/>
  <c r="AL341"/>
  <c r="BR341"/>
  <c r="CC341"/>
  <c r="CD341"/>
  <c r="CG341"/>
  <c r="B342"/>
  <c r="C342"/>
  <c r="L342"/>
  <c r="M342"/>
  <c r="N342"/>
  <c r="R342"/>
  <c r="S342"/>
  <c r="T342"/>
  <c r="AB342"/>
  <c r="AC342"/>
  <c r="AD342"/>
  <c r="AL342"/>
  <c r="BR342"/>
  <c r="CC342"/>
  <c r="CD342"/>
  <c r="CG342"/>
  <c r="B343"/>
  <c r="C343"/>
  <c r="L343"/>
  <c r="M343"/>
  <c r="N343"/>
  <c r="R343"/>
  <c r="S343"/>
  <c r="T343"/>
  <c r="AB343"/>
  <c r="AC343"/>
  <c r="AD343"/>
  <c r="AL343"/>
  <c r="BR343"/>
  <c r="CC343"/>
  <c r="CD343"/>
  <c r="CG343"/>
  <c r="R344" l="1"/>
  <c r="BW344"/>
  <c r="CB341"/>
  <c r="CB343"/>
  <c r="CB340"/>
  <c r="CB342"/>
  <c r="CB339"/>
  <c r="E21" i="72" l="1"/>
  <c r="E22"/>
  <c r="E23"/>
  <c r="E24"/>
  <c r="E20"/>
  <c r="F134" l="1"/>
  <c r="F135"/>
  <c r="F136"/>
  <c r="F137"/>
  <c r="F133"/>
  <c r="F656" i="57" l="1"/>
  <c r="C83" i="4" l="1"/>
  <c r="I30" i="40" l="1"/>
  <c r="F50" i="73" l="1"/>
  <c r="E55"/>
  <c r="E59" l="1"/>
  <c r="D59"/>
  <c r="E58"/>
  <c r="D58"/>
  <c r="E57"/>
  <c r="D57"/>
  <c r="E56"/>
  <c r="D56"/>
  <c r="D55"/>
  <c r="E50"/>
  <c r="D60" l="1"/>
  <c r="E60"/>
  <c r="G56" s="1"/>
  <c r="G253" i="72" l="1"/>
  <c r="F232"/>
  <c r="D235"/>
  <c r="H193"/>
  <c r="G193"/>
  <c r="E193"/>
  <c r="G179"/>
  <c r="F179"/>
  <c r="H156"/>
  <c r="G156"/>
  <c r="F156"/>
  <c r="E156"/>
  <c r="H145"/>
  <c r="G145"/>
  <c r="H138"/>
  <c r="H157" s="1"/>
  <c r="G138"/>
  <c r="F138"/>
  <c r="E137"/>
  <c r="E136"/>
  <c r="E135"/>
  <c r="E134"/>
  <c r="E133"/>
  <c r="H127"/>
  <c r="G127"/>
  <c r="F127"/>
  <c r="E127"/>
  <c r="H117"/>
  <c r="H231" s="1"/>
  <c r="G117"/>
  <c r="E116"/>
  <c r="E114"/>
  <c r="E113"/>
  <c r="E112"/>
  <c r="H102"/>
  <c r="G103"/>
  <c r="E102"/>
  <c r="E86"/>
  <c r="G68"/>
  <c r="G69" s="1"/>
  <c r="J67"/>
  <c r="F67" s="1"/>
  <c r="J56"/>
  <c r="B44"/>
  <c r="B43"/>
  <c r="B41"/>
  <c r="B36"/>
  <c r="B35"/>
  <c r="B34"/>
  <c r="B33"/>
  <c r="G26"/>
  <c r="D26"/>
  <c r="H24"/>
  <c r="H23"/>
  <c r="H87" s="1"/>
  <c r="H22"/>
  <c r="H21"/>
  <c r="F180" l="1"/>
  <c r="J84" i="78" s="1"/>
  <c r="H103" i="72"/>
  <c r="E117"/>
  <c r="D231" s="1"/>
  <c r="H39"/>
  <c r="G105"/>
  <c r="H26"/>
  <c r="H230" s="1"/>
  <c r="G157"/>
  <c r="E105"/>
  <c r="E138"/>
  <c r="E157" s="1"/>
  <c r="D233" s="1"/>
  <c r="H69"/>
  <c r="H54"/>
  <c r="G39"/>
  <c r="G106" s="1"/>
  <c r="C30" i="40" l="1"/>
  <c r="E30" s="1"/>
  <c r="K30" s="1"/>
  <c r="D234" i="72"/>
  <c r="H236"/>
  <c r="G107"/>
  <c r="H105"/>
  <c r="H106"/>
  <c r="H252" l="1"/>
  <c r="H253" s="1"/>
  <c r="H107"/>
  <c r="D55" i="65" l="1"/>
  <c r="J653" i="57"/>
  <c r="G19" i="40" l="1"/>
  <c r="G20"/>
  <c r="G21"/>
  <c r="G22"/>
  <c r="G23"/>
  <c r="F18" i="65"/>
  <c r="J46" i="72"/>
  <c r="J51"/>
  <c r="F51" s="1"/>
  <c r="J49"/>
  <c r="J47"/>
  <c r="F47" s="1"/>
  <c r="J64"/>
  <c r="F64" s="1"/>
  <c r="J59"/>
  <c r="F59" s="1"/>
  <c r="J89"/>
  <c r="F75"/>
  <c r="F92"/>
  <c r="F93"/>
  <c r="J71"/>
  <c r="F71" s="1"/>
  <c r="CL3" i="2"/>
  <c r="CL4"/>
  <c r="CL5"/>
  <c r="CL6"/>
  <c r="CL7"/>
  <c r="E103" i="72" l="1"/>
  <c r="J83" i="78"/>
  <c r="E69" i="72"/>
  <c r="J81" i="78"/>
  <c r="E54" i="72"/>
  <c r="J80" i="78"/>
  <c r="E39" i="72"/>
  <c r="J79" i="78"/>
  <c r="F90" i="72"/>
  <c r="F91"/>
  <c r="J57"/>
  <c r="F57" s="1"/>
  <c r="J36"/>
  <c r="F36" s="1"/>
  <c r="J33"/>
  <c r="F33" s="1"/>
  <c r="J34"/>
  <c r="F34" s="1"/>
  <c r="J35"/>
  <c r="F35" s="1"/>
  <c r="J58"/>
  <c r="F58" s="1"/>
  <c r="J44"/>
  <c r="F44" s="1"/>
  <c r="J48"/>
  <c r="F48" s="1"/>
  <c r="J43"/>
  <c r="F43" s="1"/>
  <c r="J45"/>
  <c r="F45" s="1"/>
  <c r="J42"/>
  <c r="F42" s="1"/>
  <c r="J41"/>
  <c r="F41" s="1"/>
  <c r="E87"/>
  <c r="E26"/>
  <c r="D230" s="1"/>
  <c r="D236" s="1"/>
  <c r="F89"/>
  <c r="F52"/>
  <c r="F49"/>
  <c r="F46"/>
  <c r="G24" i="40"/>
  <c r="E14" s="1"/>
  <c r="E106" i="72" l="1"/>
  <c r="E107" s="1"/>
  <c r="J86" i="78"/>
  <c r="F38" i="72"/>
  <c r="F68"/>
  <c r="F102"/>
  <c r="F53"/>
  <c r="E252" l="1"/>
  <c r="E253" s="1"/>
  <c r="CL16" i="2"/>
  <c r="CL20"/>
  <c r="CL21"/>
  <c r="CL22"/>
  <c r="CL23"/>
  <c r="CL24"/>
  <c r="CL25"/>
  <c r="CL27"/>
  <c r="CL28"/>
  <c r="CL29"/>
  <c r="CL30"/>
  <c r="CL32"/>
  <c r="CL33"/>
  <c r="CL48"/>
  <c r="CL52"/>
  <c r="CL58"/>
  <c r="CL59"/>
  <c r="CL60"/>
  <c r="CL61"/>
  <c r="CL62"/>
  <c r="CL63"/>
  <c r="CL64"/>
  <c r="CL65"/>
  <c r="CL66"/>
  <c r="CL67"/>
  <c r="CL68"/>
  <c r="CL69"/>
  <c r="CL70"/>
  <c r="CL71"/>
  <c r="CL72"/>
  <c r="CL73"/>
  <c r="CL74"/>
  <c r="CL75"/>
  <c r="CL76"/>
  <c r="CL77"/>
  <c r="CL78"/>
  <c r="CL79"/>
  <c r="CL81"/>
  <c r="CL82"/>
  <c r="CL83"/>
  <c r="CL84"/>
  <c r="CL86"/>
  <c r="CL87"/>
  <c r="CL88"/>
  <c r="CL89"/>
  <c r="CL90"/>
  <c r="CL91"/>
  <c r="CL95"/>
  <c r="CL96"/>
  <c r="CL97"/>
  <c r="CL98"/>
  <c r="CL104"/>
  <c r="CL105"/>
  <c r="CL106"/>
  <c r="CL107"/>
  <c r="CL108"/>
  <c r="CL110"/>
  <c r="CL111"/>
  <c r="CL112"/>
  <c r="CL113"/>
  <c r="CL114"/>
  <c r="CL115"/>
  <c r="CL116"/>
  <c r="CL118"/>
  <c r="CL119"/>
  <c r="CL120"/>
  <c r="CL121"/>
  <c r="CL128"/>
  <c r="CL129"/>
  <c r="CL130"/>
  <c r="CL132"/>
  <c r="CL133"/>
  <c r="CL134"/>
  <c r="CL135"/>
  <c r="CL136"/>
  <c r="CL137"/>
  <c r="CL138"/>
  <c r="CL139"/>
  <c r="CL140"/>
  <c r="CL141"/>
  <c r="CL142"/>
  <c r="CL143"/>
  <c r="CL144"/>
  <c r="CL147"/>
  <c r="CL148"/>
  <c r="CL150"/>
  <c r="CL152"/>
  <c r="CL153"/>
  <c r="CL154"/>
  <c r="CL155"/>
  <c r="CL156"/>
  <c r="CL157"/>
  <c r="CL158"/>
  <c r="CL159"/>
  <c r="CL160"/>
  <c r="CL161"/>
  <c r="CL162"/>
  <c r="CL164"/>
  <c r="CL165"/>
  <c r="CL166"/>
  <c r="CL167"/>
  <c r="CL168"/>
  <c r="CL170"/>
  <c r="CL172"/>
  <c r="CL173"/>
  <c r="CL174"/>
  <c r="CL175"/>
  <c r="CL177"/>
  <c r="CL178"/>
  <c r="CL180"/>
  <c r="CL181"/>
  <c r="CL182"/>
  <c r="CL185"/>
  <c r="CL186"/>
  <c r="CL187"/>
  <c r="CL188"/>
  <c r="CL189"/>
  <c r="CL191"/>
  <c r="CL192"/>
  <c r="CL193"/>
  <c r="CL194"/>
  <c r="CL195"/>
  <c r="CL196"/>
  <c r="CL197"/>
  <c r="CL198"/>
  <c r="CL199"/>
  <c r="CL201"/>
  <c r="CL202"/>
  <c r="CL203"/>
  <c r="CL204"/>
  <c r="CL205"/>
  <c r="CL206"/>
  <c r="CL208"/>
  <c r="CL209"/>
  <c r="CL210"/>
  <c r="CL211"/>
  <c r="CL212"/>
  <c r="CL213"/>
  <c r="CL215"/>
  <c r="CL216"/>
  <c r="CL218"/>
  <c r="CL219"/>
  <c r="CL221"/>
  <c r="CL237"/>
  <c r="CL239"/>
  <c r="CL240"/>
  <c r="CL241"/>
  <c r="CL242"/>
  <c r="CL243"/>
  <c r="CL244"/>
  <c r="CL245"/>
  <c r="CL246"/>
  <c r="CL247"/>
  <c r="CL249"/>
  <c r="CL250"/>
  <c r="CL251"/>
  <c r="CL254"/>
  <c r="CL255"/>
  <c r="CL256"/>
  <c r="CL257"/>
  <c r="CL258"/>
  <c r="CL259"/>
  <c r="CL260"/>
  <c r="CL261"/>
  <c r="CL265"/>
  <c r="CL266"/>
  <c r="CL267"/>
  <c r="CL268"/>
  <c r="CL269"/>
  <c r="CL270"/>
  <c r="CL272"/>
  <c r="CL273"/>
  <c r="CL274"/>
  <c r="CL275"/>
  <c r="CL276"/>
  <c r="CL277"/>
  <c r="CL278"/>
  <c r="CL280"/>
  <c r="CL281"/>
  <c r="CL282"/>
  <c r="CL283"/>
  <c r="CL287"/>
  <c r="CL290"/>
  <c r="CL291"/>
  <c r="CL293"/>
  <c r="CL294"/>
  <c r="CL295"/>
  <c r="CL296"/>
  <c r="CL297"/>
  <c r="CL298"/>
  <c r="CL299"/>
  <c r="CL300"/>
  <c r="CL301"/>
  <c r="CL302"/>
  <c r="CL303"/>
  <c r="CL304"/>
  <c r="CL305"/>
  <c r="CL306"/>
  <c r="CL307"/>
  <c r="CL308"/>
  <c r="CL309"/>
  <c r="CL310"/>
  <c r="CL311"/>
  <c r="CL312"/>
  <c r="CL313"/>
  <c r="CL314"/>
  <c r="CL315"/>
  <c r="CL316"/>
  <c r="CL317"/>
  <c r="CL318"/>
  <c r="CL319"/>
  <c r="CL320"/>
  <c r="CL321"/>
  <c r="CL322"/>
  <c r="CL323"/>
  <c r="CL324"/>
  <c r="CL325"/>
  <c r="CL326"/>
  <c r="CL327"/>
  <c r="CL328"/>
  <c r="CL329"/>
  <c r="CL330"/>
  <c r="CL331"/>
  <c r="CL332"/>
  <c r="CL333"/>
  <c r="CL334"/>
  <c r="CL335"/>
  <c r="CL336"/>
  <c r="CL337"/>
  <c r="CL338"/>
  <c r="CL339"/>
  <c r="CL340"/>
  <c r="CL341"/>
  <c r="CL342"/>
  <c r="CL343"/>
  <c r="CK63"/>
  <c r="CK64"/>
  <c r="CK2"/>
  <c r="CK3"/>
  <c r="CK4"/>
  <c r="CK5"/>
  <c r="CK6"/>
  <c r="CK7"/>
  <c r="CK16"/>
  <c r="CK20"/>
  <c r="CK21"/>
  <c r="CK22"/>
  <c r="CK23"/>
  <c r="CK24"/>
  <c r="CK25"/>
  <c r="CK27"/>
  <c r="CK28"/>
  <c r="CK29"/>
  <c r="CK30"/>
  <c r="CK32"/>
  <c r="CK33"/>
  <c r="CK48"/>
  <c r="CK52"/>
  <c r="CK58"/>
  <c r="CK59"/>
  <c r="CK60"/>
  <c r="CK61"/>
  <c r="CK62"/>
  <c r="L2" i="23" l="1"/>
  <c r="L9" s="1"/>
  <c r="J307" s="1"/>
  <c r="K278" i="8"/>
  <c r="L278"/>
  <c r="N278"/>
  <c r="Q278"/>
  <c r="R278"/>
  <c r="T278"/>
  <c r="AA278"/>
  <c r="AB278"/>
  <c r="AD278"/>
  <c r="BY278"/>
  <c r="CC278"/>
  <c r="I279"/>
  <c r="I2" i="23"/>
  <c r="I5"/>
  <c r="I3"/>
  <c r="L314" l="1"/>
  <c r="L11"/>
  <c r="L13" s="1"/>
  <c r="BX278" i="8"/>
  <c r="I6" i="23"/>
  <c r="CC3" i="8" l="1"/>
  <c r="CC5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83"/>
  <c r="CC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2"/>
  <c r="CC113"/>
  <c r="CC114"/>
  <c r="CC115"/>
  <c r="CC116"/>
  <c r="CC117"/>
  <c r="CC118"/>
  <c r="CC119"/>
  <c r="CC120"/>
  <c r="CC121"/>
  <c r="CC122"/>
  <c r="CC123"/>
  <c r="CC124"/>
  <c r="CC125"/>
  <c r="CC126"/>
  <c r="CC127"/>
  <c r="CC128"/>
  <c r="CC129"/>
  <c r="CC130"/>
  <c r="CC131"/>
  <c r="CC132"/>
  <c r="CC133"/>
  <c r="CC134"/>
  <c r="CC135"/>
  <c r="CC136"/>
  <c r="CC137"/>
  <c r="CC138"/>
  <c r="CC139"/>
  <c r="CC140"/>
  <c r="CC141"/>
  <c r="CC142"/>
  <c r="CC143"/>
  <c r="CC144"/>
  <c r="CC145"/>
  <c r="CC146"/>
  <c r="CC147"/>
  <c r="CC148"/>
  <c r="CC149"/>
  <c r="CC150"/>
  <c r="CC151"/>
  <c r="CC152"/>
  <c r="CC153"/>
  <c r="CC154"/>
  <c r="CC155"/>
  <c r="CC156"/>
  <c r="CC157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2"/>
  <c r="CC183"/>
  <c r="CC184"/>
  <c r="CC185"/>
  <c r="CC186"/>
  <c r="CC187"/>
  <c r="CC188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4"/>
  <c r="CC215"/>
  <c r="CC216"/>
  <c r="CC217"/>
  <c r="CC218"/>
  <c r="CC219"/>
  <c r="CC220"/>
  <c r="CC221"/>
  <c r="CC222"/>
  <c r="CC223"/>
  <c r="CC224"/>
  <c r="CC225"/>
  <c r="CC226"/>
  <c r="CC227"/>
  <c r="CC228"/>
  <c r="CC229"/>
  <c r="CC230"/>
  <c r="CC231"/>
  <c r="CC232"/>
  <c r="CC233"/>
  <c r="CC234"/>
  <c r="CC235"/>
  <c r="CC236"/>
  <c r="CC237"/>
  <c r="CC238"/>
  <c r="CC239"/>
  <c r="CC240"/>
  <c r="CC241"/>
  <c r="CC242"/>
  <c r="CC243"/>
  <c r="CC244"/>
  <c r="CC245"/>
  <c r="CC246"/>
  <c r="CC247"/>
  <c r="CC248"/>
  <c r="CC249"/>
  <c r="CC250"/>
  <c r="CC251"/>
  <c r="CC252"/>
  <c r="CC253"/>
  <c r="CC254"/>
  <c r="CC255"/>
  <c r="CC256"/>
  <c r="CC257"/>
  <c r="CC258"/>
  <c r="CC259"/>
  <c r="CC260"/>
  <c r="CC261"/>
  <c r="CC262"/>
  <c r="CC263"/>
  <c r="CC264"/>
  <c r="CC265"/>
  <c r="CC266"/>
  <c r="CC267"/>
  <c r="CC268"/>
  <c r="CC269"/>
  <c r="CC270"/>
  <c r="CC271"/>
  <c r="CC272"/>
  <c r="CC273"/>
  <c r="CC274"/>
  <c r="CC275"/>
  <c r="CC276"/>
  <c r="CC277"/>
  <c r="CC2"/>
  <c r="F188" i="72" l="1"/>
  <c r="F191"/>
  <c r="F192"/>
  <c r="F190"/>
  <c r="F189"/>
  <c r="K40" i="8"/>
  <c r="L40"/>
  <c r="N40"/>
  <c r="Q40"/>
  <c r="R40"/>
  <c r="T40"/>
  <c r="AA40"/>
  <c r="AB40"/>
  <c r="AD40"/>
  <c r="K41"/>
  <c r="L41"/>
  <c r="N41"/>
  <c r="Q41"/>
  <c r="R41"/>
  <c r="T41"/>
  <c r="AA41"/>
  <c r="AB41"/>
  <c r="AD41"/>
  <c r="K42"/>
  <c r="L42"/>
  <c r="N42"/>
  <c r="Q42"/>
  <c r="R42"/>
  <c r="T42"/>
  <c r="AA42"/>
  <c r="AB42"/>
  <c r="AD42"/>
  <c r="K43"/>
  <c r="L43"/>
  <c r="N43"/>
  <c r="Q43"/>
  <c r="R43"/>
  <c r="T43"/>
  <c r="AA43"/>
  <c r="AB43"/>
  <c r="AD43"/>
  <c r="K44"/>
  <c r="L44"/>
  <c r="N44"/>
  <c r="Q44"/>
  <c r="R44"/>
  <c r="T44"/>
  <c r="AA44"/>
  <c r="AB44"/>
  <c r="AD44"/>
  <c r="K45"/>
  <c r="L45"/>
  <c r="N45"/>
  <c r="Q45"/>
  <c r="R45"/>
  <c r="T45"/>
  <c r="AA45"/>
  <c r="AB45"/>
  <c r="AD45"/>
  <c r="K46"/>
  <c r="L46"/>
  <c r="N46"/>
  <c r="Q46"/>
  <c r="R46"/>
  <c r="T46"/>
  <c r="AA46"/>
  <c r="AB46"/>
  <c r="AD46"/>
  <c r="K47"/>
  <c r="L47"/>
  <c r="N47"/>
  <c r="Q47"/>
  <c r="R47"/>
  <c r="T47"/>
  <c r="AA47"/>
  <c r="AB47"/>
  <c r="AD47"/>
  <c r="K48"/>
  <c r="L48"/>
  <c r="N48"/>
  <c r="Q48"/>
  <c r="R48"/>
  <c r="T48"/>
  <c r="AA48"/>
  <c r="AB48"/>
  <c r="AD48"/>
  <c r="K49"/>
  <c r="L49"/>
  <c r="N49"/>
  <c r="Q49"/>
  <c r="R49"/>
  <c r="T49"/>
  <c r="AA49"/>
  <c r="AB49"/>
  <c r="AD49"/>
  <c r="K50"/>
  <c r="L50"/>
  <c r="N50"/>
  <c r="Q50"/>
  <c r="R50"/>
  <c r="T50"/>
  <c r="AA50"/>
  <c r="AB50"/>
  <c r="AD50"/>
  <c r="K51"/>
  <c r="L51"/>
  <c r="N51"/>
  <c r="Q51"/>
  <c r="R51"/>
  <c r="T51"/>
  <c r="AA51"/>
  <c r="AB51"/>
  <c r="AD51"/>
  <c r="K52"/>
  <c r="L52"/>
  <c r="N52"/>
  <c r="Q52"/>
  <c r="R52"/>
  <c r="T52"/>
  <c r="AA52"/>
  <c r="AB52"/>
  <c r="AD52"/>
  <c r="K53"/>
  <c r="L53"/>
  <c r="N53"/>
  <c r="Q53"/>
  <c r="R53"/>
  <c r="T53"/>
  <c r="AA53"/>
  <c r="AB53"/>
  <c r="AD53"/>
  <c r="K54"/>
  <c r="L54"/>
  <c r="N54"/>
  <c r="Q54"/>
  <c r="R54"/>
  <c r="T54"/>
  <c r="AA54"/>
  <c r="AB54"/>
  <c r="AD54"/>
  <c r="K55"/>
  <c r="L55"/>
  <c r="N55"/>
  <c r="Q55"/>
  <c r="R55"/>
  <c r="T55"/>
  <c r="AA55"/>
  <c r="AB55"/>
  <c r="AD55"/>
  <c r="K56"/>
  <c r="L56"/>
  <c r="N56"/>
  <c r="Q56"/>
  <c r="R56"/>
  <c r="T56"/>
  <c r="AA56"/>
  <c r="AB56"/>
  <c r="AD56"/>
  <c r="K57"/>
  <c r="L57"/>
  <c r="N57"/>
  <c r="Q57"/>
  <c r="R57"/>
  <c r="T57"/>
  <c r="AA57"/>
  <c r="AB57"/>
  <c r="AD57"/>
  <c r="K58"/>
  <c r="L58"/>
  <c r="N58"/>
  <c r="Q58"/>
  <c r="R58"/>
  <c r="T58"/>
  <c r="AA58"/>
  <c r="AB58"/>
  <c r="AD58"/>
  <c r="K59"/>
  <c r="L59"/>
  <c r="N59"/>
  <c r="Q59"/>
  <c r="R59"/>
  <c r="T59"/>
  <c r="AA59"/>
  <c r="AB59"/>
  <c r="AD59"/>
  <c r="K60"/>
  <c r="L60"/>
  <c r="N60"/>
  <c r="Q60"/>
  <c r="R60"/>
  <c r="T60"/>
  <c r="AA60"/>
  <c r="AB60"/>
  <c r="AD60"/>
  <c r="K61"/>
  <c r="L61"/>
  <c r="N61"/>
  <c r="Q61"/>
  <c r="R61"/>
  <c r="T61"/>
  <c r="AA61"/>
  <c r="AB61"/>
  <c r="AD61"/>
  <c r="K62"/>
  <c r="L62"/>
  <c r="N62"/>
  <c r="Q62"/>
  <c r="R62"/>
  <c r="T62"/>
  <c r="AA62"/>
  <c r="AB62"/>
  <c r="AD62"/>
  <c r="K63"/>
  <c r="L63"/>
  <c r="N63"/>
  <c r="Q63"/>
  <c r="R63"/>
  <c r="T63"/>
  <c r="AA63"/>
  <c r="AB63"/>
  <c r="AD63"/>
  <c r="K64"/>
  <c r="L64"/>
  <c r="N64"/>
  <c r="Q64"/>
  <c r="R64"/>
  <c r="T64"/>
  <c r="AA64"/>
  <c r="AB64"/>
  <c r="AD64"/>
  <c r="K65"/>
  <c r="L65"/>
  <c r="N65"/>
  <c r="Q65"/>
  <c r="R65"/>
  <c r="T65"/>
  <c r="AA65"/>
  <c r="AB65"/>
  <c r="AD65"/>
  <c r="K66"/>
  <c r="L66"/>
  <c r="N66"/>
  <c r="Q66"/>
  <c r="R66"/>
  <c r="T66"/>
  <c r="AA66"/>
  <c r="AB66"/>
  <c r="AD66"/>
  <c r="K67"/>
  <c r="L67"/>
  <c r="N67"/>
  <c r="Q67"/>
  <c r="R67"/>
  <c r="T67"/>
  <c r="AA67"/>
  <c r="AB67"/>
  <c r="AD67"/>
  <c r="K68"/>
  <c r="L68"/>
  <c r="N68"/>
  <c r="Q68"/>
  <c r="R68"/>
  <c r="T68"/>
  <c r="AA68"/>
  <c r="AB68"/>
  <c r="AD68"/>
  <c r="K69"/>
  <c r="L69"/>
  <c r="N69"/>
  <c r="Q69"/>
  <c r="R69"/>
  <c r="T69"/>
  <c r="AA69"/>
  <c r="AB69"/>
  <c r="AD69"/>
  <c r="K70"/>
  <c r="L70"/>
  <c r="N70"/>
  <c r="Q70"/>
  <c r="R70"/>
  <c r="T70"/>
  <c r="AA70"/>
  <c r="AB70"/>
  <c r="AD70"/>
  <c r="K71"/>
  <c r="L71"/>
  <c r="N71"/>
  <c r="Q71"/>
  <c r="R71"/>
  <c r="T71"/>
  <c r="AA71"/>
  <c r="AB71"/>
  <c r="AD71"/>
  <c r="K72"/>
  <c r="L72"/>
  <c r="N72"/>
  <c r="Q72"/>
  <c r="R72"/>
  <c r="T72"/>
  <c r="AA72"/>
  <c r="AB72"/>
  <c r="AD72"/>
  <c r="K73"/>
  <c r="L73"/>
  <c r="N73"/>
  <c r="Q73"/>
  <c r="R73"/>
  <c r="T73"/>
  <c r="AA73"/>
  <c r="AB73"/>
  <c r="AD73"/>
  <c r="K74"/>
  <c r="L74"/>
  <c r="N74"/>
  <c r="Q74"/>
  <c r="R74"/>
  <c r="T74"/>
  <c r="AA74"/>
  <c r="AB74"/>
  <c r="AD74"/>
  <c r="K75"/>
  <c r="L75"/>
  <c r="N75"/>
  <c r="Q75"/>
  <c r="R75"/>
  <c r="T75"/>
  <c r="AA75"/>
  <c r="AB75"/>
  <c r="AD75"/>
  <c r="K76"/>
  <c r="L76"/>
  <c r="N76"/>
  <c r="Q76"/>
  <c r="R76"/>
  <c r="T76"/>
  <c r="AA76"/>
  <c r="AB76"/>
  <c r="AD76"/>
  <c r="K77"/>
  <c r="L77"/>
  <c r="N77"/>
  <c r="Q77"/>
  <c r="R77"/>
  <c r="T77"/>
  <c r="AA77"/>
  <c r="AB77"/>
  <c r="AD77"/>
  <c r="K78"/>
  <c r="L78"/>
  <c r="N78"/>
  <c r="Q78"/>
  <c r="R78"/>
  <c r="T78"/>
  <c r="AA78"/>
  <c r="AB78"/>
  <c r="AD78"/>
  <c r="K79"/>
  <c r="L79"/>
  <c r="N79"/>
  <c r="Q79"/>
  <c r="R79"/>
  <c r="T79"/>
  <c r="AA79"/>
  <c r="AB79"/>
  <c r="AD79"/>
  <c r="K80"/>
  <c r="L80"/>
  <c r="N80"/>
  <c r="Q80"/>
  <c r="R80"/>
  <c r="T80"/>
  <c r="AA80"/>
  <c r="AB80"/>
  <c r="AD80"/>
  <c r="K81"/>
  <c r="L81"/>
  <c r="N81"/>
  <c r="Q81"/>
  <c r="R81"/>
  <c r="T81"/>
  <c r="AA81"/>
  <c r="AB81"/>
  <c r="AD81"/>
  <c r="K82"/>
  <c r="L82"/>
  <c r="N82"/>
  <c r="Q82"/>
  <c r="R82"/>
  <c r="T82"/>
  <c r="AA82"/>
  <c r="AB82"/>
  <c r="AD82"/>
  <c r="K83"/>
  <c r="L83"/>
  <c r="N83"/>
  <c r="Q83"/>
  <c r="R83"/>
  <c r="T83"/>
  <c r="AA83"/>
  <c r="AB83"/>
  <c r="AD83"/>
  <c r="K84"/>
  <c r="L84"/>
  <c r="N84"/>
  <c r="Q84"/>
  <c r="R84"/>
  <c r="T84"/>
  <c r="AA84"/>
  <c r="AB84"/>
  <c r="AD84"/>
  <c r="K85"/>
  <c r="L85"/>
  <c r="N85"/>
  <c r="Q85"/>
  <c r="R85"/>
  <c r="T85"/>
  <c r="AA85"/>
  <c r="AB85"/>
  <c r="AD85"/>
  <c r="K86"/>
  <c r="L86"/>
  <c r="N86"/>
  <c r="Q86"/>
  <c r="R86"/>
  <c r="T86"/>
  <c r="AA86"/>
  <c r="AB86"/>
  <c r="AD86"/>
  <c r="K87"/>
  <c r="L87"/>
  <c r="N87"/>
  <c r="Q87"/>
  <c r="R87"/>
  <c r="T87"/>
  <c r="AA87"/>
  <c r="AB87"/>
  <c r="AD87"/>
  <c r="K88"/>
  <c r="L88"/>
  <c r="N88"/>
  <c r="Q88"/>
  <c r="R88"/>
  <c r="T88"/>
  <c r="AA88"/>
  <c r="AB88"/>
  <c r="AD88"/>
  <c r="K89"/>
  <c r="L89"/>
  <c r="N89"/>
  <c r="Q89"/>
  <c r="R89"/>
  <c r="T89"/>
  <c r="AA89"/>
  <c r="AB89"/>
  <c r="AD89"/>
  <c r="K90"/>
  <c r="L90"/>
  <c r="N90"/>
  <c r="Q90"/>
  <c r="R90"/>
  <c r="T90"/>
  <c r="AA90"/>
  <c r="AB90"/>
  <c r="AD90"/>
  <c r="K91"/>
  <c r="L91"/>
  <c r="N91"/>
  <c r="Q91"/>
  <c r="R91"/>
  <c r="T91"/>
  <c r="AA91"/>
  <c r="AB91"/>
  <c r="AD91"/>
  <c r="K92"/>
  <c r="L92"/>
  <c r="N92"/>
  <c r="Q92"/>
  <c r="R92"/>
  <c r="T92"/>
  <c r="AA92"/>
  <c r="AB92"/>
  <c r="AD92"/>
  <c r="K93"/>
  <c r="L93"/>
  <c r="N93"/>
  <c r="Q93"/>
  <c r="R93"/>
  <c r="T93"/>
  <c r="AA93"/>
  <c r="AB93"/>
  <c r="AD93"/>
  <c r="K94"/>
  <c r="L94"/>
  <c r="N94"/>
  <c r="Q94"/>
  <c r="R94"/>
  <c r="T94"/>
  <c r="AA94"/>
  <c r="AB94"/>
  <c r="AD94"/>
  <c r="K95"/>
  <c r="L95"/>
  <c r="N95"/>
  <c r="Q95"/>
  <c r="R95"/>
  <c r="T95"/>
  <c r="AA95"/>
  <c r="AB95"/>
  <c r="AD95"/>
  <c r="K96"/>
  <c r="L96"/>
  <c r="N96"/>
  <c r="Q96"/>
  <c r="R96"/>
  <c r="T96"/>
  <c r="AA96"/>
  <c r="AB96"/>
  <c r="AD96"/>
  <c r="K97"/>
  <c r="L97"/>
  <c r="N97"/>
  <c r="Q97"/>
  <c r="R97"/>
  <c r="T97"/>
  <c r="AA97"/>
  <c r="AB97"/>
  <c r="AD97"/>
  <c r="K98"/>
  <c r="L98"/>
  <c r="N98"/>
  <c r="Q98"/>
  <c r="R98"/>
  <c r="T98"/>
  <c r="AA98"/>
  <c r="AB98"/>
  <c r="AD98"/>
  <c r="K99"/>
  <c r="L99"/>
  <c r="N99"/>
  <c r="Q99"/>
  <c r="R99"/>
  <c r="T99"/>
  <c r="AA99"/>
  <c r="AB99"/>
  <c r="AD99"/>
  <c r="K100"/>
  <c r="L100"/>
  <c r="N100"/>
  <c r="Q100"/>
  <c r="R100"/>
  <c r="T100"/>
  <c r="AA100"/>
  <c r="AB100"/>
  <c r="AD100"/>
  <c r="K101"/>
  <c r="L101"/>
  <c r="N101"/>
  <c r="Q101"/>
  <c r="R101"/>
  <c r="T101"/>
  <c r="AA101"/>
  <c r="AB101"/>
  <c r="AD101"/>
  <c r="K102"/>
  <c r="L102"/>
  <c r="N102"/>
  <c r="Q102"/>
  <c r="R102"/>
  <c r="T102"/>
  <c r="AA102"/>
  <c r="AB102"/>
  <c r="AD102"/>
  <c r="K103"/>
  <c r="L103"/>
  <c r="N103"/>
  <c r="Q103"/>
  <c r="R103"/>
  <c r="T103"/>
  <c r="AA103"/>
  <c r="AB103"/>
  <c r="AD103"/>
  <c r="K104"/>
  <c r="L104"/>
  <c r="N104"/>
  <c r="Q104"/>
  <c r="R104"/>
  <c r="T104"/>
  <c r="AA104"/>
  <c r="AB104"/>
  <c r="AD104"/>
  <c r="K105"/>
  <c r="L105"/>
  <c r="N105"/>
  <c r="Q105"/>
  <c r="R105"/>
  <c r="T105"/>
  <c r="AA105"/>
  <c r="AB105"/>
  <c r="AD105"/>
  <c r="K106"/>
  <c r="L106"/>
  <c r="N106"/>
  <c r="Q106"/>
  <c r="R106"/>
  <c r="T106"/>
  <c r="AA106"/>
  <c r="AB106"/>
  <c r="AD106"/>
  <c r="K107"/>
  <c r="L107"/>
  <c r="N107"/>
  <c r="Q107"/>
  <c r="R107"/>
  <c r="T107"/>
  <c r="AA107"/>
  <c r="AB107"/>
  <c r="AD107"/>
  <c r="K108"/>
  <c r="L108"/>
  <c r="N108"/>
  <c r="Q108"/>
  <c r="R108"/>
  <c r="T108"/>
  <c r="AA108"/>
  <c r="AB108"/>
  <c r="AD108"/>
  <c r="K109"/>
  <c r="L109"/>
  <c r="N109"/>
  <c r="Q109"/>
  <c r="R109"/>
  <c r="T109"/>
  <c r="AA109"/>
  <c r="AB109"/>
  <c r="AD109"/>
  <c r="K110"/>
  <c r="L110"/>
  <c r="N110"/>
  <c r="Q110"/>
  <c r="R110"/>
  <c r="T110"/>
  <c r="AA110"/>
  <c r="AB110"/>
  <c r="AD110"/>
  <c r="K111"/>
  <c r="L111"/>
  <c r="N111"/>
  <c r="Q111"/>
  <c r="R111"/>
  <c r="T111"/>
  <c r="AA111"/>
  <c r="AB111"/>
  <c r="AD111"/>
  <c r="K112"/>
  <c r="L112"/>
  <c r="N112"/>
  <c r="Q112"/>
  <c r="R112"/>
  <c r="T112"/>
  <c r="AA112"/>
  <c r="AB112"/>
  <c r="AD112"/>
  <c r="K113"/>
  <c r="L113"/>
  <c r="N113"/>
  <c r="Q113"/>
  <c r="R113"/>
  <c r="T113"/>
  <c r="AA113"/>
  <c r="AB113"/>
  <c r="AD113"/>
  <c r="K114"/>
  <c r="L114"/>
  <c r="N114"/>
  <c r="Q114"/>
  <c r="R114"/>
  <c r="T114"/>
  <c r="AA114"/>
  <c r="AB114"/>
  <c r="AD114"/>
  <c r="K115"/>
  <c r="L115"/>
  <c r="N115"/>
  <c r="Q115"/>
  <c r="R115"/>
  <c r="T115"/>
  <c r="AA115"/>
  <c r="AB115"/>
  <c r="AD115"/>
  <c r="K116"/>
  <c r="L116"/>
  <c r="N116"/>
  <c r="Q116"/>
  <c r="R116"/>
  <c r="T116"/>
  <c r="AA116"/>
  <c r="AB116"/>
  <c r="AD116"/>
  <c r="K117"/>
  <c r="L117"/>
  <c r="N117"/>
  <c r="Q117"/>
  <c r="R117"/>
  <c r="T117"/>
  <c r="AA117"/>
  <c r="AB117"/>
  <c r="AD117"/>
  <c r="K118"/>
  <c r="L118"/>
  <c r="N118"/>
  <c r="Q118"/>
  <c r="R118"/>
  <c r="T118"/>
  <c r="AA118"/>
  <c r="AB118"/>
  <c r="AD118"/>
  <c r="K119"/>
  <c r="L119"/>
  <c r="N119"/>
  <c r="Q119"/>
  <c r="R119"/>
  <c r="T119"/>
  <c r="AA119"/>
  <c r="AB119"/>
  <c r="AD119"/>
  <c r="K120"/>
  <c r="L120"/>
  <c r="N120"/>
  <c r="Q120"/>
  <c r="R120"/>
  <c r="T120"/>
  <c r="AA120"/>
  <c r="AB120"/>
  <c r="AD120"/>
  <c r="K121"/>
  <c r="L121"/>
  <c r="N121"/>
  <c r="Q121"/>
  <c r="R121"/>
  <c r="T121"/>
  <c r="AA121"/>
  <c r="AB121"/>
  <c r="AD121"/>
  <c r="K122"/>
  <c r="L122"/>
  <c r="N122"/>
  <c r="Q122"/>
  <c r="R122"/>
  <c r="T122"/>
  <c r="AA122"/>
  <c r="AB122"/>
  <c r="AD122"/>
  <c r="K123"/>
  <c r="L123"/>
  <c r="N123"/>
  <c r="Q123"/>
  <c r="R123"/>
  <c r="T123"/>
  <c r="AA123"/>
  <c r="AB123"/>
  <c r="AD123"/>
  <c r="K124"/>
  <c r="L124"/>
  <c r="N124"/>
  <c r="Q124"/>
  <c r="R124"/>
  <c r="T124"/>
  <c r="AA124"/>
  <c r="AB124"/>
  <c r="AD124"/>
  <c r="K125"/>
  <c r="L125"/>
  <c r="N125"/>
  <c r="Q125"/>
  <c r="R125"/>
  <c r="T125"/>
  <c r="AA125"/>
  <c r="AB125"/>
  <c r="AD125"/>
  <c r="K126"/>
  <c r="L126"/>
  <c r="N126"/>
  <c r="Q126"/>
  <c r="R126"/>
  <c r="T126"/>
  <c r="AA126"/>
  <c r="AB126"/>
  <c r="AD126"/>
  <c r="K127"/>
  <c r="L127"/>
  <c r="N127"/>
  <c r="Q127"/>
  <c r="R127"/>
  <c r="T127"/>
  <c r="AA127"/>
  <c r="AB127"/>
  <c r="AD127"/>
  <c r="K128"/>
  <c r="L128"/>
  <c r="N128"/>
  <c r="Q128"/>
  <c r="R128"/>
  <c r="T128"/>
  <c r="AA128"/>
  <c r="AB128"/>
  <c r="AD128"/>
  <c r="K129"/>
  <c r="L129"/>
  <c r="N129"/>
  <c r="Q129"/>
  <c r="R129"/>
  <c r="T129"/>
  <c r="AA129"/>
  <c r="AB129"/>
  <c r="AD129"/>
  <c r="K130"/>
  <c r="L130"/>
  <c r="N130"/>
  <c r="Q130"/>
  <c r="R130"/>
  <c r="T130"/>
  <c r="AA130"/>
  <c r="AB130"/>
  <c r="AD130"/>
  <c r="K131"/>
  <c r="L131"/>
  <c r="N131"/>
  <c r="Q131"/>
  <c r="R131"/>
  <c r="T131"/>
  <c r="AA131"/>
  <c r="AB131"/>
  <c r="AD131"/>
  <c r="K132"/>
  <c r="L132"/>
  <c r="N132"/>
  <c r="Q132"/>
  <c r="R132"/>
  <c r="T132"/>
  <c r="AA132"/>
  <c r="AB132"/>
  <c r="AD132"/>
  <c r="K133"/>
  <c r="L133"/>
  <c r="N133"/>
  <c r="Q133"/>
  <c r="R133"/>
  <c r="T133"/>
  <c r="AA133"/>
  <c r="AB133"/>
  <c r="AD133"/>
  <c r="K134"/>
  <c r="L134"/>
  <c r="N134"/>
  <c r="Q134"/>
  <c r="R134"/>
  <c r="T134"/>
  <c r="AA134"/>
  <c r="AB134"/>
  <c r="AD134"/>
  <c r="K135"/>
  <c r="L135"/>
  <c r="N135"/>
  <c r="Q135"/>
  <c r="R135"/>
  <c r="T135"/>
  <c r="AA135"/>
  <c r="AB135"/>
  <c r="AD135"/>
  <c r="K136"/>
  <c r="L136"/>
  <c r="N136"/>
  <c r="Q136"/>
  <c r="R136"/>
  <c r="T136"/>
  <c r="AA136"/>
  <c r="AB136"/>
  <c r="AD136"/>
  <c r="K137"/>
  <c r="L137"/>
  <c r="N137"/>
  <c r="Q137"/>
  <c r="R137"/>
  <c r="T137"/>
  <c r="AA137"/>
  <c r="AB137"/>
  <c r="AD137"/>
  <c r="K138"/>
  <c r="L138"/>
  <c r="N138"/>
  <c r="Q138"/>
  <c r="R138"/>
  <c r="T138"/>
  <c r="AA138"/>
  <c r="AB138"/>
  <c r="AD138"/>
  <c r="K139"/>
  <c r="L139"/>
  <c r="N139"/>
  <c r="Q139"/>
  <c r="R139"/>
  <c r="T139"/>
  <c r="AA139"/>
  <c r="AB139"/>
  <c r="AD139"/>
  <c r="K140"/>
  <c r="L140"/>
  <c r="N140"/>
  <c r="Q140"/>
  <c r="R140"/>
  <c r="T140"/>
  <c r="AA140"/>
  <c r="AB140"/>
  <c r="AD140"/>
  <c r="K141"/>
  <c r="L141"/>
  <c r="N141"/>
  <c r="Q141"/>
  <c r="R141"/>
  <c r="T141"/>
  <c r="AA141"/>
  <c r="AB141"/>
  <c r="AD141"/>
  <c r="K142"/>
  <c r="L142"/>
  <c r="N142"/>
  <c r="Q142"/>
  <c r="R142"/>
  <c r="T142"/>
  <c r="AA142"/>
  <c r="AB142"/>
  <c r="AD142"/>
  <c r="K143"/>
  <c r="L143"/>
  <c r="N143"/>
  <c r="Q143"/>
  <c r="R143"/>
  <c r="T143"/>
  <c r="AA143"/>
  <c r="AB143"/>
  <c r="AD143"/>
  <c r="K144"/>
  <c r="L144"/>
  <c r="N144"/>
  <c r="Q144"/>
  <c r="R144"/>
  <c r="T144"/>
  <c r="AA144"/>
  <c r="AB144"/>
  <c r="AD144"/>
  <c r="K145"/>
  <c r="L145"/>
  <c r="N145"/>
  <c r="Q145"/>
  <c r="R145"/>
  <c r="T145"/>
  <c r="AA145"/>
  <c r="AB145"/>
  <c r="AD145"/>
  <c r="K146"/>
  <c r="L146"/>
  <c r="N146"/>
  <c r="Q146"/>
  <c r="R146"/>
  <c r="T146"/>
  <c r="AA146"/>
  <c r="AB146"/>
  <c r="AD146"/>
  <c r="K147"/>
  <c r="L147"/>
  <c r="N147"/>
  <c r="Q147"/>
  <c r="R147"/>
  <c r="T147"/>
  <c r="AA147"/>
  <c r="AB147"/>
  <c r="AD147"/>
  <c r="K148"/>
  <c r="L148"/>
  <c r="N148"/>
  <c r="Q148"/>
  <c r="R148"/>
  <c r="T148"/>
  <c r="AA148"/>
  <c r="AB148"/>
  <c r="AD148"/>
  <c r="K149"/>
  <c r="L149"/>
  <c r="N149"/>
  <c r="Q149"/>
  <c r="R149"/>
  <c r="T149"/>
  <c r="AA149"/>
  <c r="AB149"/>
  <c r="AD149"/>
  <c r="K150"/>
  <c r="L150"/>
  <c r="N150"/>
  <c r="Q150"/>
  <c r="R150"/>
  <c r="T150"/>
  <c r="AA150"/>
  <c r="AB150"/>
  <c r="AD150"/>
  <c r="K151"/>
  <c r="L151"/>
  <c r="N151"/>
  <c r="Q151"/>
  <c r="R151"/>
  <c r="T151"/>
  <c r="AA151"/>
  <c r="AB151"/>
  <c r="AD151"/>
  <c r="K152"/>
  <c r="L152"/>
  <c r="N152"/>
  <c r="Q152"/>
  <c r="R152"/>
  <c r="T152"/>
  <c r="AA152"/>
  <c r="AB152"/>
  <c r="AD152"/>
  <c r="K153"/>
  <c r="L153"/>
  <c r="N153"/>
  <c r="Q153"/>
  <c r="R153"/>
  <c r="T153"/>
  <c r="AA153"/>
  <c r="AB153"/>
  <c r="AD153"/>
  <c r="K154"/>
  <c r="L154"/>
  <c r="N154"/>
  <c r="Q154"/>
  <c r="R154"/>
  <c r="T154"/>
  <c r="AA154"/>
  <c r="AB154"/>
  <c r="AD154"/>
  <c r="K155"/>
  <c r="L155"/>
  <c r="N155"/>
  <c r="Q155"/>
  <c r="R155"/>
  <c r="T155"/>
  <c r="AA155"/>
  <c r="AB155"/>
  <c r="AD155"/>
  <c r="K156"/>
  <c r="L156"/>
  <c r="N156"/>
  <c r="Q156"/>
  <c r="R156"/>
  <c r="T156"/>
  <c r="AA156"/>
  <c r="AB156"/>
  <c r="AD156"/>
  <c r="K157"/>
  <c r="L157"/>
  <c r="N157"/>
  <c r="Q157"/>
  <c r="R157"/>
  <c r="T157"/>
  <c r="AA157"/>
  <c r="AB157"/>
  <c r="AD157"/>
  <c r="K158"/>
  <c r="L158"/>
  <c r="N158"/>
  <c r="Q158"/>
  <c r="R158"/>
  <c r="T158"/>
  <c r="AA158"/>
  <c r="AB158"/>
  <c r="AD158"/>
  <c r="K159"/>
  <c r="L159"/>
  <c r="N159"/>
  <c r="Q159"/>
  <c r="R159"/>
  <c r="T159"/>
  <c r="AA159"/>
  <c r="AB159"/>
  <c r="AD159"/>
  <c r="K160"/>
  <c r="L160"/>
  <c r="N160"/>
  <c r="Q160"/>
  <c r="R160"/>
  <c r="T160"/>
  <c r="AA160"/>
  <c r="AB160"/>
  <c r="AD160"/>
  <c r="K161"/>
  <c r="L161"/>
  <c r="N161"/>
  <c r="Q161"/>
  <c r="R161"/>
  <c r="T161"/>
  <c r="AA161"/>
  <c r="AB161"/>
  <c r="AD161"/>
  <c r="K162"/>
  <c r="L162"/>
  <c r="N162"/>
  <c r="Q162"/>
  <c r="R162"/>
  <c r="T162"/>
  <c r="AA162"/>
  <c r="AB162"/>
  <c r="AD162"/>
  <c r="K163"/>
  <c r="L163"/>
  <c r="N163"/>
  <c r="Q163"/>
  <c r="R163"/>
  <c r="T163"/>
  <c r="AA163"/>
  <c r="AB163"/>
  <c r="AD163"/>
  <c r="K164"/>
  <c r="L164"/>
  <c r="N164"/>
  <c r="Q164"/>
  <c r="R164"/>
  <c r="T164"/>
  <c r="AA164"/>
  <c r="AB164"/>
  <c r="AD164"/>
  <c r="K165"/>
  <c r="L165"/>
  <c r="N165"/>
  <c r="Q165"/>
  <c r="R165"/>
  <c r="T165"/>
  <c r="AA165"/>
  <c r="AB165"/>
  <c r="AD165"/>
  <c r="K166"/>
  <c r="L166"/>
  <c r="N166"/>
  <c r="Q166"/>
  <c r="R166"/>
  <c r="T166"/>
  <c r="AA166"/>
  <c r="AB166"/>
  <c r="AD166"/>
  <c r="K167"/>
  <c r="L167"/>
  <c r="N167"/>
  <c r="Q167"/>
  <c r="R167"/>
  <c r="T167"/>
  <c r="AA167"/>
  <c r="AB167"/>
  <c r="AD167"/>
  <c r="K168"/>
  <c r="L168"/>
  <c r="N168"/>
  <c r="Q168"/>
  <c r="R168"/>
  <c r="T168"/>
  <c r="AA168"/>
  <c r="AB168"/>
  <c r="AD168"/>
  <c r="K169"/>
  <c r="L169"/>
  <c r="N169"/>
  <c r="Q169"/>
  <c r="R169"/>
  <c r="T169"/>
  <c r="AA169"/>
  <c r="AB169"/>
  <c r="AD169"/>
  <c r="K170"/>
  <c r="L170"/>
  <c r="N170"/>
  <c r="Q170"/>
  <c r="R170"/>
  <c r="T170"/>
  <c r="AA170"/>
  <c r="AB170"/>
  <c r="AD170"/>
  <c r="K171"/>
  <c r="L171"/>
  <c r="N171"/>
  <c r="Q171"/>
  <c r="R171"/>
  <c r="T171"/>
  <c r="AA171"/>
  <c r="AB171"/>
  <c r="AD171"/>
  <c r="K172"/>
  <c r="L172"/>
  <c r="N172"/>
  <c r="Q172"/>
  <c r="R172"/>
  <c r="T172"/>
  <c r="AA172"/>
  <c r="AB172"/>
  <c r="AD172"/>
  <c r="K173"/>
  <c r="L173"/>
  <c r="N173"/>
  <c r="Q173"/>
  <c r="R173"/>
  <c r="T173"/>
  <c r="AA173"/>
  <c r="AB173"/>
  <c r="AD173"/>
  <c r="K174"/>
  <c r="L174"/>
  <c r="N174"/>
  <c r="Q174"/>
  <c r="R174"/>
  <c r="T174"/>
  <c r="AA174"/>
  <c r="AB174"/>
  <c r="AD174"/>
  <c r="K175"/>
  <c r="L175"/>
  <c r="N175"/>
  <c r="Q175"/>
  <c r="R175"/>
  <c r="T175"/>
  <c r="AA175"/>
  <c r="AB175"/>
  <c r="AD175"/>
  <c r="K176"/>
  <c r="L176"/>
  <c r="N176"/>
  <c r="Q176"/>
  <c r="R176"/>
  <c r="T176"/>
  <c r="AA176"/>
  <c r="AB176"/>
  <c r="AD176"/>
  <c r="K177"/>
  <c r="L177"/>
  <c r="N177"/>
  <c r="Q177"/>
  <c r="R177"/>
  <c r="T177"/>
  <c r="AA177"/>
  <c r="AB177"/>
  <c r="AD177"/>
  <c r="K178"/>
  <c r="L178"/>
  <c r="N178"/>
  <c r="Q178"/>
  <c r="R178"/>
  <c r="T178"/>
  <c r="AA178"/>
  <c r="AB178"/>
  <c r="AD178"/>
  <c r="K179"/>
  <c r="L179"/>
  <c r="N179"/>
  <c r="Q179"/>
  <c r="R179"/>
  <c r="T179"/>
  <c r="AA179"/>
  <c r="AB179"/>
  <c r="AD179"/>
  <c r="K180"/>
  <c r="L180"/>
  <c r="N180"/>
  <c r="Q180"/>
  <c r="R180"/>
  <c r="T180"/>
  <c r="AA180"/>
  <c r="AB180"/>
  <c r="AD180"/>
  <c r="K181"/>
  <c r="L181"/>
  <c r="N181"/>
  <c r="Q181"/>
  <c r="R181"/>
  <c r="T181"/>
  <c r="AA181"/>
  <c r="AB181"/>
  <c r="AD181"/>
  <c r="K182"/>
  <c r="L182"/>
  <c r="N182"/>
  <c r="Q182"/>
  <c r="R182"/>
  <c r="T182"/>
  <c r="AA182"/>
  <c r="AB182"/>
  <c r="AD182"/>
  <c r="K183"/>
  <c r="L183"/>
  <c r="N183"/>
  <c r="Q183"/>
  <c r="R183"/>
  <c r="T183"/>
  <c r="AA183"/>
  <c r="AB183"/>
  <c r="AD183"/>
  <c r="K184"/>
  <c r="L184"/>
  <c r="N184"/>
  <c r="Q184"/>
  <c r="R184"/>
  <c r="T184"/>
  <c r="AA184"/>
  <c r="AB184"/>
  <c r="AD184"/>
  <c r="K185"/>
  <c r="L185"/>
  <c r="N185"/>
  <c r="Q185"/>
  <c r="R185"/>
  <c r="T185"/>
  <c r="AA185"/>
  <c r="AB185"/>
  <c r="AD185"/>
  <c r="K186"/>
  <c r="L186"/>
  <c r="N186"/>
  <c r="Q186"/>
  <c r="R186"/>
  <c r="T186"/>
  <c r="AA186"/>
  <c r="AB186"/>
  <c r="AD186"/>
  <c r="K187"/>
  <c r="L187"/>
  <c r="N187"/>
  <c r="Q187"/>
  <c r="R187"/>
  <c r="T187"/>
  <c r="AA187"/>
  <c r="AB187"/>
  <c r="AD187"/>
  <c r="K188"/>
  <c r="L188"/>
  <c r="N188"/>
  <c r="Q188"/>
  <c r="R188"/>
  <c r="T188"/>
  <c r="AA188"/>
  <c r="AB188"/>
  <c r="AD188"/>
  <c r="K189"/>
  <c r="L189"/>
  <c r="N189"/>
  <c r="Q189"/>
  <c r="R189"/>
  <c r="T189"/>
  <c r="AA189"/>
  <c r="AB189"/>
  <c r="AD189"/>
  <c r="K190"/>
  <c r="L190"/>
  <c r="N190"/>
  <c r="Q190"/>
  <c r="R190"/>
  <c r="T190"/>
  <c r="AA190"/>
  <c r="AB190"/>
  <c r="AD190"/>
  <c r="K191"/>
  <c r="L191"/>
  <c r="N191"/>
  <c r="Q191"/>
  <c r="R191"/>
  <c r="T191"/>
  <c r="AA191"/>
  <c r="AB191"/>
  <c r="AD191"/>
  <c r="K192"/>
  <c r="L192"/>
  <c r="N192"/>
  <c r="Q192"/>
  <c r="R192"/>
  <c r="T192"/>
  <c r="AA192"/>
  <c r="AB192"/>
  <c r="AD192"/>
  <c r="K193"/>
  <c r="L193"/>
  <c r="N193"/>
  <c r="Q193"/>
  <c r="R193"/>
  <c r="T193"/>
  <c r="AA193"/>
  <c r="AB193"/>
  <c r="AD193"/>
  <c r="K194"/>
  <c r="L194"/>
  <c r="N194"/>
  <c r="Q194"/>
  <c r="R194"/>
  <c r="T194"/>
  <c r="AA194"/>
  <c r="AB194"/>
  <c r="AD194"/>
  <c r="K195"/>
  <c r="L195"/>
  <c r="N195"/>
  <c r="Q195"/>
  <c r="R195"/>
  <c r="T195"/>
  <c r="AA195"/>
  <c r="AB195"/>
  <c r="AD195"/>
  <c r="K196"/>
  <c r="L196"/>
  <c r="N196"/>
  <c r="Q196"/>
  <c r="R196"/>
  <c r="T196"/>
  <c r="AA196"/>
  <c r="AB196"/>
  <c r="AD196"/>
  <c r="K197"/>
  <c r="L197"/>
  <c r="N197"/>
  <c r="Q197"/>
  <c r="R197"/>
  <c r="T197"/>
  <c r="AA197"/>
  <c r="AB197"/>
  <c r="AD197"/>
  <c r="K198"/>
  <c r="L198"/>
  <c r="N198"/>
  <c r="Q198"/>
  <c r="R198"/>
  <c r="T198"/>
  <c r="AA198"/>
  <c r="AB198"/>
  <c r="AD198"/>
  <c r="K199"/>
  <c r="L199"/>
  <c r="N199"/>
  <c r="Q199"/>
  <c r="R199"/>
  <c r="T199"/>
  <c r="AA199"/>
  <c r="AB199"/>
  <c r="AD199"/>
  <c r="K200"/>
  <c r="L200"/>
  <c r="N200"/>
  <c r="Q200"/>
  <c r="R200"/>
  <c r="T200"/>
  <c r="AA200"/>
  <c r="AB200"/>
  <c r="AD200"/>
  <c r="K201"/>
  <c r="L201"/>
  <c r="N201"/>
  <c r="Q201"/>
  <c r="R201"/>
  <c r="T201"/>
  <c r="AA201"/>
  <c r="AB201"/>
  <c r="AD201"/>
  <c r="K202"/>
  <c r="L202"/>
  <c r="N202"/>
  <c r="Q202"/>
  <c r="R202"/>
  <c r="T202"/>
  <c r="AA202"/>
  <c r="AB202"/>
  <c r="AD202"/>
  <c r="K203"/>
  <c r="L203"/>
  <c r="N203"/>
  <c r="Q203"/>
  <c r="R203"/>
  <c r="T203"/>
  <c r="AA203"/>
  <c r="AB203"/>
  <c r="AD203"/>
  <c r="K204"/>
  <c r="L204"/>
  <c r="N204"/>
  <c r="Q204"/>
  <c r="R204"/>
  <c r="T204"/>
  <c r="AA204"/>
  <c r="AB204"/>
  <c r="AD204"/>
  <c r="K205"/>
  <c r="L205"/>
  <c r="N205"/>
  <c r="Q205"/>
  <c r="R205"/>
  <c r="T205"/>
  <c r="AA205"/>
  <c r="AB205"/>
  <c r="AD205"/>
  <c r="K206"/>
  <c r="L206"/>
  <c r="N206"/>
  <c r="Q206"/>
  <c r="R206"/>
  <c r="T206"/>
  <c r="AA206"/>
  <c r="AB206"/>
  <c r="AD206"/>
  <c r="K207"/>
  <c r="L207"/>
  <c r="N207"/>
  <c r="Q207"/>
  <c r="R207"/>
  <c r="T207"/>
  <c r="AA207"/>
  <c r="AB207"/>
  <c r="AD207"/>
  <c r="K208"/>
  <c r="L208"/>
  <c r="N208"/>
  <c r="Q208"/>
  <c r="R208"/>
  <c r="T208"/>
  <c r="AA208"/>
  <c r="AB208"/>
  <c r="AD208"/>
  <c r="K209"/>
  <c r="L209"/>
  <c r="N209"/>
  <c r="Q209"/>
  <c r="R209"/>
  <c r="T209"/>
  <c r="AA209"/>
  <c r="AB209"/>
  <c r="AD209"/>
  <c r="K210"/>
  <c r="L210"/>
  <c r="N210"/>
  <c r="Q210"/>
  <c r="R210"/>
  <c r="T210"/>
  <c r="AA210"/>
  <c r="AB210"/>
  <c r="AD210"/>
  <c r="K211"/>
  <c r="L211"/>
  <c r="N211"/>
  <c r="Q211"/>
  <c r="R211"/>
  <c r="T211"/>
  <c r="AA211"/>
  <c r="AB211"/>
  <c r="AD211"/>
  <c r="K212"/>
  <c r="L212"/>
  <c r="N212"/>
  <c r="Q212"/>
  <c r="R212"/>
  <c r="T212"/>
  <c r="AA212"/>
  <c r="AB212"/>
  <c r="AD212"/>
  <c r="K213"/>
  <c r="L213"/>
  <c r="N213"/>
  <c r="Q213"/>
  <c r="R213"/>
  <c r="T213"/>
  <c r="AA213"/>
  <c r="AB213"/>
  <c r="AD213"/>
  <c r="K214"/>
  <c r="L214"/>
  <c r="N214"/>
  <c r="Q214"/>
  <c r="R214"/>
  <c r="T214"/>
  <c r="AA214"/>
  <c r="AB214"/>
  <c r="AD214"/>
  <c r="K215"/>
  <c r="L215"/>
  <c r="N215"/>
  <c r="Q215"/>
  <c r="R215"/>
  <c r="T215"/>
  <c r="AA215"/>
  <c r="AB215"/>
  <c r="AD215"/>
  <c r="K216"/>
  <c r="L216"/>
  <c r="N216"/>
  <c r="Q216"/>
  <c r="R216"/>
  <c r="T216"/>
  <c r="AA216"/>
  <c r="AB216"/>
  <c r="AD216"/>
  <c r="K217"/>
  <c r="L217"/>
  <c r="N217"/>
  <c r="Q217"/>
  <c r="R217"/>
  <c r="T217"/>
  <c r="AA217"/>
  <c r="AB217"/>
  <c r="AD217"/>
  <c r="K218"/>
  <c r="L218"/>
  <c r="N218"/>
  <c r="Q218"/>
  <c r="R218"/>
  <c r="T218"/>
  <c r="AA218"/>
  <c r="AB218"/>
  <c r="AD218"/>
  <c r="K219"/>
  <c r="L219"/>
  <c r="N219"/>
  <c r="Q219"/>
  <c r="R219"/>
  <c r="T219"/>
  <c r="AA219"/>
  <c r="AB219"/>
  <c r="AD219"/>
  <c r="K220"/>
  <c r="L220"/>
  <c r="N220"/>
  <c r="Q220"/>
  <c r="R220"/>
  <c r="T220"/>
  <c r="AA220"/>
  <c r="AB220"/>
  <c r="AD220"/>
  <c r="K221"/>
  <c r="L221"/>
  <c r="N221"/>
  <c r="Q221"/>
  <c r="R221"/>
  <c r="T221"/>
  <c r="AA221"/>
  <c r="AB221"/>
  <c r="AD221"/>
  <c r="K222"/>
  <c r="L222"/>
  <c r="N222"/>
  <c r="Q222"/>
  <c r="R222"/>
  <c r="T222"/>
  <c r="AA222"/>
  <c r="AB222"/>
  <c r="AD222"/>
  <c r="K223"/>
  <c r="L223"/>
  <c r="N223"/>
  <c r="Q223"/>
  <c r="R223"/>
  <c r="T223"/>
  <c r="AA223"/>
  <c r="AB223"/>
  <c r="AD223"/>
  <c r="K224"/>
  <c r="L224"/>
  <c r="N224"/>
  <c r="Q224"/>
  <c r="R224"/>
  <c r="T224"/>
  <c r="AA224"/>
  <c r="AB224"/>
  <c r="AD224"/>
  <c r="K225"/>
  <c r="L225"/>
  <c r="N225"/>
  <c r="Q225"/>
  <c r="R225"/>
  <c r="T225"/>
  <c r="AA225"/>
  <c r="AB225"/>
  <c r="AD225"/>
  <c r="K226"/>
  <c r="L226"/>
  <c r="N226"/>
  <c r="Q226"/>
  <c r="R226"/>
  <c r="T226"/>
  <c r="AA226"/>
  <c r="AB226"/>
  <c r="AD226"/>
  <c r="K227"/>
  <c r="L227"/>
  <c r="N227"/>
  <c r="Q227"/>
  <c r="R227"/>
  <c r="T227"/>
  <c r="AA227"/>
  <c r="AB227"/>
  <c r="AD227"/>
  <c r="K228"/>
  <c r="L228"/>
  <c r="N228"/>
  <c r="Q228"/>
  <c r="R228"/>
  <c r="T228"/>
  <c r="AA228"/>
  <c r="AB228"/>
  <c r="AD228"/>
  <c r="K229"/>
  <c r="L229"/>
  <c r="N229"/>
  <c r="Q229"/>
  <c r="R229"/>
  <c r="T229"/>
  <c r="AA229"/>
  <c r="AB229"/>
  <c r="AD229"/>
  <c r="K230"/>
  <c r="L230"/>
  <c r="N230"/>
  <c r="Q230"/>
  <c r="R230"/>
  <c r="T230"/>
  <c r="AA230"/>
  <c r="AB230"/>
  <c r="AD230"/>
  <c r="K231"/>
  <c r="L231"/>
  <c r="N231"/>
  <c r="Q231"/>
  <c r="R231"/>
  <c r="T231"/>
  <c r="AA231"/>
  <c r="AB231"/>
  <c r="AD231"/>
  <c r="K232"/>
  <c r="L232"/>
  <c r="N232"/>
  <c r="Q232"/>
  <c r="R232"/>
  <c r="T232"/>
  <c r="AA232"/>
  <c r="AB232"/>
  <c r="AD232"/>
  <c r="K233"/>
  <c r="L233"/>
  <c r="N233"/>
  <c r="Q233"/>
  <c r="R233"/>
  <c r="T233"/>
  <c r="AA233"/>
  <c r="AB233"/>
  <c r="AD233"/>
  <c r="K234"/>
  <c r="L234"/>
  <c r="N234"/>
  <c r="Q234"/>
  <c r="R234"/>
  <c r="T234"/>
  <c r="AA234"/>
  <c r="AB234"/>
  <c r="AD234"/>
  <c r="K235"/>
  <c r="L235"/>
  <c r="N235"/>
  <c r="Q235"/>
  <c r="R235"/>
  <c r="T235"/>
  <c r="AA235"/>
  <c r="AB235"/>
  <c r="AD235"/>
  <c r="K236"/>
  <c r="L236"/>
  <c r="N236"/>
  <c r="Q236"/>
  <c r="R236"/>
  <c r="T236"/>
  <c r="AA236"/>
  <c r="AB236"/>
  <c r="AD236"/>
  <c r="K237"/>
  <c r="L237"/>
  <c r="N237"/>
  <c r="Q237"/>
  <c r="R237"/>
  <c r="T237"/>
  <c r="AA237"/>
  <c r="AB237"/>
  <c r="AD237"/>
  <c r="K238"/>
  <c r="L238"/>
  <c r="N238"/>
  <c r="Q238"/>
  <c r="R238"/>
  <c r="T238"/>
  <c r="AA238"/>
  <c r="AB238"/>
  <c r="AD238"/>
  <c r="K239"/>
  <c r="L239"/>
  <c r="N239"/>
  <c r="Q239"/>
  <c r="R239"/>
  <c r="T239"/>
  <c r="AA239"/>
  <c r="AB239"/>
  <c r="AD239"/>
  <c r="K240"/>
  <c r="L240"/>
  <c r="N240"/>
  <c r="Q240"/>
  <c r="R240"/>
  <c r="T240"/>
  <c r="AA240"/>
  <c r="AB240"/>
  <c r="AD240"/>
  <c r="K241"/>
  <c r="L241"/>
  <c r="N241"/>
  <c r="Q241"/>
  <c r="R241"/>
  <c r="T241"/>
  <c r="AA241"/>
  <c r="AB241"/>
  <c r="AD241"/>
  <c r="K242"/>
  <c r="L242"/>
  <c r="N242"/>
  <c r="Q242"/>
  <c r="R242"/>
  <c r="T242"/>
  <c r="AA242"/>
  <c r="AB242"/>
  <c r="AD242"/>
  <c r="K243"/>
  <c r="L243"/>
  <c r="N243"/>
  <c r="Q243"/>
  <c r="R243"/>
  <c r="T243"/>
  <c r="AA243"/>
  <c r="AB243"/>
  <c r="AD243"/>
  <c r="K244"/>
  <c r="L244"/>
  <c r="N244"/>
  <c r="Q244"/>
  <c r="R244"/>
  <c r="T244"/>
  <c r="AA244"/>
  <c r="AB244"/>
  <c r="AD244"/>
  <c r="K245"/>
  <c r="L245"/>
  <c r="N245"/>
  <c r="Q245"/>
  <c r="R245"/>
  <c r="T245"/>
  <c r="AA245"/>
  <c r="AB245"/>
  <c r="AD245"/>
  <c r="K246"/>
  <c r="L246"/>
  <c r="N246"/>
  <c r="Q246"/>
  <c r="R246"/>
  <c r="T246"/>
  <c r="AA246"/>
  <c r="AB246"/>
  <c r="AD246"/>
  <c r="K247"/>
  <c r="L247"/>
  <c r="N247"/>
  <c r="Q247"/>
  <c r="R247"/>
  <c r="T247"/>
  <c r="AA247"/>
  <c r="AB247"/>
  <c r="AD247"/>
  <c r="K248"/>
  <c r="L248"/>
  <c r="N248"/>
  <c r="Q248"/>
  <c r="R248"/>
  <c r="T248"/>
  <c r="AA248"/>
  <c r="AB248"/>
  <c r="AD248"/>
  <c r="K249"/>
  <c r="L249"/>
  <c r="N249"/>
  <c r="Q249"/>
  <c r="R249"/>
  <c r="T249"/>
  <c r="AA249"/>
  <c r="AB249"/>
  <c r="AD249"/>
  <c r="K250"/>
  <c r="L250"/>
  <c r="N250"/>
  <c r="Q250"/>
  <c r="R250"/>
  <c r="T250"/>
  <c r="AA250"/>
  <c r="AB250"/>
  <c r="AD250"/>
  <c r="K251"/>
  <c r="L251"/>
  <c r="N251"/>
  <c r="Q251"/>
  <c r="R251"/>
  <c r="T251"/>
  <c r="AA251"/>
  <c r="AB251"/>
  <c r="AD251"/>
  <c r="K252"/>
  <c r="L252"/>
  <c r="N252"/>
  <c r="Q252"/>
  <c r="R252"/>
  <c r="T252"/>
  <c r="AA252"/>
  <c r="AB252"/>
  <c r="AD252"/>
  <c r="K253"/>
  <c r="L253"/>
  <c r="N253"/>
  <c r="Q253"/>
  <c r="R253"/>
  <c r="T253"/>
  <c r="AA253"/>
  <c r="AB253"/>
  <c r="AD253"/>
  <c r="K254"/>
  <c r="L254"/>
  <c r="N254"/>
  <c r="Q254"/>
  <c r="R254"/>
  <c r="T254"/>
  <c r="AA254"/>
  <c r="AB254"/>
  <c r="AD254"/>
  <c r="K255"/>
  <c r="L255"/>
  <c r="N255"/>
  <c r="Q255"/>
  <c r="R255"/>
  <c r="T255"/>
  <c r="AA255"/>
  <c r="AB255"/>
  <c r="AD255"/>
  <c r="K256"/>
  <c r="L256"/>
  <c r="N256"/>
  <c r="Q256"/>
  <c r="R256"/>
  <c r="T256"/>
  <c r="AA256"/>
  <c r="AB256"/>
  <c r="AD256"/>
  <c r="K257"/>
  <c r="L257"/>
  <c r="N257"/>
  <c r="Q257"/>
  <c r="R257"/>
  <c r="T257"/>
  <c r="AA257"/>
  <c r="AB257"/>
  <c r="AD257"/>
  <c r="K258"/>
  <c r="L258"/>
  <c r="N258"/>
  <c r="Q258"/>
  <c r="R258"/>
  <c r="T258"/>
  <c r="AA258"/>
  <c r="AB258"/>
  <c r="AD258"/>
  <c r="K259"/>
  <c r="L259"/>
  <c r="N259"/>
  <c r="Q259"/>
  <c r="R259"/>
  <c r="T259"/>
  <c r="AA259"/>
  <c r="AB259"/>
  <c r="AD259"/>
  <c r="K260"/>
  <c r="L260"/>
  <c r="N260"/>
  <c r="Q260"/>
  <c r="R260"/>
  <c r="T260"/>
  <c r="AA260"/>
  <c r="AB260"/>
  <c r="AD260"/>
  <c r="K261"/>
  <c r="L261"/>
  <c r="N261"/>
  <c r="Q261"/>
  <c r="R261"/>
  <c r="T261"/>
  <c r="AA261"/>
  <c r="AB261"/>
  <c r="AD261"/>
  <c r="K262"/>
  <c r="L262"/>
  <c r="N262"/>
  <c r="Q262"/>
  <c r="R262"/>
  <c r="T262"/>
  <c r="AA262"/>
  <c r="AB262"/>
  <c r="AD262"/>
  <c r="K263"/>
  <c r="L263"/>
  <c r="N263"/>
  <c r="Q263"/>
  <c r="R263"/>
  <c r="T263"/>
  <c r="AA263"/>
  <c r="AB263"/>
  <c r="AD263"/>
  <c r="K264"/>
  <c r="L264"/>
  <c r="N264"/>
  <c r="Q264"/>
  <c r="R264"/>
  <c r="T264"/>
  <c r="AA264"/>
  <c r="AB264"/>
  <c r="AD264"/>
  <c r="K265"/>
  <c r="L265"/>
  <c r="N265"/>
  <c r="Q265"/>
  <c r="R265"/>
  <c r="T265"/>
  <c r="AA265"/>
  <c r="AB265"/>
  <c r="AD265"/>
  <c r="K266"/>
  <c r="L266"/>
  <c r="N266"/>
  <c r="Q266"/>
  <c r="R266"/>
  <c r="T266"/>
  <c r="AA266"/>
  <c r="AB266"/>
  <c r="AD266"/>
  <c r="K267"/>
  <c r="L267"/>
  <c r="N267"/>
  <c r="Q267"/>
  <c r="R267"/>
  <c r="T267"/>
  <c r="AA267"/>
  <c r="AB267"/>
  <c r="AD267"/>
  <c r="K268"/>
  <c r="L268"/>
  <c r="N268"/>
  <c r="Q268"/>
  <c r="R268"/>
  <c r="T268"/>
  <c r="AA268"/>
  <c r="AB268"/>
  <c r="AD268"/>
  <c r="K269"/>
  <c r="L269"/>
  <c r="N269"/>
  <c r="Q269"/>
  <c r="R269"/>
  <c r="T269"/>
  <c r="AA269"/>
  <c r="AB269"/>
  <c r="AD269"/>
  <c r="K270"/>
  <c r="L270"/>
  <c r="N270"/>
  <c r="Q270"/>
  <c r="R270"/>
  <c r="T270"/>
  <c r="AA270"/>
  <c r="AB270"/>
  <c r="AD270"/>
  <c r="K271"/>
  <c r="L271"/>
  <c r="N271"/>
  <c r="Q271"/>
  <c r="R271"/>
  <c r="T271"/>
  <c r="AA271"/>
  <c r="AB271"/>
  <c r="AD271"/>
  <c r="CK65" i="2"/>
  <c r="CK66"/>
  <c r="CK67"/>
  <c r="CK68"/>
  <c r="CK69"/>
  <c r="CK70"/>
  <c r="CK71"/>
  <c r="CK72"/>
  <c r="CK73"/>
  <c r="CK74"/>
  <c r="CK75"/>
  <c r="CK76"/>
  <c r="CK77"/>
  <c r="CK78"/>
  <c r="CK79"/>
  <c r="CK81"/>
  <c r="CK82"/>
  <c r="CK83"/>
  <c r="CK84"/>
  <c r="CK86"/>
  <c r="CK87"/>
  <c r="CK88"/>
  <c r="CK89"/>
  <c r="CK90"/>
  <c r="CK91"/>
  <c r="CK95"/>
  <c r="CK96"/>
  <c r="CK97"/>
  <c r="CK98"/>
  <c r="CK104"/>
  <c r="CK105"/>
  <c r="CK106"/>
  <c r="CK107"/>
  <c r="CK108"/>
  <c r="CK110"/>
  <c r="CK111"/>
  <c r="CK112"/>
  <c r="CK113"/>
  <c r="CK114"/>
  <c r="CK115"/>
  <c r="CK116"/>
  <c r="CK118"/>
  <c r="CK119"/>
  <c r="CK120"/>
  <c r="CK121"/>
  <c r="CK128"/>
  <c r="CK129"/>
  <c r="CK130"/>
  <c r="CK132"/>
  <c r="CK133"/>
  <c r="CK134"/>
  <c r="CK135"/>
  <c r="CK136"/>
  <c r="CK137"/>
  <c r="CK138"/>
  <c r="CK139"/>
  <c r="CK140"/>
  <c r="CK141"/>
  <c r="CK142"/>
  <c r="CK143"/>
  <c r="CK144"/>
  <c r="CK147"/>
  <c r="CK148"/>
  <c r="CK150"/>
  <c r="CK152"/>
  <c r="CK153"/>
  <c r="CK154"/>
  <c r="CK155"/>
  <c r="CK156"/>
  <c r="CK157"/>
  <c r="CK158"/>
  <c r="CK159"/>
  <c r="CK160"/>
  <c r="CK161"/>
  <c r="CK162"/>
  <c r="CK164"/>
  <c r="CK165"/>
  <c r="CK166"/>
  <c r="CK167"/>
  <c r="CK168"/>
  <c r="CK170"/>
  <c r="CK172"/>
  <c r="CK173"/>
  <c r="CK174"/>
  <c r="CK175"/>
  <c r="CK177"/>
  <c r="CK178"/>
  <c r="CK180"/>
  <c r="CK181"/>
  <c r="CK182"/>
  <c r="CK185"/>
  <c r="CK186"/>
  <c r="CK187"/>
  <c r="CK188"/>
  <c r="CK189"/>
  <c r="CK191"/>
  <c r="CK192"/>
  <c r="CK193"/>
  <c r="CK194"/>
  <c r="CK195"/>
  <c r="CK196"/>
  <c r="CK197"/>
  <c r="CK198"/>
  <c r="CK199"/>
  <c r="CK201"/>
  <c r="CK202"/>
  <c r="CK203"/>
  <c r="CK204"/>
  <c r="CK205"/>
  <c r="CK206"/>
  <c r="CK208"/>
  <c r="CK209"/>
  <c r="CK210"/>
  <c r="CK211"/>
  <c r="CK212"/>
  <c r="CK213"/>
  <c r="CK215"/>
  <c r="CK216"/>
  <c r="CK218"/>
  <c r="CK219"/>
  <c r="CK221"/>
  <c r="CK237"/>
  <c r="CK239"/>
  <c r="CK240"/>
  <c r="CK241"/>
  <c r="CK242"/>
  <c r="CK243"/>
  <c r="CK244"/>
  <c r="CK245"/>
  <c r="CK246"/>
  <c r="CK247"/>
  <c r="CK249"/>
  <c r="CK250"/>
  <c r="CK251"/>
  <c r="CK254"/>
  <c r="CK255"/>
  <c r="CK256"/>
  <c r="CK257"/>
  <c r="CK258"/>
  <c r="CK259"/>
  <c r="CK260"/>
  <c r="CK261"/>
  <c r="CK265"/>
  <c r="CK266"/>
  <c r="CK267"/>
  <c r="CK268"/>
  <c r="CK269"/>
  <c r="CK270"/>
  <c r="CK272"/>
  <c r="CK273"/>
  <c r="CK274"/>
  <c r="CK275"/>
  <c r="CK276"/>
  <c r="CK277"/>
  <c r="CK278"/>
  <c r="CK280"/>
  <c r="CK285"/>
  <c r="CK286"/>
  <c r="CK287"/>
  <c r="CK290"/>
  <c r="CK291"/>
  <c r="CK293"/>
  <c r="CK294"/>
  <c r="CK295"/>
  <c r="CK296"/>
  <c r="CK297"/>
  <c r="CK298"/>
  <c r="CK299"/>
  <c r="CK300"/>
  <c r="CK301"/>
  <c r="CK302"/>
  <c r="CK303"/>
  <c r="CK304"/>
  <c r="CK305"/>
  <c r="CK306"/>
  <c r="CK307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3"/>
  <c r="CK334"/>
  <c r="CK335"/>
  <c r="CK336"/>
  <c r="CK337"/>
  <c r="CK338"/>
  <c r="CK339"/>
  <c r="CK340"/>
  <c r="CK341"/>
  <c r="CK342"/>
  <c r="CK343"/>
  <c r="G83" i="4"/>
  <c r="F657" i="57" l="1"/>
  <c r="F661"/>
  <c r="F655"/>
  <c r="F15" i="65"/>
  <c r="F15" i="57"/>
  <c r="CL2" i="2" l="1"/>
  <c r="CO191" l="1"/>
  <c r="CO189"/>
  <c r="BS344" l="1"/>
  <c r="CK332"/>
  <c r="AC347" i="16" l="1"/>
  <c r="AC348"/>
  <c r="AC349"/>
  <c r="AC384" l="1"/>
  <c r="AF206"/>
  <c r="AF2"/>
  <c r="AF21"/>
  <c r="AF37"/>
  <c r="AF69"/>
  <c r="AF85"/>
  <c r="AF101"/>
  <c r="AF117"/>
  <c r="AF133"/>
  <c r="AF149"/>
  <c r="AF165"/>
  <c r="AF197"/>
  <c r="AF213"/>
  <c r="AF229"/>
  <c r="AF245"/>
  <c r="AF261"/>
  <c r="AF277"/>
  <c r="AF297"/>
  <c r="AF329"/>
  <c r="AF345"/>
  <c r="AF28"/>
  <c r="AF76"/>
  <c r="AF92"/>
  <c r="AF108"/>
  <c r="AF124"/>
  <c r="AF140"/>
  <c r="AF156"/>
  <c r="AF188"/>
  <c r="AF204"/>
  <c r="AF220"/>
  <c r="AF236"/>
  <c r="AF252"/>
  <c r="AF268"/>
  <c r="AF284"/>
  <c r="AF300"/>
  <c r="AF316"/>
  <c r="AF332"/>
  <c r="AF15"/>
  <c r="AF31"/>
  <c r="AF47"/>
  <c r="AF63"/>
  <c r="AF79"/>
  <c r="AF95"/>
  <c r="AF111"/>
  <c r="AF127"/>
  <c r="AF143"/>
  <c r="AF159"/>
  <c r="AF175"/>
  <c r="AF191"/>
  <c r="AF207"/>
  <c r="AF223"/>
  <c r="AF239"/>
  <c r="AF255"/>
  <c r="AF271"/>
  <c r="AF287"/>
  <c r="AF303"/>
  <c r="AF319"/>
  <c r="AF335"/>
  <c r="AF18"/>
  <c r="AF34"/>
  <c r="AF50"/>
  <c r="AF66"/>
  <c r="AF82"/>
  <c r="AF98"/>
  <c r="AF114"/>
  <c r="AF130"/>
  <c r="AF146"/>
  <c r="AF162"/>
  <c r="AF178"/>
  <c r="AF194"/>
  <c r="AF210"/>
  <c r="AF226"/>
  <c r="AF242"/>
  <c r="AF258"/>
  <c r="AF274"/>
  <c r="AF290"/>
  <c r="AF306"/>
  <c r="AF322"/>
  <c r="AF3"/>
  <c r="AF17"/>
  <c r="AF49"/>
  <c r="AF65"/>
  <c r="AF81"/>
  <c r="AF97"/>
  <c r="AF113"/>
  <c r="AF129"/>
  <c r="AF145"/>
  <c r="AF161"/>
  <c r="AF177"/>
  <c r="AF193"/>
  <c r="AF209"/>
  <c r="AF225"/>
  <c r="AF241"/>
  <c r="AF257"/>
  <c r="AF273"/>
  <c r="AF293"/>
  <c r="AF309"/>
  <c r="AF325"/>
  <c r="AF341"/>
  <c r="AF24"/>
  <c r="AF40"/>
  <c r="AF56"/>
  <c r="AF88"/>
  <c r="AF104"/>
  <c r="AF120"/>
  <c r="AF136"/>
  <c r="AF152"/>
  <c r="AF168"/>
  <c r="AF184"/>
  <c r="AF200"/>
  <c r="AF216"/>
  <c r="AF232"/>
  <c r="AF248"/>
  <c r="AF264"/>
  <c r="AF280"/>
  <c r="AF296"/>
  <c r="AF312"/>
  <c r="AF328"/>
  <c r="AF344"/>
  <c r="AF27"/>
  <c r="AF43"/>
  <c r="AF59"/>
  <c r="AF75"/>
  <c r="AF91"/>
  <c r="AF107"/>
  <c r="AF123"/>
  <c r="AF139"/>
  <c r="AF155"/>
  <c r="AF171"/>
  <c r="AF187"/>
  <c r="AF203"/>
  <c r="AF219"/>
  <c r="AF235"/>
  <c r="AF251"/>
  <c r="AF267"/>
  <c r="AF283"/>
  <c r="AF299"/>
  <c r="AF315"/>
  <c r="AF331"/>
  <c r="AF14"/>
  <c r="AF30"/>
  <c r="AF46"/>
  <c r="AF62"/>
  <c r="AF78"/>
  <c r="AF94"/>
  <c r="AF110"/>
  <c r="AF126"/>
  <c r="AF142"/>
  <c r="AF158"/>
  <c r="AF174"/>
  <c r="AF190"/>
  <c r="AF222"/>
  <c r="AF238"/>
  <c r="AF254"/>
  <c r="AF270"/>
  <c r="AF286"/>
  <c r="AF302"/>
  <c r="AF318"/>
  <c r="AF334"/>
  <c r="AF314"/>
  <c r="AF346"/>
  <c r="AF4"/>
  <c r="AF29"/>
  <c r="AF45"/>
  <c r="AF61"/>
  <c r="AF77"/>
  <c r="AF93"/>
  <c r="AF109"/>
  <c r="AF125"/>
  <c r="AF141"/>
  <c r="AF157"/>
  <c r="AF173"/>
  <c r="AF189"/>
  <c r="AF205"/>
  <c r="AF221"/>
  <c r="AF237"/>
  <c r="AF253"/>
  <c r="AF269"/>
  <c r="AF285"/>
  <c r="AF305"/>
  <c r="AF321"/>
  <c r="AF337"/>
  <c r="AF20"/>
  <c r="AF36"/>
  <c r="AF52"/>
  <c r="AF68"/>
  <c r="AF84"/>
  <c r="AF100"/>
  <c r="AF116"/>
  <c r="AF132"/>
  <c r="AF148"/>
  <c r="AF164"/>
  <c r="AF180"/>
  <c r="AF196"/>
  <c r="AF212"/>
  <c r="AF228"/>
  <c r="AF244"/>
  <c r="AF260"/>
  <c r="AF276"/>
  <c r="AF292"/>
  <c r="AF308"/>
  <c r="AF324"/>
  <c r="AF340"/>
  <c r="AF23"/>
  <c r="AF55"/>
  <c r="AF71"/>
  <c r="AF87"/>
  <c r="AF103"/>
  <c r="AF119"/>
  <c r="AF135"/>
  <c r="AF151"/>
  <c r="AF167"/>
  <c r="AF183"/>
  <c r="AF199"/>
  <c r="AF215"/>
  <c r="AF231"/>
  <c r="AF247"/>
  <c r="AF263"/>
  <c r="AF279"/>
  <c r="AF295"/>
  <c r="AF311"/>
  <c r="AF327"/>
  <c r="AF343"/>
  <c r="AF26"/>
  <c r="AF42"/>
  <c r="AF58"/>
  <c r="AF74"/>
  <c r="AF90"/>
  <c r="AF106"/>
  <c r="AF122"/>
  <c r="AF138"/>
  <c r="AF154"/>
  <c r="AF170"/>
  <c r="AF186"/>
  <c r="AF202"/>
  <c r="AF218"/>
  <c r="AF234"/>
  <c r="AF250"/>
  <c r="AF266"/>
  <c r="AF282"/>
  <c r="AF298"/>
  <c r="AF330"/>
  <c r="AF5"/>
  <c r="AF25"/>
  <c r="AF41"/>
  <c r="AF57"/>
  <c r="AF73"/>
  <c r="AF89"/>
  <c r="AF105"/>
  <c r="AF121"/>
  <c r="AF137"/>
  <c r="AF153"/>
  <c r="AF169"/>
  <c r="AF185"/>
  <c r="AF201"/>
  <c r="AF217"/>
  <c r="AF233"/>
  <c r="AF249"/>
  <c r="AF265"/>
  <c r="AF281"/>
  <c r="AF301"/>
  <c r="AF333"/>
  <c r="AF16"/>
  <c r="AF32"/>
  <c r="AF48"/>
  <c r="AF64"/>
  <c r="AF80"/>
  <c r="AF96"/>
  <c r="AF112"/>
  <c r="AF128"/>
  <c r="AF144"/>
  <c r="AF160"/>
  <c r="AF176"/>
  <c r="AF192"/>
  <c r="AF208"/>
  <c r="AF224"/>
  <c r="AF240"/>
  <c r="AF256"/>
  <c r="AF288"/>
  <c r="AF304"/>
  <c r="AF320"/>
  <c r="AF336"/>
  <c r="AF19"/>
  <c r="AF35"/>
  <c r="AF51"/>
  <c r="AF67"/>
  <c r="AF83"/>
  <c r="AF99"/>
  <c r="AF115"/>
  <c r="AF131"/>
  <c r="AF147"/>
  <c r="AF163"/>
  <c r="AF179"/>
  <c r="AF195"/>
  <c r="AF211"/>
  <c r="AF227"/>
  <c r="AF243"/>
  <c r="AF259"/>
  <c r="AF291"/>
  <c r="AF307"/>
  <c r="AF323"/>
  <c r="AF339"/>
  <c r="AF22"/>
  <c r="AF38"/>
  <c r="AF54"/>
  <c r="AF70"/>
  <c r="AF86"/>
  <c r="AF102"/>
  <c r="AF118"/>
  <c r="AF134"/>
  <c r="AF150"/>
  <c r="AF166"/>
  <c r="AF182"/>
  <c r="AF198"/>
  <c r="AF214"/>
  <c r="AF230"/>
  <c r="AF246"/>
  <c r="AF262"/>
  <c r="AF278"/>
  <c r="AF294"/>
  <c r="AF310"/>
  <c r="AF326"/>
  <c r="AF342"/>
  <c r="AF338"/>
  <c r="AF8"/>
  <c r="AF9"/>
  <c r="AF7"/>
  <c r="Y2"/>
  <c r="AA352"/>
  <c r="Y351"/>
  <c r="AA351"/>
  <c r="W351"/>
  <c r="X351"/>
  <c r="AF60" l="1"/>
  <c r="AF289"/>
  <c r="AF72"/>
  <c r="AF39"/>
  <c r="AF275"/>
  <c r="AF317"/>
  <c r="AF33"/>
  <c r="AF272"/>
  <c r="AF172"/>
  <c r="AF44"/>
  <c r="AF313"/>
  <c r="AF181"/>
  <c r="AF53"/>
  <c r="Z351"/>
  <c r="AB351" s="1"/>
  <c r="AC139"/>
  <c r="U3"/>
  <c r="AC312"/>
  <c r="AC313"/>
  <c r="AC314"/>
  <c r="AC315"/>
  <c r="U351" l="1"/>
  <c r="AF351"/>
  <c r="B153" i="4"/>
  <c r="B152"/>
  <c r="N143" i="22" l="1"/>
  <c r="O143"/>
  <c r="AC316" i="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O15" i="4" l="1"/>
  <c r="M37" i="40" l="1"/>
  <c r="D656" i="57" l="1"/>
  <c r="AC274" i="16" l="1"/>
  <c r="G32" i="40" l="1"/>
  <c r="C26" l="1"/>
  <c r="AF344" i="2" l="1"/>
  <c r="S23" i="4" s="1"/>
  <c r="AC23" i="16" l="1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C2" i="22" s="1"/>
  <c r="AC98" i="16"/>
  <c r="AC99"/>
  <c r="AC100"/>
  <c r="AC101"/>
  <c r="AC102"/>
  <c r="AC103"/>
  <c r="C12" i="22" s="1"/>
  <c r="AC104" i="16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40"/>
  <c r="AC141"/>
  <c r="AC142"/>
  <c r="AC143"/>
  <c r="AC144"/>
  <c r="C3" i="22" s="1"/>
  <c r="AC145" i="16"/>
  <c r="AC146"/>
  <c r="AC147"/>
  <c r="AC148"/>
  <c r="AC149"/>
  <c r="AC150"/>
  <c r="AC151"/>
  <c r="AC152"/>
  <c r="AC153"/>
  <c r="C4" i="22" s="1"/>
  <c r="AC154" i="16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C6" i="22" s="1"/>
  <c r="AC249" i="16"/>
  <c r="AC250"/>
  <c r="AC251"/>
  <c r="AC252"/>
  <c r="AC253"/>
  <c r="AC254"/>
  <c r="C11" i="22" s="1"/>
  <c r="AC255" i="16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C17" i="2" l="1"/>
  <c r="C134"/>
  <c r="C44"/>
  <c r="C126"/>
  <c r="C135"/>
  <c r="C204"/>
  <c r="C131"/>
  <c r="AC351" i="16"/>
  <c r="AC350"/>
  <c r="AC352"/>
  <c r="S52" i="4" l="1"/>
  <c r="J19" i="40" s="1"/>
  <c r="S56" i="4"/>
  <c r="J23" i="40" s="1"/>
  <c r="N52" i="4"/>
  <c r="W12"/>
  <c r="T22"/>
  <c r="N55"/>
  <c r="T9"/>
  <c r="BY40" i="8"/>
  <c r="BY41"/>
  <c r="BX42"/>
  <c r="BY42"/>
  <c r="BY43"/>
  <c r="BY44"/>
  <c r="BY45"/>
  <c r="BY46"/>
  <c r="BY47"/>
  <c r="BY48"/>
  <c r="BY49"/>
  <c r="BY50"/>
  <c r="BY51"/>
  <c r="BY52"/>
  <c r="BY53"/>
  <c r="BX54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X92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X130"/>
  <c r="BY130"/>
  <c r="BY131"/>
  <c r="BY132"/>
  <c r="BY133"/>
  <c r="BY134"/>
  <c r="BY135"/>
  <c r="BY136"/>
  <c r="BY137"/>
  <c r="BY138"/>
  <c r="BX139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X176"/>
  <c r="BY176"/>
  <c r="BY177"/>
  <c r="BY178"/>
  <c r="BY179"/>
  <c r="BY180"/>
  <c r="BY181"/>
  <c r="BY182"/>
  <c r="BY183"/>
  <c r="BY184"/>
  <c r="BY185"/>
  <c r="BY186"/>
  <c r="BY187"/>
  <c r="BY188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223"/>
  <c r="BY224"/>
  <c r="BY225"/>
  <c r="BY226"/>
  <c r="BY227"/>
  <c r="BY228"/>
  <c r="BY229"/>
  <c r="BY230"/>
  <c r="BY231"/>
  <c r="BY232"/>
  <c r="BY233"/>
  <c r="BY234"/>
  <c r="BY235"/>
  <c r="BY236"/>
  <c r="BY237"/>
  <c r="BY238"/>
  <c r="BY239"/>
  <c r="BY240"/>
  <c r="BY241"/>
  <c r="BY242"/>
  <c r="BY243"/>
  <c r="BY244"/>
  <c r="BY245"/>
  <c r="BY246"/>
  <c r="BY247"/>
  <c r="BY248"/>
  <c r="BY249"/>
  <c r="BY250"/>
  <c r="BY251"/>
  <c r="BY252"/>
  <c r="BY253"/>
  <c r="BY254"/>
  <c r="BY255"/>
  <c r="BY256"/>
  <c r="BY257"/>
  <c r="BY258"/>
  <c r="BY259"/>
  <c r="BY260"/>
  <c r="BY261"/>
  <c r="BY262"/>
  <c r="BY263"/>
  <c r="BY264"/>
  <c r="BY265"/>
  <c r="BY266"/>
  <c r="BY267"/>
  <c r="BY268"/>
  <c r="BY269"/>
  <c r="BY270"/>
  <c r="BY271"/>
  <c r="K272"/>
  <c r="L272"/>
  <c r="N272"/>
  <c r="Q272"/>
  <c r="R272"/>
  <c r="T272"/>
  <c r="AA272"/>
  <c r="AB272"/>
  <c r="AD272"/>
  <c r="BY272"/>
  <c r="K273"/>
  <c r="L273"/>
  <c r="N273"/>
  <c r="Q273"/>
  <c r="R273"/>
  <c r="T273"/>
  <c r="AA273"/>
  <c r="AB273"/>
  <c r="AD273"/>
  <c r="BY273"/>
  <c r="K274"/>
  <c r="L274"/>
  <c r="N274"/>
  <c r="Q274"/>
  <c r="R274"/>
  <c r="T274"/>
  <c r="AA274"/>
  <c r="AB274"/>
  <c r="AD274"/>
  <c r="BY274"/>
  <c r="K275"/>
  <c r="L275"/>
  <c r="N275"/>
  <c r="Q275"/>
  <c r="R275"/>
  <c r="T275"/>
  <c r="AA275"/>
  <c r="AB275"/>
  <c r="AD275"/>
  <c r="BY275"/>
  <c r="K276"/>
  <c r="L276"/>
  <c r="N276"/>
  <c r="Q276"/>
  <c r="R276"/>
  <c r="T276"/>
  <c r="AA276"/>
  <c r="AB276"/>
  <c r="AD276"/>
  <c r="BY276"/>
  <c r="K277"/>
  <c r="L277"/>
  <c r="N277"/>
  <c r="Q277"/>
  <c r="R277"/>
  <c r="T277"/>
  <c r="AA277"/>
  <c r="AB277"/>
  <c r="AD277"/>
  <c r="BY277"/>
  <c r="F193" i="72" l="1"/>
  <c r="BX281" i="8"/>
  <c r="F64" i="80"/>
  <c r="P57" i="4"/>
  <c r="BX256" i="8"/>
  <c r="BX240"/>
  <c r="BX224"/>
  <c r="BX208"/>
  <c r="BX192"/>
  <c r="BX144"/>
  <c r="BX84"/>
  <c r="BX272"/>
  <c r="BX160"/>
  <c r="BX100"/>
  <c r="BX68"/>
  <c r="BX268"/>
  <c r="BX260"/>
  <c r="BX216"/>
  <c r="BX204"/>
  <c r="BX196"/>
  <c r="BX152"/>
  <c r="BX140"/>
  <c r="BX76"/>
  <c r="BX64"/>
  <c r="BX276"/>
  <c r="BX232"/>
  <c r="BX220"/>
  <c r="BX212"/>
  <c r="BX168"/>
  <c r="BX156"/>
  <c r="BX148"/>
  <c r="BX80"/>
  <c r="BX72"/>
  <c r="BX248"/>
  <c r="BX236"/>
  <c r="BX228"/>
  <c r="BX184"/>
  <c r="BX172"/>
  <c r="BX164"/>
  <c r="BX124"/>
  <c r="BX120"/>
  <c r="BX116"/>
  <c r="BX112"/>
  <c r="BX96"/>
  <c r="BX88"/>
  <c r="BX63"/>
  <c r="BX50"/>
  <c r="BX264"/>
  <c r="BX252"/>
  <c r="BX244"/>
  <c r="BX200"/>
  <c r="BX188"/>
  <c r="BX180"/>
  <c r="BX60"/>
  <c r="BX46"/>
  <c r="BX271"/>
  <c r="BX269"/>
  <c r="BX262"/>
  <c r="BX255"/>
  <c r="BX253"/>
  <c r="BX246"/>
  <c r="BX239"/>
  <c r="BX237"/>
  <c r="BX230"/>
  <c r="BX223"/>
  <c r="BX221"/>
  <c r="BX214"/>
  <c r="BX207"/>
  <c r="BX205"/>
  <c r="BX198"/>
  <c r="BX191"/>
  <c r="BX189"/>
  <c r="BX182"/>
  <c r="BX175"/>
  <c r="BX173"/>
  <c r="BX166"/>
  <c r="BX159"/>
  <c r="BX157"/>
  <c r="BX150"/>
  <c r="BX143"/>
  <c r="BX141"/>
  <c r="BX138"/>
  <c r="BX134"/>
  <c r="BX95"/>
  <c r="BX93"/>
  <c r="BX79"/>
  <c r="BX77"/>
  <c r="BX70"/>
  <c r="BX61"/>
  <c r="BX58"/>
  <c r="BX56"/>
  <c r="BX52"/>
  <c r="BX47"/>
  <c r="BX273"/>
  <c r="BX266"/>
  <c r="BX259"/>
  <c r="BX257"/>
  <c r="BX250"/>
  <c r="BX243"/>
  <c r="BX241"/>
  <c r="BX234"/>
  <c r="BX227"/>
  <c r="BX225"/>
  <c r="BX218"/>
  <c r="BX211"/>
  <c r="BX209"/>
  <c r="BX202"/>
  <c r="BX195"/>
  <c r="BX193"/>
  <c r="BX186"/>
  <c r="BX179"/>
  <c r="BX177"/>
  <c r="BX170"/>
  <c r="BX163"/>
  <c r="BX161"/>
  <c r="BX154"/>
  <c r="BX147"/>
  <c r="BX145"/>
  <c r="BX99"/>
  <c r="BX97"/>
  <c r="BX94"/>
  <c r="BX90"/>
  <c r="BX83"/>
  <c r="BX81"/>
  <c r="BX74"/>
  <c r="BX67"/>
  <c r="BX65"/>
  <c r="BX51"/>
  <c r="BX45"/>
  <c r="BX41"/>
  <c r="BX275"/>
  <c r="BX277"/>
  <c r="BX270"/>
  <c r="BX263"/>
  <c r="BX261"/>
  <c r="BX254"/>
  <c r="BX247"/>
  <c r="BX245"/>
  <c r="BX238"/>
  <c r="BX231"/>
  <c r="BX229"/>
  <c r="BX222"/>
  <c r="BX215"/>
  <c r="BX213"/>
  <c r="BX206"/>
  <c r="BX199"/>
  <c r="BX197"/>
  <c r="BX190"/>
  <c r="BX183"/>
  <c r="BX181"/>
  <c r="BX174"/>
  <c r="BX167"/>
  <c r="BX165"/>
  <c r="BX158"/>
  <c r="BX151"/>
  <c r="BX149"/>
  <c r="BX142"/>
  <c r="BX137"/>
  <c r="BX136"/>
  <c r="BX135"/>
  <c r="BX133"/>
  <c r="BX131"/>
  <c r="BX129"/>
  <c r="BX127"/>
  <c r="BX125"/>
  <c r="BX123"/>
  <c r="BX121"/>
  <c r="BX119"/>
  <c r="BX117"/>
  <c r="BX115"/>
  <c r="BX113"/>
  <c r="BX111"/>
  <c r="BX109"/>
  <c r="BX107"/>
  <c r="BX105"/>
  <c r="BX103"/>
  <c r="BX101"/>
  <c r="BX98"/>
  <c r="BX87"/>
  <c r="BX85"/>
  <c r="BX78"/>
  <c r="BX71"/>
  <c r="BX69"/>
  <c r="BX62"/>
  <c r="BX49"/>
  <c r="BX44"/>
  <c r="BX40"/>
  <c r="BX274"/>
  <c r="BX267"/>
  <c r="BX265"/>
  <c r="BX258"/>
  <c r="BX251"/>
  <c r="BX249"/>
  <c r="BX242"/>
  <c r="BX235"/>
  <c r="BX233"/>
  <c r="BX226"/>
  <c r="BX219"/>
  <c r="BX217"/>
  <c r="BX210"/>
  <c r="BX203"/>
  <c r="BX201"/>
  <c r="BX194"/>
  <c r="BX187"/>
  <c r="BX185"/>
  <c r="BX178"/>
  <c r="BX171"/>
  <c r="BX169"/>
  <c r="BX162"/>
  <c r="BX155"/>
  <c r="BX153"/>
  <c r="BX146"/>
  <c r="BX132"/>
  <c r="BX128"/>
  <c r="BX126"/>
  <c r="BX122"/>
  <c r="BX118"/>
  <c r="BX114"/>
  <c r="BX110"/>
  <c r="BX108"/>
  <c r="BX106"/>
  <c r="BX104"/>
  <c r="BX102"/>
  <c r="BX91"/>
  <c r="BX89"/>
  <c r="BX86"/>
  <c r="BX82"/>
  <c r="BX75"/>
  <c r="BX73"/>
  <c r="BX66"/>
  <c r="BX59"/>
  <c r="BX57"/>
  <c r="BX55"/>
  <c r="BX53"/>
  <c r="BX48"/>
  <c r="BX43"/>
  <c r="H64" i="80" l="1"/>
  <c r="J64"/>
  <c r="K84" i="78"/>
  <c r="F63" i="80"/>
  <c r="I31" i="40"/>
  <c r="F235" i="72" s="1"/>
  <c r="K85" i="78"/>
  <c r="L85" s="1"/>
  <c r="D16" i="7"/>
  <c r="J63" i="80" l="1"/>
  <c r="H63"/>
  <c r="AC2" i="16"/>
  <c r="T10" i="4" l="1"/>
  <c r="D657" i="57"/>
  <c r="F58" i="65"/>
  <c r="F57"/>
  <c r="F56"/>
  <c r="K655" i="57" l="1"/>
  <c r="F660"/>
  <c r="F662" l="1"/>
  <c r="I33" i="40" l="1"/>
  <c r="E33"/>
  <c r="D32" l="1"/>
  <c r="C32"/>
  <c r="N24" l="1"/>
  <c r="E24"/>
  <c r="C24"/>
  <c r="K13" l="1"/>
  <c r="L11"/>
  <c r="Z143" i="22" l="1"/>
  <c r="Y143"/>
  <c r="X143"/>
  <c r="W143"/>
  <c r="V143"/>
  <c r="U143"/>
  <c r="T143"/>
  <c r="S143"/>
  <c r="R143"/>
  <c r="Q143"/>
  <c r="P143"/>
  <c r="M143"/>
  <c r="L143"/>
  <c r="K143"/>
  <c r="J143"/>
  <c r="I143"/>
  <c r="H143"/>
  <c r="G143"/>
  <c r="F143"/>
  <c r="E143"/>
  <c r="AA142"/>
  <c r="C142"/>
  <c r="B142"/>
  <c r="AA141"/>
  <c r="C141"/>
  <c r="B141"/>
  <c r="AA140"/>
  <c r="C140"/>
  <c r="B140"/>
  <c r="AA139"/>
  <c r="C139"/>
  <c r="B139"/>
  <c r="AA138"/>
  <c r="C138"/>
  <c r="B138"/>
  <c r="AA137"/>
  <c r="C137"/>
  <c r="B137"/>
  <c r="AA136"/>
  <c r="C136"/>
  <c r="B136"/>
  <c r="V4" i="16" l="1"/>
  <c r="V3"/>
  <c r="V384"/>
  <c r="V362"/>
  <c r="V357"/>
  <c r="V371"/>
  <c r="V361"/>
  <c r="V375"/>
  <c r="V368"/>
  <c r="V358"/>
  <c r="V356"/>
  <c r="V377"/>
  <c r="V351"/>
  <c r="V373"/>
  <c r="V386"/>
  <c r="V376"/>
  <c r="V354"/>
  <c r="V383"/>
  <c r="V374"/>
  <c r="V372"/>
  <c r="V353"/>
  <c r="V367"/>
  <c r="V388"/>
  <c r="V366"/>
  <c r="V364"/>
  <c r="V370"/>
  <c r="V355"/>
  <c r="V365"/>
  <c r="V363"/>
  <c r="V387"/>
  <c r="V369"/>
  <c r="V382"/>
  <c r="V360"/>
  <c r="V381"/>
  <c r="V379"/>
  <c r="V385"/>
  <c r="V359"/>
  <c r="V380"/>
  <c r="V378"/>
  <c r="V350"/>
  <c r="V348"/>
  <c r="V349"/>
  <c r="V347"/>
  <c r="V352"/>
  <c r="V139"/>
  <c r="V312"/>
  <c r="V315"/>
  <c r="V313"/>
  <c r="V314"/>
  <c r="V16"/>
  <c r="V26"/>
  <c r="V18"/>
  <c r="V34"/>
  <c r="V50"/>
  <c r="V66"/>
  <c r="V82"/>
  <c r="V98"/>
  <c r="V114"/>
  <c r="V130"/>
  <c r="V147"/>
  <c r="V163"/>
  <c r="V179"/>
  <c r="V195"/>
  <c r="V211"/>
  <c r="V227"/>
  <c r="V243"/>
  <c r="V259"/>
  <c r="V275"/>
  <c r="V291"/>
  <c r="V307"/>
  <c r="V323"/>
  <c r="V339"/>
  <c r="V13"/>
  <c r="V29"/>
  <c r="V45"/>
  <c r="V61"/>
  <c r="V77"/>
  <c r="V93"/>
  <c r="V109"/>
  <c r="V125"/>
  <c r="V142"/>
  <c r="V158"/>
  <c r="V174"/>
  <c r="V190"/>
  <c r="V206"/>
  <c r="V222"/>
  <c r="V238"/>
  <c r="V254"/>
  <c r="V270"/>
  <c r="V286"/>
  <c r="V302"/>
  <c r="V318"/>
  <c r="V334"/>
  <c r="V20"/>
  <c r="V36"/>
  <c r="V52"/>
  <c r="V68"/>
  <c r="V84"/>
  <c r="V100"/>
  <c r="V116"/>
  <c r="V132"/>
  <c r="V149"/>
  <c r="V165"/>
  <c r="V181"/>
  <c r="V197"/>
  <c r="V213"/>
  <c r="V229"/>
  <c r="V245"/>
  <c r="V261"/>
  <c r="V277"/>
  <c r="V293"/>
  <c r="V309"/>
  <c r="V325"/>
  <c r="V341"/>
  <c r="V11"/>
  <c r="V27"/>
  <c r="V43"/>
  <c r="V59"/>
  <c r="V75"/>
  <c r="V91"/>
  <c r="V107"/>
  <c r="V123"/>
  <c r="V140"/>
  <c r="V156"/>
  <c r="V172"/>
  <c r="V188"/>
  <c r="V204"/>
  <c r="V220"/>
  <c r="V236"/>
  <c r="V252"/>
  <c r="V268"/>
  <c r="V284"/>
  <c r="V300"/>
  <c r="V316"/>
  <c r="V332"/>
  <c r="V14"/>
  <c r="V30"/>
  <c r="V46"/>
  <c r="V62"/>
  <c r="V78"/>
  <c r="V94"/>
  <c r="V110"/>
  <c r="V126"/>
  <c r="V143"/>
  <c r="V159"/>
  <c r="V175"/>
  <c r="V191"/>
  <c r="V207"/>
  <c r="V223"/>
  <c r="V239"/>
  <c r="V255"/>
  <c r="V271"/>
  <c r="V287"/>
  <c r="V303"/>
  <c r="V319"/>
  <c r="V335"/>
  <c r="V9"/>
  <c r="V25"/>
  <c r="V41"/>
  <c r="V57"/>
  <c r="V73"/>
  <c r="V89"/>
  <c r="V105"/>
  <c r="V121"/>
  <c r="V137"/>
  <c r="V154"/>
  <c r="V170"/>
  <c r="V186"/>
  <c r="V202"/>
  <c r="V218"/>
  <c r="V234"/>
  <c r="V250"/>
  <c r="V266"/>
  <c r="V282"/>
  <c r="V298"/>
  <c r="V330"/>
  <c r="V346"/>
  <c r="V32"/>
  <c r="V48"/>
  <c r="V64"/>
  <c r="V80"/>
  <c r="V96"/>
  <c r="V112"/>
  <c r="V128"/>
  <c r="V145"/>
  <c r="V161"/>
  <c r="V177"/>
  <c r="V193"/>
  <c r="V209"/>
  <c r="V225"/>
  <c r="V241"/>
  <c r="V257"/>
  <c r="V273"/>
  <c r="V289"/>
  <c r="V305"/>
  <c r="V321"/>
  <c r="V337"/>
  <c r="V7"/>
  <c r="V23"/>
  <c r="V39"/>
  <c r="V55"/>
  <c r="V71"/>
  <c r="V87"/>
  <c r="V103"/>
  <c r="V119"/>
  <c r="V135"/>
  <c r="V152"/>
  <c r="V168"/>
  <c r="V184"/>
  <c r="V200"/>
  <c r="V216"/>
  <c r="V232"/>
  <c r="V248"/>
  <c r="V264"/>
  <c r="V280"/>
  <c r="V296"/>
  <c r="V328"/>
  <c r="V344"/>
  <c r="V10"/>
  <c r="V42"/>
  <c r="V58"/>
  <c r="V74"/>
  <c r="V90"/>
  <c r="V106"/>
  <c r="V122"/>
  <c r="V138"/>
  <c r="V155"/>
  <c r="V171"/>
  <c r="V187"/>
  <c r="V203"/>
  <c r="V219"/>
  <c r="V235"/>
  <c r="V251"/>
  <c r="V267"/>
  <c r="V283"/>
  <c r="V299"/>
  <c r="V331"/>
  <c r="V5"/>
  <c r="V21"/>
  <c r="V37"/>
  <c r="V53"/>
  <c r="V69"/>
  <c r="V85"/>
  <c r="V101"/>
  <c r="V117"/>
  <c r="V133"/>
  <c r="V150"/>
  <c r="V166"/>
  <c r="V182"/>
  <c r="V198"/>
  <c r="V214"/>
  <c r="V230"/>
  <c r="V246"/>
  <c r="V262"/>
  <c r="V278"/>
  <c r="V294"/>
  <c r="V310"/>
  <c r="V326"/>
  <c r="V342"/>
  <c r="V12"/>
  <c r="V28"/>
  <c r="V44"/>
  <c r="V60"/>
  <c r="V76"/>
  <c r="V92"/>
  <c r="V108"/>
  <c r="V124"/>
  <c r="V141"/>
  <c r="V157"/>
  <c r="V173"/>
  <c r="V189"/>
  <c r="V205"/>
  <c r="V221"/>
  <c r="V237"/>
  <c r="V253"/>
  <c r="V269"/>
  <c r="V285"/>
  <c r="V301"/>
  <c r="V317"/>
  <c r="V333"/>
  <c r="V19"/>
  <c r="V35"/>
  <c r="V51"/>
  <c r="V67"/>
  <c r="V83"/>
  <c r="V99"/>
  <c r="V115"/>
  <c r="V131"/>
  <c r="V148"/>
  <c r="V164"/>
  <c r="V180"/>
  <c r="V196"/>
  <c r="V212"/>
  <c r="V228"/>
  <c r="V244"/>
  <c r="V260"/>
  <c r="V276"/>
  <c r="V292"/>
  <c r="V308"/>
  <c r="V324"/>
  <c r="V340"/>
  <c r="V6"/>
  <c r="V22"/>
  <c r="V38"/>
  <c r="V54"/>
  <c r="V70"/>
  <c r="V86"/>
  <c r="V102"/>
  <c r="V118"/>
  <c r="V134"/>
  <c r="V151"/>
  <c r="V167"/>
  <c r="V183"/>
  <c r="V199"/>
  <c r="V215"/>
  <c r="V231"/>
  <c r="V247"/>
  <c r="V263"/>
  <c r="V279"/>
  <c r="V295"/>
  <c r="V311"/>
  <c r="V327"/>
  <c r="V343"/>
  <c r="V17"/>
  <c r="V33"/>
  <c r="V49"/>
  <c r="V65"/>
  <c r="V81"/>
  <c r="V97"/>
  <c r="V113"/>
  <c r="V129"/>
  <c r="V146"/>
  <c r="V162"/>
  <c r="V178"/>
  <c r="V194"/>
  <c r="V210"/>
  <c r="V226"/>
  <c r="V242"/>
  <c r="V258"/>
  <c r="V274"/>
  <c r="V290"/>
  <c r="V306"/>
  <c r="V322"/>
  <c r="V338"/>
  <c r="V8"/>
  <c r="V24"/>
  <c r="V40"/>
  <c r="V56"/>
  <c r="V72"/>
  <c r="V88"/>
  <c r="V104"/>
  <c r="V120"/>
  <c r="V136"/>
  <c r="V153"/>
  <c r="V169"/>
  <c r="V185"/>
  <c r="V201"/>
  <c r="V217"/>
  <c r="V233"/>
  <c r="V249"/>
  <c r="V265"/>
  <c r="V281"/>
  <c r="V297"/>
  <c r="V329"/>
  <c r="V345"/>
  <c r="V15"/>
  <c r="V31"/>
  <c r="V47"/>
  <c r="V63"/>
  <c r="V79"/>
  <c r="V95"/>
  <c r="V111"/>
  <c r="V127"/>
  <c r="V144"/>
  <c r="V160"/>
  <c r="V176"/>
  <c r="V192"/>
  <c r="V208"/>
  <c r="V224"/>
  <c r="V240"/>
  <c r="V256"/>
  <c r="V272"/>
  <c r="V288"/>
  <c r="V304"/>
  <c r="V320"/>
  <c r="V336"/>
  <c r="AA143" i="22"/>
  <c r="D81" i="7" l="1"/>
  <c r="E80"/>
  <c r="E79"/>
  <c r="E78"/>
  <c r="D70"/>
  <c r="E69"/>
  <c r="E68"/>
  <c r="D67"/>
  <c r="E66"/>
  <c r="E65"/>
  <c r="E64"/>
  <c r="E63"/>
  <c r="D52"/>
  <c r="E51"/>
  <c r="E50"/>
  <c r="E49"/>
  <c r="E48"/>
  <c r="E15"/>
  <c r="E16" s="1"/>
  <c r="E14"/>
  <c r="F149" i="4"/>
  <c r="E149"/>
  <c r="D149"/>
  <c r="F148"/>
  <c r="E148"/>
  <c r="D148"/>
  <c r="F146"/>
  <c r="F145"/>
  <c r="E145"/>
  <c r="G145" s="1"/>
  <c r="D145"/>
  <c r="F143"/>
  <c r="G143" s="1"/>
  <c r="E143"/>
  <c r="D143"/>
  <c r="F142"/>
  <c r="F141"/>
  <c r="F140"/>
  <c r="E140"/>
  <c r="G140" s="1"/>
  <c r="D140"/>
  <c r="F131"/>
  <c r="E131"/>
  <c r="D131"/>
  <c r="F130"/>
  <c r="E130"/>
  <c r="D130"/>
  <c r="F129"/>
  <c r="E129"/>
  <c r="D129"/>
  <c r="F128"/>
  <c r="G128" s="1"/>
  <c r="E128"/>
  <c r="D128"/>
  <c r="G129" l="1"/>
  <c r="G131"/>
  <c r="G130"/>
  <c r="E70" i="7"/>
  <c r="E52"/>
  <c r="E67"/>
  <c r="V2" i="16"/>
  <c r="E81" i="7"/>
  <c r="F125" i="4"/>
  <c r="E125"/>
  <c r="G125" s="1"/>
  <c r="D125"/>
  <c r="F123"/>
  <c r="E123"/>
  <c r="D123"/>
  <c r="F122"/>
  <c r="F121"/>
  <c r="E121"/>
  <c r="D121"/>
  <c r="F119"/>
  <c r="E119"/>
  <c r="D119"/>
  <c r="F118"/>
  <c r="F117"/>
  <c r="E117"/>
  <c r="D117"/>
  <c r="F116"/>
  <c r="E116"/>
  <c r="G116" s="1"/>
  <c r="D116"/>
  <c r="G113"/>
  <c r="F113"/>
  <c r="E113"/>
  <c r="D113"/>
  <c r="E111"/>
  <c r="F109"/>
  <c r="C107"/>
  <c r="E106"/>
  <c r="C106"/>
  <c r="E105"/>
  <c r="C105"/>
  <c r="F105" s="1"/>
  <c r="C104"/>
  <c r="E103"/>
  <c r="C103"/>
  <c r="F103" s="1"/>
  <c r="E102"/>
  <c r="C102"/>
  <c r="F102" s="1"/>
  <c r="C101"/>
  <c r="E101"/>
  <c r="E100"/>
  <c r="C100"/>
  <c r="F100" s="1"/>
  <c r="E99"/>
  <c r="C99"/>
  <c r="F99" s="1"/>
  <c r="D100" l="1"/>
  <c r="D101"/>
  <c r="G99"/>
  <c r="D99"/>
  <c r="C98"/>
  <c r="G103"/>
  <c r="G105"/>
  <c r="D102"/>
  <c r="G100"/>
  <c r="D103"/>
  <c r="D105"/>
  <c r="F106"/>
  <c r="G106" s="1"/>
  <c r="G102"/>
  <c r="D106"/>
  <c r="F97"/>
  <c r="E97"/>
  <c r="D97"/>
  <c r="E93"/>
  <c r="D93"/>
  <c r="E92"/>
  <c r="D92"/>
  <c r="E91"/>
  <c r="D91"/>
  <c r="E90"/>
  <c r="D90"/>
  <c r="E89"/>
  <c r="D89"/>
  <c r="A84"/>
  <c r="F83"/>
  <c r="G90" l="1"/>
  <c r="G91"/>
  <c r="G92"/>
  <c r="G89"/>
  <c r="B83"/>
  <c r="A83"/>
  <c r="B69" l="1"/>
  <c r="E69" l="1"/>
  <c r="F63"/>
  <c r="E63"/>
  <c r="D63"/>
  <c r="F60"/>
  <c r="E60"/>
  <c r="D60"/>
  <c r="G63" l="1"/>
  <c r="F57"/>
  <c r="E57"/>
  <c r="D57"/>
  <c r="G57" l="1"/>
  <c r="F54"/>
  <c r="E54"/>
  <c r="D54"/>
  <c r="G54" l="1"/>
  <c r="F51"/>
  <c r="B51"/>
  <c r="D51" s="1"/>
  <c r="E51" l="1"/>
  <c r="G51" s="1"/>
  <c r="B50"/>
  <c r="E50" s="1"/>
  <c r="B49"/>
  <c r="B48"/>
  <c r="F42"/>
  <c r="E42"/>
  <c r="D42"/>
  <c r="F41"/>
  <c r="E41"/>
  <c r="D41"/>
  <c r="F40"/>
  <c r="E40"/>
  <c r="D40"/>
  <c r="G40" l="1"/>
  <c r="G41"/>
  <c r="E49"/>
  <c r="E48"/>
  <c r="F34" l="1"/>
  <c r="F33"/>
  <c r="E33"/>
  <c r="D33"/>
  <c r="F31"/>
  <c r="E31"/>
  <c r="D31"/>
  <c r="F30" l="1"/>
  <c r="E30"/>
  <c r="D30"/>
  <c r="F28" l="1"/>
  <c r="E28"/>
  <c r="D28"/>
  <c r="F27"/>
  <c r="E27"/>
  <c r="D27"/>
  <c r="F26"/>
  <c r="E26"/>
  <c r="D26"/>
  <c r="F23" l="1"/>
  <c r="E23"/>
  <c r="D23"/>
  <c r="F22"/>
  <c r="F20" l="1"/>
  <c r="E20"/>
  <c r="D20"/>
  <c r="F19"/>
  <c r="E19"/>
  <c r="D19"/>
  <c r="F18"/>
  <c r="F17"/>
  <c r="E17"/>
  <c r="D17"/>
  <c r="BX282" i="8" l="1"/>
  <c r="BY282" s="1"/>
  <c r="BW279" l="1"/>
  <c r="BV279"/>
  <c r="BU279"/>
  <c r="BT279"/>
  <c r="BS279"/>
  <c r="BR279"/>
  <c r="BQ279"/>
  <c r="BP279"/>
  <c r="BO279"/>
  <c r="BN279"/>
  <c r="BM279"/>
  <c r="BL279"/>
  <c r="BK279"/>
  <c r="BJ279"/>
  <c r="BI279"/>
  <c r="D37" i="7" s="1"/>
  <c r="BH279" i="8"/>
  <c r="BG279"/>
  <c r="BF279"/>
  <c r="BE279"/>
  <c r="BD279"/>
  <c r="D40" i="7" s="1"/>
  <c r="E40" s="1"/>
  <c r="BC279" i="8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C110" i="4" s="1"/>
  <c r="AL279" i="8"/>
  <c r="AK279"/>
  <c r="AJ279"/>
  <c r="AI279"/>
  <c r="AH279"/>
  <c r="AG279"/>
  <c r="AF279"/>
  <c r="AE279"/>
  <c r="AC279"/>
  <c r="Z279"/>
  <c r="Y279"/>
  <c r="X279"/>
  <c r="W279"/>
  <c r="C16" i="4" s="1"/>
  <c r="F16" s="1"/>
  <c r="V279" i="8"/>
  <c r="U279"/>
  <c r="S279"/>
  <c r="P279"/>
  <c r="C38" i="4" s="1"/>
  <c r="F38" s="1"/>
  <c r="O279" i="8"/>
  <c r="M279"/>
  <c r="J279"/>
  <c r="H279"/>
  <c r="C35" i="4" s="1"/>
  <c r="G279" i="8"/>
  <c r="F279"/>
  <c r="E279"/>
  <c r="D279"/>
  <c r="C66" i="4" l="1"/>
  <c r="H71"/>
  <c r="C137"/>
  <c r="C25"/>
  <c r="C32"/>
  <c r="F32" s="1"/>
  <c r="C36"/>
  <c r="D42" i="7"/>
  <c r="C70" i="4"/>
  <c r="F110"/>
  <c r="D41" i="7"/>
  <c r="C69" i="4"/>
  <c r="D45" i="7"/>
  <c r="C50" i="4"/>
  <c r="D38" i="7"/>
  <c r="C48" i="4"/>
  <c r="C67"/>
  <c r="F67" s="1"/>
  <c r="D39" i="7"/>
  <c r="C49" i="4"/>
  <c r="E37" i="7"/>
  <c r="C24" i="4"/>
  <c r="N279" i="8"/>
  <c r="L279"/>
  <c r="K279"/>
  <c r="D43" i="7" l="1"/>
  <c r="C29" i="4"/>
  <c r="F29" s="1"/>
  <c r="F48"/>
  <c r="D48"/>
  <c r="E38" i="7"/>
  <c r="E39"/>
  <c r="F44" i="40"/>
  <c r="E41" i="7"/>
  <c r="E42"/>
  <c r="F45" i="40"/>
  <c r="F50" i="4"/>
  <c r="D50"/>
  <c r="F49"/>
  <c r="G49" s="1"/>
  <c r="D49"/>
  <c r="F69"/>
  <c r="G69" s="1"/>
  <c r="D69"/>
  <c r="B70"/>
  <c r="D70" s="1"/>
  <c r="F70"/>
  <c r="E70" l="1"/>
  <c r="AD279" i="8"/>
  <c r="AB279"/>
  <c r="AA279"/>
  <c r="T279"/>
  <c r="R279"/>
  <c r="Q279"/>
  <c r="H64" i="4" l="1"/>
  <c r="C59"/>
  <c r="F59" s="1"/>
  <c r="C72"/>
  <c r="F72" s="1"/>
  <c r="BY279" i="8"/>
  <c r="BX279" l="1"/>
  <c r="BY285" s="1"/>
  <c r="BZ281" l="1"/>
  <c r="E31" i="40" l="1"/>
  <c r="G173" i="72" s="1"/>
  <c r="F71" i="78"/>
  <c r="BZ279" i="8"/>
  <c r="F70" i="78"/>
  <c r="O24" i="40" l="1"/>
  <c r="G180" i="72"/>
  <c r="F234" s="1"/>
  <c r="H71" i="78"/>
  <c r="J71"/>
  <c r="J70"/>
  <c r="H70"/>
  <c r="K31" i="40"/>
  <c r="I32"/>
  <c r="E32"/>
  <c r="CA344" i="2"/>
  <c r="BZ344"/>
  <c r="BY344"/>
  <c r="BX344"/>
  <c r="D53" i="7"/>
  <c r="BV344" i="2"/>
  <c r="BU344"/>
  <c r="BT344"/>
  <c r="D58" i="7"/>
  <c r="BQ344" i="2"/>
  <c r="BP344"/>
  <c r="BO344"/>
  <c r="BN344"/>
  <c r="BM344"/>
  <c r="BL344"/>
  <c r="BK344"/>
  <c r="BJ344"/>
  <c r="BI344"/>
  <c r="BH344"/>
  <c r="BG344"/>
  <c r="BF344"/>
  <c r="BE344"/>
  <c r="B67" i="4" s="1"/>
  <c r="BD344" i="2"/>
  <c r="D71" i="7" s="1"/>
  <c r="BC344" i="2"/>
  <c r="BB344"/>
  <c r="BA344"/>
  <c r="AZ344"/>
  <c r="AY344"/>
  <c r="AX344"/>
  <c r="AW344"/>
  <c r="AV344"/>
  <c r="AU344"/>
  <c r="AT344"/>
  <c r="AS344"/>
  <c r="AR344"/>
  <c r="AQ344"/>
  <c r="AP344"/>
  <c r="D20" i="7" s="1"/>
  <c r="E20" s="1"/>
  <c r="AO344" i="2"/>
  <c r="AN344"/>
  <c r="S29" i="4" s="1"/>
  <c r="AM344" i="2"/>
  <c r="AK344"/>
  <c r="AJ344"/>
  <c r="I22" i="40" l="1"/>
  <c r="I24" s="1"/>
  <c r="F140" i="72"/>
  <c r="F143"/>
  <c r="F86" s="1"/>
  <c r="F105" s="1"/>
  <c r="D91" i="7"/>
  <c r="E91" s="1"/>
  <c r="B68" i="4"/>
  <c r="E68" s="1"/>
  <c r="D89" i="7"/>
  <c r="B66" i="4"/>
  <c r="H148"/>
  <c r="H72"/>
  <c r="B94"/>
  <c r="E94" s="1"/>
  <c r="E88" s="1"/>
  <c r="B124"/>
  <c r="E124" s="1"/>
  <c r="S35"/>
  <c r="B139"/>
  <c r="E139" s="1"/>
  <c r="D22" i="7"/>
  <c r="E22" s="1"/>
  <c r="B104" i="4"/>
  <c r="S33"/>
  <c r="B136"/>
  <c r="E136" s="1"/>
  <c r="D55" i="7"/>
  <c r="E55" s="1"/>
  <c r="B138" i="4"/>
  <c r="E138" s="1"/>
  <c r="D21" i="7"/>
  <c r="E21" s="1"/>
  <c r="B96" i="4"/>
  <c r="S32"/>
  <c r="G123"/>
  <c r="B135"/>
  <c r="D54" i="7"/>
  <c r="E54" s="1"/>
  <c r="G93" i="4"/>
  <c r="B107"/>
  <c r="S36"/>
  <c r="D72" i="7"/>
  <c r="E71" s="1"/>
  <c r="E53"/>
  <c r="B109" i="4"/>
  <c r="S30"/>
  <c r="D23" i="7"/>
  <c r="B122" i="4"/>
  <c r="S34"/>
  <c r="B137"/>
  <c r="E137" s="1"/>
  <c r="D56" i="7"/>
  <c r="K32" i="40"/>
  <c r="B134" i="4"/>
  <c r="E134" s="1"/>
  <c r="D61" i="7"/>
  <c r="B133" i="4"/>
  <c r="E133" s="1"/>
  <c r="D60" i="7"/>
  <c r="E60" s="1"/>
  <c r="B132" i="4"/>
  <c r="D59" i="7"/>
  <c r="E59" s="1"/>
  <c r="E58"/>
  <c r="B144" i="4"/>
  <c r="G148"/>
  <c r="D83" i="7"/>
  <c r="E83" s="1"/>
  <c r="B118" i="4"/>
  <c r="S28"/>
  <c r="D84" i="7"/>
  <c r="B110" i="4"/>
  <c r="B52"/>
  <c r="D90" i="7"/>
  <c r="AI344" i="2"/>
  <c r="AG344"/>
  <c r="S25" i="4" s="1"/>
  <c r="AE344" i="2"/>
  <c r="S24" i="4" s="1"/>
  <c r="AA344" i="2"/>
  <c r="B21" i="4" s="1"/>
  <c r="E21" s="1"/>
  <c r="Z344" i="2"/>
  <c r="Y344"/>
  <c r="S21" i="4" s="1"/>
  <c r="X344" i="2"/>
  <c r="W344"/>
  <c r="V344"/>
  <c r="U344"/>
  <c r="S17" i="4" s="1"/>
  <c r="P344" i="2"/>
  <c r="O344"/>
  <c r="B39" i="4" s="1"/>
  <c r="K344" i="2"/>
  <c r="S13" i="4" s="1"/>
  <c r="J344" i="2"/>
  <c r="S12" i="4" s="1"/>
  <c r="I344" i="2"/>
  <c r="H344"/>
  <c r="G344"/>
  <c r="D75" i="7" s="1"/>
  <c r="E75" s="1"/>
  <c r="F344" i="2"/>
  <c r="F145" i="72" l="1"/>
  <c r="F157" s="1"/>
  <c r="F233" s="1"/>
  <c r="B120" i="4"/>
  <c r="B71"/>
  <c r="S22"/>
  <c r="H52"/>
  <c r="G30"/>
  <c r="G33"/>
  <c r="D351" i="2"/>
  <c r="E135" i="4"/>
  <c r="AA355" i="16"/>
  <c r="AA354"/>
  <c r="Y379"/>
  <c r="Y364"/>
  <c r="X376"/>
  <c r="X361"/>
  <c r="Y375"/>
  <c r="Y359"/>
  <c r="X387"/>
  <c r="X372"/>
  <c r="X356"/>
  <c r="W388"/>
  <c r="W373"/>
  <c r="W357"/>
  <c r="AA374"/>
  <c r="AA358"/>
  <c r="Y388"/>
  <c r="Y373"/>
  <c r="Y357"/>
  <c r="AA384"/>
  <c r="AA369"/>
  <c r="AA353"/>
  <c r="Y383"/>
  <c r="Y368"/>
  <c r="AC387"/>
  <c r="X382"/>
  <c r="X367"/>
  <c r="W381"/>
  <c r="W366"/>
  <c r="AC385"/>
  <c r="X381"/>
  <c r="X366"/>
  <c r="W376"/>
  <c r="W361"/>
  <c r="AA360"/>
  <c r="Y376"/>
  <c r="Y361"/>
  <c r="AA375"/>
  <c r="AA359"/>
  <c r="W382"/>
  <c r="W367"/>
  <c r="AC379"/>
  <c r="X380"/>
  <c r="X365"/>
  <c r="W377"/>
  <c r="W362"/>
  <c r="X360"/>
  <c r="Y377"/>
  <c r="Y362"/>
  <c r="AA377"/>
  <c r="AA362"/>
  <c r="W360"/>
  <c r="AA388"/>
  <c r="AA373"/>
  <c r="AA357"/>
  <c r="W386"/>
  <c r="W371"/>
  <c r="W355"/>
  <c r="X386"/>
  <c r="X371"/>
  <c r="X355"/>
  <c r="Y386"/>
  <c r="Y371"/>
  <c r="Y355"/>
  <c r="X385"/>
  <c r="X370"/>
  <c r="X354"/>
  <c r="Y381"/>
  <c r="Y366"/>
  <c r="AA379"/>
  <c r="AA364"/>
  <c r="W379"/>
  <c r="W364"/>
  <c r="AA378"/>
  <c r="AA363"/>
  <c r="Y387"/>
  <c r="Y372"/>
  <c r="Y356"/>
  <c r="X384"/>
  <c r="X369"/>
  <c r="X353"/>
  <c r="Y382"/>
  <c r="Y367"/>
  <c r="X379"/>
  <c r="X364"/>
  <c r="W380"/>
  <c r="W365"/>
  <c r="AC383"/>
  <c r="AA381"/>
  <c r="AA366"/>
  <c r="AC380"/>
  <c r="Y380"/>
  <c r="Y365"/>
  <c r="AA376"/>
  <c r="AA361"/>
  <c r="Y360"/>
  <c r="X375"/>
  <c r="X359"/>
  <c r="W374"/>
  <c r="W358"/>
  <c r="X374"/>
  <c r="X358"/>
  <c r="W384"/>
  <c r="W369"/>
  <c r="W353"/>
  <c r="AA383"/>
  <c r="AA368"/>
  <c r="AC388"/>
  <c r="Y384"/>
  <c r="Y369"/>
  <c r="Y353"/>
  <c r="AA382"/>
  <c r="AA367"/>
  <c r="AC382"/>
  <c r="W375"/>
  <c r="W359"/>
  <c r="X388"/>
  <c r="X373"/>
  <c r="X357"/>
  <c r="W385"/>
  <c r="W370"/>
  <c r="W354"/>
  <c r="X383"/>
  <c r="X368"/>
  <c r="AC386"/>
  <c r="Y385"/>
  <c r="Y370"/>
  <c r="Y354"/>
  <c r="AA385"/>
  <c r="AA370"/>
  <c r="W383"/>
  <c r="W368"/>
  <c r="AC381"/>
  <c r="AA380"/>
  <c r="AA365"/>
  <c r="W378"/>
  <c r="W363"/>
  <c r="X378"/>
  <c r="X363"/>
  <c r="Y378"/>
  <c r="Y363"/>
  <c r="X377"/>
  <c r="X362"/>
  <c r="Y374"/>
  <c r="Y358"/>
  <c r="AA387"/>
  <c r="AA372"/>
  <c r="AA356"/>
  <c r="W387"/>
  <c r="W372"/>
  <c r="W356"/>
  <c r="AA386"/>
  <c r="AA371"/>
  <c r="X350"/>
  <c r="W311"/>
  <c r="W314"/>
  <c r="Y311"/>
  <c r="Y105"/>
  <c r="Y32"/>
  <c r="Y96"/>
  <c r="X233"/>
  <c r="Y288"/>
  <c r="X105"/>
  <c r="X133"/>
  <c r="W77"/>
  <c r="AA302"/>
  <c r="AA32"/>
  <c r="W233"/>
  <c r="W347"/>
  <c r="X311"/>
  <c r="AA349"/>
  <c r="Y352"/>
  <c r="Y349"/>
  <c r="AA11"/>
  <c r="X11"/>
  <c r="X131"/>
  <c r="W131"/>
  <c r="AA288"/>
  <c r="W32"/>
  <c r="Y133"/>
  <c r="Y233"/>
  <c r="Y11"/>
  <c r="X347"/>
  <c r="W349"/>
  <c r="X348"/>
  <c r="X352"/>
  <c r="Y314"/>
  <c r="Y350"/>
  <c r="Y347"/>
  <c r="Y348"/>
  <c r="X32"/>
  <c r="W302"/>
  <c r="Y302"/>
  <c r="W11"/>
  <c r="AA96"/>
  <c r="X288"/>
  <c r="AA133"/>
  <c r="W288"/>
  <c r="AA77"/>
  <c r="AA233"/>
  <c r="W350"/>
  <c r="X314"/>
  <c r="X349"/>
  <c r="W348"/>
  <c r="W352"/>
  <c r="AA350"/>
  <c r="AA347"/>
  <c r="AA348"/>
  <c r="AA314"/>
  <c r="W133"/>
  <c r="W105"/>
  <c r="X302"/>
  <c r="X96"/>
  <c r="AA131"/>
  <c r="AA105"/>
  <c r="Y131"/>
  <c r="W96"/>
  <c r="X77"/>
  <c r="Y77"/>
  <c r="W139"/>
  <c r="X139"/>
  <c r="Y139"/>
  <c r="AA139"/>
  <c r="W313"/>
  <c r="AA315"/>
  <c r="AA312"/>
  <c r="Y313"/>
  <c r="W315"/>
  <c r="X313"/>
  <c r="X315"/>
  <c r="AA313"/>
  <c r="X312"/>
  <c r="Y315"/>
  <c r="W312"/>
  <c r="W258"/>
  <c r="Y298"/>
  <c r="W36"/>
  <c r="AA91"/>
  <c r="AA174"/>
  <c r="W101"/>
  <c r="AA40"/>
  <c r="W57"/>
  <c r="X145"/>
  <c r="X226"/>
  <c r="X119"/>
  <c r="W94"/>
  <c r="X295"/>
  <c r="W195"/>
  <c r="W305"/>
  <c r="X325"/>
  <c r="W237"/>
  <c r="W238"/>
  <c r="Y154"/>
  <c r="Y226"/>
  <c r="Y248"/>
  <c r="AA143"/>
  <c r="AA320"/>
  <c r="Y205"/>
  <c r="Y329"/>
  <c r="AA330"/>
  <c r="AA204"/>
  <c r="W309"/>
  <c r="W262"/>
  <c r="AA261"/>
  <c r="Y280"/>
  <c r="X111"/>
  <c r="Y118"/>
  <c r="Y210"/>
  <c r="X61"/>
  <c r="AA124"/>
  <c r="W143"/>
  <c r="W267"/>
  <c r="AA218"/>
  <c r="W294"/>
  <c r="X182"/>
  <c r="W177"/>
  <c r="X208"/>
  <c r="X72"/>
  <c r="Y326"/>
  <c r="Y94"/>
  <c r="AA160"/>
  <c r="AA242"/>
  <c r="Y5"/>
  <c r="Y26"/>
  <c r="Y197"/>
  <c r="AA294"/>
  <c r="AA14"/>
  <c r="AA282"/>
  <c r="AA247"/>
  <c r="AA309"/>
  <c r="X152"/>
  <c r="Y189"/>
  <c r="AA190"/>
  <c r="AA193"/>
  <c r="AA301"/>
  <c r="Y301"/>
  <c r="W120"/>
  <c r="Y230"/>
  <c r="W114"/>
  <c r="Y236"/>
  <c r="X91"/>
  <c r="W293"/>
  <c r="W310"/>
  <c r="W241"/>
  <c r="X216"/>
  <c r="Y108"/>
  <c r="X138"/>
  <c r="Y64"/>
  <c r="AA50"/>
  <c r="Y257"/>
  <c r="X207"/>
  <c r="Y141"/>
  <c r="X203"/>
  <c r="X123"/>
  <c r="X57"/>
  <c r="X45"/>
  <c r="W212"/>
  <c r="X134"/>
  <c r="W113"/>
  <c r="W168"/>
  <c r="W330"/>
  <c r="X99"/>
  <c r="W182"/>
  <c r="X168"/>
  <c r="X171"/>
  <c r="W242"/>
  <c r="Y175"/>
  <c r="Y295"/>
  <c r="AA125"/>
  <c r="AA171"/>
  <c r="AA168"/>
  <c r="Y222"/>
  <c r="Y168"/>
  <c r="AA145"/>
  <c r="AA217"/>
  <c r="AA231"/>
  <c r="Y277"/>
  <c r="X241"/>
  <c r="AA111"/>
  <c r="AA107"/>
  <c r="X121"/>
  <c r="AA202"/>
  <c r="AA246"/>
  <c r="Y319"/>
  <c r="AA69"/>
  <c r="W73"/>
  <c r="X104"/>
  <c r="W109"/>
  <c r="AA89"/>
  <c r="Y321"/>
  <c r="AA144"/>
  <c r="Y192"/>
  <c r="X146"/>
  <c r="AA322"/>
  <c r="AA192"/>
  <c r="W261"/>
  <c r="AA64"/>
  <c r="AA9"/>
  <c r="Y193"/>
  <c r="X246"/>
  <c r="X230"/>
  <c r="X144"/>
  <c r="W214"/>
  <c r="AA250"/>
  <c r="AA277"/>
  <c r="W256"/>
  <c r="Y9"/>
  <c r="W179"/>
  <c r="AA152"/>
  <c r="W239"/>
  <c r="Y45"/>
  <c r="AA45"/>
  <c r="W218"/>
  <c r="W222"/>
  <c r="X176"/>
  <c r="W231"/>
  <c r="W329"/>
  <c r="X18"/>
  <c r="X231"/>
  <c r="Y218"/>
  <c r="W26"/>
  <c r="X343"/>
  <c r="Y217"/>
  <c r="Y337"/>
  <c r="AA119"/>
  <c r="AA212"/>
  <c r="AA267"/>
  <c r="Y343"/>
  <c r="Y160"/>
  <c r="AA72"/>
  <c r="AA341"/>
  <c r="AA275"/>
  <c r="X333"/>
  <c r="W344"/>
  <c r="Y8"/>
  <c r="W121"/>
  <c r="W8"/>
  <c r="X9"/>
  <c r="W194"/>
  <c r="AA321"/>
  <c r="W225"/>
  <c r="Y115"/>
  <c r="X307"/>
  <c r="X327"/>
  <c r="AA37"/>
  <c r="W224"/>
  <c r="X319"/>
  <c r="X108"/>
  <c r="AA254"/>
  <c r="AA109"/>
  <c r="X60"/>
  <c r="AA94"/>
  <c r="W264"/>
  <c r="Y60"/>
  <c r="W247"/>
  <c r="AA304"/>
  <c r="Y92"/>
  <c r="W216"/>
  <c r="Y50"/>
  <c r="W223"/>
  <c r="AA296"/>
  <c r="Y299"/>
  <c r="W174"/>
  <c r="X101"/>
  <c r="Y107"/>
  <c r="X308"/>
  <c r="AA339"/>
  <c r="W152"/>
  <c r="Y190"/>
  <c r="AA210"/>
  <c r="X331"/>
  <c r="AA121"/>
  <c r="Y67"/>
  <c r="X205"/>
  <c r="X5"/>
  <c r="X248"/>
  <c r="W22"/>
  <c r="X28"/>
  <c r="X158"/>
  <c r="X6"/>
  <c r="W332"/>
  <c r="W35"/>
  <c r="W33"/>
  <c r="Y28"/>
  <c r="Y81"/>
  <c r="Y305"/>
  <c r="AA22"/>
  <c r="AA38"/>
  <c r="Y143"/>
  <c r="Y182"/>
  <c r="Y294"/>
  <c r="AA137"/>
  <c r="AA178"/>
  <c r="Y293"/>
  <c r="AA256"/>
  <c r="X141"/>
  <c r="AA8"/>
  <c r="W189"/>
  <c r="X147"/>
  <c r="X40"/>
  <c r="AA188"/>
  <c r="X34"/>
  <c r="W125"/>
  <c r="W178"/>
  <c r="W10"/>
  <c r="X332"/>
  <c r="X196"/>
  <c r="X10"/>
  <c r="X29"/>
  <c r="W87"/>
  <c r="W255"/>
  <c r="Y204"/>
  <c r="Y325"/>
  <c r="AA182"/>
  <c r="AA195"/>
  <c r="AA140"/>
  <c r="Y242"/>
  <c r="Y87"/>
  <c r="AA196"/>
  <c r="AA232"/>
  <c r="AA332"/>
  <c r="Y247"/>
  <c r="X239"/>
  <c r="X223"/>
  <c r="AA214"/>
  <c r="Y37"/>
  <c r="W60"/>
  <c r="AA73"/>
  <c r="Y322"/>
  <c r="Y327"/>
  <c r="X200"/>
  <c r="W115"/>
  <c r="AA93"/>
  <c r="X41"/>
  <c r="Y153"/>
  <c r="Y304"/>
  <c r="W296"/>
  <c r="W308"/>
  <c r="W23"/>
  <c r="W257"/>
  <c r="Y203"/>
  <c r="W321"/>
  <c r="X339"/>
  <c r="AA293"/>
  <c r="AA299"/>
  <c r="X8"/>
  <c r="Y323"/>
  <c r="W190"/>
  <c r="W146"/>
  <c r="Y40"/>
  <c r="W5"/>
  <c r="W72"/>
  <c r="X329"/>
  <c r="W205"/>
  <c r="X218"/>
  <c r="X160"/>
  <c r="X195"/>
  <c r="X305"/>
  <c r="W38"/>
  <c r="X137"/>
  <c r="Y134"/>
  <c r="Y142"/>
  <c r="Y72"/>
  <c r="AA99"/>
  <c r="AA176"/>
  <c r="Y171"/>
  <c r="Y271"/>
  <c r="AA226"/>
  <c r="AA166"/>
  <c r="AA325"/>
  <c r="AA287"/>
  <c r="X247"/>
  <c r="AA179"/>
  <c r="W46"/>
  <c r="Y73"/>
  <c r="AA52"/>
  <c r="Y191"/>
  <c r="Y261"/>
  <c r="W333"/>
  <c r="AA120"/>
  <c r="AA123"/>
  <c r="X73"/>
  <c r="AA307"/>
  <c r="Y91"/>
  <c r="X321"/>
  <c r="W111"/>
  <c r="AA114"/>
  <c r="AA207"/>
  <c r="Y200"/>
  <c r="X93"/>
  <c r="Y194"/>
  <c r="AA272"/>
  <c r="Y282"/>
  <c r="Y214"/>
  <c r="X291"/>
  <c r="AA327"/>
  <c r="W127"/>
  <c r="AA41"/>
  <c r="X190"/>
  <c r="W282"/>
  <c r="X310"/>
  <c r="W269"/>
  <c r="X46"/>
  <c r="AA200"/>
  <c r="Y144"/>
  <c r="Y262"/>
  <c r="X67"/>
  <c r="Y61"/>
  <c r="W3"/>
  <c r="X26"/>
  <c r="X197"/>
  <c r="X3"/>
  <c r="W271"/>
  <c r="W18"/>
  <c r="X113"/>
  <c r="W275"/>
  <c r="X33"/>
  <c r="W208"/>
  <c r="Y166"/>
  <c r="Y255"/>
  <c r="Y275"/>
  <c r="AA158"/>
  <c r="AA329"/>
  <c r="Y212"/>
  <c r="Y119"/>
  <c r="AA3"/>
  <c r="AA208"/>
  <c r="AA177"/>
  <c r="X296"/>
  <c r="W253"/>
  <c r="AA104"/>
  <c r="Y240"/>
  <c r="Y135"/>
  <c r="W323"/>
  <c r="W107"/>
  <c r="AA319"/>
  <c r="X92"/>
  <c r="W202"/>
  <c r="X236"/>
  <c r="Y138"/>
  <c r="Y287"/>
  <c r="Y309"/>
  <c r="W301"/>
  <c r="AA153"/>
  <c r="AA203"/>
  <c r="AA194"/>
  <c r="W283"/>
  <c r="X115"/>
  <c r="AA323"/>
  <c r="X69"/>
  <c r="W93"/>
  <c r="Y308"/>
  <c r="Y132"/>
  <c r="X304"/>
  <c r="AA252"/>
  <c r="AA181"/>
  <c r="X103"/>
  <c r="AA308"/>
  <c r="X120"/>
  <c r="Y346"/>
  <c r="AA291"/>
  <c r="AA298"/>
  <c r="AA331"/>
  <c r="AA16"/>
  <c r="X283"/>
  <c r="Y121"/>
  <c r="AA118"/>
  <c r="Y239"/>
  <c r="W45"/>
  <c r="X232"/>
  <c r="X35"/>
  <c r="X267"/>
  <c r="W34"/>
  <c r="W136"/>
  <c r="X271"/>
  <c r="X275"/>
  <c r="W28"/>
  <c r="X175"/>
  <c r="X217"/>
  <c r="X341"/>
  <c r="Y341"/>
  <c r="Y145"/>
  <c r="AA197"/>
  <c r="AA334"/>
  <c r="Y22"/>
  <c r="Y38"/>
  <c r="Y267"/>
  <c r="AA18"/>
  <c r="AA34"/>
  <c r="W319"/>
  <c r="X258"/>
  <c r="AA201"/>
  <c r="Y224"/>
  <c r="X153"/>
  <c r="X118"/>
  <c r="AA57"/>
  <c r="W67"/>
  <c r="W140"/>
  <c r="W166"/>
  <c r="X255"/>
  <c r="W295"/>
  <c r="W160"/>
  <c r="X237"/>
  <c r="X136"/>
  <c r="X294"/>
  <c r="X166"/>
  <c r="W158"/>
  <c r="Y137"/>
  <c r="Y178"/>
  <c r="Y272"/>
  <c r="AA136"/>
  <c r="AA238"/>
  <c r="Y195"/>
  <c r="Y320"/>
  <c r="AA295"/>
  <c r="AA175"/>
  <c r="AA337"/>
  <c r="AA346"/>
  <c r="X287"/>
  <c r="Y93"/>
  <c r="AA92"/>
  <c r="X174"/>
  <c r="AA23"/>
  <c r="AA340"/>
  <c r="X252"/>
  <c r="AA127"/>
  <c r="AA230"/>
  <c r="AA146"/>
  <c r="W299"/>
  <c r="W52"/>
  <c r="X264"/>
  <c r="X322"/>
  <c r="AA283"/>
  <c r="Y174"/>
  <c r="Y23"/>
  <c r="Y241"/>
  <c r="Y223"/>
  <c r="W250"/>
  <c r="Y253"/>
  <c r="X282"/>
  <c r="Y52"/>
  <c r="Y216"/>
  <c r="X16"/>
  <c r="AA224"/>
  <c r="AA61"/>
  <c r="W197"/>
  <c r="X22"/>
  <c r="W320"/>
  <c r="X212"/>
  <c r="W14"/>
  <c r="X184"/>
  <c r="W175"/>
  <c r="W326"/>
  <c r="W204"/>
  <c r="X178"/>
  <c r="W337"/>
  <c r="Y14"/>
  <c r="Y196"/>
  <c r="AA237"/>
  <c r="AA10"/>
  <c r="Y99"/>
  <c r="Y125"/>
  <c r="Y33"/>
  <c r="AA86"/>
  <c r="AA113"/>
  <c r="Y344"/>
  <c r="Y340"/>
  <c r="W104"/>
  <c r="Y331"/>
  <c r="AA264"/>
  <c r="Y220"/>
  <c r="AA46"/>
  <c r="X263"/>
  <c r="W346"/>
  <c r="W103"/>
  <c r="Y109"/>
  <c r="AA108"/>
  <c r="W37"/>
  <c r="W207"/>
  <c r="Y339"/>
  <c r="Y269"/>
  <c r="Y16"/>
  <c r="X299"/>
  <c r="X192"/>
  <c r="AA135"/>
  <c r="X114"/>
  <c r="AA36"/>
  <c r="W246"/>
  <c r="X189"/>
  <c r="X210"/>
  <c r="AA240"/>
  <c r="Y250"/>
  <c r="Y69"/>
  <c r="Y111"/>
  <c r="W123"/>
  <c r="Y291"/>
  <c r="W304"/>
  <c r="AA147"/>
  <c r="X201"/>
  <c r="X194"/>
  <c r="X256"/>
  <c r="Y104"/>
  <c r="Y57"/>
  <c r="X143"/>
  <c r="X204"/>
  <c r="X334"/>
  <c r="W137"/>
  <c r="W145"/>
  <c r="X222"/>
  <c r="W29"/>
  <c r="W334"/>
  <c r="W6"/>
  <c r="W171"/>
  <c r="Y86"/>
  <c r="Y113"/>
  <c r="Y332"/>
  <c r="AA29"/>
  <c r="AA90"/>
  <c r="Y158"/>
  <c r="Y238"/>
  <c r="Y35"/>
  <c r="AA154"/>
  <c r="AA255"/>
  <c r="Y283"/>
  <c r="AA220"/>
  <c r="AA239"/>
  <c r="Y202"/>
  <c r="Y252"/>
  <c r="Y46"/>
  <c r="X280"/>
  <c r="AA344"/>
  <c r="X50"/>
  <c r="AA138"/>
  <c r="X202"/>
  <c r="Y207"/>
  <c r="W144"/>
  <c r="X323"/>
  <c r="W135"/>
  <c r="Y101"/>
  <c r="X301"/>
  <c r="W16"/>
  <c r="Y256"/>
  <c r="Y264"/>
  <c r="W220"/>
  <c r="X344"/>
  <c r="X23"/>
  <c r="AA103"/>
  <c r="AA310"/>
  <c r="AA141"/>
  <c r="W203"/>
  <c r="Y246"/>
  <c r="AA101"/>
  <c r="X257"/>
  <c r="W298"/>
  <c r="Y263"/>
  <c r="W280"/>
  <c r="W181"/>
  <c r="W41"/>
  <c r="Y179"/>
  <c r="AA67"/>
  <c r="W61"/>
  <c r="W154"/>
  <c r="X154"/>
  <c r="W226"/>
  <c r="X38"/>
  <c r="X330"/>
  <c r="W99"/>
  <c r="X86"/>
  <c r="X142"/>
  <c r="W232"/>
  <c r="W248"/>
  <c r="Y208"/>
  <c r="Y330"/>
  <c r="AA271"/>
  <c r="AA205"/>
  <c r="AA184"/>
  <c r="Y334"/>
  <c r="Y140"/>
  <c r="AA305"/>
  <c r="AA326"/>
  <c r="AA253"/>
  <c r="AA241"/>
  <c r="W118"/>
  <c r="AA223"/>
  <c r="Y103"/>
  <c r="W339"/>
  <c r="W91"/>
  <c r="W40"/>
  <c r="X238"/>
  <c r="W86"/>
  <c r="W341"/>
  <c r="W196"/>
  <c r="W90"/>
  <c r="W81"/>
  <c r="W119"/>
  <c r="W343"/>
  <c r="X177"/>
  <c r="X242"/>
  <c r="Y18"/>
  <c r="Y34"/>
  <c r="Y231"/>
  <c r="Z231" s="1"/>
  <c r="AB231" s="1"/>
  <c r="AA5"/>
  <c r="AA26"/>
  <c r="Y136"/>
  <c r="Y176"/>
  <c r="Y237"/>
  <c r="AA134"/>
  <c r="AA142"/>
  <c r="AA333"/>
  <c r="Y333"/>
  <c r="X298"/>
  <c r="AA115"/>
  <c r="X240"/>
  <c r="X225"/>
  <c r="W191"/>
  <c r="AA311"/>
  <c r="AA263"/>
  <c r="X36"/>
  <c r="W254"/>
  <c r="X269"/>
  <c r="AA132"/>
  <c r="W263"/>
  <c r="Y307"/>
  <c r="AA257"/>
  <c r="X250"/>
  <c r="W322"/>
  <c r="W64"/>
  <c r="W69"/>
  <c r="Y147"/>
  <c r="X132"/>
  <c r="W291"/>
  <c r="W287"/>
  <c r="X135"/>
  <c r="X224"/>
  <c r="X193"/>
  <c r="X52"/>
  <c r="W188"/>
  <c r="X188"/>
  <c r="X320"/>
  <c r="W176"/>
  <c r="X94"/>
  <c r="X140"/>
  <c r="X337"/>
  <c r="W124"/>
  <c r="W142"/>
  <c r="X124"/>
  <c r="W134"/>
  <c r="W325"/>
  <c r="Y232"/>
  <c r="Y3"/>
  <c r="AA87"/>
  <c r="AA222"/>
  <c r="AA33"/>
  <c r="Y10"/>
  <c r="Y184"/>
  <c r="AA248"/>
  <c r="AA6"/>
  <c r="AA35"/>
  <c r="AA262"/>
  <c r="Y41"/>
  <c r="AA216"/>
  <c r="X220"/>
  <c r="Y310"/>
  <c r="X181"/>
  <c r="X309"/>
  <c r="W138"/>
  <c r="AA280"/>
  <c r="W108"/>
  <c r="Y254"/>
  <c r="W307"/>
  <c r="W192"/>
  <c r="W132"/>
  <c r="W89"/>
  <c r="Y127"/>
  <c r="W230"/>
  <c r="Z230" s="1"/>
  <c r="X64"/>
  <c r="X262"/>
  <c r="X37"/>
  <c r="X127"/>
  <c r="X179"/>
  <c r="X254"/>
  <c r="W240"/>
  <c r="AA60"/>
  <c r="Y146"/>
  <c r="W277"/>
  <c r="X277"/>
  <c r="W201"/>
  <c r="AA258"/>
  <c r="AA189"/>
  <c r="X109"/>
  <c r="Y123"/>
  <c r="Y188"/>
  <c r="X125"/>
  <c r="W184"/>
  <c r="W272"/>
  <c r="Y124"/>
  <c r="W217"/>
  <c r="X87"/>
  <c r="X90"/>
  <c r="X272"/>
  <c r="X14"/>
  <c r="X81"/>
  <c r="X326"/>
  <c r="Y6"/>
  <c r="Y177"/>
  <c r="AA343"/>
  <c r="Y29"/>
  <c r="Y90"/>
  <c r="AA28"/>
  <c r="AA81"/>
  <c r="W340"/>
  <c r="X261"/>
  <c r="W193"/>
  <c r="W327"/>
  <c r="Z327" s="1"/>
  <c r="W50"/>
  <c r="W92"/>
  <c r="W200"/>
  <c r="X340"/>
  <c r="X346"/>
  <c r="AA236"/>
  <c r="AA191"/>
  <c r="Y89"/>
  <c r="W236"/>
  <c r="Y114"/>
  <c r="AA269"/>
  <c r="X293"/>
  <c r="W153"/>
  <c r="Y296"/>
  <c r="W147"/>
  <c r="W9"/>
  <c r="X107"/>
  <c r="W252"/>
  <c r="X214"/>
  <c r="X253"/>
  <c r="Y120"/>
  <c r="W331"/>
  <c r="Y152"/>
  <c r="W210"/>
  <c r="Y36"/>
  <c r="Y258"/>
  <c r="W141"/>
  <c r="X191"/>
  <c r="Y201"/>
  <c r="Y181"/>
  <c r="X89"/>
  <c r="E52" i="4"/>
  <c r="E90" i="7"/>
  <c r="D92"/>
  <c r="Y312" i="16"/>
  <c r="F43" i="40"/>
  <c r="D74" i="7"/>
  <c r="E74" s="1"/>
  <c r="D62"/>
  <c r="D24"/>
  <c r="E67" i="4"/>
  <c r="D67" s="1"/>
  <c r="B35"/>
  <c r="S11"/>
  <c r="B22"/>
  <c r="S15"/>
  <c r="B114"/>
  <c r="E114" s="1"/>
  <c r="S26"/>
  <c r="E23" i="7"/>
  <c r="E24" s="1"/>
  <c r="B34" i="4"/>
  <c r="S10"/>
  <c r="G121"/>
  <c r="D122"/>
  <c r="E122"/>
  <c r="G122" s="1"/>
  <c r="E107"/>
  <c r="D107"/>
  <c r="B95"/>
  <c r="E96"/>
  <c r="E95" s="1"/>
  <c r="D57" i="7"/>
  <c r="E56" s="1"/>
  <c r="E57" s="1"/>
  <c r="E109" i="4"/>
  <c r="G109" s="1"/>
  <c r="D109"/>
  <c r="M41" i="40"/>
  <c r="E104" i="4"/>
  <c r="D104"/>
  <c r="B98"/>
  <c r="G97" s="1"/>
  <c r="D73" i="7"/>
  <c r="E72" s="1"/>
  <c r="E73" s="1"/>
  <c r="S20" i="4"/>
  <c r="B45"/>
  <c r="E45" s="1"/>
  <c r="B115"/>
  <c r="E115" s="1"/>
  <c r="S27"/>
  <c r="E61" i="7"/>
  <c r="E62" s="1"/>
  <c r="B24" i="4"/>
  <c r="G117"/>
  <c r="D118"/>
  <c r="E118"/>
  <c r="G118" s="1"/>
  <c r="E110"/>
  <c r="G110" s="1"/>
  <c r="B108"/>
  <c r="E108" s="1"/>
  <c r="D110"/>
  <c r="E18" i="7"/>
  <c r="S19" i="4"/>
  <c r="B16"/>
  <c r="D16" s="1"/>
  <c r="E89" i="7"/>
  <c r="E39" i="4"/>
  <c r="B25"/>
  <c r="D25" s="1"/>
  <c r="S18"/>
  <c r="D32"/>
  <c r="G92" i="7" l="1"/>
  <c r="AB327" i="16"/>
  <c r="F61" i="80"/>
  <c r="E672" i="57"/>
  <c r="Z237" i="16"/>
  <c r="AB237" s="1"/>
  <c r="Z105"/>
  <c r="AB105" s="1"/>
  <c r="Z45"/>
  <c r="AB45" s="1"/>
  <c r="Z61"/>
  <c r="AB61" s="1"/>
  <c r="Z257"/>
  <c r="AB257" s="1"/>
  <c r="Z10"/>
  <c r="AB10" s="1"/>
  <c r="Z382"/>
  <c r="AB382" s="1"/>
  <c r="Z367"/>
  <c r="AB367" s="1"/>
  <c r="Z377"/>
  <c r="AB377" s="1"/>
  <c r="Z379"/>
  <c r="AB379" s="1"/>
  <c r="Z11"/>
  <c r="AB11" s="1"/>
  <c r="Z355"/>
  <c r="AB355" s="1"/>
  <c r="Z361"/>
  <c r="AB361" s="1"/>
  <c r="Z133"/>
  <c r="AB133" s="1"/>
  <c r="Z364"/>
  <c r="AB364" s="1"/>
  <c r="Z369"/>
  <c r="AB369" s="1"/>
  <c r="Z384"/>
  <c r="AB384" s="1"/>
  <c r="Z368"/>
  <c r="AB368" s="1"/>
  <c r="Z380"/>
  <c r="AB380" s="1"/>
  <c r="Z386"/>
  <c r="AB386" s="1"/>
  <c r="U368"/>
  <c r="U387"/>
  <c r="U353"/>
  <c r="U380"/>
  <c r="U358"/>
  <c r="U359"/>
  <c r="U360"/>
  <c r="U379"/>
  <c r="U365"/>
  <c r="U376"/>
  <c r="U373"/>
  <c r="U384"/>
  <c r="U370"/>
  <c r="U355"/>
  <c r="U375"/>
  <c r="U357"/>
  <c r="U369"/>
  <c r="U354"/>
  <c r="U374"/>
  <c r="U362"/>
  <c r="U381"/>
  <c r="U367"/>
  <c r="U386"/>
  <c r="U372"/>
  <c r="U388"/>
  <c r="U366"/>
  <c r="U382"/>
  <c r="U385"/>
  <c r="U371"/>
  <c r="U356"/>
  <c r="U378"/>
  <c r="U364"/>
  <c r="U383"/>
  <c r="U361"/>
  <c r="U377"/>
  <c r="U363"/>
  <c r="Z378"/>
  <c r="AB378" s="1"/>
  <c r="Z374"/>
  <c r="AB374" s="1"/>
  <c r="Z376"/>
  <c r="AB376" s="1"/>
  <c r="Z388"/>
  <c r="AB388" s="1"/>
  <c r="Z359"/>
  <c r="AB359" s="1"/>
  <c r="Z383"/>
  <c r="AB383" s="1"/>
  <c r="Z358"/>
  <c r="AB358" s="1"/>
  <c r="Z354"/>
  <c r="AB354" s="1"/>
  <c r="Z371"/>
  <c r="AB371" s="1"/>
  <c r="Z360"/>
  <c r="AB360" s="1"/>
  <c r="Z373"/>
  <c r="AB373" s="1"/>
  <c r="Z387"/>
  <c r="AB387" s="1"/>
  <c r="Z362"/>
  <c r="AB362" s="1"/>
  <c r="Z381"/>
  <c r="AB381" s="1"/>
  <c r="Z357"/>
  <c r="AB357" s="1"/>
  <c r="Z372"/>
  <c r="AB372" s="1"/>
  <c r="Z363"/>
  <c r="AB363" s="1"/>
  <c r="Z370"/>
  <c r="AB370" s="1"/>
  <c r="Z353"/>
  <c r="AB353" s="1"/>
  <c r="Z365"/>
  <c r="AB365" s="1"/>
  <c r="Z385"/>
  <c r="AB385" s="1"/>
  <c r="Z366"/>
  <c r="AB366" s="1"/>
  <c r="Z356"/>
  <c r="AB356" s="1"/>
  <c r="Z375"/>
  <c r="AB375" s="1"/>
  <c r="Z347"/>
  <c r="AB347" s="1"/>
  <c r="Z182"/>
  <c r="AB182" s="1"/>
  <c r="U17"/>
  <c r="U264"/>
  <c r="U161"/>
  <c r="U35"/>
  <c r="U154"/>
  <c r="U321"/>
  <c r="U195"/>
  <c r="U314"/>
  <c r="U92"/>
  <c r="U85"/>
  <c r="U252"/>
  <c r="U112"/>
  <c r="U279"/>
  <c r="U153"/>
  <c r="U272"/>
  <c r="U50"/>
  <c r="U313"/>
  <c r="U43"/>
  <c r="U210"/>
  <c r="U84"/>
  <c r="U203"/>
  <c r="U344"/>
  <c r="U115"/>
  <c r="U142"/>
  <c r="U183"/>
  <c r="U216"/>
  <c r="U241"/>
  <c r="U234"/>
  <c r="U12"/>
  <c r="U147"/>
  <c r="U5"/>
  <c r="U172"/>
  <c r="U307"/>
  <c r="U165"/>
  <c r="U332"/>
  <c r="U78"/>
  <c r="U325"/>
  <c r="U103"/>
  <c r="U238"/>
  <c r="U352"/>
  <c r="U130"/>
  <c r="U265"/>
  <c r="U123"/>
  <c r="U290"/>
  <c r="U36"/>
  <c r="U283"/>
  <c r="U77"/>
  <c r="U196"/>
  <c r="U54"/>
  <c r="U237"/>
  <c r="U231"/>
  <c r="U287"/>
  <c r="U328"/>
  <c r="U345"/>
  <c r="U246"/>
  <c r="U347"/>
  <c r="U141"/>
  <c r="U260"/>
  <c r="U118"/>
  <c r="U301"/>
  <c r="U31"/>
  <c r="U278"/>
  <c r="U72"/>
  <c r="U191"/>
  <c r="U49"/>
  <c r="U232"/>
  <c r="U129"/>
  <c r="U259"/>
  <c r="U156"/>
  <c r="U30"/>
  <c r="U149"/>
  <c r="U316"/>
  <c r="U190"/>
  <c r="U309"/>
  <c r="U87"/>
  <c r="U350"/>
  <c r="U120"/>
  <c r="U288"/>
  <c r="U202"/>
  <c r="U229"/>
  <c r="U143"/>
  <c r="U303"/>
  <c r="U320"/>
  <c r="U233"/>
  <c r="U111"/>
  <c r="U230"/>
  <c r="U24"/>
  <c r="U271"/>
  <c r="U121"/>
  <c r="U240"/>
  <c r="U18"/>
  <c r="U281"/>
  <c r="U11"/>
  <c r="U178"/>
  <c r="U52"/>
  <c r="U171"/>
  <c r="U338"/>
  <c r="U212"/>
  <c r="U331"/>
  <c r="U125"/>
  <c r="U239"/>
  <c r="U152"/>
  <c r="U10"/>
  <c r="U177"/>
  <c r="U312"/>
  <c r="U170"/>
  <c r="U337"/>
  <c r="U83"/>
  <c r="U330"/>
  <c r="U108"/>
  <c r="U243"/>
  <c r="U304"/>
  <c r="U75"/>
  <c r="U102"/>
  <c r="U159"/>
  <c r="U176"/>
  <c r="U91"/>
  <c r="U258"/>
  <c r="U4"/>
  <c r="U251"/>
  <c r="U45"/>
  <c r="U164"/>
  <c r="U22"/>
  <c r="U205"/>
  <c r="U324"/>
  <c r="U182"/>
  <c r="U95"/>
  <c r="U124"/>
  <c r="U122"/>
  <c r="U289"/>
  <c r="U163"/>
  <c r="U282"/>
  <c r="U60"/>
  <c r="U323"/>
  <c r="U53"/>
  <c r="U220"/>
  <c r="U94"/>
  <c r="U213"/>
  <c r="U247"/>
  <c r="U42"/>
  <c r="U225"/>
  <c r="U23"/>
  <c r="U302"/>
  <c r="U73"/>
  <c r="U117"/>
  <c r="U284"/>
  <c r="U158"/>
  <c r="U277"/>
  <c r="U55"/>
  <c r="U318"/>
  <c r="U48"/>
  <c r="U215"/>
  <c r="U89"/>
  <c r="U208"/>
  <c r="U116"/>
  <c r="U235"/>
  <c r="U29"/>
  <c r="U276"/>
  <c r="U6"/>
  <c r="U189"/>
  <c r="U47"/>
  <c r="U166"/>
  <c r="U349"/>
  <c r="U207"/>
  <c r="U223"/>
  <c r="U311"/>
  <c r="U82"/>
  <c r="U242"/>
  <c r="U285"/>
  <c r="U56"/>
  <c r="U343"/>
  <c r="U336"/>
  <c r="U135"/>
  <c r="U270"/>
  <c r="U128"/>
  <c r="U295"/>
  <c r="U145"/>
  <c r="U280"/>
  <c r="U138"/>
  <c r="U305"/>
  <c r="U51"/>
  <c r="U298"/>
  <c r="U76"/>
  <c r="U211"/>
  <c r="U69"/>
  <c r="U236"/>
  <c r="U96"/>
  <c r="U263"/>
  <c r="U9"/>
  <c r="U256"/>
  <c r="U34"/>
  <c r="U169"/>
  <c r="U27"/>
  <c r="U194"/>
  <c r="U329"/>
  <c r="U187"/>
  <c r="U100"/>
  <c r="U185"/>
  <c r="U99"/>
  <c r="U126"/>
  <c r="U167"/>
  <c r="U200"/>
  <c r="U74"/>
  <c r="U131"/>
  <c r="U250"/>
  <c r="U28"/>
  <c r="U291"/>
  <c r="U21"/>
  <c r="U188"/>
  <c r="U62"/>
  <c r="U181"/>
  <c r="U348"/>
  <c r="U222"/>
  <c r="U341"/>
  <c r="U119"/>
  <c r="U249"/>
  <c r="U146"/>
  <c r="U20"/>
  <c r="U139"/>
  <c r="U306"/>
  <c r="U180"/>
  <c r="U299"/>
  <c r="U93"/>
  <c r="U340"/>
  <c r="U70"/>
  <c r="U253"/>
  <c r="U65"/>
  <c r="U201"/>
  <c r="U262"/>
  <c r="U81"/>
  <c r="U244"/>
  <c r="U157"/>
  <c r="U15"/>
  <c r="U134"/>
  <c r="U317"/>
  <c r="U175"/>
  <c r="U294"/>
  <c r="U88"/>
  <c r="U335"/>
  <c r="U113"/>
  <c r="U248"/>
  <c r="U140"/>
  <c r="U275"/>
  <c r="U133"/>
  <c r="U300"/>
  <c r="U46"/>
  <c r="U293"/>
  <c r="U71"/>
  <c r="U206"/>
  <c r="U64"/>
  <c r="U326"/>
  <c r="U41"/>
  <c r="U58"/>
  <c r="U218"/>
  <c r="U245"/>
  <c r="U16"/>
  <c r="U319"/>
  <c r="U98"/>
  <c r="U214"/>
  <c r="U8"/>
  <c r="U127"/>
  <c r="U168"/>
  <c r="U224"/>
  <c r="U2"/>
  <c r="U137"/>
  <c r="U162"/>
  <c r="U297"/>
  <c r="U155"/>
  <c r="U322"/>
  <c r="U68"/>
  <c r="U315"/>
  <c r="U109"/>
  <c r="U228"/>
  <c r="U342"/>
  <c r="U136"/>
  <c r="U255"/>
  <c r="U33"/>
  <c r="U296"/>
  <c r="U26"/>
  <c r="U193"/>
  <c r="U67"/>
  <c r="U186"/>
  <c r="U227"/>
  <c r="U346"/>
  <c r="U257"/>
  <c r="U59"/>
  <c r="U86"/>
  <c r="U160"/>
  <c r="U97"/>
  <c r="U90"/>
  <c r="U107"/>
  <c r="U274"/>
  <c r="U148"/>
  <c r="U267"/>
  <c r="U61"/>
  <c r="U308"/>
  <c r="U38"/>
  <c r="U221"/>
  <c r="U79"/>
  <c r="U198"/>
  <c r="U106"/>
  <c r="U273"/>
  <c r="U19"/>
  <c r="U266"/>
  <c r="U44"/>
  <c r="U179"/>
  <c r="U37"/>
  <c r="U204"/>
  <c r="U339"/>
  <c r="U197"/>
  <c r="U110"/>
  <c r="U80"/>
  <c r="U184"/>
  <c r="U209"/>
  <c r="U7"/>
  <c r="U286"/>
  <c r="U57"/>
  <c r="U101"/>
  <c r="U268"/>
  <c r="U14"/>
  <c r="U261"/>
  <c r="U39"/>
  <c r="U174"/>
  <c r="U32"/>
  <c r="U199"/>
  <c r="U334"/>
  <c r="U192"/>
  <c r="U105"/>
  <c r="U219"/>
  <c r="U13"/>
  <c r="U132"/>
  <c r="U173"/>
  <c r="U292"/>
  <c r="U150"/>
  <c r="U333"/>
  <c r="U63"/>
  <c r="U310"/>
  <c r="U104"/>
  <c r="U144"/>
  <c r="U66"/>
  <c r="U226"/>
  <c r="U269"/>
  <c r="U40"/>
  <c r="U327"/>
  <c r="U217"/>
  <c r="U114"/>
  <c r="U254"/>
  <c r="U151"/>
  <c r="U25"/>
  <c r="Z288"/>
  <c r="AB288" s="1"/>
  <c r="Z96"/>
  <c r="AB96" s="1"/>
  <c r="Z77"/>
  <c r="AB77" s="1"/>
  <c r="Z302"/>
  <c r="AB302" s="1"/>
  <c r="Z350"/>
  <c r="Z131"/>
  <c r="AB131" s="1"/>
  <c r="Z349"/>
  <c r="AB349" s="1"/>
  <c r="Z311"/>
  <c r="AB311" s="1"/>
  <c r="Z314"/>
  <c r="AB314" s="1"/>
  <c r="Z32"/>
  <c r="AB32" s="1"/>
  <c r="Z352"/>
  <c r="AB352" s="1"/>
  <c r="AF385"/>
  <c r="AF375"/>
  <c r="AF379"/>
  <c r="AF364"/>
  <c r="AF377"/>
  <c r="AF10"/>
  <c r="AF381"/>
  <c r="AF359"/>
  <c r="AF349"/>
  <c r="AF12"/>
  <c r="AF354"/>
  <c r="AF356"/>
  <c r="AF372"/>
  <c r="AF386"/>
  <c r="AF365"/>
  <c r="AF383"/>
  <c r="AF352"/>
  <c r="AF348"/>
  <c r="AF376"/>
  <c r="AF361"/>
  <c r="AF380"/>
  <c r="AF13"/>
  <c r="AF382"/>
  <c r="AF369"/>
  <c r="AF384"/>
  <c r="AF366"/>
  <c r="AF378"/>
  <c r="AF363"/>
  <c r="AF374"/>
  <c r="AF11"/>
  <c r="AF360"/>
  <c r="AF362"/>
  <c r="AF388"/>
  <c r="AF347"/>
  <c r="AF355"/>
  <c r="AF353"/>
  <c r="AF357"/>
  <c r="AF370"/>
  <c r="AF373"/>
  <c r="AF368"/>
  <c r="AF350"/>
  <c r="AF387"/>
  <c r="AF367"/>
  <c r="AF358"/>
  <c r="AF371"/>
  <c r="Z233"/>
  <c r="AB233" s="1"/>
  <c r="Z348"/>
  <c r="AB348" s="1"/>
  <c r="AF6"/>
  <c r="Z200"/>
  <c r="AB200" s="1"/>
  <c r="Z138"/>
  <c r="AB138" s="1"/>
  <c r="Z91"/>
  <c r="AB91" s="1"/>
  <c r="Z332"/>
  <c r="AB332" s="1"/>
  <c r="Z34"/>
  <c r="AB34" s="1"/>
  <c r="Z40"/>
  <c r="AB40" s="1"/>
  <c r="Z6"/>
  <c r="AB6" s="1"/>
  <c r="Z8"/>
  <c r="AB8" s="1"/>
  <c r="Z18"/>
  <c r="AB18" s="1"/>
  <c r="Z208"/>
  <c r="AB208" s="1"/>
  <c r="Z203"/>
  <c r="AB203" s="1"/>
  <c r="Z331"/>
  <c r="AB331" s="1"/>
  <c r="Z252"/>
  <c r="AB252" s="1"/>
  <c r="Z210"/>
  <c r="AB210" s="1"/>
  <c r="Z153"/>
  <c r="AB153" s="1"/>
  <c r="Z236"/>
  <c r="AB236" s="1"/>
  <c r="Z319"/>
  <c r="AB319" s="1"/>
  <c r="Z118"/>
  <c r="AB118" s="1"/>
  <c r="Z41"/>
  <c r="AB41" s="1"/>
  <c r="Z287"/>
  <c r="AB287" s="1"/>
  <c r="Z35"/>
  <c r="AB35" s="1"/>
  <c r="Z37"/>
  <c r="AB37" s="1"/>
  <c r="Z139"/>
  <c r="AB139" s="1"/>
  <c r="Z29"/>
  <c r="AB29" s="1"/>
  <c r="Z304"/>
  <c r="AB304" s="1"/>
  <c r="Z240"/>
  <c r="AB240" s="1"/>
  <c r="Z313"/>
  <c r="AB313" s="1"/>
  <c r="Z312"/>
  <c r="AB312" s="1"/>
  <c r="Z315"/>
  <c r="AB315" s="1"/>
  <c r="Z280"/>
  <c r="AB280" s="1"/>
  <c r="Z113"/>
  <c r="AB113" s="1"/>
  <c r="Z33"/>
  <c r="AB33" s="1"/>
  <c r="Z232"/>
  <c r="AB232" s="1"/>
  <c r="Z291"/>
  <c r="AB291" s="1"/>
  <c r="Z189"/>
  <c r="AB189" s="1"/>
  <c r="Z60"/>
  <c r="AB60" s="1"/>
  <c r="Z192"/>
  <c r="AB192" s="1"/>
  <c r="Z322"/>
  <c r="AB322" s="1"/>
  <c r="Z67"/>
  <c r="AB67" s="1"/>
  <c r="AB230"/>
  <c r="Z3"/>
  <c r="AB3" s="1"/>
  <c r="Z50"/>
  <c r="AB50" s="1"/>
  <c r="Z69"/>
  <c r="AB69" s="1"/>
  <c r="Z263"/>
  <c r="AB263" s="1"/>
  <c r="Z339"/>
  <c r="AB339" s="1"/>
  <c r="Z147"/>
  <c r="AB147" s="1"/>
  <c r="Z136"/>
  <c r="AB136" s="1"/>
  <c r="Z195"/>
  <c r="AB195" s="1"/>
  <c r="Z334"/>
  <c r="AB334" s="1"/>
  <c r="Z144"/>
  <c r="AB144" s="1"/>
  <c r="Z132"/>
  <c r="AB132" s="1"/>
  <c r="Z158"/>
  <c r="AB158" s="1"/>
  <c r="Z16"/>
  <c r="AB16" s="1"/>
  <c r="Z330"/>
  <c r="AB330" s="1"/>
  <c r="Z307"/>
  <c r="AB307" s="1"/>
  <c r="Z193"/>
  <c r="AB193" s="1"/>
  <c r="Z321"/>
  <c r="AB321" s="1"/>
  <c r="Z176"/>
  <c r="AB176" s="1"/>
  <c r="Z72"/>
  <c r="AB72" s="1"/>
  <c r="Z267"/>
  <c r="AB267" s="1"/>
  <c r="Z177"/>
  <c r="AB177" s="1"/>
  <c r="Z184"/>
  <c r="AB184" s="1"/>
  <c r="Z64"/>
  <c r="AB64" s="1"/>
  <c r="Z254"/>
  <c r="AB254" s="1"/>
  <c r="Z191"/>
  <c r="AB191" s="1"/>
  <c r="Z220"/>
  <c r="AB220" s="1"/>
  <c r="Z123"/>
  <c r="AB123" s="1"/>
  <c r="Z207"/>
  <c r="AB207" s="1"/>
  <c r="Z103"/>
  <c r="AB103" s="1"/>
  <c r="Z137"/>
  <c r="AB137" s="1"/>
  <c r="Z119"/>
  <c r="AB119" s="1"/>
  <c r="Z275"/>
  <c r="AB275" s="1"/>
  <c r="Z127"/>
  <c r="AB127" s="1"/>
  <c r="Z134"/>
  <c r="AB134" s="1"/>
  <c r="Z146"/>
  <c r="AB146" s="1"/>
  <c r="Z296"/>
  <c r="AB296" s="1"/>
  <c r="Z242"/>
  <c r="AB242" s="1"/>
  <c r="Z325"/>
  <c r="AB325" s="1"/>
  <c r="Z143"/>
  <c r="AB143" s="1"/>
  <c r="Z81"/>
  <c r="AB81" s="1"/>
  <c r="Z264"/>
  <c r="AB264" s="1"/>
  <c r="Z344"/>
  <c r="AB344" s="1"/>
  <c r="Z239"/>
  <c r="AB239" s="1"/>
  <c r="Z256"/>
  <c r="AB256" s="1"/>
  <c r="Z222"/>
  <c r="AB222" s="1"/>
  <c r="Z295"/>
  <c r="AB295" s="1"/>
  <c r="Z120"/>
  <c r="AB120" s="1"/>
  <c r="Z197"/>
  <c r="AB197" s="1"/>
  <c r="Z262"/>
  <c r="AB262" s="1"/>
  <c r="Z329"/>
  <c r="AB329" s="1"/>
  <c r="Z248"/>
  <c r="AB248" s="1"/>
  <c r="Z258"/>
  <c r="AB258" s="1"/>
  <c r="Z340"/>
  <c r="AB340" s="1"/>
  <c r="Z90"/>
  <c r="AB90" s="1"/>
  <c r="Z277"/>
  <c r="AB277" s="1"/>
  <c r="Z89"/>
  <c r="AB89" s="1"/>
  <c r="Z124"/>
  <c r="AB124" s="1"/>
  <c r="Z181"/>
  <c r="AB181" s="1"/>
  <c r="Z135"/>
  <c r="AB135" s="1"/>
  <c r="Z238"/>
  <c r="AB238" s="1"/>
  <c r="Z246"/>
  <c r="AB246" s="1"/>
  <c r="Z104"/>
  <c r="AB104" s="1"/>
  <c r="Z178"/>
  <c r="AB178" s="1"/>
  <c r="Z22"/>
  <c r="AB22" s="1"/>
  <c r="Z341"/>
  <c r="AB341" s="1"/>
  <c r="Z92"/>
  <c r="AB92" s="1"/>
  <c r="Z323"/>
  <c r="AB323" s="1"/>
  <c r="Z253"/>
  <c r="AB253" s="1"/>
  <c r="Z269"/>
  <c r="AB269" s="1"/>
  <c r="Z111"/>
  <c r="AB111" s="1"/>
  <c r="Z46"/>
  <c r="AB46" s="1"/>
  <c r="Z171"/>
  <c r="AB171" s="1"/>
  <c r="Z142"/>
  <c r="AB142" s="1"/>
  <c r="Z308"/>
  <c r="AB308" s="1"/>
  <c r="Z87"/>
  <c r="AB87" s="1"/>
  <c r="Z305"/>
  <c r="AB305" s="1"/>
  <c r="Z216"/>
  <c r="AB216" s="1"/>
  <c r="Z224"/>
  <c r="AB224" s="1"/>
  <c r="Z194"/>
  <c r="AB194" s="1"/>
  <c r="Z217"/>
  <c r="AB217" s="1"/>
  <c r="Z9"/>
  <c r="AB9" s="1"/>
  <c r="Z214"/>
  <c r="AB214" s="1"/>
  <c r="Z109"/>
  <c r="AB109" s="1"/>
  <c r="Z168"/>
  <c r="AB168" s="1"/>
  <c r="Z293"/>
  <c r="AB293" s="1"/>
  <c r="Z101"/>
  <c r="AB101" s="1"/>
  <c r="Z188"/>
  <c r="AB188" s="1"/>
  <c r="Z298"/>
  <c r="AB298" s="1"/>
  <c r="Z99"/>
  <c r="AB99" s="1"/>
  <c r="Z14"/>
  <c r="AB14" s="1"/>
  <c r="Z299"/>
  <c r="AB299" s="1"/>
  <c r="Z320"/>
  <c r="AB320" s="1"/>
  <c r="Z272"/>
  <c r="AB272" s="1"/>
  <c r="Z38"/>
  <c r="AB38" s="1"/>
  <c r="Z145"/>
  <c r="AB145" s="1"/>
  <c r="Z202"/>
  <c r="AB202" s="1"/>
  <c r="Z107"/>
  <c r="AB107" s="1"/>
  <c r="Z166"/>
  <c r="AB166" s="1"/>
  <c r="Z271"/>
  <c r="AB271" s="1"/>
  <c r="Z23"/>
  <c r="AB23" s="1"/>
  <c r="Z294"/>
  <c r="AB294" s="1"/>
  <c r="Z174"/>
  <c r="AB174" s="1"/>
  <c r="Z247"/>
  <c r="AB247" s="1"/>
  <c r="Z121"/>
  <c r="AB121" s="1"/>
  <c r="Z343"/>
  <c r="AB343" s="1"/>
  <c r="Z337"/>
  <c r="AB337" s="1"/>
  <c r="Z179"/>
  <c r="AB179" s="1"/>
  <c r="Z261"/>
  <c r="AB261" s="1"/>
  <c r="Z310"/>
  <c r="AB310" s="1"/>
  <c r="Z114"/>
  <c r="AB114" s="1"/>
  <c r="Z5"/>
  <c r="AB5" s="1"/>
  <c r="Z326"/>
  <c r="AB326" s="1"/>
  <c r="Z154"/>
  <c r="AB154" s="1"/>
  <c r="Z36"/>
  <c r="AB36" s="1"/>
  <c r="Z201"/>
  <c r="AB201" s="1"/>
  <c r="Z140"/>
  <c r="AB140" s="1"/>
  <c r="Z86"/>
  <c r="AB86" s="1"/>
  <c r="Z346"/>
  <c r="AB346" s="1"/>
  <c r="Z125"/>
  <c r="AB125" s="1"/>
  <c r="Z196"/>
  <c r="AB196" s="1"/>
  <c r="Z250"/>
  <c r="AB250" s="1"/>
  <c r="Z52"/>
  <c r="AB52" s="1"/>
  <c r="Z93"/>
  <c r="AB93" s="1"/>
  <c r="Z283"/>
  <c r="AB283" s="1"/>
  <c r="Z301"/>
  <c r="AB301" s="1"/>
  <c r="Z212"/>
  <c r="AB212" s="1"/>
  <c r="Z255"/>
  <c r="AB255" s="1"/>
  <c r="Z282"/>
  <c r="AB282" s="1"/>
  <c r="Z190"/>
  <c r="AB190" s="1"/>
  <c r="Z115"/>
  <c r="AB115" s="1"/>
  <c r="Z204"/>
  <c r="AB204" s="1"/>
  <c r="Z141"/>
  <c r="AB141" s="1"/>
  <c r="Z28"/>
  <c r="AB28" s="1"/>
  <c r="Z152"/>
  <c r="AB152" s="1"/>
  <c r="Z223"/>
  <c r="AB223" s="1"/>
  <c r="Z108"/>
  <c r="AB108" s="1"/>
  <c r="Z333"/>
  <c r="AB333" s="1"/>
  <c r="Z160"/>
  <c r="AB160" s="1"/>
  <c r="Z218"/>
  <c r="AB218" s="1"/>
  <c r="Z73"/>
  <c r="AB73" s="1"/>
  <c r="Z175"/>
  <c r="AB175" s="1"/>
  <c r="Z241"/>
  <c r="AB241" s="1"/>
  <c r="Z26"/>
  <c r="AB26" s="1"/>
  <c r="Z94"/>
  <c r="AB94" s="1"/>
  <c r="Z309"/>
  <c r="AB309" s="1"/>
  <c r="Z205"/>
  <c r="AB205" s="1"/>
  <c r="Z226"/>
  <c r="AB226" s="1"/>
  <c r="Z57"/>
  <c r="AB57" s="1"/>
  <c r="X84"/>
  <c r="X274"/>
  <c r="W151"/>
  <c r="AA274"/>
  <c r="AA156"/>
  <c r="X79"/>
  <c r="X49"/>
  <c r="X243"/>
  <c r="X100"/>
  <c r="Y279"/>
  <c r="Y273"/>
  <c r="Y159"/>
  <c r="Y19"/>
  <c r="W59"/>
  <c r="Y47"/>
  <c r="X167"/>
  <c r="AA234"/>
  <c r="X297"/>
  <c r="Y317"/>
  <c r="W187"/>
  <c r="AA79"/>
  <c r="AA235"/>
  <c r="Y39"/>
  <c r="Y128"/>
  <c r="AA20"/>
  <c r="W303"/>
  <c r="W112"/>
  <c r="W244"/>
  <c r="X68"/>
  <c r="W27"/>
  <c r="Y13"/>
  <c r="Y161"/>
  <c r="Y130"/>
  <c r="AA186"/>
  <c r="Y150"/>
  <c r="AA62"/>
  <c r="W336"/>
  <c r="W185"/>
  <c r="X173"/>
  <c r="AA122"/>
  <c r="X285"/>
  <c r="Y167"/>
  <c r="X151"/>
  <c r="Y56"/>
  <c r="W281"/>
  <c r="Y276"/>
  <c r="Y213"/>
  <c r="X43"/>
  <c r="W186"/>
  <c r="Y21"/>
  <c r="W21"/>
  <c r="W78"/>
  <c r="X116"/>
  <c r="W306"/>
  <c r="X12"/>
  <c r="X59"/>
  <c r="W39"/>
  <c r="X97"/>
  <c r="AA19"/>
  <c r="Y278"/>
  <c r="X213"/>
  <c r="W290"/>
  <c r="X290"/>
  <c r="AA128"/>
  <c r="X78"/>
  <c r="AA159"/>
  <c r="Y76"/>
  <c r="W24"/>
  <c r="AA215"/>
  <c r="X66"/>
  <c r="AA48"/>
  <c r="AA97"/>
  <c r="W300"/>
  <c r="Y342"/>
  <c r="AA88"/>
  <c r="Y198"/>
  <c r="W180"/>
  <c r="X170"/>
  <c r="Y12"/>
  <c r="X215"/>
  <c r="X164"/>
  <c r="X317"/>
  <c r="AA345"/>
  <c r="X65"/>
  <c r="AA110"/>
  <c r="Y44"/>
  <c r="X235"/>
  <c r="Y243"/>
  <c r="Y169"/>
  <c r="W265"/>
  <c r="X284"/>
  <c r="Y78"/>
  <c r="W286"/>
  <c r="W47"/>
  <c r="W324"/>
  <c r="Y74"/>
  <c r="W110"/>
  <c r="AA285"/>
  <c r="Y244"/>
  <c r="W13"/>
  <c r="W165"/>
  <c r="W54"/>
  <c r="Y55"/>
  <c r="X80"/>
  <c r="W12"/>
  <c r="W75"/>
  <c r="W285"/>
  <c r="Y234"/>
  <c r="W274"/>
  <c r="W219"/>
  <c r="X110"/>
  <c r="Y206"/>
  <c r="Y173"/>
  <c r="Y227"/>
  <c r="W150"/>
  <c r="W129"/>
  <c r="X273"/>
  <c r="AA265"/>
  <c r="AA58"/>
  <c r="W270"/>
  <c r="W163"/>
  <c r="AA71"/>
  <c r="AA47"/>
  <c r="AA30"/>
  <c r="Y286"/>
  <c r="X286"/>
  <c r="AA276"/>
  <c r="W228"/>
  <c r="W56"/>
  <c r="AA157"/>
  <c r="Y284"/>
  <c r="X25"/>
  <c r="Y58"/>
  <c r="Y336"/>
  <c r="Y292"/>
  <c r="X266"/>
  <c r="Y24"/>
  <c r="Y165"/>
  <c r="W227"/>
  <c r="AA13"/>
  <c r="Y54"/>
  <c r="Y15"/>
  <c r="X278"/>
  <c r="AA300"/>
  <c r="AA211"/>
  <c r="Y117"/>
  <c r="X95"/>
  <c r="X74"/>
  <c r="Y112"/>
  <c r="X180"/>
  <c r="Y270"/>
  <c r="W278"/>
  <c r="W328"/>
  <c r="X85"/>
  <c r="Y297"/>
  <c r="X13"/>
  <c r="AA165"/>
  <c r="Y66"/>
  <c r="W345"/>
  <c r="AA336"/>
  <c r="AA163"/>
  <c r="Y25"/>
  <c r="Y84"/>
  <c r="W63"/>
  <c r="Y211"/>
  <c r="AA151"/>
  <c r="X75"/>
  <c r="W68"/>
  <c r="X30"/>
  <c r="AA51"/>
  <c r="X318"/>
  <c r="W128"/>
  <c r="W4"/>
  <c r="AA17"/>
  <c r="W15"/>
  <c r="W51"/>
  <c r="W44"/>
  <c r="X83"/>
  <c r="W284"/>
  <c r="Y274"/>
  <c r="W80"/>
  <c r="W20"/>
  <c r="Y49"/>
  <c r="AA221"/>
  <c r="X112"/>
  <c r="Y163"/>
  <c r="Y88"/>
  <c r="X324"/>
  <c r="Y266"/>
  <c r="X150"/>
  <c r="AA126"/>
  <c r="W48"/>
  <c r="Y63"/>
  <c r="X102"/>
  <c r="Y185"/>
  <c r="AA278"/>
  <c r="AA268"/>
  <c r="X42"/>
  <c r="Y228"/>
  <c r="Y68"/>
  <c r="W164"/>
  <c r="X234"/>
  <c r="W76"/>
  <c r="W126"/>
  <c r="X229"/>
  <c r="W234"/>
  <c r="W156"/>
  <c r="Y289"/>
  <c r="X117"/>
  <c r="Y265"/>
  <c r="W7"/>
  <c r="W43"/>
  <c r="W25"/>
  <c r="Y122"/>
  <c r="W159"/>
  <c r="Y345"/>
  <c r="X70"/>
  <c r="Y281"/>
  <c r="AA270"/>
  <c r="X186"/>
  <c r="AA102"/>
  <c r="Y30"/>
  <c r="W243"/>
  <c r="X306"/>
  <c r="AA251"/>
  <c r="X251"/>
  <c r="Y148"/>
  <c r="X88"/>
  <c r="Y335"/>
  <c r="X211"/>
  <c r="AA266"/>
  <c r="X328"/>
  <c r="W122"/>
  <c r="W260"/>
  <c r="AA106"/>
  <c r="X48"/>
  <c r="W157"/>
  <c r="AA15"/>
  <c r="AA7"/>
  <c r="W249"/>
  <c r="AA187"/>
  <c r="Y75"/>
  <c r="X338"/>
  <c r="AA169"/>
  <c r="Y20"/>
  <c r="W170"/>
  <c r="AA44"/>
  <c r="X206"/>
  <c r="W172"/>
  <c r="W342"/>
  <c r="AA245"/>
  <c r="AA130"/>
  <c r="AA49"/>
  <c r="X47"/>
  <c r="AA59"/>
  <c r="AA84"/>
  <c r="Y17"/>
  <c r="AA54"/>
  <c r="AA279"/>
  <c r="X4"/>
  <c r="AA228"/>
  <c r="Y215"/>
  <c r="X106"/>
  <c r="Y155"/>
  <c r="AA55"/>
  <c r="W316"/>
  <c r="Y249"/>
  <c r="X227"/>
  <c r="X15"/>
  <c r="Y290"/>
  <c r="AA65"/>
  <c r="W276"/>
  <c r="AA78"/>
  <c r="X31"/>
  <c r="W17"/>
  <c r="AA68"/>
  <c r="Y97"/>
  <c r="Y259"/>
  <c r="X245"/>
  <c r="X21"/>
  <c r="Y43"/>
  <c r="AA198"/>
  <c r="W58"/>
  <c r="AA149"/>
  <c r="Y98"/>
  <c r="X292"/>
  <c r="Y245"/>
  <c r="AA249"/>
  <c r="AA82"/>
  <c r="W84"/>
  <c r="Y221"/>
  <c r="Y62"/>
  <c r="AA209"/>
  <c r="W79"/>
  <c r="W335"/>
  <c r="Y65"/>
  <c r="X157"/>
  <c r="W62"/>
  <c r="Y164"/>
  <c r="W273"/>
  <c r="Y151"/>
  <c r="X199"/>
  <c r="Y156"/>
  <c r="W88"/>
  <c r="Y95"/>
  <c r="X289"/>
  <c r="AA281"/>
  <c r="Y126"/>
  <c r="AA164"/>
  <c r="Y180"/>
  <c r="X219"/>
  <c r="AA259"/>
  <c r="W279"/>
  <c r="AA338"/>
  <c r="W95"/>
  <c r="X300"/>
  <c r="W70"/>
  <c r="W30"/>
  <c r="W31"/>
  <c r="X155"/>
  <c r="Y209"/>
  <c r="Y42"/>
  <c r="X260"/>
  <c r="AA284"/>
  <c r="AA227"/>
  <c r="AA306"/>
  <c r="W66"/>
  <c r="W221"/>
  <c r="W206"/>
  <c r="AA328"/>
  <c r="X244"/>
  <c r="X270"/>
  <c r="W209"/>
  <c r="X198"/>
  <c r="AA290"/>
  <c r="W55"/>
  <c r="AA173"/>
  <c r="X122"/>
  <c r="X156"/>
  <c r="Y303"/>
  <c r="X55"/>
  <c r="Y106"/>
  <c r="Y285"/>
  <c r="AA80"/>
  <c r="X71"/>
  <c r="X24"/>
  <c r="W82"/>
  <c r="AA43"/>
  <c r="AA31"/>
  <c r="X98"/>
  <c r="X265"/>
  <c r="AA289"/>
  <c r="W74"/>
  <c r="X126"/>
  <c r="AA172"/>
  <c r="Y186"/>
  <c r="Y102"/>
  <c r="W42"/>
  <c r="W266"/>
  <c r="Y260"/>
  <c r="W102"/>
  <c r="W229"/>
  <c r="W148"/>
  <c r="W65"/>
  <c r="AA199"/>
  <c r="Y48"/>
  <c r="AA170"/>
  <c r="AA297"/>
  <c r="AA56"/>
  <c r="Y85"/>
  <c r="W211"/>
  <c r="AA27"/>
  <c r="AA116"/>
  <c r="Y162"/>
  <c r="Y328"/>
  <c r="X76"/>
  <c r="Y80"/>
  <c r="AA316"/>
  <c r="X51"/>
  <c r="W338"/>
  <c r="AA75"/>
  <c r="Y7"/>
  <c r="AA167"/>
  <c r="Y172"/>
  <c r="X249"/>
  <c r="Y338"/>
  <c r="W167"/>
  <c r="W213"/>
  <c r="AA25"/>
  <c r="X162"/>
  <c r="AA183"/>
  <c r="Y70"/>
  <c r="Y31"/>
  <c r="W268"/>
  <c r="AA318"/>
  <c r="W183"/>
  <c r="X39"/>
  <c r="AA286"/>
  <c r="X169"/>
  <c r="AA63"/>
  <c r="X56"/>
  <c r="AA66"/>
  <c r="Y110"/>
  <c r="W53"/>
  <c r="W297"/>
  <c r="X316"/>
  <c r="AA42"/>
  <c r="AA83"/>
  <c r="AA85"/>
  <c r="Y71"/>
  <c r="Y316"/>
  <c r="Y82"/>
  <c r="X276"/>
  <c r="W259"/>
  <c r="W235"/>
  <c r="X62"/>
  <c r="AA219"/>
  <c r="W49"/>
  <c r="Y268"/>
  <c r="AA12"/>
  <c r="AA4"/>
  <c r="AA292"/>
  <c r="AA260"/>
  <c r="AA112"/>
  <c r="X221"/>
  <c r="AA117"/>
  <c r="X187"/>
  <c r="Y235"/>
  <c r="X281"/>
  <c r="Y306"/>
  <c r="W169"/>
  <c r="AA95"/>
  <c r="Y4"/>
  <c r="W83"/>
  <c r="Y53"/>
  <c r="W19"/>
  <c r="Y187"/>
  <c r="X17"/>
  <c r="X149"/>
  <c r="Y83"/>
  <c r="X342"/>
  <c r="AA303"/>
  <c r="W215"/>
  <c r="X7"/>
  <c r="AA150"/>
  <c r="AA129"/>
  <c r="AA213"/>
  <c r="X172"/>
  <c r="X165"/>
  <c r="AA324"/>
  <c r="W317"/>
  <c r="W71"/>
  <c r="AA180"/>
  <c r="Y199"/>
  <c r="X53"/>
  <c r="AA229"/>
  <c r="AA39"/>
  <c r="AA317"/>
  <c r="AA243"/>
  <c r="Y229"/>
  <c r="W149"/>
  <c r="X63"/>
  <c r="Y79"/>
  <c r="AA53"/>
  <c r="X130"/>
  <c r="Y318"/>
  <c r="AA244"/>
  <c r="X268"/>
  <c r="X19"/>
  <c r="W100"/>
  <c r="Y149"/>
  <c r="W130"/>
  <c r="AA206"/>
  <c r="W251"/>
  <c r="X148"/>
  <c r="AA98"/>
  <c r="X161"/>
  <c r="X336"/>
  <c r="X58"/>
  <c r="X27"/>
  <c r="W318"/>
  <c r="AA24"/>
  <c r="W289"/>
  <c r="AA70"/>
  <c r="W85"/>
  <c r="AA21"/>
  <c r="X279"/>
  <c r="W161"/>
  <c r="AA185"/>
  <c r="Y116"/>
  <c r="W98"/>
  <c r="X209"/>
  <c r="W198"/>
  <c r="AA342"/>
  <c r="X335"/>
  <c r="Y51"/>
  <c r="X159"/>
  <c r="AA74"/>
  <c r="AA76"/>
  <c r="X128"/>
  <c r="Z128" s="1"/>
  <c r="AB128" s="1"/>
  <c r="X183"/>
  <c r="X228"/>
  <c r="Y251"/>
  <c r="X303"/>
  <c r="X20"/>
  <c r="AA148"/>
  <c r="Y157"/>
  <c r="X129"/>
  <c r="Y300"/>
  <c r="X82"/>
  <c r="W97"/>
  <c r="W199"/>
  <c r="X259"/>
  <c r="Y324"/>
  <c r="AA161"/>
  <c r="W116"/>
  <c r="Y100"/>
  <c r="Y170"/>
  <c r="W173"/>
  <c r="X163"/>
  <c r="X345"/>
  <c r="AA335"/>
  <c r="W155"/>
  <c r="W292"/>
  <c r="X54"/>
  <c r="Y27"/>
  <c r="Y183"/>
  <c r="Y219"/>
  <c r="Y129"/>
  <c r="W245"/>
  <c r="AA273"/>
  <c r="W106"/>
  <c r="Y59"/>
  <c r="AA155"/>
  <c r="AA162"/>
  <c r="AA100"/>
  <c r="W117"/>
  <c r="W162"/>
  <c r="X44"/>
  <c r="X185"/>
  <c r="E92" i="7"/>
  <c r="I92" s="1"/>
  <c r="W2" i="16"/>
  <c r="F37" i="40"/>
  <c r="F41"/>
  <c r="F39"/>
  <c r="B112" i="4"/>
  <c r="D34"/>
  <c r="G34" s="1"/>
  <c r="E34"/>
  <c r="E22"/>
  <c r="D22"/>
  <c r="E98"/>
  <c r="D98" s="1"/>
  <c r="D18"/>
  <c r="E18"/>
  <c r="E35"/>
  <c r="D35"/>
  <c r="D24"/>
  <c r="E24"/>
  <c r="E16"/>
  <c r="G16" s="1"/>
  <c r="F42" i="40"/>
  <c r="E25" i="4"/>
  <c r="B15"/>
  <c r="E32"/>
  <c r="F68" i="78" l="1"/>
  <c r="H68" s="1"/>
  <c r="H61" i="80"/>
  <c r="J61"/>
  <c r="Z345" i="16"/>
  <c r="AB345" s="1"/>
  <c r="E112" i="4"/>
  <c r="Z162" i="16"/>
  <c r="AB162" s="1"/>
  <c r="Z167"/>
  <c r="AB167" s="1"/>
  <c r="Z185"/>
  <c r="AB185" s="1"/>
  <c r="Z21"/>
  <c r="AB21" s="1"/>
  <c r="Z292"/>
  <c r="AB292" s="1"/>
  <c r="Z165"/>
  <c r="AB165" s="1"/>
  <c r="Y428"/>
  <c r="Z112"/>
  <c r="AB112" s="1"/>
  <c r="Z209"/>
  <c r="AB209" s="1"/>
  <c r="Z97"/>
  <c r="AB97" s="1"/>
  <c r="Y429"/>
  <c r="Z76"/>
  <c r="AB76" s="1"/>
  <c r="AB350"/>
  <c r="Y423"/>
  <c r="Z198"/>
  <c r="AB198" s="1"/>
  <c r="Z281"/>
  <c r="AB281" s="1"/>
  <c r="Z102"/>
  <c r="AB102" s="1"/>
  <c r="Z66"/>
  <c r="AB66" s="1"/>
  <c r="Z284"/>
  <c r="AB284" s="1"/>
  <c r="Z117"/>
  <c r="AB117" s="1"/>
  <c r="Z7"/>
  <c r="AB7" s="1"/>
  <c r="Z4"/>
  <c r="AB4" s="1"/>
  <c r="Z17"/>
  <c r="AB17" s="1"/>
  <c r="Z15"/>
  <c r="AB15" s="1"/>
  <c r="Z234"/>
  <c r="AB234" s="1"/>
  <c r="Z155"/>
  <c r="AB155" s="1"/>
  <c r="Z266"/>
  <c r="AB266" s="1"/>
  <c r="Z74"/>
  <c r="AB74" s="1"/>
  <c r="Z243"/>
  <c r="AB243" s="1"/>
  <c r="Z13"/>
  <c r="AB13" s="1"/>
  <c r="Z42"/>
  <c r="AB42" s="1"/>
  <c r="Z98"/>
  <c r="AB98" s="1"/>
  <c r="Z215"/>
  <c r="AB215" s="1"/>
  <c r="Z106"/>
  <c r="AB106" s="1"/>
  <c r="Z85"/>
  <c r="AB85" s="1"/>
  <c r="Z249"/>
  <c r="AB249" s="1"/>
  <c r="Z221"/>
  <c r="AB221" s="1"/>
  <c r="Z265"/>
  <c r="AB265" s="1"/>
  <c r="Z211"/>
  <c r="AB211" s="1"/>
  <c r="Z30"/>
  <c r="AB30" s="1"/>
  <c r="Z12"/>
  <c r="AB12" s="1"/>
  <c r="Z95"/>
  <c r="AB95" s="1"/>
  <c r="Z338"/>
  <c r="AB338" s="1"/>
  <c r="Z206"/>
  <c r="AB206" s="1"/>
  <c r="Z83"/>
  <c r="AB83" s="1"/>
  <c r="Z161"/>
  <c r="AB161" s="1"/>
  <c r="Z199"/>
  <c r="AB199" s="1"/>
  <c r="Z278"/>
  <c r="AB278" s="1"/>
  <c r="Z251"/>
  <c r="AB251" s="1"/>
  <c r="Z289"/>
  <c r="AB289" s="1"/>
  <c r="Z62"/>
  <c r="AB62" s="1"/>
  <c r="Z79"/>
  <c r="AB79" s="1"/>
  <c r="Z316"/>
  <c r="AB316" s="1"/>
  <c r="Z43"/>
  <c r="AB43" s="1"/>
  <c r="Z126"/>
  <c r="AB126" s="1"/>
  <c r="Z48"/>
  <c r="AB48" s="1"/>
  <c r="Z51"/>
  <c r="AB51" s="1"/>
  <c r="Z63"/>
  <c r="AB63" s="1"/>
  <c r="Z25"/>
  <c r="AB25" s="1"/>
  <c r="Z228"/>
  <c r="AB228" s="1"/>
  <c r="Z270"/>
  <c r="AB270" s="1"/>
  <c r="Z129"/>
  <c r="AB129" s="1"/>
  <c r="Z80"/>
  <c r="AB80" s="1"/>
  <c r="Z24"/>
  <c r="AB24" s="1"/>
  <c r="Z78"/>
  <c r="AB78" s="1"/>
  <c r="Z100"/>
  <c r="AB100" s="1"/>
  <c r="Z84"/>
  <c r="AB84" s="1"/>
  <c r="Z318"/>
  <c r="AB318" s="1"/>
  <c r="Z259"/>
  <c r="AB259" s="1"/>
  <c r="Z268"/>
  <c r="AB268" s="1"/>
  <c r="Z148"/>
  <c r="AB148" s="1"/>
  <c r="Z82"/>
  <c r="AB82" s="1"/>
  <c r="Z31"/>
  <c r="AB31" s="1"/>
  <c r="Z335"/>
  <c r="AB335" s="1"/>
  <c r="Z58"/>
  <c r="AB58" s="1"/>
  <c r="Z245"/>
  <c r="AB245" s="1"/>
  <c r="Z88"/>
  <c r="AB88" s="1"/>
  <c r="Z229"/>
  <c r="AB229" s="1"/>
  <c r="Z164"/>
  <c r="AB164" s="1"/>
  <c r="Z44"/>
  <c r="AB44" s="1"/>
  <c r="Z328"/>
  <c r="AB328" s="1"/>
  <c r="Z56"/>
  <c r="AB56" s="1"/>
  <c r="Z163"/>
  <c r="AB163" s="1"/>
  <c r="Z273"/>
  <c r="AB273" s="1"/>
  <c r="Z274"/>
  <c r="AB274" s="1"/>
  <c r="Z110"/>
  <c r="AB110" s="1"/>
  <c r="Z286"/>
  <c r="AB286" s="1"/>
  <c r="Z180"/>
  <c r="AB180" s="1"/>
  <c r="Z300"/>
  <c r="AB300" s="1"/>
  <c r="Z213"/>
  <c r="AB213" s="1"/>
  <c r="Z39"/>
  <c r="AB39" s="1"/>
  <c r="Z116"/>
  <c r="AB116" s="1"/>
  <c r="Z186"/>
  <c r="AB186" s="1"/>
  <c r="Z285"/>
  <c r="AB285" s="1"/>
  <c r="Z336"/>
  <c r="AB336" s="1"/>
  <c r="Z68"/>
  <c r="AB68" s="1"/>
  <c r="Z303"/>
  <c r="AB303" s="1"/>
  <c r="Z297"/>
  <c r="AB297" s="1"/>
  <c r="Z59"/>
  <c r="AB59" s="1"/>
  <c r="Z149"/>
  <c r="AB149" s="1"/>
  <c r="Z53"/>
  <c r="AB53" s="1"/>
  <c r="Z235"/>
  <c r="AB235" s="1"/>
  <c r="Z169"/>
  <c r="AB169" s="1"/>
  <c r="Z55"/>
  <c r="AB55" s="1"/>
  <c r="Z65"/>
  <c r="AB65" s="1"/>
  <c r="Z276"/>
  <c r="AB276" s="1"/>
  <c r="Z172"/>
  <c r="AB172" s="1"/>
  <c r="Z122"/>
  <c r="AB122" s="1"/>
  <c r="Z20"/>
  <c r="AB20" s="1"/>
  <c r="Z219"/>
  <c r="AB219" s="1"/>
  <c r="Z75"/>
  <c r="AB75" s="1"/>
  <c r="Z54"/>
  <c r="AB54" s="1"/>
  <c r="Z47"/>
  <c r="AB47" s="1"/>
  <c r="Z317"/>
  <c r="AB317" s="1"/>
  <c r="Z342"/>
  <c r="AB342" s="1"/>
  <c r="Z290"/>
  <c r="AB290" s="1"/>
  <c r="Z306"/>
  <c r="AB306" s="1"/>
  <c r="Z27"/>
  <c r="AB27" s="1"/>
  <c r="Z151"/>
  <c r="AB151" s="1"/>
  <c r="Z130"/>
  <c r="AB130" s="1"/>
  <c r="Z71"/>
  <c r="AB71" s="1"/>
  <c r="Z19"/>
  <c r="AB19" s="1"/>
  <c r="Z183"/>
  <c r="AB183" s="1"/>
  <c r="Z70"/>
  <c r="AB70" s="1"/>
  <c r="Z279"/>
  <c r="AB279" s="1"/>
  <c r="Z157"/>
  <c r="AB157" s="1"/>
  <c r="Z170"/>
  <c r="AB170" s="1"/>
  <c r="Z260"/>
  <c r="AB260" s="1"/>
  <c r="Z159"/>
  <c r="AB159" s="1"/>
  <c r="Z156"/>
  <c r="AB156" s="1"/>
  <c r="Z49"/>
  <c r="AB49" s="1"/>
  <c r="Z227"/>
  <c r="AB227" s="1"/>
  <c r="Z150"/>
  <c r="AB150" s="1"/>
  <c r="Z324"/>
  <c r="AB324" s="1"/>
  <c r="Z173"/>
  <c r="AB173" s="1"/>
  <c r="Z244"/>
  <c r="AB244" s="1"/>
  <c r="Z187"/>
  <c r="AB187" s="1"/>
  <c r="E15" i="4"/>
  <c r="G32"/>
  <c r="J68" i="78" l="1"/>
  <c r="Y430" i="16"/>
  <c r="Y424"/>
  <c r="Y431" l="1"/>
  <c r="Z430" l="1"/>
  <c r="Z428"/>
  <c r="Z429"/>
  <c r="O21" i="4"/>
  <c r="Z431" i="16" l="1"/>
  <c r="O28" i="4"/>
  <c r="O27"/>
  <c r="O26"/>
  <c r="O24"/>
  <c r="O23"/>
  <c r="O25"/>
  <c r="O16"/>
  <c r="O14"/>
  <c r="O10"/>
  <c r="O19"/>
  <c r="O18"/>
  <c r="O17"/>
  <c r="O13"/>
  <c r="O12"/>
  <c r="O9"/>
  <c r="G19" l="1"/>
  <c r="G18"/>
  <c r="G23"/>
  <c r="G28"/>
  <c r="G22"/>
  <c r="G27"/>
  <c r="G17"/>
  <c r="G26"/>
  <c r="M344" i="2"/>
  <c r="AL344"/>
  <c r="D82" i="7" s="1"/>
  <c r="D85" s="1"/>
  <c r="E84" s="1"/>
  <c r="AC344" i="2"/>
  <c r="N344"/>
  <c r="D27" i="7" s="1"/>
  <c r="AB344" i="2"/>
  <c r="D29" i="7" s="1"/>
  <c r="E29" s="1"/>
  <c r="BR344" i="2"/>
  <c r="D19" i="7" s="1"/>
  <c r="L344" i="2"/>
  <c r="AD344"/>
  <c r="D31" i="7" s="1"/>
  <c r="O20" i="4"/>
  <c r="AA2" i="16"/>
  <c r="X2"/>
  <c r="B72" i="4" l="1"/>
  <c r="G20"/>
  <c r="B53"/>
  <c r="E82" i="7"/>
  <c r="E85" s="1"/>
  <c r="D30"/>
  <c r="E30" s="1"/>
  <c r="D26"/>
  <c r="E26" s="1"/>
  <c r="E17"/>
  <c r="E19" s="1"/>
  <c r="D25"/>
  <c r="S31" i="4"/>
  <c r="G35"/>
  <c r="F35" s="1"/>
  <c r="S14"/>
  <c r="Z2" i="16"/>
  <c r="G31" i="4" l="1"/>
  <c r="Y422" i="16"/>
  <c r="X425" s="1"/>
  <c r="D32" i="7"/>
  <c r="E53" i="4"/>
  <c r="E31" i="7"/>
  <c r="E32" s="1"/>
  <c r="AB2" i="16"/>
  <c r="E25" i="7"/>
  <c r="D28"/>
  <c r="E27" s="1"/>
  <c r="CB348" i="2" l="1"/>
  <c r="E28" i="7"/>
  <c r="C52" i="4" l="1"/>
  <c r="B56"/>
  <c r="C56"/>
  <c r="C53"/>
  <c r="B55"/>
  <c r="C55"/>
  <c r="F55" s="1"/>
  <c r="F24"/>
  <c r="G24" s="1"/>
  <c r="F25"/>
  <c r="G25" s="1"/>
  <c r="C21"/>
  <c r="D21" s="1"/>
  <c r="D15" s="1"/>
  <c r="G15" s="1"/>
  <c r="C39"/>
  <c r="B44"/>
  <c r="E44" s="1"/>
  <c r="E120"/>
  <c r="B88"/>
  <c r="F36"/>
  <c r="B58"/>
  <c r="B62"/>
  <c r="E62" s="1"/>
  <c r="E71"/>
  <c r="B73"/>
  <c r="E73" s="1"/>
  <c r="C58"/>
  <c r="F58" s="1"/>
  <c r="C61"/>
  <c r="C62"/>
  <c r="F62" s="1"/>
  <c r="C44"/>
  <c r="F44" s="1"/>
  <c r="C45"/>
  <c r="D45" s="1"/>
  <c r="G45" s="1"/>
  <c r="C124"/>
  <c r="C120" s="1"/>
  <c r="C114"/>
  <c r="F114" s="1"/>
  <c r="G114" s="1"/>
  <c r="C115"/>
  <c r="F115" s="1"/>
  <c r="G115" s="1"/>
  <c r="C111"/>
  <c r="C96"/>
  <c r="C94"/>
  <c r="D94" s="1"/>
  <c r="D88" s="1"/>
  <c r="C73"/>
  <c r="F73" s="1"/>
  <c r="G50"/>
  <c r="G48"/>
  <c r="C68"/>
  <c r="F68" s="1"/>
  <c r="G68" s="1"/>
  <c r="D66"/>
  <c r="E66"/>
  <c r="G60"/>
  <c r="G70"/>
  <c r="G67"/>
  <c r="F107"/>
  <c r="G107" s="1"/>
  <c r="D44" i="7"/>
  <c r="E44" s="1"/>
  <c r="E45"/>
  <c r="D46"/>
  <c r="E43"/>
  <c r="F104" i="4"/>
  <c r="G104" s="1"/>
  <c r="F38" i="40"/>
  <c r="F46" s="1"/>
  <c r="K33"/>
  <c r="C135" i="4"/>
  <c r="F135" s="1"/>
  <c r="G135" s="1"/>
  <c r="F101"/>
  <c r="C139"/>
  <c r="C138"/>
  <c r="F138" s="1"/>
  <c r="G138" s="1"/>
  <c r="E132"/>
  <c r="C132"/>
  <c r="C136"/>
  <c r="D136" s="1"/>
  <c r="C134"/>
  <c r="D134" s="1"/>
  <c r="D137"/>
  <c r="F137"/>
  <c r="G137" s="1"/>
  <c r="C133"/>
  <c r="D133" s="1"/>
  <c r="B141"/>
  <c r="B142"/>
  <c r="D142" s="1"/>
  <c r="C144"/>
  <c r="D144" s="1"/>
  <c r="B146"/>
  <c r="D146" s="1"/>
  <c r="G119"/>
  <c r="E144"/>
  <c r="G149"/>
  <c r="D52" l="1"/>
  <c r="C64"/>
  <c r="F64" s="1"/>
  <c r="D111"/>
  <c r="D108" s="1"/>
  <c r="G108" s="1"/>
  <c r="C108"/>
  <c r="D96"/>
  <c r="D95" s="1"/>
  <c r="C95"/>
  <c r="B126"/>
  <c r="E126" s="1"/>
  <c r="B147"/>
  <c r="H145" s="1"/>
  <c r="F134"/>
  <c r="G134" s="1"/>
  <c r="F136"/>
  <c r="G136" s="1"/>
  <c r="D114"/>
  <c r="F61"/>
  <c r="E55"/>
  <c r="G55" s="1"/>
  <c r="F53"/>
  <c r="G53" s="1"/>
  <c r="F111"/>
  <c r="G111" s="1"/>
  <c r="F124"/>
  <c r="G124" s="1"/>
  <c r="D124"/>
  <c r="D120" s="1"/>
  <c r="C37"/>
  <c r="F37" s="1"/>
  <c r="F56"/>
  <c r="F94"/>
  <c r="G94" s="1"/>
  <c r="G88" s="1"/>
  <c r="C88"/>
  <c r="F88" s="1"/>
  <c r="F98"/>
  <c r="D115"/>
  <c r="F39"/>
  <c r="F133"/>
  <c r="G133" s="1"/>
  <c r="F132"/>
  <c r="G132" s="1"/>
  <c r="C147"/>
  <c r="F147" s="1"/>
  <c r="F139"/>
  <c r="G139" s="1"/>
  <c r="F108"/>
  <c r="D44"/>
  <c r="E142"/>
  <c r="G142" s="1"/>
  <c r="G101"/>
  <c r="F96"/>
  <c r="G96" s="1"/>
  <c r="G95" s="1"/>
  <c r="C43"/>
  <c r="F43" s="1"/>
  <c r="F45"/>
  <c r="D139"/>
  <c r="D39"/>
  <c r="D53"/>
  <c r="F144"/>
  <c r="G144" s="1"/>
  <c r="D132"/>
  <c r="C71"/>
  <c r="F71" s="1"/>
  <c r="C112"/>
  <c r="F112" s="1"/>
  <c r="G73"/>
  <c r="H50" s="1"/>
  <c r="E674" i="57" s="1"/>
  <c r="D135" i="4"/>
  <c r="F66"/>
  <c r="G66" s="1"/>
  <c r="D62"/>
  <c r="F52"/>
  <c r="G52" s="1"/>
  <c r="E46" i="7"/>
  <c r="E47" s="1"/>
  <c r="E146" i="4"/>
  <c r="G146" s="1"/>
  <c r="D141"/>
  <c r="D56"/>
  <c r="E141"/>
  <c r="G141" s="1"/>
  <c r="B43"/>
  <c r="D73"/>
  <c r="G62"/>
  <c r="D47" i="7"/>
  <c r="D55" i="4"/>
  <c r="C15"/>
  <c r="F21"/>
  <c r="G21" s="1"/>
  <c r="D58"/>
  <c r="D138"/>
  <c r="D68"/>
  <c r="D71" s="1"/>
  <c r="G71" s="1"/>
  <c r="E56"/>
  <c r="E58"/>
  <c r="G58" s="1"/>
  <c r="I64" l="1"/>
  <c r="G120"/>
  <c r="D112"/>
  <c r="G112" s="1"/>
  <c r="B150"/>
  <c r="E150" s="1"/>
  <c r="G44"/>
  <c r="D43"/>
  <c r="G39"/>
  <c r="G56"/>
  <c r="C126"/>
  <c r="F126" s="1"/>
  <c r="D147"/>
  <c r="G147" s="1"/>
  <c r="E147"/>
  <c r="E43"/>
  <c r="C46"/>
  <c r="F15"/>
  <c r="D126" l="1"/>
  <c r="G126" s="1"/>
  <c r="F46"/>
  <c r="H46" s="1"/>
  <c r="C74"/>
  <c r="F74" s="1"/>
  <c r="C150"/>
  <c r="F150" s="1"/>
  <c r="G43"/>
  <c r="D150" l="1"/>
  <c r="G150" s="1"/>
  <c r="E668" i="57"/>
  <c r="G42" i="4" l="1"/>
  <c r="E344" i="2"/>
  <c r="H543" i="23" l="1"/>
  <c r="B36" i="4"/>
  <c r="B29" s="1"/>
  <c r="S9"/>
  <c r="O11"/>
  <c r="D76" i="7"/>
  <c r="E36" i="4" l="1"/>
  <c r="D36"/>
  <c r="D29" s="1"/>
  <c r="E29"/>
  <c r="E76" i="7"/>
  <c r="E77" s="1"/>
  <c r="D77"/>
  <c r="G36" i="4" l="1"/>
  <c r="G29"/>
  <c r="N67" l="1"/>
  <c r="AC354" i="16" l="1"/>
  <c r="AC353"/>
  <c r="AC374" l="1"/>
  <c r="AC373"/>
  <c r="AC361"/>
  <c r="AC368"/>
  <c r="AC359"/>
  <c r="AC362"/>
  <c r="AC364"/>
  <c r="AC360"/>
  <c r="AC366"/>
  <c r="AC365"/>
  <c r="AC375"/>
  <c r="AC367"/>
  <c r="AC376"/>
  <c r="AC370"/>
  <c r="AC378"/>
  <c r="AC371"/>
  <c r="AC377"/>
  <c r="AC372"/>
  <c r="AC369"/>
  <c r="AC358"/>
  <c r="AC363"/>
  <c r="AC357"/>
  <c r="AC356"/>
  <c r="AC355"/>
  <c r="W10" i="4" l="1"/>
  <c r="T11"/>
  <c r="T14"/>
  <c r="T21"/>
  <c r="X33"/>
  <c r="W26"/>
  <c r="W19"/>
  <c r="W32"/>
  <c r="W30"/>
  <c r="U19"/>
  <c r="X32"/>
  <c r="W23"/>
  <c r="W28"/>
  <c r="V24"/>
  <c r="T25"/>
  <c r="V9"/>
  <c r="U35"/>
  <c r="W14"/>
  <c r="W13"/>
  <c r="X26"/>
  <c r="W33"/>
  <c r="X27"/>
  <c r="T19"/>
  <c r="T36"/>
  <c r="T33"/>
  <c r="W25"/>
  <c r="X21"/>
  <c r="U26"/>
  <c r="V26"/>
  <c r="W35"/>
  <c r="V15"/>
  <c r="X18"/>
  <c r="U24"/>
  <c r="V22"/>
  <c r="X24"/>
  <c r="N56"/>
  <c r="T17"/>
  <c r="V16"/>
  <c r="V21"/>
  <c r="V35"/>
  <c r="V14"/>
  <c r="W24"/>
  <c r="X29"/>
  <c r="U30"/>
  <c r="V32"/>
  <c r="X12"/>
  <c r="X36"/>
  <c r="V34"/>
  <c r="V13"/>
  <c r="U29"/>
  <c r="U31"/>
  <c r="U25"/>
  <c r="V36"/>
  <c r="T13"/>
  <c r="V20"/>
  <c r="W31"/>
  <c r="V12"/>
  <c r="U33"/>
  <c r="V28"/>
  <c r="U21"/>
  <c r="V33"/>
  <c r="X22"/>
  <c r="U27"/>
  <c r="U13"/>
  <c r="U18"/>
  <c r="U28"/>
  <c r="U11"/>
  <c r="V11"/>
  <c r="U16"/>
  <c r="X23"/>
  <c r="X10"/>
  <c r="W9"/>
  <c r="W29"/>
  <c r="V31"/>
  <c r="X35"/>
  <c r="X34"/>
  <c r="W22"/>
  <c r="X11"/>
  <c r="X28"/>
  <c r="U17"/>
  <c r="W27"/>
  <c r="X31"/>
  <c r="V18"/>
  <c r="W15"/>
  <c r="X15"/>
  <c r="V19"/>
  <c r="X16"/>
  <c r="V23"/>
  <c r="W11"/>
  <c r="X17"/>
  <c r="U32"/>
  <c r="U36"/>
  <c r="U23"/>
  <c r="U12"/>
  <c r="W17"/>
  <c r="U14"/>
  <c r="V30"/>
  <c r="W20"/>
  <c r="S53"/>
  <c r="J20" i="40" s="1"/>
  <c r="F113" i="72" s="1"/>
  <c r="T31" i="4"/>
  <c r="N54"/>
  <c r="T27"/>
  <c r="T24"/>
  <c r="T30"/>
  <c r="F112" i="72"/>
  <c r="T29" i="4"/>
  <c r="X9"/>
  <c r="T34"/>
  <c r="T18"/>
  <c r="F116" i="72"/>
  <c r="X30" i="4"/>
  <c r="X20"/>
  <c r="V25"/>
  <c r="V10"/>
  <c r="V29"/>
  <c r="U15"/>
  <c r="V17"/>
  <c r="W36"/>
  <c r="X14"/>
  <c r="V27"/>
  <c r="W34"/>
  <c r="W18"/>
  <c r="X25"/>
  <c r="U22"/>
  <c r="U34"/>
  <c r="U10"/>
  <c r="X13"/>
  <c r="U20"/>
  <c r="W21"/>
  <c r="X19"/>
  <c r="S54"/>
  <c r="J21" i="40" s="1"/>
  <c r="F114" i="72" s="1"/>
  <c r="U9" i="4"/>
  <c r="N53"/>
  <c r="T20"/>
  <c r="T23"/>
  <c r="T12"/>
  <c r="T26"/>
  <c r="T32"/>
  <c r="T28"/>
  <c r="T16"/>
  <c r="T15"/>
  <c r="T35"/>
  <c r="C33" i="78" l="1"/>
  <c r="D33" s="1"/>
  <c r="C26" i="80"/>
  <c r="L50"/>
  <c r="M50" s="1"/>
  <c r="H19" i="40"/>
  <c r="L19" s="1"/>
  <c r="K79" i="78" s="1"/>
  <c r="Y24" i="4"/>
  <c r="Z24" s="1"/>
  <c r="Y26"/>
  <c r="Z26" s="1"/>
  <c r="Y35"/>
  <c r="Z35" s="1"/>
  <c r="Y20"/>
  <c r="Z20" s="1"/>
  <c r="Y12"/>
  <c r="Z12" s="1"/>
  <c r="Y10"/>
  <c r="Z10" s="1"/>
  <c r="Y31"/>
  <c r="Z31" s="1"/>
  <c r="Y28"/>
  <c r="Z28" s="1"/>
  <c r="Y15"/>
  <c r="Z15" s="1"/>
  <c r="Y23"/>
  <c r="Z23" s="1"/>
  <c r="Y32"/>
  <c r="Z32" s="1"/>
  <c r="Y22"/>
  <c r="Z22" s="1"/>
  <c r="Y34"/>
  <c r="Z34" s="1"/>
  <c r="Y19"/>
  <c r="Z19" s="1"/>
  <c r="Y25"/>
  <c r="Z25" s="1"/>
  <c r="Y21"/>
  <c r="Z21" s="1"/>
  <c r="Y29"/>
  <c r="Z29" s="1"/>
  <c r="Y36"/>
  <c r="Z36" s="1"/>
  <c r="Y18"/>
  <c r="Z18" s="1"/>
  <c r="Y30"/>
  <c r="Z30" s="1"/>
  <c r="Y17"/>
  <c r="Z17" s="1"/>
  <c r="Y33"/>
  <c r="Z33" s="1"/>
  <c r="Y11"/>
  <c r="Z11" s="1"/>
  <c r="Y27"/>
  <c r="Z27" s="1"/>
  <c r="Y13"/>
  <c r="Z13" s="1"/>
  <c r="Y14"/>
  <c r="Z14" s="1"/>
  <c r="H20" i="40"/>
  <c r="F21" i="72" s="1"/>
  <c r="J21" s="1"/>
  <c r="H23" i="40"/>
  <c r="L23" s="1"/>
  <c r="H21"/>
  <c r="F22" i="72" s="1"/>
  <c r="J22" s="1"/>
  <c r="X37" i="4"/>
  <c r="V37"/>
  <c r="U37"/>
  <c r="C25" i="80"/>
  <c r="T37" i="4"/>
  <c r="Y9"/>
  <c r="C49" i="78" l="1"/>
  <c r="D49" s="1"/>
  <c r="C42" i="80"/>
  <c r="F32" i="78"/>
  <c r="G32" s="1"/>
  <c r="F25" i="80"/>
  <c r="C35" i="78"/>
  <c r="D35" s="1"/>
  <c r="C28" i="80"/>
  <c r="O32" i="78"/>
  <c r="P32" s="1"/>
  <c r="O25" i="80"/>
  <c r="C51" i="78"/>
  <c r="D51" s="1"/>
  <c r="C44" i="80"/>
  <c r="C56" i="78"/>
  <c r="D56" s="1"/>
  <c r="C49" i="80"/>
  <c r="C44" i="78"/>
  <c r="D44" s="1"/>
  <c r="C37" i="80"/>
  <c r="L35" i="78"/>
  <c r="M35" s="1"/>
  <c r="L28" i="80"/>
  <c r="M28" s="1"/>
  <c r="O50" i="78"/>
  <c r="P50" s="1"/>
  <c r="O43" i="80"/>
  <c r="P43" s="1"/>
  <c r="I39" i="78"/>
  <c r="J39" s="1"/>
  <c r="I32" i="80"/>
  <c r="J32" s="1"/>
  <c r="I56" i="78"/>
  <c r="J56" s="1"/>
  <c r="I49" i="80"/>
  <c r="J49" s="1"/>
  <c r="O57" i="78"/>
  <c r="P57" s="1"/>
  <c r="O50" i="80"/>
  <c r="P50" s="1"/>
  <c r="F59" i="78"/>
  <c r="G59" s="1"/>
  <c r="F52" i="80"/>
  <c r="G52" s="1"/>
  <c r="L41" i="78"/>
  <c r="M41" s="1"/>
  <c r="L34" i="80"/>
  <c r="M34" s="1"/>
  <c r="L51" i="78"/>
  <c r="M51" s="1"/>
  <c r="L44" i="80"/>
  <c r="M44" s="1"/>
  <c r="F47" i="78"/>
  <c r="G47" s="1"/>
  <c r="F40" i="80"/>
  <c r="G40" s="1"/>
  <c r="I59" i="78"/>
  <c r="J59" s="1"/>
  <c r="I52" i="80"/>
  <c r="J52" s="1"/>
  <c r="I34" i="78"/>
  <c r="J34" s="1"/>
  <c r="I27" i="80"/>
  <c r="J27" s="1"/>
  <c r="O39" i="78"/>
  <c r="P39" s="1"/>
  <c r="O32" i="80"/>
  <c r="P32" s="1"/>
  <c r="I40" i="78"/>
  <c r="J40" s="1"/>
  <c r="I33" i="80"/>
  <c r="J33" s="1"/>
  <c r="L33" i="78"/>
  <c r="M33" s="1"/>
  <c r="L26" i="80"/>
  <c r="M26" s="1"/>
  <c r="I32" i="78"/>
  <c r="J32" s="1"/>
  <c r="I25" i="80"/>
  <c r="I58" i="78"/>
  <c r="J58" s="1"/>
  <c r="I51" i="80"/>
  <c r="J51" s="1"/>
  <c r="L54" i="78"/>
  <c r="M54" s="1"/>
  <c r="L47" i="80"/>
  <c r="M47" s="1"/>
  <c r="O33" i="78"/>
  <c r="P33" s="1"/>
  <c r="O26" i="80"/>
  <c r="P26" s="1"/>
  <c r="I42" i="78"/>
  <c r="J42" s="1"/>
  <c r="I35" i="80"/>
  <c r="J35" s="1"/>
  <c r="O43" i="78"/>
  <c r="P43" s="1"/>
  <c r="O36" i="80"/>
  <c r="P36" s="1"/>
  <c r="F43" i="78"/>
  <c r="G43" s="1"/>
  <c r="F36" i="80"/>
  <c r="G36" s="1"/>
  <c r="L36" i="78"/>
  <c r="M36" s="1"/>
  <c r="L29" i="80"/>
  <c r="M29" s="1"/>
  <c r="O47" i="78"/>
  <c r="P47" s="1"/>
  <c r="O40" i="80"/>
  <c r="P40" s="1"/>
  <c r="F54" i="78"/>
  <c r="G54" s="1"/>
  <c r="F47" i="80"/>
  <c r="G47" s="1"/>
  <c r="F51" i="78"/>
  <c r="G51" s="1"/>
  <c r="F44" i="80"/>
  <c r="G44" s="1"/>
  <c r="L50" i="78"/>
  <c r="M50" s="1"/>
  <c r="L43" i="80"/>
  <c r="M43" s="1"/>
  <c r="I53" i="78"/>
  <c r="J53" s="1"/>
  <c r="I46" i="80"/>
  <c r="J46" s="1"/>
  <c r="O48" i="78"/>
  <c r="P48" s="1"/>
  <c r="O41" i="80"/>
  <c r="P41" s="1"/>
  <c r="D25"/>
  <c r="C37" i="78"/>
  <c r="D37" s="1"/>
  <c r="C30" i="80"/>
  <c r="C58" i="78"/>
  <c r="D58" s="1"/>
  <c r="C51" i="80"/>
  <c r="C55" i="78"/>
  <c r="D55" s="1"/>
  <c r="C48" i="80"/>
  <c r="C41" i="78"/>
  <c r="D41" s="1"/>
  <c r="C34" i="80"/>
  <c r="C47" i="78"/>
  <c r="D47" s="1"/>
  <c r="C40" i="80"/>
  <c r="C54" i="78"/>
  <c r="D54" s="1"/>
  <c r="C47" i="80"/>
  <c r="C46" i="78"/>
  <c r="D46" s="1"/>
  <c r="C39" i="80"/>
  <c r="C34" i="78"/>
  <c r="D34" s="1"/>
  <c r="C27" i="80"/>
  <c r="F33" i="78"/>
  <c r="G33" s="1"/>
  <c r="F26" i="80"/>
  <c r="G26" s="1"/>
  <c r="L37" i="78"/>
  <c r="M37" s="1"/>
  <c r="L30" i="80"/>
  <c r="M30" s="1"/>
  <c r="I45" i="78"/>
  <c r="J45" s="1"/>
  <c r="I38" i="80"/>
  <c r="J38" s="1"/>
  <c r="F52" i="78"/>
  <c r="G52" s="1"/>
  <c r="F45" i="80"/>
  <c r="G45" s="1"/>
  <c r="L52" i="78"/>
  <c r="M52" s="1"/>
  <c r="L45" i="80"/>
  <c r="M45" s="1"/>
  <c r="I46" i="78"/>
  <c r="J46" s="1"/>
  <c r="I39" i="80"/>
  <c r="J39" s="1"/>
  <c r="L59" i="78"/>
  <c r="M59" s="1"/>
  <c r="L52" i="80"/>
  <c r="M52" s="1"/>
  <c r="L53" i="78"/>
  <c r="M53" s="1"/>
  <c r="L46" i="80"/>
  <c r="M46" s="1"/>
  <c r="I49" i="78"/>
  <c r="J49" s="1"/>
  <c r="I42" i="80"/>
  <c r="J42" s="1"/>
  <c r="I36" i="78"/>
  <c r="J36" s="1"/>
  <c r="I29" i="80"/>
  <c r="J29" s="1"/>
  <c r="F36" i="78"/>
  <c r="G36" s="1"/>
  <c r="F29" i="80"/>
  <c r="G29" s="1"/>
  <c r="I41" i="78"/>
  <c r="J41" s="1"/>
  <c r="I34" i="80"/>
  <c r="J34" s="1"/>
  <c r="I48" i="78"/>
  <c r="J48" s="1"/>
  <c r="I41" i="80"/>
  <c r="J41" s="1"/>
  <c r="L44" i="78"/>
  <c r="M44" s="1"/>
  <c r="L37" i="80"/>
  <c r="M37" s="1"/>
  <c r="L46" i="78"/>
  <c r="M46" s="1"/>
  <c r="L39" i="80"/>
  <c r="M39" s="1"/>
  <c r="O41" i="78"/>
  <c r="P41" s="1"/>
  <c r="O34" i="80"/>
  <c r="P34" s="1"/>
  <c r="F48" i="78"/>
  <c r="G48" s="1"/>
  <c r="F41" i="80"/>
  <c r="G41" s="1"/>
  <c r="F34" i="78"/>
  <c r="G34" s="1"/>
  <c r="F27" i="80"/>
  <c r="G27" s="1"/>
  <c r="O54" i="78"/>
  <c r="P54" s="1"/>
  <c r="O47" i="80"/>
  <c r="P47" s="1"/>
  <c r="L43" i="78"/>
  <c r="M43" s="1"/>
  <c r="L36" i="80"/>
  <c r="M36" s="1"/>
  <c r="F45" i="78"/>
  <c r="G45" s="1"/>
  <c r="F38" i="80"/>
  <c r="G38" s="1"/>
  <c r="C48" i="78"/>
  <c r="D48" s="1"/>
  <c r="C41" i="80"/>
  <c r="I38" i="78"/>
  <c r="J38" s="1"/>
  <c r="I31" i="80"/>
  <c r="J31" s="1"/>
  <c r="O59" i="78"/>
  <c r="P59" s="1"/>
  <c r="O52" i="80"/>
  <c r="P52" s="1"/>
  <c r="O45" i="78"/>
  <c r="P45" s="1"/>
  <c r="O38" i="80"/>
  <c r="P38" s="1"/>
  <c r="L45" i="78"/>
  <c r="M45" s="1"/>
  <c r="L38" i="80"/>
  <c r="M38" s="1"/>
  <c r="F46" i="78"/>
  <c r="G46" s="1"/>
  <c r="F39" i="80"/>
  <c r="G39" s="1"/>
  <c r="O37" i="78"/>
  <c r="P37" s="1"/>
  <c r="O30" i="80"/>
  <c r="P30" s="1"/>
  <c r="D26"/>
  <c r="C52" i="78"/>
  <c r="D52" s="1"/>
  <c r="C45" i="80"/>
  <c r="C50" i="78"/>
  <c r="D50" s="1"/>
  <c r="C43" i="80"/>
  <c r="C39" i="78"/>
  <c r="D39" s="1"/>
  <c r="C32" i="80"/>
  <c r="C43" i="78"/>
  <c r="D43" s="1"/>
  <c r="C36" i="80"/>
  <c r="C53" i="78"/>
  <c r="D53" s="1"/>
  <c r="C46" i="80"/>
  <c r="C57" i="78"/>
  <c r="D57" s="1"/>
  <c r="C50" i="80"/>
  <c r="C38" i="78"/>
  <c r="D38" s="1"/>
  <c r="C31" i="80"/>
  <c r="C45" i="78"/>
  <c r="D45" s="1"/>
  <c r="C38" i="80"/>
  <c r="C36" i="78"/>
  <c r="D36" s="1"/>
  <c r="C29" i="80"/>
  <c r="C59" i="78"/>
  <c r="D59" s="1"/>
  <c r="C52" i="80"/>
  <c r="I47" i="78"/>
  <c r="J47" s="1"/>
  <c r="I40" i="80"/>
  <c r="J40" s="1"/>
  <c r="L58" i="78"/>
  <c r="M58" s="1"/>
  <c r="L51" i="80"/>
  <c r="M51" s="1"/>
  <c r="O35" i="78"/>
  <c r="P35" s="1"/>
  <c r="O28" i="80"/>
  <c r="P28" s="1"/>
  <c r="F39" i="78"/>
  <c r="G39" s="1"/>
  <c r="F32" i="80"/>
  <c r="G32" s="1"/>
  <c r="L38" i="78"/>
  <c r="M38" s="1"/>
  <c r="L31" i="80"/>
  <c r="M31" s="1"/>
  <c r="I33" i="78"/>
  <c r="J33" s="1"/>
  <c r="I26" i="80"/>
  <c r="J26" s="1"/>
  <c r="L49" i="78"/>
  <c r="M49" s="1"/>
  <c r="L42" i="80"/>
  <c r="M42" s="1"/>
  <c r="L56" i="78"/>
  <c r="M56" s="1"/>
  <c r="L49" i="80"/>
  <c r="M49" s="1"/>
  <c r="I55" i="78"/>
  <c r="J55" s="1"/>
  <c r="I48" i="80"/>
  <c r="J48" s="1"/>
  <c r="F44" i="78"/>
  <c r="G44" s="1"/>
  <c r="F37" i="80"/>
  <c r="G37" s="1"/>
  <c r="O51" i="78"/>
  <c r="P51" s="1"/>
  <c r="O44" i="80"/>
  <c r="P44" s="1"/>
  <c r="L40" i="78"/>
  <c r="M40" s="1"/>
  <c r="L33" i="80"/>
  <c r="M33" s="1"/>
  <c r="F57" i="78"/>
  <c r="G57" s="1"/>
  <c r="F50" i="80"/>
  <c r="G50" s="1"/>
  <c r="L55" i="78"/>
  <c r="M55" s="1"/>
  <c r="L48" i="80"/>
  <c r="M48" s="1"/>
  <c r="F49" i="78"/>
  <c r="G49" s="1"/>
  <c r="F42" i="80"/>
  <c r="G42" s="1"/>
  <c r="I57" i="78"/>
  <c r="J57" s="1"/>
  <c r="I50" i="80"/>
  <c r="J50" s="1"/>
  <c r="F50" i="78"/>
  <c r="G50" s="1"/>
  <c r="F43" i="80"/>
  <c r="G43" s="1"/>
  <c r="O34" i="78"/>
  <c r="P34" s="1"/>
  <c r="O27" i="80"/>
  <c r="P27" s="1"/>
  <c r="F35" i="78"/>
  <c r="G35" s="1"/>
  <c r="F28" i="80"/>
  <c r="G28" s="1"/>
  <c r="I50" i="78"/>
  <c r="J50" s="1"/>
  <c r="I43" i="80"/>
  <c r="J43" s="1"/>
  <c r="O55" i="78"/>
  <c r="P55" s="1"/>
  <c r="O48" i="80"/>
  <c r="P48" s="1"/>
  <c r="O44" i="78"/>
  <c r="P44" s="1"/>
  <c r="O37" i="80"/>
  <c r="P37" s="1"/>
  <c r="O52" i="78"/>
  <c r="P52" s="1"/>
  <c r="O45" i="80"/>
  <c r="P45" s="1"/>
  <c r="F56" i="78"/>
  <c r="G56" s="1"/>
  <c r="F49" i="80"/>
  <c r="G49" s="1"/>
  <c r="I54" i="78"/>
  <c r="J54" s="1"/>
  <c r="I47" i="80"/>
  <c r="J47" s="1"/>
  <c r="L34" i="78"/>
  <c r="M34" s="1"/>
  <c r="L27" i="80"/>
  <c r="M27" s="1"/>
  <c r="I52" i="78"/>
  <c r="J52" s="1"/>
  <c r="I45" i="80"/>
  <c r="J45" s="1"/>
  <c r="C40" i="78"/>
  <c r="C33" i="80"/>
  <c r="F42" i="78"/>
  <c r="G42" s="1"/>
  <c r="F35" i="80"/>
  <c r="G35" s="1"/>
  <c r="L48" i="78"/>
  <c r="M48" s="1"/>
  <c r="L41" i="80"/>
  <c r="M41" s="1"/>
  <c r="L47" i="78"/>
  <c r="M47" s="1"/>
  <c r="L40" i="80"/>
  <c r="M40" s="1"/>
  <c r="F41" i="78"/>
  <c r="G41" s="1"/>
  <c r="F34" i="80"/>
  <c r="G34" s="1"/>
  <c r="F40" i="78"/>
  <c r="G40" s="1"/>
  <c r="F33" i="80"/>
  <c r="G33" s="1"/>
  <c r="F37" i="78"/>
  <c r="G37" s="1"/>
  <c r="F30" i="80"/>
  <c r="G30" s="1"/>
  <c r="O42" i="78"/>
  <c r="P42" s="1"/>
  <c r="O35" i="80"/>
  <c r="P35" s="1"/>
  <c r="F58" i="78"/>
  <c r="G58" s="1"/>
  <c r="F51" i="80"/>
  <c r="G51" s="1"/>
  <c r="I37" i="78"/>
  <c r="J37" s="1"/>
  <c r="I30" i="80"/>
  <c r="J30" s="1"/>
  <c r="I35" i="78"/>
  <c r="J35" s="1"/>
  <c r="I28" i="80"/>
  <c r="J28" s="1"/>
  <c r="L32" i="78"/>
  <c r="M32" s="1"/>
  <c r="L25" i="80"/>
  <c r="F55" i="78"/>
  <c r="G55" s="1"/>
  <c r="F48" i="80"/>
  <c r="G48" s="1"/>
  <c r="O56" i="78"/>
  <c r="P56" s="1"/>
  <c r="O49" i="80"/>
  <c r="P49" s="1"/>
  <c r="O49" i="78"/>
  <c r="P49" s="1"/>
  <c r="O42" i="80"/>
  <c r="P42" s="1"/>
  <c r="F53" i="78"/>
  <c r="G53" s="1"/>
  <c r="F46" i="80"/>
  <c r="G46" s="1"/>
  <c r="I51" i="78"/>
  <c r="J51" s="1"/>
  <c r="I44" i="80"/>
  <c r="J44" s="1"/>
  <c r="O58" i="78"/>
  <c r="P58" s="1"/>
  <c r="O51" i="80"/>
  <c r="P51" s="1"/>
  <c r="O40" i="78"/>
  <c r="P40" s="1"/>
  <c r="O33" i="80"/>
  <c r="P33" s="1"/>
  <c r="F38" i="78"/>
  <c r="G38" s="1"/>
  <c r="F31" i="80"/>
  <c r="G31" s="1"/>
  <c r="L42" i="78"/>
  <c r="M42" s="1"/>
  <c r="L35" i="80"/>
  <c r="M35" s="1"/>
  <c r="C42" i="78"/>
  <c r="D42" s="1"/>
  <c r="C35" i="80"/>
  <c r="I44" i="78"/>
  <c r="J44" s="1"/>
  <c r="I37" i="80"/>
  <c r="J37" s="1"/>
  <c r="I43" i="78"/>
  <c r="J43" s="1"/>
  <c r="I36" i="80"/>
  <c r="J36" s="1"/>
  <c r="O46" i="78"/>
  <c r="P46" s="1"/>
  <c r="O39" i="80"/>
  <c r="P39" s="1"/>
  <c r="O38" i="78"/>
  <c r="P38" s="1"/>
  <c r="O31" i="80"/>
  <c r="P31" s="1"/>
  <c r="O53" i="78"/>
  <c r="P53" s="1"/>
  <c r="O46" i="80"/>
  <c r="P46" s="1"/>
  <c r="O36" i="78"/>
  <c r="P36" s="1"/>
  <c r="O29" i="80"/>
  <c r="P29" s="1"/>
  <c r="L57" i="78"/>
  <c r="M57" s="1"/>
  <c r="K83"/>
  <c r="L83" s="1"/>
  <c r="L79"/>
  <c r="C32"/>
  <c r="D32" s="1"/>
  <c r="F244" i="72"/>
  <c r="F246"/>
  <c r="F245"/>
  <c r="F248"/>
  <c r="F249"/>
  <c r="F251"/>
  <c r="F247"/>
  <c r="F243"/>
  <c r="F20"/>
  <c r="J20" s="1"/>
  <c r="Z9" i="4"/>
  <c r="F24" i="72"/>
  <c r="J24" s="1"/>
  <c r="L20" i="40"/>
  <c r="K80" i="78" s="1"/>
  <c r="L80" s="1"/>
  <c r="F69" i="72"/>
  <c r="L21" i="40"/>
  <c r="K81" i="78" s="1"/>
  <c r="L81" s="1"/>
  <c r="F54" i="72"/>
  <c r="M23" i="40"/>
  <c r="R59" i="78" l="1"/>
  <c r="S59" s="1"/>
  <c r="R33"/>
  <c r="S33" s="1"/>
  <c r="R45"/>
  <c r="S45" s="1"/>
  <c r="R37"/>
  <c r="S37" s="1"/>
  <c r="R50"/>
  <c r="S50" s="1"/>
  <c r="R40"/>
  <c r="S40" s="1"/>
  <c r="R42"/>
  <c r="S42" s="1"/>
  <c r="R35"/>
  <c r="S35" s="1"/>
  <c r="R58"/>
  <c r="S58" s="1"/>
  <c r="D40"/>
  <c r="R34"/>
  <c r="S34" s="1"/>
  <c r="I60"/>
  <c r="J60" s="1"/>
  <c r="R56"/>
  <c r="S56" s="1"/>
  <c r="R49"/>
  <c r="S49" s="1"/>
  <c r="R44"/>
  <c r="S44" s="1"/>
  <c r="R51"/>
  <c r="S51" s="1"/>
  <c r="R43"/>
  <c r="S43" s="1"/>
  <c r="R54"/>
  <c r="S54" s="1"/>
  <c r="R52"/>
  <c r="S52" s="1"/>
  <c r="R35" i="80"/>
  <c r="S35" s="1"/>
  <c r="D35"/>
  <c r="M25"/>
  <c r="R29"/>
  <c r="S29" s="1"/>
  <c r="D29"/>
  <c r="R31"/>
  <c r="S31" s="1"/>
  <c r="D31"/>
  <c r="D46"/>
  <c r="R46"/>
  <c r="S46" s="1"/>
  <c r="D32"/>
  <c r="D45"/>
  <c r="R45"/>
  <c r="S45" s="1"/>
  <c r="R41"/>
  <c r="S41" s="1"/>
  <c r="D41"/>
  <c r="R27"/>
  <c r="S27" s="1"/>
  <c r="D27"/>
  <c r="R47"/>
  <c r="S47" s="1"/>
  <c r="D47"/>
  <c r="D34"/>
  <c r="R34"/>
  <c r="S34" s="1"/>
  <c r="R51"/>
  <c r="S51" s="1"/>
  <c r="D51"/>
  <c r="R53" i="78"/>
  <c r="S53" s="1"/>
  <c r="R36"/>
  <c r="S36" s="1"/>
  <c r="R38"/>
  <c r="S38" s="1"/>
  <c r="R41"/>
  <c r="S41" s="1"/>
  <c r="C53" i="80"/>
  <c r="D53" s="1"/>
  <c r="D37"/>
  <c r="R37"/>
  <c r="S37" s="1"/>
  <c r="D44"/>
  <c r="R44"/>
  <c r="S44" s="1"/>
  <c r="D28"/>
  <c r="R28"/>
  <c r="S28" s="1"/>
  <c r="D42"/>
  <c r="R42"/>
  <c r="S42" s="1"/>
  <c r="R33"/>
  <c r="S33" s="1"/>
  <c r="D33"/>
  <c r="D52"/>
  <c r="R52"/>
  <c r="S52" s="1"/>
  <c r="D38"/>
  <c r="R38"/>
  <c r="S38" s="1"/>
  <c r="D50"/>
  <c r="R50"/>
  <c r="S50" s="1"/>
  <c r="D36"/>
  <c r="R36"/>
  <c r="S36" s="1"/>
  <c r="R43"/>
  <c r="S43" s="1"/>
  <c r="D43"/>
  <c r="R39"/>
  <c r="S39" s="1"/>
  <c r="D39"/>
  <c r="D40"/>
  <c r="R40"/>
  <c r="S40" s="1"/>
  <c r="D48"/>
  <c r="R48"/>
  <c r="S48" s="1"/>
  <c r="D30"/>
  <c r="R30"/>
  <c r="S30" s="1"/>
  <c r="O60" i="78"/>
  <c r="P60" s="1"/>
  <c r="F60"/>
  <c r="G60" s="1"/>
  <c r="R48"/>
  <c r="S48" s="1"/>
  <c r="R46"/>
  <c r="S46" s="1"/>
  <c r="R47"/>
  <c r="S47" s="1"/>
  <c r="R55"/>
  <c r="S55" s="1"/>
  <c r="R26" i="80"/>
  <c r="S26" s="1"/>
  <c r="R25"/>
  <c r="J25"/>
  <c r="I53"/>
  <c r="J53" s="1"/>
  <c r="D49"/>
  <c r="R49"/>
  <c r="S49" s="1"/>
  <c r="P25"/>
  <c r="O53"/>
  <c r="P53" s="1"/>
  <c r="G25"/>
  <c r="F53"/>
  <c r="G53" s="1"/>
  <c r="R57" i="78"/>
  <c r="S57" s="1"/>
  <c r="C60"/>
  <c r="D60" s="1"/>
  <c r="R32"/>
  <c r="S32" s="1"/>
  <c r="F103" i="72"/>
  <c r="I24"/>
  <c r="I21"/>
  <c r="M22" i="40"/>
  <c r="M20"/>
  <c r="I22" i="72"/>
  <c r="F250"/>
  <c r="M21" i="40"/>
  <c r="S25" i="80" l="1"/>
  <c r="I20" i="72"/>
  <c r="F39" l="1"/>
  <c r="M19" i="40"/>
  <c r="M24" s="1"/>
  <c r="M36" l="1"/>
  <c r="CG344" i="2" l="1"/>
  <c r="Q344"/>
  <c r="CD344" s="1"/>
  <c r="CC349" s="1"/>
  <c r="W16" i="4"/>
  <c r="CC344" i="2"/>
  <c r="Y225" i="16"/>
  <c r="Z225" s="1"/>
  <c r="O22" i="4"/>
  <c r="M57"/>
  <c r="R57" s="1"/>
  <c r="T344" i="2"/>
  <c r="S344"/>
  <c r="D347" s="1"/>
  <c r="W37" i="4" l="1"/>
  <c r="CB344" i="2"/>
  <c r="D35" i="7"/>
  <c r="B61" i="4"/>
  <c r="O29"/>
  <c r="Y426" i="16"/>
  <c r="H65" i="4"/>
  <c r="H48" s="1"/>
  <c r="Y16"/>
  <c r="Y37" s="1"/>
  <c r="S55"/>
  <c r="D34" i="7"/>
  <c r="E34" s="1"/>
  <c r="B59" i="4"/>
  <c r="G670" i="57"/>
  <c r="S16" i="4"/>
  <c r="AA225" i="16"/>
  <c r="AB225" s="1"/>
  <c r="B38" i="4"/>
  <c r="S57" l="1"/>
  <c r="J22" i="40"/>
  <c r="F115" i="72" s="1"/>
  <c r="F117" s="1"/>
  <c r="F231" s="1"/>
  <c r="L39" i="78"/>
  <c r="R39" s="1"/>
  <c r="L32" i="80"/>
  <c r="CC346" i="2"/>
  <c r="J50" i="4" s="1"/>
  <c r="F2" i="23"/>
  <c r="F5" s="1"/>
  <c r="E38" i="4"/>
  <c r="D38"/>
  <c r="B37"/>
  <c r="S37"/>
  <c r="U42" s="1"/>
  <c r="Z16"/>
  <c r="D86" i="7"/>
  <c r="E35"/>
  <c r="E86" s="1"/>
  <c r="H22" i="40"/>
  <c r="F23" i="72" s="1"/>
  <c r="W425" i="16"/>
  <c r="Z425"/>
  <c r="D61" i="4"/>
  <c r="E61"/>
  <c r="G61" s="1"/>
  <c r="D33" i="7"/>
  <c r="J24" i="40"/>
  <c r="E59" i="4"/>
  <c r="G59" s="1"/>
  <c r="E670" i="57"/>
  <c r="D59" i="4"/>
  <c r="B64"/>
  <c r="E64" s="1"/>
  <c r="F252" i="72" l="1"/>
  <c r="F253" s="1"/>
  <c r="O36" i="4"/>
  <c r="D64"/>
  <c r="G64" s="1"/>
  <c r="L60" i="78"/>
  <c r="M60" s="1"/>
  <c r="M32" i="80"/>
  <c r="L53"/>
  <c r="M53" s="1"/>
  <c r="R32"/>
  <c r="M39" i="78"/>
  <c r="F60" i="80"/>
  <c r="F67" i="78"/>
  <c r="S39"/>
  <c r="R60"/>
  <c r="S60" s="1"/>
  <c r="F3" i="23"/>
  <c r="J23" i="72"/>
  <c r="H61" i="4"/>
  <c r="D36" i="7"/>
  <c r="D87" s="1"/>
  <c r="E33"/>
  <c r="E36" s="1"/>
  <c r="E87" s="1"/>
  <c r="E37" i="4"/>
  <c r="B46"/>
  <c r="H44" s="1"/>
  <c r="F230" i="40"/>
  <c r="H24"/>
  <c r="L22"/>
  <c r="K82" i="78" s="1"/>
  <c r="G671" i="57"/>
  <c r="G87" i="7"/>
  <c r="H87" s="1"/>
  <c r="E671" i="57"/>
  <c r="D72" i="4"/>
  <c r="E72"/>
  <c r="G72" s="1"/>
  <c r="H54" s="1"/>
  <c r="E673" i="57" s="1"/>
  <c r="D37" i="4"/>
  <c r="G38"/>
  <c r="J152" l="1"/>
  <c r="C153" s="1"/>
  <c r="S32" i="80"/>
  <c r="R53"/>
  <c r="S53" s="1"/>
  <c r="H60"/>
  <c r="J60"/>
  <c r="J67" i="78"/>
  <c r="H67"/>
  <c r="L82"/>
  <c r="K86"/>
  <c r="L86" s="1"/>
  <c r="L24" i="40"/>
  <c r="M38" s="1"/>
  <c r="I50" i="4"/>
  <c r="J54" s="1"/>
  <c r="I46"/>
  <c r="J44" s="1"/>
  <c r="E675" i="57"/>
  <c r="F87" i="72"/>
  <c r="F106" s="1"/>
  <c r="F107" s="1"/>
  <c r="I23"/>
  <c r="F26"/>
  <c r="F230" s="1"/>
  <c r="G37" i="4"/>
  <c r="D46"/>
  <c r="G46" s="1"/>
  <c r="E46"/>
  <c r="B74"/>
  <c r="J151" l="1"/>
  <c r="C152" s="1"/>
  <c r="F236" i="72"/>
  <c r="F255" s="1"/>
  <c r="I26"/>
  <c r="J26"/>
  <c r="E667" i="57"/>
  <c r="E669" s="1"/>
  <c r="E676" s="1"/>
  <c r="I666" s="1"/>
  <c r="I36" i="4"/>
  <c r="K65"/>
  <c r="D74"/>
  <c r="E74"/>
  <c r="G74" s="1"/>
  <c r="K152" s="1"/>
  <c r="C154" l="1"/>
  <c r="F66" i="78"/>
  <c r="F69" s="1"/>
  <c r="F59" i="80"/>
  <c r="J236" i="72"/>
  <c r="J153" i="4"/>
  <c r="K153" s="1"/>
  <c r="N59"/>
  <c r="K67"/>
  <c r="N61"/>
  <c r="J59" i="80" l="1"/>
  <c r="H59"/>
  <c r="H62" s="1"/>
  <c r="F62"/>
  <c r="J66" i="78"/>
  <c r="H66"/>
  <c r="H69" s="1"/>
  <c r="F72"/>
  <c r="J72" s="1"/>
  <c r="J69"/>
  <c r="F65" i="80" l="1"/>
  <c r="J62"/>
  <c r="H72" i="78"/>
  <c r="J65" i="80" l="1"/>
  <c r="H65"/>
  <c r="I225" i="72"/>
</calcChain>
</file>

<file path=xl/comments1.xml><?xml version="1.0" encoding="utf-8"?>
<comments xmlns="http://schemas.openxmlformats.org/spreadsheetml/2006/main">
  <authors>
    <author>Auteur</author>
  </authors>
  <commentList>
    <comment ref="I392" authorId="0">
      <text>
        <r>
          <rPr>
            <b/>
            <sz val="9"/>
            <color indexed="81"/>
            <rFont val="Tahoma"/>
            <family val="2"/>
          </rPr>
          <t xml:space="preserve">Auteur:
</t>
        </r>
      </text>
    </comment>
  </commentList>
</comments>
</file>

<file path=xl/sharedStrings.xml><?xml version="1.0" encoding="utf-8"?>
<sst xmlns="http://schemas.openxmlformats.org/spreadsheetml/2006/main" count="12744" uniqueCount="3147">
  <si>
    <t>MINISTÈRE DES FINANCES</t>
  </si>
  <si>
    <t>MINISTRY OF FINANCE</t>
  </si>
  <si>
    <t>----------------</t>
  </si>
  <si>
    <t>DIRECTION GÉNÉRALE DES IMPÔTS</t>
  </si>
  <si>
    <t>DIRECTORATE GENERAL OF TAXATION</t>
  </si>
  <si>
    <t>STATISTIQUES CONSOLIDEES DES EMISSIONS ET RECOUVREMENTS</t>
  </si>
  <si>
    <t>DES IMPOTS SUR LE REVENU ET A LA CONSOMMATION</t>
  </si>
  <si>
    <t>NOMENCLATURE</t>
  </si>
  <si>
    <t>EMISSIONS</t>
  </si>
  <si>
    <t>RECOUVREMENTS</t>
  </si>
  <si>
    <t>VS / PA</t>
  </si>
  <si>
    <t>VS / PA + OO</t>
  </si>
  <si>
    <t xml:space="preserve">  I- RECETTES BUDGÉTAIRES</t>
  </si>
  <si>
    <t xml:space="preserve">     1- IMPÔT/REV. PERS. PHYSIQUES</t>
  </si>
  <si>
    <t xml:space="preserve">    - Traitements et Salaires</t>
  </si>
  <si>
    <t xml:space="preserve">    - Bénéfices des professions artisanales</t>
  </si>
  <si>
    <t xml:space="preserve">    - Bénéfices Industriels et Commerciaux (BIC)</t>
  </si>
  <si>
    <t xml:space="preserve">    - Bénéfices Agricoles</t>
  </si>
  <si>
    <t xml:space="preserve">    - Bénéfices Non Commerciaux (BNC)</t>
  </si>
  <si>
    <t xml:space="preserve">    - Revenus Fonciers</t>
  </si>
  <si>
    <t xml:space="preserve">    - Revenus Capitaux Mobiliers</t>
  </si>
  <si>
    <t xml:space="preserve">    - Prélèvement Spécial (TSR)</t>
  </si>
  <si>
    <t xml:space="preserve">    - Acompte mensuel/BIC</t>
  </si>
  <si>
    <t xml:space="preserve">    - Acompte mensuel/BNC</t>
  </si>
  <si>
    <t xml:space="preserve">    - Impôts sur plus-values sur cession immob.</t>
  </si>
  <si>
    <t xml:space="preserve">    - Impôts sur les autres gains en capital</t>
  </si>
  <si>
    <t xml:space="preserve">    - Taxe d'Apprentissage</t>
  </si>
  <si>
    <t xml:space="preserve">     2- IMPÔT/ACTIVITES</t>
  </si>
  <si>
    <t xml:space="preserve">    - I.C.A.I.</t>
  </si>
  <si>
    <t xml:space="preserve">    - T.C.A.</t>
  </si>
  <si>
    <t xml:space="preserve">    - T.V.A.</t>
  </si>
  <si>
    <t xml:space="preserve">    - Taxe/Pdts Pétroliers (TSPP)</t>
  </si>
  <si>
    <t xml:space="preserve">    - Vignettes sur tabacs produits manuf.</t>
  </si>
  <si>
    <t xml:space="preserve">    - Droits d'Accises</t>
  </si>
  <si>
    <t xml:space="preserve">     3- IMPÔT/SOCIETES</t>
  </si>
  <si>
    <t xml:space="preserve">    - Acompte mensuel </t>
  </si>
  <si>
    <t xml:space="preserve">    - Impôt Min. forf.</t>
  </si>
  <si>
    <t xml:space="preserve">    - Revenus des Capitaux Mobiliers</t>
  </si>
  <si>
    <t xml:space="preserve">     4- PRELEVEMENTS DIV.</t>
  </si>
  <si>
    <t xml:space="preserve">    - Acompte loyers</t>
  </si>
  <si>
    <t xml:space="preserve">    - Précompte achats </t>
  </si>
  <si>
    <t>Sous-total recettes budgétaires (I)</t>
  </si>
  <si>
    <t xml:space="preserve">  II - RECETTES DES COLLECTIVITES TERRITORIALES DECENTRALISEES (CTD)</t>
  </si>
  <si>
    <t xml:space="preserve">   - Patente (Feicom)</t>
  </si>
  <si>
    <t xml:space="preserve">   - Patente (CU ou Commune)</t>
  </si>
  <si>
    <t xml:space="preserve">   - Licence (Feicom)</t>
  </si>
  <si>
    <t xml:space="preserve">   - Licence (CU ou Commune)</t>
  </si>
  <si>
    <t xml:space="preserve">   - Taxe de développement locale</t>
  </si>
  <si>
    <t xml:space="preserve">   - CAC/TVA (feicom)</t>
  </si>
  <si>
    <t xml:space="preserve">   - CAC/TVA (CU)</t>
  </si>
  <si>
    <t xml:space="preserve">   - CAC/TVA (Commune)</t>
  </si>
  <si>
    <t xml:space="preserve">   - CAC/IRPP (feicom)</t>
  </si>
  <si>
    <t xml:space="preserve">   - CAC/IRPP (CU)</t>
  </si>
  <si>
    <t xml:space="preserve">   - CAC/IRPP (Commune)</t>
  </si>
  <si>
    <t xml:space="preserve">   - CAC/IS (feicom)</t>
  </si>
  <si>
    <t xml:space="preserve">   - CAC/IS (CU)</t>
  </si>
  <si>
    <t xml:space="preserve">   - CAC/IS (Commune)</t>
  </si>
  <si>
    <t xml:space="preserve">   - Impôt Libératoire</t>
  </si>
  <si>
    <t xml:space="preserve"> Sous-total recettes des CTD (II)</t>
  </si>
  <si>
    <t>III - RECETTES DES ETABLISSEMENTS PUBLICS ADMINISTRATIFS (EPA)</t>
  </si>
  <si>
    <t xml:space="preserve">   - CRTV</t>
  </si>
  <si>
    <t xml:space="preserve">   - CCF</t>
  </si>
  <si>
    <t xml:space="preserve">   - FNE</t>
  </si>
  <si>
    <t xml:space="preserve">   - CCIMA</t>
  </si>
  <si>
    <t xml:space="preserve">   - CAPEF</t>
  </si>
  <si>
    <t>Sous-total recettes des  EPA (III)</t>
  </si>
  <si>
    <t xml:space="preserve">   - Frais d'assiette</t>
  </si>
  <si>
    <t xml:space="preserve">   - Pénalités</t>
  </si>
  <si>
    <t xml:space="preserve">  TOTAL IMP./REV. &amp; A LA CONSOM. = (I)+(II)+(III)</t>
  </si>
  <si>
    <t>DES RECETTES D'ENREGISTREMENT, TIMBRE ET CURATELLE</t>
  </si>
  <si>
    <t>BDE</t>
  </si>
  <si>
    <t>Titre per.</t>
  </si>
  <si>
    <t xml:space="preserve">   1 - DROITS D'ENREGISTREMENT</t>
  </si>
  <si>
    <t xml:space="preserve">    - Droits d'enreg. mutations par décès</t>
  </si>
  <si>
    <t xml:space="preserve">    - Droits d'enreg. mutations entre vifs</t>
  </si>
  <si>
    <t xml:space="preserve">    - Droits de marché</t>
  </si>
  <si>
    <t xml:space="preserve">    - Taxe spéciale sur les sociétés</t>
  </si>
  <si>
    <t xml:space="preserve">    - Constitution et fusion des sociétés</t>
  </si>
  <si>
    <t xml:space="preserve">    - Autres mutations</t>
  </si>
  <si>
    <t xml:space="preserve">  2 - TAXES D'ENREGISTREMENT</t>
  </si>
  <si>
    <t xml:space="preserve">    - Taxe à l'Essieu</t>
  </si>
  <si>
    <t xml:space="preserve">    - Taxe/Contrat d'Assurance</t>
  </si>
  <si>
    <t xml:space="preserve">  3 - DROIT DE TIMBRE</t>
  </si>
  <si>
    <t xml:space="preserve">    - Timbres cartes d'identité, séjour residents</t>
  </si>
  <si>
    <t xml:space="preserve">    - Enregistrement minutes et brevets</t>
  </si>
  <si>
    <t xml:space="preserve">    - Timbre de dimension et timbre gradué</t>
  </si>
  <si>
    <t xml:space="preserve">    - Timbres en débet</t>
  </si>
  <si>
    <t xml:space="preserve">    - Timbres sur les passeports et laissez-passer</t>
  </si>
  <si>
    <t xml:space="preserve">    - Timbres connaissements et contrats transp.</t>
  </si>
  <si>
    <t xml:space="preserve">    - Taxe d'Aéroport</t>
  </si>
  <si>
    <t xml:space="preserve">    - Timbres sur publicité</t>
  </si>
  <si>
    <t xml:space="preserve"> 4- TAXES FORESTIERES</t>
  </si>
  <si>
    <t xml:space="preserve">    - Redevance de superficie</t>
  </si>
  <si>
    <t xml:space="preserve">    - Taxe d'abattage</t>
  </si>
  <si>
    <t xml:space="preserve">    - Autres taxes forestières</t>
  </si>
  <si>
    <t xml:space="preserve"> 5- TAXES MINIERES</t>
  </si>
  <si>
    <t xml:space="preserve">    - Droits de collecte des substances précieuses</t>
  </si>
  <si>
    <t xml:space="preserve">    - Redevance superficiaire annuelle (RSA)</t>
  </si>
  <si>
    <t xml:space="preserve">    - Droits fixes</t>
  </si>
  <si>
    <t xml:space="preserve">    - Taxes à l'extraction des carrières</t>
  </si>
  <si>
    <t xml:space="preserve">    - Redevance à la production des eaux</t>
  </si>
  <si>
    <t xml:space="preserve">    - Taxe advalorem sur les recettes minères</t>
  </si>
  <si>
    <t xml:space="preserve">    - Autres droits et taxes du secteur minier</t>
  </si>
  <si>
    <t xml:space="preserve"> 6- TAXES D'ELEVAGE</t>
  </si>
  <si>
    <t xml:space="preserve">    - Taxe d'inspection produits de la pêche</t>
  </si>
  <si>
    <t xml:space="preserve">    - Taxe d'insp. Sani. Vétér. Commerce</t>
  </si>
  <si>
    <t xml:space="preserve">    - Taxes visite véh. Transp. produits pêche</t>
  </si>
  <si>
    <t xml:space="preserve">    - Droits d'exploitation de la pêche </t>
  </si>
  <si>
    <t xml:space="preserve">    - Droit d'exploitation des product. Animales</t>
  </si>
  <si>
    <t xml:space="preserve"> Sous-total recettes budgétaires (I)</t>
  </si>
  <si>
    <t>RECETTES DES COLLECTIVITES TERRITORIALES DECENTRALISEES (CTD)</t>
  </si>
  <si>
    <t xml:space="preserve"> - Timbre Automobile (Vignette)</t>
  </si>
  <si>
    <t xml:space="preserve"> - Droits mutations Imm (feicom)</t>
  </si>
  <si>
    <t xml:space="preserve"> - Droits mutations Imm (CU)</t>
  </si>
  <si>
    <t xml:space="preserve"> - Droits mutations Imm (commune)</t>
  </si>
  <si>
    <t xml:space="preserve"> - Baux (feicom)</t>
  </si>
  <si>
    <t xml:space="preserve"> - Baux (CU)</t>
  </si>
  <si>
    <t xml:space="preserve"> - Baux (Commune)</t>
  </si>
  <si>
    <t xml:space="preserve"> - Taxe/Prop. Fon. (feicom)</t>
  </si>
  <si>
    <t xml:space="preserve"> - Taxe/Prop. Fon. (CU)</t>
  </si>
  <si>
    <t xml:space="preserve"> - Taxe/Prop. Fon. (Commune)</t>
  </si>
  <si>
    <t xml:space="preserve">  - RFA (feicom)</t>
  </si>
  <si>
    <t xml:space="preserve">  - RFA (commune)</t>
  </si>
  <si>
    <t xml:space="preserve">  - RFA (reverains)</t>
  </si>
  <si>
    <t xml:space="preserve"> - Taxe / jeux et divertissement</t>
  </si>
  <si>
    <t xml:space="preserve"> - Frais d'assiette </t>
  </si>
  <si>
    <t xml:space="preserve"> - Amendes et Pénalités </t>
  </si>
  <si>
    <t xml:space="preserve">  TOTAL RECETTES D'ETC &amp; TAXES SPECIF.</t>
  </si>
  <si>
    <t>NON OU RAISON SOCIALE</t>
  </si>
  <si>
    <t>IRPP</t>
  </si>
  <si>
    <t>SOLDE</t>
  </si>
  <si>
    <t>CAC IRPP/FEI</t>
  </si>
  <si>
    <t>CAC IRPP/CU</t>
  </si>
  <si>
    <t>CAC IRPP/COM</t>
  </si>
  <si>
    <t>PSA</t>
  </si>
  <si>
    <t>RF</t>
  </si>
  <si>
    <t>PSL</t>
  </si>
  <si>
    <t>TVA</t>
  </si>
  <si>
    <t>CAC TVA/FEI</t>
  </si>
  <si>
    <t>CAC TVA/CU</t>
  </si>
  <si>
    <t>CAC TVA/COM</t>
  </si>
  <si>
    <t>IS</t>
  </si>
  <si>
    <t>CAC IS/FEI</t>
  </si>
  <si>
    <t>CAC IS/CU</t>
  </si>
  <si>
    <t>CAC IS/COM</t>
  </si>
  <si>
    <t xml:space="preserve">RSA </t>
  </si>
  <si>
    <t>DF</t>
  </si>
  <si>
    <t>TAV</t>
  </si>
  <si>
    <t>TAV MINE</t>
  </si>
  <si>
    <t>TAV IMPOT</t>
  </si>
  <si>
    <t>TAV COM</t>
  </si>
  <si>
    <t>TA</t>
  </si>
  <si>
    <t>RFA</t>
  </si>
  <si>
    <t>RFA FEI</t>
  </si>
  <si>
    <t>RFA COM</t>
  </si>
  <si>
    <t>DM</t>
  </si>
  <si>
    <t>AUTRE DF</t>
  </si>
  <si>
    <t>TIM CT</t>
  </si>
  <si>
    <t>TISV</t>
  </si>
  <si>
    <t>TE</t>
  </si>
  <si>
    <t>PSREP</t>
  </si>
  <si>
    <t>TAXE/JEUX</t>
  </si>
  <si>
    <t>FNE</t>
  </si>
  <si>
    <t>RAV</t>
  </si>
  <si>
    <t>PAT CU</t>
  </si>
  <si>
    <t>PAT FEI</t>
  </si>
  <si>
    <t>CCAI</t>
  </si>
  <si>
    <t>LIC CU</t>
  </si>
  <si>
    <t>LIC FEI</t>
  </si>
  <si>
    <t>TDL</t>
  </si>
  <si>
    <t>BAUX FEI</t>
  </si>
  <si>
    <t>BAUX CU</t>
  </si>
  <si>
    <t>BAUX COM</t>
  </si>
  <si>
    <t xml:space="preserve">TPF FEI </t>
  </si>
  <si>
    <t>TPF CU</t>
  </si>
  <si>
    <t>TPF COM</t>
  </si>
  <si>
    <t>FAR</t>
  </si>
  <si>
    <t>PTES</t>
  </si>
  <si>
    <t>TOTAL</t>
  </si>
  <si>
    <t>SOLDE BIC</t>
  </si>
  <si>
    <t>SOLDE BNC</t>
  </si>
  <si>
    <t>AIR BNC</t>
  </si>
  <si>
    <t>AIR BIC</t>
  </si>
  <si>
    <t>TAE</t>
  </si>
  <si>
    <t>DPO</t>
  </si>
  <si>
    <t>REAL</t>
  </si>
  <si>
    <t>TAUX REAL</t>
  </si>
  <si>
    <t xml:space="preserve">UGI </t>
  </si>
  <si>
    <t>DATE</t>
  </si>
  <si>
    <t>SEJOUR</t>
  </si>
  <si>
    <t xml:space="preserve">VIGNETTE </t>
  </si>
  <si>
    <t>ASSISE</t>
  </si>
  <si>
    <t>N°</t>
  </si>
  <si>
    <t>BENEFICIAIRE</t>
  </si>
  <si>
    <t>MONTANT EMIS</t>
  </si>
  <si>
    <t>OBSERVATIONS</t>
  </si>
  <si>
    <t>TAXE DE DEVELOPPEMENT LOCAL</t>
  </si>
  <si>
    <t>FRAIS D'ASSIETE/DGI</t>
  </si>
  <si>
    <t>FEICOM</t>
  </si>
  <si>
    <t>DROIT DE TIMBRE AUTOMOBILE</t>
  </si>
  <si>
    <t>FRAIS D'ASSIETTE/DGI</t>
  </si>
  <si>
    <t>REDVANCE FORESTIERE ANNUELLE</t>
  </si>
  <si>
    <t>COMMUNE DE LOCALISATION DU TITRE D'EXPLOITATION</t>
  </si>
  <si>
    <t>ETAT/BUDGET</t>
  </si>
  <si>
    <t>CAC TVA</t>
  </si>
  <si>
    <t>COMMUNE DU SIEGE</t>
  </si>
  <si>
    <t>CAC IRPP</t>
  </si>
  <si>
    <t>CAC IS</t>
  </si>
  <si>
    <t>FARIS D'ASSIETTE/DGI</t>
  </si>
  <si>
    <t>PATENTE</t>
  </si>
  <si>
    <t>CU/C</t>
  </si>
  <si>
    <t>RAV PATENTE</t>
  </si>
  <si>
    <t>CCIMA</t>
  </si>
  <si>
    <t>CAPEF</t>
  </si>
  <si>
    <t>LICENCE</t>
  </si>
  <si>
    <t>DROIT DE MUTATION IMMOBILIERE</t>
  </si>
  <si>
    <t>COMMUNE D'ARRODISSEMENT</t>
  </si>
  <si>
    <t>TAXE SUR LA PROPRIETE FONCIERE</t>
  </si>
  <si>
    <t>COMMUNE D'ARRONDISSEMENT</t>
  </si>
  <si>
    <t>BAUX</t>
  </si>
  <si>
    <t>IMPOT LIBERATOIRE</t>
  </si>
  <si>
    <t>C/CA</t>
  </si>
  <si>
    <t>TAXE DE SEJOUR</t>
  </si>
  <si>
    <t>TAXE A L'EXTRACTION</t>
  </si>
  <si>
    <t>COMMUNE DE LOCALISATION DU TIRE D'EXPLOITATION</t>
  </si>
  <si>
    <t>TAXE ADVALOREN</t>
  </si>
  <si>
    <t>REDEVANCE AUDIO VISULELLE</t>
  </si>
  <si>
    <t>CRTV</t>
  </si>
  <si>
    <t>CONTRIBUTION AU CREDIT FONCIER</t>
  </si>
  <si>
    <t>CFC</t>
  </si>
  <si>
    <t>CONTRIBUTION AU FONDS NATIONAL DE L'EMPLOI</t>
  </si>
  <si>
    <t>DROIT DU TIMBRE SUR LA PUBLICITE</t>
  </si>
  <si>
    <t>TAXE SUR LES JEUX DU HAZARD ET DE DIVERTISSEMENT</t>
  </si>
  <si>
    <t>TABLEAU STATISTIQUE DE SUIVI DES RECETTES AFFECTEES</t>
  </si>
  <si>
    <t>STRUCTURE : CIME BTA</t>
  </si>
  <si>
    <t>I-RECETTES DES COLLECTITES TERRITORIALES DECONCENTREES</t>
  </si>
  <si>
    <t>II - RECETTES DES ETABLISSEMENTS PUBLICS ADMINISTRATIFS</t>
  </si>
  <si>
    <t>TOTAL GENERAL I</t>
  </si>
  <si>
    <t>TOTAL GENERAL II</t>
  </si>
  <si>
    <t>SOUS TOTAL 1</t>
  </si>
  <si>
    <t>SOUS TOTAL 2</t>
  </si>
  <si>
    <t>SOUS TOTAL 3</t>
  </si>
  <si>
    <t>SOUS TOTAL 4</t>
  </si>
  <si>
    <t>SOUS TOTAL 5</t>
  </si>
  <si>
    <t>SOUS TOTAL 6</t>
  </si>
  <si>
    <t>SOUS TOTAL 7</t>
  </si>
  <si>
    <t>SOUS TOTAL 8</t>
  </si>
  <si>
    <t>SOUS TOTAL 9</t>
  </si>
  <si>
    <t>SOUS TOTAL 10</t>
  </si>
  <si>
    <t>SOUS TOTAL 11</t>
  </si>
  <si>
    <t>SOUS TOTAL 12</t>
  </si>
  <si>
    <t>SOUS TOTAL 13</t>
  </si>
  <si>
    <t>SOUS TOTAL 14</t>
  </si>
  <si>
    <t>SOUS TOTAL 15</t>
  </si>
  <si>
    <t>SOUS TOTAL 16</t>
  </si>
  <si>
    <t>SOUS TOTAL 17</t>
  </si>
  <si>
    <t>MONTANTS COMPTABILISES</t>
  </si>
  <si>
    <t>TOTAL SANS FRAIS D'ASSIETTE ET SANS PART ETAT</t>
  </si>
  <si>
    <t>CU/C : Communauté Urbaine ou Commune</t>
  </si>
  <si>
    <t>C/CA : Commune ou Commune d'Arrondissement</t>
  </si>
  <si>
    <t>MINISTERE DES FINANCES</t>
  </si>
  <si>
    <t>DIRECTION GENERALE DES IMPOST</t>
  </si>
  <si>
    <t>CENTRE REGIONAL DES IMPOTS DE L'EST</t>
  </si>
  <si>
    <t>GENERAL DIRECTORATE OF TAXATION</t>
  </si>
  <si>
    <t>REGIONAL TAXATION CENTER OF THE EAST</t>
  </si>
  <si>
    <t>----------</t>
  </si>
  <si>
    <t>RAV PAT</t>
  </si>
  <si>
    <t>FAR BAUX</t>
  </si>
  <si>
    <t>FAR TPF</t>
  </si>
  <si>
    <t>NONO THOMAS</t>
  </si>
  <si>
    <t>NGNINGAHA AUGUSTIN</t>
  </si>
  <si>
    <t>ADALA BOADE</t>
  </si>
  <si>
    <t>YAOUBA MOUHAMED</t>
  </si>
  <si>
    <t>AMADOU HAMADOU</t>
  </si>
  <si>
    <t>SIBEFFO TAGNE EMILE</t>
  </si>
  <si>
    <t>ABDOULAYE HAROUNA</t>
  </si>
  <si>
    <t>ADEMOU YAYA</t>
  </si>
  <si>
    <t>SOCIETE INTERNATIONALE MINIERE SARL</t>
  </si>
  <si>
    <t>YAYA YEIYA</t>
  </si>
  <si>
    <t>FACOGESCAM</t>
  </si>
  <si>
    <t>AFRIQUE METAL SARL</t>
  </si>
  <si>
    <t>SOULEMANOU OUMAROU</t>
  </si>
  <si>
    <t>SEPPO SEPPO HUGO</t>
  </si>
  <si>
    <t>SPIDER DISTRIBUTION SARL</t>
  </si>
  <si>
    <t>HOTEL MANSA</t>
  </si>
  <si>
    <t>YONTA JOSEPH</t>
  </si>
  <si>
    <t>STE DES ETS FONOMA</t>
  </si>
  <si>
    <t>ETOILE CAMEROUN SA</t>
  </si>
  <si>
    <t>DABADJI TAREK</t>
  </si>
  <si>
    <t>PIANTA JEAN CLAUDE</t>
  </si>
  <si>
    <t>FOTSING FERDINAND</t>
  </si>
  <si>
    <t>IRCM</t>
  </si>
  <si>
    <t>DEWA ABDOURAMAN</t>
  </si>
  <si>
    <t>OUSMANOU HASSANA</t>
  </si>
  <si>
    <t>NGUELE MEKE ROGER</t>
  </si>
  <si>
    <t>TENZONG LOUIS</t>
  </si>
  <si>
    <t>NGWA WALTER NEBA</t>
  </si>
  <si>
    <t>ADEBA DIEUDONNE</t>
  </si>
  <si>
    <t>SOCIETE NZALI SARL</t>
  </si>
  <si>
    <t>UNIVERSEL SARL</t>
  </si>
  <si>
    <t>TCHADO</t>
  </si>
  <si>
    <t>SONKENG TANEKEU</t>
  </si>
  <si>
    <t>KUETE GUSTAVE</t>
  </si>
  <si>
    <t>NOUMBO GERMAIN</t>
  </si>
  <si>
    <t>BOIS-NEGOCE-IMPORT-EXPORT</t>
  </si>
  <si>
    <t>ZANGUE MARTIN</t>
  </si>
  <si>
    <t>DJIDDA BICHARA</t>
  </si>
  <si>
    <t>NDJIKE FIDELE</t>
  </si>
  <si>
    <t>FOMETE TCHINDA</t>
  </si>
  <si>
    <t>AMEYAHU NJODZEVEN</t>
  </si>
  <si>
    <t>GROUPE GALERIE POPULAIRE</t>
  </si>
  <si>
    <t>MEVOUNGLA MARCEL GASTON</t>
  </si>
  <si>
    <t>COMMUNE D'ANGOSSAS</t>
  </si>
  <si>
    <t>ADAMOU SOULE</t>
  </si>
  <si>
    <t>NDEBI NKOTH LUC</t>
  </si>
  <si>
    <t>TEZEM AUGUSTIN</t>
  </si>
  <si>
    <t>SOCIETE AGROFORESTIERE DE L'EST</t>
  </si>
  <si>
    <t>SOCIETE YEFOUO MARTIN SARL</t>
  </si>
  <si>
    <t>COMMUNE DE DOUME</t>
  </si>
  <si>
    <t>COMMUNE DE MESSAMENA</t>
  </si>
  <si>
    <t>BETHEL INDUSTRIES AND TRADE COMPANY SARL</t>
  </si>
  <si>
    <t>IDRISSA MAHAMAT</t>
  </si>
  <si>
    <t>LA LOGISTIQUE SARL</t>
  </si>
  <si>
    <t>NDZANA ANGONI FAUSTIN LIBOIRE ERIC</t>
  </si>
  <si>
    <t>SOCIETE BELOKO MINING SARL</t>
  </si>
  <si>
    <t>SOCIETE LES BOIS DE DJOUM SARL</t>
  </si>
  <si>
    <t>STE BE NAM MULTISERVICES SARL</t>
  </si>
  <si>
    <t>STE BILOUNGA MINING COORPORATION SARL</t>
  </si>
  <si>
    <t>STE VICAM TRADING INTERNATIONAL SARL</t>
  </si>
  <si>
    <t>STE COMPLEXE INDUSTRIEL ET COMMERCIAL</t>
  </si>
  <si>
    <t>DJOLBO EDOUARD</t>
  </si>
  <si>
    <t>MEKE SEBE</t>
  </si>
  <si>
    <t>MOHAMADOU NOUROUDINI</t>
  </si>
  <si>
    <t>NGUEPIE SIMON PIERRE</t>
  </si>
  <si>
    <t>OUMAROU SANDA</t>
  </si>
  <si>
    <t>STE DE TRANSPORT HAMIDOU BOBBO</t>
  </si>
  <si>
    <t>TCHAKOU SANDJO DORINE</t>
  </si>
  <si>
    <t>COMMUNAUTE URBAINE BERTOUA</t>
  </si>
  <si>
    <t>COMMUNE DE BATOURI</t>
  </si>
  <si>
    <t>COMMUNE DE BERTOUA I</t>
  </si>
  <si>
    <t>COMMUNE DE BERTOUA II</t>
  </si>
  <si>
    <t>COMMUNE DE BETARE OYA</t>
  </si>
  <si>
    <t>Commune de GARI-GOMBO</t>
  </si>
  <si>
    <t>COMMUNE DE GAROUA-BOULAÏ</t>
  </si>
  <si>
    <t>COMMUNE DE KENTZOU</t>
  </si>
  <si>
    <t>COMMUNE DE KETTE</t>
  </si>
  <si>
    <t>COMMUNE DE LOMIE</t>
  </si>
  <si>
    <t>COMMUNE DE MANDJOU</t>
  </si>
  <si>
    <t>COMMUNE DE MBANG</t>
  </si>
  <si>
    <t>COMMUNE DE MBOMA</t>
  </si>
  <si>
    <t>COMMUNE DE MESSOK</t>
  </si>
  <si>
    <t>COMMUNE DE MINDOUROU</t>
  </si>
  <si>
    <t>Commune de MOLOUNDOU</t>
  </si>
  <si>
    <t>COMMUNE DE NDELELE</t>
  </si>
  <si>
    <t>COMMUNE DE NGOYLA</t>
  </si>
  <si>
    <t>COMMUNE DE NGUELEMENDOUKA</t>
  </si>
  <si>
    <t>COMMUNE DE OULI</t>
  </si>
  <si>
    <t>COMMUNE DE SOMALOMO</t>
  </si>
  <si>
    <t>COMMUNE DIMAKO</t>
  </si>
  <si>
    <t>COMMUNE R BELABO</t>
  </si>
  <si>
    <t>COMMUNE RURALE DE DIANG</t>
  </si>
  <si>
    <t>COMMUNE RURALE DE NGOURA</t>
  </si>
  <si>
    <t>PAIN D'OR SARL</t>
  </si>
  <si>
    <t>HAYATOU</t>
  </si>
  <si>
    <t>MULTI SERVICES PLUS</t>
  </si>
  <si>
    <t>HAMADOU ADAMA SARL</t>
  </si>
  <si>
    <t>STE ELY-MAN SARL</t>
  </si>
  <si>
    <t>BASSOUNGA BASSOUNGA ALBERT AIME</t>
  </si>
  <si>
    <t>EMBE JACQUIE</t>
  </si>
  <si>
    <t>ETS KAKOUANDE ET FILS</t>
  </si>
  <si>
    <t>FODJO NGUESSOM JOSEPH BIENVENU</t>
  </si>
  <si>
    <t>FOTSING FONGANG PAULIN</t>
  </si>
  <si>
    <t>MAHAMAT ABDOULAYE</t>
  </si>
  <si>
    <t>NJOH SEPPO</t>
  </si>
  <si>
    <t>NJOME ETAME HANS</t>
  </si>
  <si>
    <t>NYOUNGOU TOKO JACQUES</t>
  </si>
  <si>
    <t>STE AFAN BE TAMO MINING SARL</t>
  </si>
  <si>
    <t>SOCIETE CAMEROUNAISE DE TRANSPORT ET FORESTERIE SARL</t>
  </si>
  <si>
    <t>SOCIETE CAMEROUNAISE DES BOIS DEBITES SARL</t>
  </si>
  <si>
    <t>SOUTHLAND MINING CAMEROON</t>
  </si>
  <si>
    <t>COMPAGNIE GENERALE DE DISTRIBUTION</t>
  </si>
  <si>
    <t>HAPPI TCHAMDJEU A. ROSETTE</t>
  </si>
  <si>
    <t>KEMCHOUNG JOUMESSI GEORGES</t>
  </si>
  <si>
    <t>NGUEFACK PEUWO YVAN LEONEL</t>
  </si>
  <si>
    <t>SOCIETE DE COMMERCIALISATION DES PRODUITS ALIMENTAIRES ET DE TRANS PORT</t>
  </si>
  <si>
    <t>WEMBE FODOP DUCLAIRE LESAGE</t>
  </si>
  <si>
    <t>YMELE ANDRE</t>
  </si>
  <si>
    <t>AFRI BEST INSURANCE</t>
  </si>
  <si>
    <t>MOUCHILI SALIFOU</t>
  </si>
  <si>
    <t>SOCIETE OVERLINE TRANSPORT &amp; LOGISTICS SARL</t>
  </si>
  <si>
    <t>AFRICA HUMANITARIAN ACTION</t>
  </si>
  <si>
    <t>NIU</t>
  </si>
  <si>
    <t>REGIME</t>
  </si>
  <si>
    <t>TELEPHONE</t>
  </si>
  <si>
    <t>CRI</t>
  </si>
  <si>
    <t>DEPARTEMENT</t>
  </si>
  <si>
    <t>VILLE</t>
  </si>
  <si>
    <t>COMMUNE</t>
  </si>
  <si>
    <t>QUARTIER</t>
  </si>
  <si>
    <t>TVA PAYEÉ</t>
  </si>
  <si>
    <t>ACOMPTE MENSUEL PAYÉ</t>
  </si>
  <si>
    <t>AUTRES</t>
  </si>
  <si>
    <r>
      <t>PATENTE OU IL PAY</t>
    </r>
    <r>
      <rPr>
        <b/>
        <sz val="11"/>
        <color theme="1"/>
        <rFont val="Calibri"/>
        <family val="2"/>
      </rPr>
      <t>É</t>
    </r>
  </si>
  <si>
    <t>autres</t>
  </si>
  <si>
    <t>tot</t>
  </si>
  <si>
    <t>ctrl</t>
  </si>
  <si>
    <t>DOMNO Léopold</t>
  </si>
  <si>
    <t>P057100302221Q</t>
  </si>
  <si>
    <t>ug5</t>
  </si>
  <si>
    <t>P085700198861P</t>
  </si>
  <si>
    <t>M038000008700B</t>
  </si>
  <si>
    <t>ETS ABDOULAYE AROUNA</t>
  </si>
  <si>
    <t>P018300390685G</t>
  </si>
  <si>
    <t>BUREAU D'ACHAT D'OR</t>
  </si>
  <si>
    <t>Etude Me ADALA BOADE</t>
  </si>
  <si>
    <t>P086400256198X</t>
  </si>
  <si>
    <t>Huissier de justice</t>
  </si>
  <si>
    <t>ETS ASONA</t>
  </si>
  <si>
    <t>P016700129918C</t>
  </si>
  <si>
    <t>CONSTRUCTION BTP</t>
  </si>
  <si>
    <t>ETS ADEBA DIEUDONNE</t>
  </si>
  <si>
    <t>P077000162540Q</t>
  </si>
  <si>
    <t>VENTE DES PRODUITS PETROLIERS</t>
  </si>
  <si>
    <t>ETS ADEMOU</t>
  </si>
  <si>
    <t>P127412246442H</t>
  </si>
  <si>
    <t>M010600037240Y</t>
  </si>
  <si>
    <t>Assurance</t>
  </si>
  <si>
    <t>AHA CAMEROUN</t>
  </si>
  <si>
    <t>M129000033271Q</t>
  </si>
  <si>
    <t>ASSISTANCE HUMANITAIRE</t>
  </si>
  <si>
    <t>M051512329643G</t>
  </si>
  <si>
    <t>ACHAT ET VENTE DES SUBSTANCES MINERALES</t>
  </si>
  <si>
    <t>COMMERCE GENERAL</t>
  </si>
  <si>
    <t>TRANSPORT</t>
  </si>
  <si>
    <t>Boulangerie Boumba</t>
  </si>
  <si>
    <t>P015000424628P</t>
  </si>
  <si>
    <t>BOULANGERIE</t>
  </si>
  <si>
    <t>ETS AMEYAHU NJODZEVEN</t>
  </si>
  <si>
    <t>P017700486365Y</t>
  </si>
  <si>
    <t>LIVRAISON DES FOURNITURES DE BUREAU</t>
  </si>
  <si>
    <t>ANKOUMA Ateba</t>
  </si>
  <si>
    <t>CAMINSUR</t>
  </si>
  <si>
    <t>P016300132486P</t>
  </si>
  <si>
    <t>INTERMEDIARE D'ASSURANCE</t>
  </si>
  <si>
    <t>AWONO ATEBA</t>
  </si>
  <si>
    <t>P076000198834S</t>
  </si>
  <si>
    <t>HUISSIER DE JUSTICE</t>
  </si>
  <si>
    <t>BANDANG CONSTANCE</t>
  </si>
  <si>
    <t>Etude Me BABANG Constance</t>
  </si>
  <si>
    <t>P126500273464H</t>
  </si>
  <si>
    <t>ETS BASSOUNGA BASSOUNGA ALBERT AIME</t>
  </si>
  <si>
    <t>P018212639235B</t>
  </si>
  <si>
    <t>BEMBELL OLIVIER</t>
  </si>
  <si>
    <t>CABINET  Me BEMBELL OLIVIER</t>
  </si>
  <si>
    <t>P126600343030P</t>
  </si>
  <si>
    <t>AVOCAT</t>
  </si>
  <si>
    <t>BITC SARL</t>
  </si>
  <si>
    <t>M011200041387P</t>
  </si>
  <si>
    <t>EXPLOITATION FORESTIERE</t>
  </si>
  <si>
    <t>BIKOUN JEAN PAUL</t>
  </si>
  <si>
    <t>ETUDE BIKOUN JEAN PAUL</t>
  </si>
  <si>
    <t>P046000231596B</t>
  </si>
  <si>
    <t>BILONGO Leontine</t>
  </si>
  <si>
    <t>Etude Me BILONGO Leontine</t>
  </si>
  <si>
    <t>P066600307213D</t>
  </si>
  <si>
    <t>BIMOGA NZIE LOUIS PETIT</t>
  </si>
  <si>
    <t>P016700307206W</t>
  </si>
  <si>
    <t>BISSOCK Julien Charles</t>
  </si>
  <si>
    <t>Etude Me BISSOCK Julien Charles</t>
  </si>
  <si>
    <t>P036212299462X</t>
  </si>
  <si>
    <t>BIYA BI-TANG Pierre C.</t>
  </si>
  <si>
    <t>Etude Me BIYA-BI TANG</t>
  </si>
  <si>
    <t>P016300202397Y</t>
  </si>
  <si>
    <t>BONIMEX SARL</t>
  </si>
  <si>
    <t>M051000033177T</t>
  </si>
  <si>
    <t>BOULANGERIE FAMILIALE</t>
  </si>
  <si>
    <t>Boulangerie Patisserie familiale</t>
  </si>
  <si>
    <t>M081200043684G</t>
  </si>
  <si>
    <t>BOULANGERIE PATISSERIE</t>
  </si>
  <si>
    <t>BUREAU DE  GESTION FRET TERRESTRE</t>
  </si>
  <si>
    <t>BGFT</t>
  </si>
  <si>
    <t>M038911243523K</t>
  </si>
  <si>
    <t>GESTION FRET TRRESTRE</t>
  </si>
  <si>
    <t>CUB</t>
  </si>
  <si>
    <t>M016700016850F</t>
  </si>
  <si>
    <t>ADMINISTRATION PUBLIQUE</t>
  </si>
  <si>
    <t>COMMUNE D'ABONG-MBANG</t>
  </si>
  <si>
    <t>M049500019972D</t>
  </si>
  <si>
    <t>M049500019987L</t>
  </si>
  <si>
    <t>COMMUNE D'ATOK</t>
  </si>
  <si>
    <t>M049500007986H</t>
  </si>
  <si>
    <t>Commune de  YOKADOUMA</t>
  </si>
  <si>
    <t>Commune  YOKADOUMA</t>
  </si>
  <si>
    <t>M106000015280J</t>
  </si>
  <si>
    <t>C R DE BATOURI</t>
  </si>
  <si>
    <t>M015500020314X</t>
  </si>
  <si>
    <t>M040712408542C</t>
  </si>
  <si>
    <t>M040712410295T</t>
  </si>
  <si>
    <t>M065512441990K</t>
  </si>
  <si>
    <t>M049500019973E</t>
  </si>
  <si>
    <t>Commune  GARI-GOMBO</t>
  </si>
  <si>
    <t>M049500019978K</t>
  </si>
  <si>
    <t>M067700025165R</t>
  </si>
  <si>
    <t>C R  DE KENTZOU</t>
  </si>
  <si>
    <t>M015500020317A</t>
  </si>
  <si>
    <t>C R  DE KETTE</t>
  </si>
  <si>
    <t>M098200020316Y</t>
  </si>
  <si>
    <t>M065500019975R</t>
  </si>
  <si>
    <t>M040712410292Q</t>
  </si>
  <si>
    <t>C R  DE MBANG</t>
  </si>
  <si>
    <t>M098200020315X</t>
  </si>
  <si>
    <t>M049500019981E</t>
  </si>
  <si>
    <t>M049500019974F</t>
  </si>
  <si>
    <t>M049500019982F</t>
  </si>
  <si>
    <t>M019700013802Z</t>
  </si>
  <si>
    <t>Commune  MOLOUNDOU</t>
  </si>
  <si>
    <t>M065500019976S</t>
  </si>
  <si>
    <t>C R DE NDELELE</t>
  </si>
  <si>
    <t>M126200020318T</t>
  </si>
  <si>
    <t>M049500019977J</t>
  </si>
  <si>
    <t>COMMUNE DE NGUELEBOCK</t>
  </si>
  <si>
    <t>M049500020323R</t>
  </si>
  <si>
    <t>M049500019980D</t>
  </si>
  <si>
    <t>C R  DE OULI</t>
  </si>
  <si>
    <t>M019500020324F</t>
  </si>
  <si>
    <t>Commune de SALAPOUMBE</t>
  </si>
  <si>
    <t>Commune  SALAPOUMBE</t>
  </si>
  <si>
    <t>M049500019988M</t>
  </si>
  <si>
    <t>M109200016851X</t>
  </si>
  <si>
    <t>M098200017756T</t>
  </si>
  <si>
    <t>M017700018752E</t>
  </si>
  <si>
    <t>M049500019979L</t>
  </si>
  <si>
    <t>M049512619881W</t>
  </si>
  <si>
    <t>COMPAGNIE DES TABACS CAMEROUNAISES</t>
  </si>
  <si>
    <t>C.T.C</t>
  </si>
  <si>
    <t>M121300048250Y</t>
  </si>
  <si>
    <t>CULTURE DE TABAC</t>
  </si>
  <si>
    <t>M061512417206T</t>
  </si>
  <si>
    <t>BoulangeriePatisserie Mie Doree/ Grand Palace</t>
  </si>
  <si>
    <t>P035200281521D</t>
  </si>
  <si>
    <t>ETS D.A</t>
  </si>
  <si>
    <t>P027512579741L</t>
  </si>
  <si>
    <t>VENTE BOISSONS ALCOOLISEES</t>
  </si>
  <si>
    <t>ETS DJIDDA</t>
  </si>
  <si>
    <t>P066312505445P</t>
  </si>
  <si>
    <t>ETS KATCHI &amp; FILS</t>
  </si>
  <si>
    <t>P016900061804S</t>
  </si>
  <si>
    <t>MARCHE PUBLIC</t>
  </si>
  <si>
    <t>ETS DOMNO</t>
  </si>
  <si>
    <t>HEBERGEMENT</t>
  </si>
  <si>
    <t>EBODE Bertin Honora</t>
  </si>
  <si>
    <t>P017100399477C</t>
  </si>
  <si>
    <t>PHARMACIE LA GENERALE</t>
  </si>
  <si>
    <t>P016900122802U</t>
  </si>
  <si>
    <t>COMMERCE DES PRODUITS PHARMACEUTIQUES</t>
  </si>
  <si>
    <t>TOTAL BERTOUA I</t>
  </si>
  <si>
    <t>P126500216763C</t>
  </si>
  <si>
    <t>ESSIMI NGONO</t>
  </si>
  <si>
    <t>ETUDE  Me ESSIMI NGONO</t>
  </si>
  <si>
    <t>P126500208544M</t>
  </si>
  <si>
    <t>ETOILE CAM</t>
  </si>
  <si>
    <t>M031512284334H</t>
  </si>
  <si>
    <t>EXPLOITATION MINIERE</t>
  </si>
  <si>
    <t>ETS KAKOUANDE &amp; FILS</t>
  </si>
  <si>
    <t>M031411576277P</t>
  </si>
  <si>
    <t>M010700033455K</t>
  </si>
  <si>
    <t>FAMILLE DISTRIBUTION SARL</t>
  </si>
  <si>
    <t>FAMILLE  DISTRIBUTION SARL</t>
  </si>
  <si>
    <t>M081200043685H</t>
  </si>
  <si>
    <t>TOTAL ABONG-MBANG</t>
  </si>
  <si>
    <t>P047812313503Q</t>
  </si>
  <si>
    <t>PHARMACIE MOKOLO</t>
  </si>
  <si>
    <t>ETS FOMETE</t>
  </si>
  <si>
    <t>P117600273469B</t>
  </si>
  <si>
    <t>QUINCAILLERIE</t>
  </si>
  <si>
    <t>EFF</t>
  </si>
  <si>
    <t>P017000123526F</t>
  </si>
  <si>
    <t>TOTAL BATOURI</t>
  </si>
  <si>
    <t>P077100310459J</t>
  </si>
  <si>
    <t>VENTE DES PRODUITS PETROLIERS ET BOISSONS</t>
  </si>
  <si>
    <t>GGP SARL</t>
  </si>
  <si>
    <t>M070900041390F</t>
  </si>
  <si>
    <t>HAS SARL</t>
  </si>
  <si>
    <t>M069600015330B</t>
  </si>
  <si>
    <t>ETS HAPPI</t>
  </si>
  <si>
    <t>P058412620331A</t>
  </si>
  <si>
    <t>ETS AL HALAL</t>
  </si>
  <si>
    <t>P127200022431D</t>
  </si>
  <si>
    <t>SOCIETE HOTELIERE DE L'EST</t>
  </si>
  <si>
    <t>VENTE DE CARTES TELEPHONIQUES</t>
  </si>
  <si>
    <t>ETS IDRISSA</t>
  </si>
  <si>
    <t>P017612414324M</t>
  </si>
  <si>
    <t>KAMENI Robert</t>
  </si>
  <si>
    <t>Etude Me KAMENI Robert</t>
  </si>
  <si>
    <t>P026200122254B</t>
  </si>
  <si>
    <t>KAMGOU DOUNTIO Alexis</t>
  </si>
  <si>
    <t>ETS ALEXIS</t>
  </si>
  <si>
    <t>P038012468177Y</t>
  </si>
  <si>
    <t>KAMTCHUIN NINKAM Hypolite</t>
  </si>
  <si>
    <t>Etude Me KAMTCHUIN NINKAM Hypolite</t>
  </si>
  <si>
    <t>P106700404461Y</t>
  </si>
  <si>
    <t>KAMWA ETIENNE</t>
  </si>
  <si>
    <t>ETUDE  Me KAMWA ETIENNE</t>
  </si>
  <si>
    <t>P116800236356Q</t>
  </si>
  <si>
    <t>ETS KEJOGE</t>
  </si>
  <si>
    <t>P117500208494F</t>
  </si>
  <si>
    <t>KENFACK Désire Bruno</t>
  </si>
  <si>
    <t>ETS KENFACK</t>
  </si>
  <si>
    <t>P057100123434X</t>
  </si>
  <si>
    <t>KENGMENE THOMAS</t>
  </si>
  <si>
    <t>PHARMACIE STELLA</t>
  </si>
  <si>
    <t>P106300199701Z</t>
  </si>
  <si>
    <t>KITOU David</t>
  </si>
  <si>
    <t>ETS KIT &amp; PARTNERS</t>
  </si>
  <si>
    <t>P095700020017R</t>
  </si>
  <si>
    <t>KITOU YEMON Gisele</t>
  </si>
  <si>
    <t>ETUDE  Me  KITOU YEMON Gisele</t>
  </si>
  <si>
    <t>P056200232335X</t>
  </si>
  <si>
    <t>ETS DECONKA</t>
  </si>
  <si>
    <t>P127300188772Q</t>
  </si>
  <si>
    <t>ETS KUETE</t>
  </si>
  <si>
    <t>P086900197018F</t>
  </si>
  <si>
    <t>L.L. SARL</t>
  </si>
  <si>
    <t>M121612581566Q</t>
  </si>
  <si>
    <t>LAKA THEOPHILE</t>
  </si>
  <si>
    <t>P036012265777K</t>
  </si>
  <si>
    <t>LEPKEU ETIENNE</t>
  </si>
  <si>
    <t>ETS LEPKEU &amp; FILS</t>
  </si>
  <si>
    <t>P016500016359R</t>
  </si>
  <si>
    <t>COMMERCE GENERAL et HEBERGEMENT</t>
  </si>
  <si>
    <t>ETS LE FORESTIER</t>
  </si>
  <si>
    <t>P106812282282Q</t>
  </si>
  <si>
    <t>FORESTERIE ET DIVERS</t>
  </si>
  <si>
    <t>MALAGAL SIEWE CHARLES</t>
  </si>
  <si>
    <t>P015700117786C</t>
  </si>
  <si>
    <t>Notaire</t>
  </si>
  <si>
    <t>ETUDE  Me MANA NGWA Lucie</t>
  </si>
  <si>
    <t>P096200216355D</t>
  </si>
  <si>
    <t>MANANG BAYIHA Jean Victor</t>
  </si>
  <si>
    <t>ETUDE  Me MANANG BAYIHA Jean Victor</t>
  </si>
  <si>
    <t>P096000122812L</t>
  </si>
  <si>
    <t>MANFOUO Jean</t>
  </si>
  <si>
    <t>Etude Me MANFOUO Jean</t>
  </si>
  <si>
    <t>P116900404458N</t>
  </si>
  <si>
    <t>MBOULANA Philibert</t>
  </si>
  <si>
    <t>Etude Me MBOULANA Philibert</t>
  </si>
  <si>
    <t>P046500146943D</t>
  </si>
  <si>
    <t>Me KONTCHUE C. JEAN</t>
  </si>
  <si>
    <t>ETUDE Me KONTCHUE C JEAN</t>
  </si>
  <si>
    <t>P016512249416P</t>
  </si>
  <si>
    <t>Me SONG Etienne Macaire</t>
  </si>
  <si>
    <t>Etude Me SONG</t>
  </si>
  <si>
    <t>P016012243787K</t>
  </si>
  <si>
    <t>MEDJO Vincent de Paul</t>
  </si>
  <si>
    <t>Etude Me MEDJO Vincent de Paul</t>
  </si>
  <si>
    <t>P066500194153K</t>
  </si>
  <si>
    <t>ETUDE  Me MEKE SEBE</t>
  </si>
  <si>
    <t>P126500236318W</t>
  </si>
  <si>
    <t>MELINGUI PAUL MARIE</t>
  </si>
  <si>
    <t>ETUDE  Me MELINGUI PAUL MARIE</t>
  </si>
  <si>
    <t>P085800133526M</t>
  </si>
  <si>
    <t>EST MEVOUNGLA MARCLE GASTON</t>
  </si>
  <si>
    <t>P088112630782S</t>
  </si>
  <si>
    <t>MFATCHEU EPOUSE TCHAPNGA</t>
  </si>
  <si>
    <t>PHARMACIE DE BERTOUA</t>
  </si>
  <si>
    <t>P055712104133E</t>
  </si>
  <si>
    <t>MODO NICOLAS</t>
  </si>
  <si>
    <t>Etude Me MODO NICOLAS</t>
  </si>
  <si>
    <t>P016500306628K</t>
  </si>
  <si>
    <t>MOFFO TCHOFFO OLIVIER</t>
  </si>
  <si>
    <t>LABO PASTEUR PLUS</t>
  </si>
  <si>
    <t>P017400533803M</t>
  </si>
  <si>
    <t>ANALYSES MEDICALES</t>
  </si>
  <si>
    <t>ETS LA VINA</t>
  </si>
  <si>
    <t>P047900302855C</t>
  </si>
  <si>
    <t>LIVRAISON</t>
  </si>
  <si>
    <t>MOMO EPSE DOUNTIO MODESTINE</t>
  </si>
  <si>
    <t>ETS MM</t>
  </si>
  <si>
    <t>P076600324432B</t>
  </si>
  <si>
    <t>SATELITTE VOYAGE</t>
  </si>
  <si>
    <t>P126100122345H</t>
  </si>
  <si>
    <t>TRANSPORT INTERURBAIN DE PERSONNES</t>
  </si>
  <si>
    <t>MSP</t>
  </si>
  <si>
    <t>M051100038769M</t>
  </si>
  <si>
    <t>MC2</t>
  </si>
  <si>
    <t>MICRO FINANCE</t>
  </si>
  <si>
    <t>MC² BRI</t>
  </si>
  <si>
    <t>M049100021281K</t>
  </si>
  <si>
    <t>NAOUSSI LUCIEN CLAUDE</t>
  </si>
  <si>
    <t>Etude Me NAOUSSI Lucien</t>
  </si>
  <si>
    <t>P026700220144K</t>
  </si>
  <si>
    <t>STE ENNEL SARL</t>
  </si>
  <si>
    <t>M070700029336R</t>
  </si>
  <si>
    <t>SOUSTRAITANCE</t>
  </si>
  <si>
    <t>NDEMBOYE EPSE TOUKAM Mireille</t>
  </si>
  <si>
    <t>ETS NDEMBOYE &amp; FILS</t>
  </si>
  <si>
    <t>P116900400046D</t>
  </si>
  <si>
    <t>BTP Prestations de services</t>
  </si>
  <si>
    <t>Phcie La Frontière</t>
  </si>
  <si>
    <t>P026600255664J</t>
  </si>
  <si>
    <t>COMMERCE DES PRODUITS PHARMACEUTIQUES / Boulangerie</t>
  </si>
  <si>
    <t>NDOUNTSA Adelaîde</t>
  </si>
  <si>
    <t>P128100434597A</t>
  </si>
  <si>
    <t>ETS NDZANA ANGONI FAUSTIN LIBOIRE ERIC</t>
  </si>
  <si>
    <t>P027312554981B</t>
  </si>
  <si>
    <t>NEGOUE KUETA ACHILLE</t>
  </si>
  <si>
    <t>ETUDE MAITRE NEGOUE</t>
  </si>
  <si>
    <t>P058012657308B</t>
  </si>
  <si>
    <t>NOTAIRE</t>
  </si>
  <si>
    <t>NGA GERVAIS</t>
  </si>
  <si>
    <t>Etude Me NGA GERVAIS</t>
  </si>
  <si>
    <t>P086500012294R</t>
  </si>
  <si>
    <t>NGABA ONDOUA LUC PATRICK</t>
  </si>
  <si>
    <t>PHARMACIE LA GLOIRE</t>
  </si>
  <si>
    <t>P096500469843F</t>
  </si>
  <si>
    <t>NGO DIYANI EPSE TAWET JULIENNE</t>
  </si>
  <si>
    <t>ETUDE  Me TAWET JULIENNE</t>
  </si>
  <si>
    <t>P087100369330T</t>
  </si>
  <si>
    <t>NGUEBEDIANG ABIDIAS Epse ANGO</t>
  </si>
  <si>
    <t>P056712299964S</t>
  </si>
  <si>
    <t>PHARMACIE DE L'ESPOIR</t>
  </si>
  <si>
    <t>P068612499161R</t>
  </si>
  <si>
    <t>NGUEGANG FOUELLEFACK DARIUS GUY LANDRY</t>
  </si>
  <si>
    <t>Etude Me NGUEGANG FOUELLEFACK DARIUS GUY LANDRY</t>
  </si>
  <si>
    <t>P056512143946K</t>
  </si>
  <si>
    <t>PHARMACIE GALIEN</t>
  </si>
  <si>
    <t>P095800012291D</t>
  </si>
  <si>
    <t>ETUDE  Me NGUEPIE SIMON PIERRE</t>
  </si>
  <si>
    <t>P115900301188Q</t>
  </si>
  <si>
    <t>NGUIADEU épse FOTSING MARIE</t>
  </si>
  <si>
    <t>P087200306852G</t>
  </si>
  <si>
    <t>ETS NEBAWOOD</t>
  </si>
  <si>
    <t>P036900485327L</t>
  </si>
  <si>
    <t>TRANSFORMATION DU BOIS</t>
  </si>
  <si>
    <t>NJIKE Honore</t>
  </si>
  <si>
    <t>ETS MAKOUMBA</t>
  </si>
  <si>
    <t>P096500024715C</t>
  </si>
  <si>
    <t>NJIKI Claude Martin</t>
  </si>
  <si>
    <t>Etude Me NJIKI Claude Martin</t>
  </si>
  <si>
    <t>P115500317026A</t>
  </si>
  <si>
    <t>P037100208980A</t>
  </si>
  <si>
    <t>ETS NJOME &amp; FILS</t>
  </si>
  <si>
    <t>P127400192445C</t>
  </si>
  <si>
    <t>ETS NONO</t>
  </si>
  <si>
    <t>P087000446822N</t>
  </si>
  <si>
    <t>CHRISTIANA HOTEL</t>
  </si>
  <si>
    <t>P016000014392B</t>
  </si>
  <si>
    <t>P076300035043F</t>
  </si>
  <si>
    <t>Prestations Hydrauliques</t>
  </si>
  <si>
    <t>NTOU Rolland Didier</t>
  </si>
  <si>
    <t>Etude Me NTOU Rolland Didier</t>
  </si>
  <si>
    <t>P056500131721D</t>
  </si>
  <si>
    <t>STATION MRS CENTRE</t>
  </si>
  <si>
    <t>P016200210329F</t>
  </si>
  <si>
    <t>ONANA ONANA Leandres</t>
  </si>
  <si>
    <t>Etude Me ONANA ONANA Leandres</t>
  </si>
  <si>
    <t>P025900022418Z</t>
  </si>
  <si>
    <t>ETS OUMRA</t>
  </si>
  <si>
    <t>P096800289691J</t>
  </si>
  <si>
    <t>ETS OUSMANOU</t>
  </si>
  <si>
    <t>P058700524380Q</t>
  </si>
  <si>
    <t>PAIN D'OR</t>
  </si>
  <si>
    <t>M031200041045M</t>
  </si>
  <si>
    <t>PETNGA NJABO EPSE FONING MARCELLE EDMONDE</t>
  </si>
  <si>
    <t>AGENT GENERAL ASSURANCE</t>
  </si>
  <si>
    <t>P026812619483Z</t>
  </si>
  <si>
    <t>ASSURANCE</t>
  </si>
  <si>
    <t>QUINCAILLERIE L A REGIONALE</t>
  </si>
  <si>
    <t>P087200456767P</t>
  </si>
  <si>
    <t>POLA DOMGUE Emmanuel</t>
  </si>
  <si>
    <t>PHARMACIE DE L'ESPERANCE</t>
  </si>
  <si>
    <t>P018100515030K</t>
  </si>
  <si>
    <t>PONKA TAMO Theophile</t>
  </si>
  <si>
    <t>ETUDE  Me PONKA TAMO Theophile</t>
  </si>
  <si>
    <t>P126300409964C</t>
  </si>
  <si>
    <t>POUTH VALERIE</t>
  </si>
  <si>
    <t>P126800196895H</t>
  </si>
  <si>
    <t>P017411435245U</t>
  </si>
  <si>
    <t>PHARMACIE LE BRUXELLOIS</t>
  </si>
  <si>
    <t>P056500391104Z</t>
  </si>
  <si>
    <t>SAFE SARL</t>
  </si>
  <si>
    <t>M019700006669E</t>
  </si>
  <si>
    <t>M111712653545T</t>
  </si>
  <si>
    <t>EXTRACTION MINIERE</t>
  </si>
  <si>
    <t>SOCATRAFO SARL</t>
  </si>
  <si>
    <t>M051712627796E</t>
  </si>
  <si>
    <t>M101712651071C</t>
  </si>
  <si>
    <t>TRANSFORMATION DES BOIS EN DEBITES</t>
  </si>
  <si>
    <t>SOCOPAT SARL</t>
  </si>
  <si>
    <t>M081300046646K</t>
  </si>
  <si>
    <t>SOCIETE INDUSTRIELLE ET FORESTIERE D'ORIENT CAMEROUN</t>
  </si>
  <si>
    <t>SIFOC SARL</t>
  </si>
  <si>
    <t>M111100039153T</t>
  </si>
  <si>
    <t>ETS LEMOU</t>
  </si>
  <si>
    <t>M091712642722B</t>
  </si>
  <si>
    <t>M129912336855X</t>
  </si>
  <si>
    <t>SOCIETE NZALI</t>
  </si>
  <si>
    <t>M111612581286R</t>
  </si>
  <si>
    <t>O.T.L SARL</t>
  </si>
  <si>
    <t>M091512410144Z</t>
  </si>
  <si>
    <t>SOYEMA SARL</t>
  </si>
  <si>
    <t>M121512442736F</t>
  </si>
  <si>
    <t>BOULANGERIE-POISSONNERIE-SUPERMARCHE</t>
  </si>
  <si>
    <t>ORIENT PHARMACY</t>
  </si>
  <si>
    <t>P026300504562Z</t>
  </si>
  <si>
    <t>PHARMACIES</t>
  </si>
  <si>
    <t>ETS SOULEMANOU</t>
  </si>
  <si>
    <t>P017400528256L</t>
  </si>
  <si>
    <t>M051512339243X</t>
  </si>
  <si>
    <t>M080600021289X</t>
  </si>
  <si>
    <t>M011812670773A</t>
  </si>
  <si>
    <t>STE AFRICAINE DE NEGOCE SARL</t>
  </si>
  <si>
    <t>SOANEG SARL</t>
  </si>
  <si>
    <t>M011512266501E</t>
  </si>
  <si>
    <t>M011812671537W</t>
  </si>
  <si>
    <t>B-MINING CO SARL</t>
  </si>
  <si>
    <t>M011812674327M</t>
  </si>
  <si>
    <t>STE CAMEROON TRANSFORMATION WOOD Sarl</t>
  </si>
  <si>
    <t>S.C.T.W Sarl</t>
  </si>
  <si>
    <t>M041512300117R</t>
  </si>
  <si>
    <t>M011812670779G</t>
  </si>
  <si>
    <t>STE DE COMMERCE GENERAL POSHO  LUCIEN</t>
  </si>
  <si>
    <t>SCG-POL</t>
  </si>
  <si>
    <t>M011512246381H</t>
  </si>
  <si>
    <t>SOTRAHB SARL</t>
  </si>
  <si>
    <t>M111712670289B</t>
  </si>
  <si>
    <t>TRANSPORT DES MARCHANDISES</t>
  </si>
  <si>
    <t>S.E.F</t>
  </si>
  <si>
    <t>M111100038641X</t>
  </si>
  <si>
    <t>ELY-MAN SARL</t>
  </si>
  <si>
    <t>M061512374390M</t>
  </si>
  <si>
    <t>STE GENERALE FORESTIERE ET COMMERCE SARL</t>
  </si>
  <si>
    <t>M121612582891W</t>
  </si>
  <si>
    <t>STE GLOBAL TRADE COMPANY Sarl</t>
  </si>
  <si>
    <t>SOCIETE G.T.C Sarl</t>
  </si>
  <si>
    <t>M121412261490W</t>
  </si>
  <si>
    <t>ACHAT ET VENTE DES PRODUITS ALIMENTAIRES</t>
  </si>
  <si>
    <t>STE JEHOVAH JIREH</t>
  </si>
  <si>
    <t>M031812696809R</t>
  </si>
  <si>
    <t>PRESTATIONS DE SERVICES</t>
  </si>
  <si>
    <t>STE MAXCOM SARL</t>
  </si>
  <si>
    <t>STE MAXCOM &amp; SERVICES SARL</t>
  </si>
  <si>
    <t>M011812671574B</t>
  </si>
  <si>
    <t>Communication(partenaire orange)</t>
  </si>
  <si>
    <t>M011812672042K</t>
  </si>
  <si>
    <t>TALA TAMTO Andre</t>
  </si>
  <si>
    <t>TALMA HOTEL</t>
  </si>
  <si>
    <t>P047000055461M</t>
  </si>
  <si>
    <t>BOULANGERIE LA GRACE</t>
  </si>
  <si>
    <t>P045400054394P</t>
  </si>
  <si>
    <t>Ets universal business camereoon</t>
  </si>
  <si>
    <t>P057700249343U</t>
  </si>
  <si>
    <t>TCHAMBA Esther</t>
  </si>
  <si>
    <t>Etude Me TCHAMBA Esther</t>
  </si>
  <si>
    <t>P016400245670N</t>
  </si>
  <si>
    <t>TCHOUKA Samuel</t>
  </si>
  <si>
    <t>P067500557981Q</t>
  </si>
  <si>
    <t>TENANTEU FRANCOIS</t>
  </si>
  <si>
    <t>ETS NOHA &amp; SERVICES</t>
  </si>
  <si>
    <t>P095600185533E</t>
  </si>
  <si>
    <t>P087112244856N</t>
  </si>
  <si>
    <t>QUINCAILLERIE L’AVENIR</t>
  </si>
  <si>
    <t>P016800020238M</t>
  </si>
  <si>
    <t>TSAGUE Albert</t>
  </si>
  <si>
    <t>ETS WELFARE CHANNEL</t>
  </si>
  <si>
    <t>P116100304495U</t>
  </si>
  <si>
    <t>ETS UNIVERSEL SARL</t>
  </si>
  <si>
    <t>M110300017285C</t>
  </si>
  <si>
    <t>P027900199031L</t>
  </si>
  <si>
    <t>IMPRIMERIE</t>
  </si>
  <si>
    <t>P098100121668H</t>
  </si>
  <si>
    <t>WOWE COLBERT</t>
  </si>
  <si>
    <t>P016412418967Y</t>
  </si>
  <si>
    <t>ETS ZIYAD</t>
  </si>
  <si>
    <t>P048812117656G</t>
  </si>
  <si>
    <t>ETS HIROU</t>
  </si>
  <si>
    <t>P117100572329P</t>
  </si>
  <si>
    <t>ETS NOUVELLE AMBITION</t>
  </si>
  <si>
    <t>P107500409942H</t>
  </si>
  <si>
    <t>ETS BON PRIX</t>
  </si>
  <si>
    <t>P017200261011R</t>
  </si>
  <si>
    <t>YOUBI SIMEON</t>
  </si>
  <si>
    <t>P056312315344F</t>
  </si>
  <si>
    <t>MAITRE ZANGUE MARTIN</t>
  </si>
  <si>
    <t>P095400123589M</t>
  </si>
  <si>
    <t>ZEBAZE JEANNETTE</t>
  </si>
  <si>
    <t>ETS ZEBAZE</t>
  </si>
  <si>
    <t>RPP</t>
  </si>
  <si>
    <t>321</t>
  </si>
  <si>
    <t>ENTREPRISE IND.</t>
  </si>
  <si>
    <t>CRI EST</t>
  </si>
  <si>
    <t>CIME BERTOUA</t>
  </si>
  <si>
    <t>EST</t>
  </si>
  <si>
    <t>LOM ET DJEREM</t>
  </si>
  <si>
    <t>BERTOUA</t>
  </si>
  <si>
    <t>Bon NIU</t>
  </si>
  <si>
    <t>032002</t>
  </si>
  <si>
    <t>ND</t>
  </si>
  <si>
    <t>679759945</t>
  </si>
  <si>
    <t>BERTOUA I</t>
  </si>
  <si>
    <t>BODOMO</t>
  </si>
  <si>
    <t>IMMEUBLE TB</t>
  </si>
  <si>
    <t>032007</t>
  </si>
  <si>
    <t>3</t>
  </si>
  <si>
    <t>699017742</t>
  </si>
  <si>
    <t>BOUMBA ET NGOKO</t>
  </si>
  <si>
    <t>YOKADOUMA</t>
  </si>
  <si>
    <t>ADMINISTRATIF</t>
  </si>
  <si>
    <t>Etude Maitre ADALA</t>
  </si>
  <si>
    <t>039001</t>
  </si>
  <si>
    <t>18</t>
  </si>
  <si>
    <t>678635737</t>
  </si>
  <si>
    <t>KADEY</t>
  </si>
  <si>
    <t>BATOURI</t>
  </si>
  <si>
    <t>centre Commercial</t>
  </si>
  <si>
    <t>A COTE EXPRESS UNION I</t>
  </si>
  <si>
    <t>031001</t>
  </si>
  <si>
    <t>259</t>
  </si>
  <si>
    <t>699743223</t>
  </si>
  <si>
    <t>BELABO</t>
  </si>
  <si>
    <t>CAMRAIL</t>
  </si>
  <si>
    <t>TOTAL CAMRAIL</t>
  </si>
  <si>
    <t>675466173</t>
  </si>
  <si>
    <t>GAROUA-BOULAI</t>
  </si>
  <si>
    <t>CENTRE VILLE</t>
  </si>
  <si>
    <t>VERS DEPOT CIMENCAM</t>
  </si>
  <si>
    <t>RPM</t>
  </si>
  <si>
    <t>22242415/690414883</t>
  </si>
  <si>
    <t>BTA I</t>
  </si>
  <si>
    <t>face AFRILAND</t>
  </si>
  <si>
    <t>036002</t>
  </si>
  <si>
    <t>HRI</t>
  </si>
  <si>
    <t>96</t>
  </si>
  <si>
    <t>79 95 11 74</t>
  </si>
  <si>
    <t>ONG</t>
  </si>
  <si>
    <t>BERTOUA II</t>
  </si>
  <si>
    <t>METEO</t>
  </si>
  <si>
    <t>AHA</t>
  </si>
  <si>
    <t>041002</t>
  </si>
  <si>
    <t>69</t>
  </si>
  <si>
    <t>SARL</t>
  </si>
  <si>
    <t>NDEMNAM</t>
  </si>
  <si>
    <t>MOSQUEE</t>
  </si>
  <si>
    <t>HAOUSSA</t>
  </si>
  <si>
    <t>034004</t>
  </si>
  <si>
    <t>699017509</t>
  </si>
  <si>
    <t>MOADANG</t>
  </si>
  <si>
    <t>vers le stade</t>
  </si>
  <si>
    <t>011001</t>
  </si>
  <si>
    <t>118</t>
  </si>
  <si>
    <t>76 119 493</t>
  </si>
  <si>
    <t>GARE FERRO</t>
  </si>
  <si>
    <t>GARE FERROVIAIRE</t>
  </si>
  <si>
    <t>032014</t>
  </si>
  <si>
    <t>HAUT-NYONG</t>
  </si>
  <si>
    <t>ABONG-MBANG</t>
  </si>
  <si>
    <t>Centre ville</t>
  </si>
  <si>
    <t>038004</t>
  </si>
  <si>
    <t>141</t>
  </si>
  <si>
    <t>696646613</t>
  </si>
  <si>
    <t>ETUDE Me BANDANG Constance</t>
  </si>
  <si>
    <t>699041431</t>
  </si>
  <si>
    <t>NDOKAYO</t>
  </si>
  <si>
    <t>BETARE-OYA</t>
  </si>
  <si>
    <t>TOTAL NDIKAYO</t>
  </si>
  <si>
    <t>032011</t>
  </si>
  <si>
    <t>MARCHE CENTRAL</t>
  </si>
  <si>
    <t>695 BTA</t>
  </si>
  <si>
    <t>77730270</t>
  </si>
  <si>
    <t>RECETTE MUNICIPALE</t>
  </si>
  <si>
    <t>YADEME</t>
  </si>
  <si>
    <t>A COTE D'EXPRESS UNION</t>
  </si>
  <si>
    <t>032013</t>
  </si>
  <si>
    <t>121</t>
  </si>
  <si>
    <t>97 63 00 63</t>
  </si>
  <si>
    <t>HAUT NYONG</t>
  </si>
  <si>
    <t>DIMAKO</t>
  </si>
  <si>
    <t>003001</t>
  </si>
  <si>
    <t>552</t>
  </si>
  <si>
    <t>670138045</t>
  </si>
  <si>
    <t>SCHELL</t>
  </si>
  <si>
    <t>HUISSIER BIKOUN</t>
  </si>
  <si>
    <t>334</t>
  </si>
  <si>
    <t>70138045</t>
  </si>
  <si>
    <t>SHELL</t>
  </si>
  <si>
    <t>BAMVELE</t>
  </si>
  <si>
    <t>AVANT IMM MOUAFFO</t>
  </si>
  <si>
    <t>676695805</t>
  </si>
  <si>
    <t>KETTE</t>
  </si>
  <si>
    <t>Administratif</t>
  </si>
  <si>
    <t>Etude Me Bissock Julien Charles</t>
  </si>
  <si>
    <t>699394484</t>
  </si>
  <si>
    <t>Etude Me BIYA BI TANG</t>
  </si>
  <si>
    <t>630</t>
  </si>
  <si>
    <t>78 965 214/22659465</t>
  </si>
  <si>
    <t>MOKOLO I</t>
  </si>
  <si>
    <t>IMMEUBLE T. A</t>
  </si>
  <si>
    <t>679938541</t>
  </si>
  <si>
    <t>KENTZOU</t>
  </si>
  <si>
    <t>032008</t>
  </si>
  <si>
    <t>236</t>
  </si>
  <si>
    <t>22 03 90 82</t>
  </si>
  <si>
    <t>571</t>
  </si>
  <si>
    <t>99631686</t>
  </si>
  <si>
    <t>EPA</t>
  </si>
  <si>
    <t>A COTE DU CREDIT FONCIER</t>
  </si>
  <si>
    <t>041001</t>
  </si>
  <si>
    <t>2241175/2241670/2241494</t>
  </si>
  <si>
    <t>CTD</t>
  </si>
  <si>
    <t>FACE CREDIT FONCIER</t>
  </si>
  <si>
    <t>MBOULE</t>
  </si>
  <si>
    <t>MAIRIE</t>
  </si>
  <si>
    <t>ANGOSSAS</t>
  </si>
  <si>
    <t>ATOK</t>
  </si>
  <si>
    <t>43</t>
  </si>
  <si>
    <t>677375713</t>
  </si>
  <si>
    <t>Mairie de Yokadouma</t>
  </si>
  <si>
    <t>697026911</t>
  </si>
  <si>
    <t>CENTRE ADMINISTRATIF</t>
  </si>
  <si>
    <t>Face commissariat sécurité publique</t>
  </si>
  <si>
    <t>654769706</t>
  </si>
  <si>
    <t>NKOLBIKON</t>
  </si>
  <si>
    <t>673398416</t>
  </si>
  <si>
    <t>02 BETARE-OYA</t>
  </si>
  <si>
    <t>690449414</t>
  </si>
  <si>
    <t>DOUME</t>
  </si>
  <si>
    <t>671777351</t>
  </si>
  <si>
    <t>GARI-GOMBO</t>
  </si>
  <si>
    <t>Mairie de Gari-Gombo</t>
  </si>
  <si>
    <t>699257698</t>
  </si>
  <si>
    <t>670667478</t>
  </si>
  <si>
    <t>677145994</t>
  </si>
  <si>
    <t>face ancienne commune</t>
  </si>
  <si>
    <t>LOMIE</t>
  </si>
  <si>
    <t>675546035</t>
  </si>
  <si>
    <t>MANDJOU</t>
  </si>
  <si>
    <t>CENTRE</t>
  </si>
  <si>
    <t>674266052</t>
  </si>
  <si>
    <t>MBANG</t>
  </si>
  <si>
    <t>derriere place des fêtes</t>
  </si>
  <si>
    <t>MBOMA</t>
  </si>
  <si>
    <t>MESSAMENA</t>
  </si>
  <si>
    <t>MESSOK</t>
  </si>
  <si>
    <t>MINDOUROU</t>
  </si>
  <si>
    <t>672855465</t>
  </si>
  <si>
    <t>MOLOUNDOU</t>
  </si>
  <si>
    <t>Mairie de Moloundou</t>
  </si>
  <si>
    <t>675809452</t>
  </si>
  <si>
    <t>NDELELE</t>
  </si>
  <si>
    <t>face place des fêtes</t>
  </si>
  <si>
    <t>NGOYLA</t>
  </si>
  <si>
    <t>NGUELEBOCK</t>
  </si>
  <si>
    <t>NGUELEMENDOUKA</t>
  </si>
  <si>
    <t>OULI</t>
  </si>
  <si>
    <t>centre</t>
  </si>
  <si>
    <t>à côté brigade de gendarmerie</t>
  </si>
  <si>
    <t>696962284</t>
  </si>
  <si>
    <t>SALAPOUMBE</t>
  </si>
  <si>
    <t>Mairie de Salapoumbé</t>
  </si>
  <si>
    <t>SOMALOMO</t>
  </si>
  <si>
    <t>032009</t>
  </si>
  <si>
    <t>677957047</t>
  </si>
  <si>
    <t>CENTRE URBAIN</t>
  </si>
  <si>
    <t>694518177</t>
  </si>
  <si>
    <t>DIANG</t>
  </si>
  <si>
    <t>666044477</t>
  </si>
  <si>
    <t>NGOURA</t>
  </si>
  <si>
    <t>150</t>
  </si>
  <si>
    <t>242183200</t>
  </si>
  <si>
    <t>SA</t>
  </si>
  <si>
    <t>TRYPANO</t>
  </si>
  <si>
    <t>ancien SCT</t>
  </si>
  <si>
    <t>001011</t>
  </si>
  <si>
    <t>677968002</t>
  </si>
  <si>
    <t>442</t>
  </si>
  <si>
    <t>699510499/677707425</t>
  </si>
  <si>
    <t>BOULANGERIE MIE DOREE</t>
  </si>
  <si>
    <t>ZAMAGOUE</t>
  </si>
  <si>
    <t>DERRIERE EXPRESS EXCHANGE</t>
  </si>
  <si>
    <t>032005</t>
  </si>
  <si>
    <t>MARCHE DES FEMMES</t>
  </si>
  <si>
    <t>ARABE</t>
  </si>
  <si>
    <t>006001</t>
  </si>
  <si>
    <t>149</t>
  </si>
  <si>
    <t>99 631 686</t>
  </si>
  <si>
    <t>KPOGOLOTA</t>
  </si>
  <si>
    <t>RESIDENCE LES COCOTIERS</t>
  </si>
  <si>
    <t>650494949</t>
  </si>
  <si>
    <t>HOTEL LE MONTAGNIA</t>
  </si>
  <si>
    <t>033002</t>
  </si>
  <si>
    <t>033001</t>
  </si>
  <si>
    <t>BRIQUETERIE</t>
  </si>
  <si>
    <t>Belabo</t>
  </si>
  <si>
    <t>face entrée touristique express</t>
  </si>
  <si>
    <t>132</t>
  </si>
  <si>
    <t>242242124</t>
  </si>
  <si>
    <t>IMMEUBLE DABADJI</t>
  </si>
  <si>
    <t>359</t>
  </si>
  <si>
    <t>99 540 671</t>
  </si>
  <si>
    <t>TOTAL BERTOUA 2</t>
  </si>
  <si>
    <t>A COTE NZIKO</t>
  </si>
  <si>
    <t>78 232 133</t>
  </si>
  <si>
    <t>697735259</t>
  </si>
  <si>
    <t>SABC</t>
  </si>
  <si>
    <t>62 BTA</t>
  </si>
  <si>
    <t>699 743 223</t>
  </si>
  <si>
    <t>MANDJO</t>
  </si>
  <si>
    <t>ENTREE DE LA GENDARMERIE</t>
  </si>
  <si>
    <t>227</t>
  </si>
  <si>
    <t>33 425 642</t>
  </si>
  <si>
    <t>FACE DELEGATION DES MINES</t>
  </si>
  <si>
    <t>26 BERTOUA</t>
  </si>
  <si>
    <t>96 27 91 45</t>
  </si>
  <si>
    <t>GOUEKONG</t>
  </si>
  <si>
    <t>SCIERIE</t>
  </si>
  <si>
    <t>FAMILLE BOUTIQUE</t>
  </si>
  <si>
    <t>032010</t>
  </si>
  <si>
    <t>679642237</t>
  </si>
  <si>
    <t>STATION TOTAL</t>
  </si>
  <si>
    <t>218</t>
  </si>
  <si>
    <t>22 242 540</t>
  </si>
  <si>
    <t>MOKOLO 1</t>
  </si>
  <si>
    <t>62</t>
  </si>
  <si>
    <t>97005322</t>
  </si>
  <si>
    <t>ROND POINT DABADJI</t>
  </si>
  <si>
    <t>699516522</t>
  </si>
  <si>
    <t>TOTAL MANDJOU</t>
  </si>
  <si>
    <t>677 91 34 75</t>
  </si>
  <si>
    <t>STATION SERVICE TOTAL</t>
  </si>
  <si>
    <t>642</t>
  </si>
  <si>
    <t>77 202 431</t>
  </si>
  <si>
    <t>GAIMONA</t>
  </si>
  <si>
    <t>98 152 174/22659465</t>
  </si>
  <si>
    <t>85</t>
  </si>
  <si>
    <t>695401994</t>
  </si>
  <si>
    <t>212 BTA</t>
  </si>
  <si>
    <t>99 803 323</t>
  </si>
  <si>
    <t>GARE ROUTIERE</t>
  </si>
  <si>
    <t>DESCENTE LIPAJOUR</t>
  </si>
  <si>
    <t>285</t>
  </si>
  <si>
    <t>MOKLO I</t>
  </si>
  <si>
    <t>MANSA HOTEL</t>
  </si>
  <si>
    <t>696217252</t>
  </si>
  <si>
    <t>FACE MAGAZIN SOACAM</t>
  </si>
  <si>
    <t>696909256</t>
  </si>
  <si>
    <t>93</t>
  </si>
  <si>
    <t>677549245</t>
  </si>
  <si>
    <t>Etude Me kameni</t>
  </si>
  <si>
    <t>Moloundou</t>
  </si>
  <si>
    <t>Nola</t>
  </si>
  <si>
    <t>60</t>
  </si>
  <si>
    <t>675498456</t>
  </si>
  <si>
    <t>Etude Me Kamtchuing</t>
  </si>
  <si>
    <t>702 BTA</t>
  </si>
  <si>
    <t>99 53 79 21</t>
  </si>
  <si>
    <t>ETUDE KAMWA</t>
  </si>
  <si>
    <t>99 642 890</t>
  </si>
  <si>
    <t>ENTREE CODAS</t>
  </si>
  <si>
    <t>247</t>
  </si>
  <si>
    <t>99 63 61 47</t>
  </si>
  <si>
    <t>SCT</t>
  </si>
  <si>
    <t>99 315 080</t>
  </si>
  <si>
    <t>675115652</t>
  </si>
  <si>
    <t>MOKOLO SAFARI</t>
  </si>
  <si>
    <t>329 BTA</t>
  </si>
  <si>
    <t>77 56 93 21</t>
  </si>
  <si>
    <t>ETUDE KITOU</t>
  </si>
  <si>
    <t>70</t>
  </si>
  <si>
    <t>75 585 116</t>
  </si>
  <si>
    <t>DECONKA</t>
  </si>
  <si>
    <t>64</t>
  </si>
  <si>
    <t>679858741</t>
  </si>
  <si>
    <t>CENTRE COMMERCIAL</t>
  </si>
  <si>
    <t>FACE ABONG-MBANG EXPTESS</t>
  </si>
  <si>
    <t>174</t>
  </si>
  <si>
    <t>699673748</t>
  </si>
  <si>
    <t>FACE QUINCAILLERIE LA REGIONALE</t>
  </si>
  <si>
    <t>017001</t>
  </si>
  <si>
    <t>690055471</t>
  </si>
  <si>
    <t>DERRIERE ENEO</t>
  </si>
  <si>
    <t>64 BTA</t>
  </si>
  <si>
    <t>77 358 508</t>
  </si>
  <si>
    <t>474 BTA</t>
  </si>
  <si>
    <t>77 14 15 33</t>
  </si>
  <si>
    <t>FACE MIE DOREE</t>
  </si>
  <si>
    <t>501 BTA</t>
  </si>
  <si>
    <t>77 05 94 13</t>
  </si>
  <si>
    <t>FACE OIL LYBIA</t>
  </si>
  <si>
    <t>699875178</t>
  </si>
  <si>
    <t>Etude Manfouo</t>
  </si>
  <si>
    <t>676202431</t>
  </si>
  <si>
    <t>018001</t>
  </si>
  <si>
    <t>46</t>
  </si>
  <si>
    <t>99916348</t>
  </si>
  <si>
    <t>Nyong</t>
  </si>
  <si>
    <t>ETUDE MBOULANA</t>
  </si>
  <si>
    <t>50</t>
  </si>
  <si>
    <t>699839450</t>
  </si>
  <si>
    <t>Etude Maitre KONTCHIEU</t>
  </si>
  <si>
    <t>698458796</t>
  </si>
  <si>
    <t>Express union N°2</t>
  </si>
  <si>
    <t>550</t>
  </si>
  <si>
    <t>77674706</t>
  </si>
  <si>
    <t>Kaka</t>
  </si>
  <si>
    <t>ETUDE MEDJO</t>
  </si>
  <si>
    <t>169 BTA</t>
  </si>
  <si>
    <t>22 24 23 70</t>
  </si>
  <si>
    <t>FACE EXPRESS UNION</t>
  </si>
  <si>
    <t>DEPOT GUINESS</t>
  </si>
  <si>
    <t>435 BTA</t>
  </si>
  <si>
    <t>FACE CUB</t>
  </si>
  <si>
    <t>TOTAL KENZOU</t>
  </si>
  <si>
    <t>234</t>
  </si>
  <si>
    <t>699542182</t>
  </si>
  <si>
    <t>A COTE TOTAL NZIKO</t>
  </si>
  <si>
    <t>699027411</t>
  </si>
  <si>
    <t>Etude Maitre Modo Nicolas</t>
  </si>
  <si>
    <t>95 14 50 13</t>
  </si>
  <si>
    <t>BUREAU PNDP</t>
  </si>
  <si>
    <t>697607558/673450842</t>
  </si>
  <si>
    <t>ROND POINT NZIKO</t>
  </si>
  <si>
    <t>034007</t>
  </si>
  <si>
    <t>699 623 761</t>
  </si>
  <si>
    <t>PLACE DES FETES</t>
  </si>
  <si>
    <t>GARE ROUTIRE</t>
  </si>
  <si>
    <t>699590943</t>
  </si>
  <si>
    <t>MOKOLO</t>
  </si>
  <si>
    <t>FACE GRANDE ENDEMIE</t>
  </si>
  <si>
    <t>042003</t>
  </si>
  <si>
    <t>594</t>
  </si>
  <si>
    <t>496</t>
  </si>
  <si>
    <t>93 364 647</t>
  </si>
  <si>
    <t>38</t>
  </si>
  <si>
    <t>77 111 264</t>
  </si>
  <si>
    <t>SAMBO</t>
  </si>
  <si>
    <t>STBK</t>
  </si>
  <si>
    <t>672 BTA</t>
  </si>
  <si>
    <t>22 24 13 45</t>
  </si>
  <si>
    <t>036004</t>
  </si>
  <si>
    <t>170</t>
  </si>
  <si>
    <t>677803533</t>
  </si>
  <si>
    <t>EMF</t>
  </si>
  <si>
    <t>IMMEUBLE CAPCOL</t>
  </si>
  <si>
    <t>SAMBO I</t>
  </si>
  <si>
    <t>690374007</t>
  </si>
  <si>
    <t>99970357</t>
  </si>
  <si>
    <t>Dimako</t>
  </si>
  <si>
    <t>ETUDE NAOUSSI</t>
  </si>
  <si>
    <t>99 58 31 62</t>
  </si>
  <si>
    <t>A COTE ENEO</t>
  </si>
  <si>
    <t>Mokolo I</t>
  </si>
  <si>
    <t>Safara</t>
  </si>
  <si>
    <t>99 223 299</t>
  </si>
  <si>
    <t>FOULBERE</t>
  </si>
  <si>
    <t>PHARMACIE LA FRONTIERE</t>
  </si>
  <si>
    <t>BTA</t>
  </si>
  <si>
    <t>677339204</t>
  </si>
  <si>
    <t>TINDAMBA</t>
  </si>
  <si>
    <t>ENTREE DE L'HOPITAL REGIONAL</t>
  </si>
  <si>
    <t>TOTAL BERTOUA</t>
  </si>
  <si>
    <t>690925879</t>
  </si>
  <si>
    <t>GAIMOUNA</t>
  </si>
  <si>
    <t>A COTE DE LA PHARMACIE BRUXELLOIS</t>
  </si>
  <si>
    <t>DERRIERE LA GARE ROUTIERE</t>
  </si>
  <si>
    <t>DJADOMBE</t>
  </si>
  <si>
    <t>ENTREE HOPITAL REGIONAL</t>
  </si>
  <si>
    <t>385 BTA</t>
  </si>
  <si>
    <t>99 58 07 27</t>
  </si>
  <si>
    <t>PALAIS DE JUSTICE</t>
  </si>
  <si>
    <t>imm VIP</t>
  </si>
  <si>
    <t>676711425</t>
  </si>
  <si>
    <t>ENIA</t>
  </si>
  <si>
    <t>CARREFOUR ENIA</t>
  </si>
  <si>
    <t>99893737</t>
  </si>
  <si>
    <t>EXPRESS UNION</t>
  </si>
  <si>
    <t>412</t>
  </si>
  <si>
    <t>22 241 466</t>
  </si>
  <si>
    <t>319 BTA</t>
  </si>
  <si>
    <t>99 94 54 12</t>
  </si>
  <si>
    <t>699559219</t>
  </si>
  <si>
    <t>KOUME</t>
  </si>
  <si>
    <t>PARA FIFI BAR</t>
  </si>
  <si>
    <t>278</t>
  </si>
  <si>
    <t>694532907</t>
  </si>
  <si>
    <t>GARE VOYAGEUR</t>
  </si>
  <si>
    <t>FACE CIMENCAM</t>
  </si>
  <si>
    <t>340</t>
  </si>
  <si>
    <t>699949353</t>
  </si>
  <si>
    <t>679385541</t>
  </si>
  <si>
    <t>MONTEE GENDARMERIE</t>
  </si>
  <si>
    <t>77 635 313</t>
  </si>
  <si>
    <t>NDOUAN</t>
  </si>
  <si>
    <t>TOTAL BONJOUR</t>
  </si>
  <si>
    <t>860</t>
  </si>
  <si>
    <t>699830846</t>
  </si>
  <si>
    <t>TOTAL GAROUA-BOULAI</t>
  </si>
  <si>
    <t>104</t>
  </si>
  <si>
    <t>79 858 778</t>
  </si>
  <si>
    <t>RADIO</t>
  </si>
  <si>
    <t>Radio</t>
  </si>
  <si>
    <t>avant hotel christiana</t>
  </si>
  <si>
    <t>030001</t>
  </si>
  <si>
    <t>94195413</t>
  </si>
  <si>
    <t>FACE ELECAM</t>
  </si>
  <si>
    <t>279</t>
  </si>
  <si>
    <t>697307132</t>
  </si>
  <si>
    <t>TEXACO CENTRE</t>
  </si>
  <si>
    <t>ETUDE ONANA</t>
  </si>
  <si>
    <t>699531125</t>
  </si>
  <si>
    <t>FACE PHARMACIE LA FRONTIERE</t>
  </si>
  <si>
    <t>460</t>
  </si>
  <si>
    <t>79 93 85 41</t>
  </si>
  <si>
    <t>A COTE EXPRESS EXCHANGE</t>
  </si>
  <si>
    <t>55</t>
  </si>
  <si>
    <t>697466265</t>
  </si>
  <si>
    <t>ENTREE TALMA HOTEL</t>
  </si>
  <si>
    <t>699609648</t>
  </si>
  <si>
    <t>FACE GRANDE TOTAL</t>
  </si>
  <si>
    <t>256</t>
  </si>
  <si>
    <t>77802642</t>
  </si>
  <si>
    <t>AVANT AES SONEL</t>
  </si>
  <si>
    <t>676167427</t>
  </si>
  <si>
    <t>FACE FOKOU</t>
  </si>
  <si>
    <t>616 BTA</t>
  </si>
  <si>
    <t>77 76 17 87</t>
  </si>
  <si>
    <t>POINT PLUS</t>
  </si>
  <si>
    <t>TOTAL BELABO</t>
  </si>
  <si>
    <t>228</t>
  </si>
  <si>
    <t>22 241 717</t>
  </si>
  <si>
    <t>573</t>
  </si>
  <si>
    <t>699607756/242635150</t>
  </si>
  <si>
    <t>DERRIERE FANGA HOTEL</t>
  </si>
  <si>
    <t>708</t>
  </si>
  <si>
    <t>679959067/699586884/242781200</t>
  </si>
  <si>
    <t>562</t>
  </si>
  <si>
    <t>696984850/670080922/242781200</t>
  </si>
  <si>
    <t>CLUB 58/A COTE HOTEL POPULAIRE</t>
  </si>
  <si>
    <t>027001</t>
  </si>
  <si>
    <t>652671738</t>
  </si>
  <si>
    <t>NGOUEKONG</t>
  </si>
  <si>
    <t>5327 DLA</t>
  </si>
  <si>
    <t>677788657</t>
  </si>
  <si>
    <t>Anienne Gare routière Ngatto</t>
  </si>
  <si>
    <t>440</t>
  </si>
  <si>
    <t>77 108 290</t>
  </si>
  <si>
    <t>EKOMBITIE</t>
  </si>
  <si>
    <t>DEPOT D'OIGNONS</t>
  </si>
  <si>
    <t>15599</t>
  </si>
  <si>
    <t>673743434</t>
  </si>
  <si>
    <t>MRS</t>
  </si>
  <si>
    <t>674510238</t>
  </si>
  <si>
    <t>CARREFOUR DE BEAUCOUP DE BAR</t>
  </si>
  <si>
    <t>353</t>
  </si>
  <si>
    <t>678216031</t>
  </si>
  <si>
    <t>OVERLINE AVANT MRS NKOLBIKON</t>
  </si>
  <si>
    <t>679520885/222242451</t>
  </si>
  <si>
    <t>FACE DELEGATION REGIONALE DE LA CULTURE</t>
  </si>
  <si>
    <t>677120227</t>
  </si>
  <si>
    <t>face rond point nziko</t>
  </si>
  <si>
    <t>675221428</t>
  </si>
  <si>
    <t>676180346</t>
  </si>
  <si>
    <t>FACE FERME</t>
  </si>
  <si>
    <t>455</t>
  </si>
  <si>
    <t>22 241 366</t>
  </si>
  <si>
    <t>Nkolbikon</t>
  </si>
  <si>
    <t>268</t>
  </si>
  <si>
    <t>675052227</t>
  </si>
  <si>
    <t>CATHEDRALE SAINTE FAMILLE</t>
  </si>
  <si>
    <t>Kpolota</t>
  </si>
  <si>
    <t>après la base militaire</t>
  </si>
  <si>
    <t>Après la rue des bœufs</t>
  </si>
  <si>
    <t>691777777</t>
  </si>
  <si>
    <t>KOUME-BONIS</t>
  </si>
  <si>
    <t>FACE STATION TRADEX</t>
  </si>
  <si>
    <t>678033512/694413081</t>
  </si>
  <si>
    <t>Après  depôt guiness</t>
  </si>
  <si>
    <t>63</t>
  </si>
  <si>
    <t>222659465/670080721</t>
  </si>
  <si>
    <t>IMMEUBLE T.A</t>
  </si>
  <si>
    <t>690922828/699440000</t>
  </si>
  <si>
    <t>Koume</t>
  </si>
  <si>
    <t>1701</t>
  </si>
  <si>
    <t>677047007/69897088</t>
  </si>
  <si>
    <t>PARADIS</t>
  </si>
  <si>
    <t>SCIERIE S.E.F</t>
  </si>
  <si>
    <t>699843131</t>
  </si>
  <si>
    <t>SAPPEUR POMPIER</t>
  </si>
  <si>
    <t>679727299</t>
  </si>
  <si>
    <t>NGAIMOUNA</t>
  </si>
  <si>
    <t>club zena</t>
  </si>
  <si>
    <t>Bonis</t>
  </si>
  <si>
    <t>170 BTA</t>
  </si>
  <si>
    <t>99 99 52 49</t>
  </si>
  <si>
    <t>ENTREE PAIN D'OR</t>
  </si>
  <si>
    <t>523 BTA</t>
  </si>
  <si>
    <t>22104132</t>
  </si>
  <si>
    <t>677251749</t>
  </si>
  <si>
    <t>bâtiment MTN</t>
  </si>
  <si>
    <t>77272210</t>
  </si>
  <si>
    <t>KAKA</t>
  </si>
  <si>
    <t>DERRIERE DOMICILE ZE NGUELE</t>
  </si>
  <si>
    <t>95 13 43 98</t>
  </si>
  <si>
    <t>675654545</t>
  </si>
  <si>
    <t>KWELE</t>
  </si>
  <si>
    <t>carrefour kwele</t>
  </si>
  <si>
    <t>727</t>
  </si>
  <si>
    <t>70 08 09 44</t>
  </si>
  <si>
    <t>699843174</t>
  </si>
  <si>
    <t>ENTREE BRASSERIES</t>
  </si>
  <si>
    <t>219</t>
  </si>
  <si>
    <t>22241365</t>
  </si>
  <si>
    <t>QUICAILLERIE L'AVENIR</t>
  </si>
  <si>
    <t>Monou</t>
  </si>
  <si>
    <t>77 492 393</t>
  </si>
  <si>
    <t>UNIVERSEL HOTEL</t>
  </si>
  <si>
    <t>697537664</t>
  </si>
  <si>
    <t>194</t>
  </si>
  <si>
    <t>MICROEDITION</t>
  </si>
  <si>
    <t>699657528</t>
  </si>
  <si>
    <t>ENTREE ANCIEN SONEL</t>
  </si>
  <si>
    <t>694060746</t>
  </si>
  <si>
    <t>CARREFOUR PTT</t>
  </si>
  <si>
    <t>699028034</t>
  </si>
  <si>
    <t>BETHANIE</t>
  </si>
  <si>
    <t>77881213</t>
  </si>
  <si>
    <t>A COTE TRADEX</t>
  </si>
  <si>
    <t>595</t>
  </si>
  <si>
    <t>96 217 246</t>
  </si>
  <si>
    <t>FACE DELEGATION REG. DE L'EMPLOI</t>
  </si>
  <si>
    <t>A COTE NZENA CLUB</t>
  </si>
  <si>
    <t>70 081 010</t>
  </si>
  <si>
    <t>NDOUMBI</t>
  </si>
  <si>
    <t>UG2</t>
  </si>
  <si>
    <t>UG5</t>
  </si>
  <si>
    <t>UG3</t>
  </si>
  <si>
    <t>UG4</t>
  </si>
  <si>
    <t>ug4</t>
  </si>
  <si>
    <t>ug2</t>
  </si>
  <si>
    <t>ug3</t>
  </si>
  <si>
    <t>ug1</t>
  </si>
  <si>
    <t>UG1</t>
  </si>
  <si>
    <t>NOM OU RAISON SOCIALE</t>
  </si>
  <si>
    <t>556</t>
  </si>
  <si>
    <t>406</t>
  </si>
  <si>
    <t>699526588</t>
  </si>
  <si>
    <t>036003</t>
  </si>
  <si>
    <t>671402381</t>
  </si>
  <si>
    <t>660993134</t>
  </si>
  <si>
    <t>699784663</t>
  </si>
  <si>
    <t>694460733/678122082</t>
  </si>
  <si>
    <t>699017443</t>
  </si>
  <si>
    <t>697814620/243687802</t>
  </si>
  <si>
    <t>694214654</t>
  </si>
  <si>
    <t>674947238/662999526</t>
  </si>
  <si>
    <t>691411028</t>
  </si>
  <si>
    <t>675175657</t>
  </si>
  <si>
    <t>677074003</t>
  </si>
  <si>
    <t>677749109</t>
  </si>
  <si>
    <t>16</t>
  </si>
  <si>
    <t>699718973</t>
  </si>
  <si>
    <t>EBOMO NOHA Jean Jacques</t>
  </si>
  <si>
    <t>EST ENJJ</t>
  </si>
  <si>
    <t>P057600509597E</t>
  </si>
  <si>
    <t>677 451 230</t>
  </si>
  <si>
    <t>ELEVAGE</t>
  </si>
  <si>
    <t>FACE HOTEL DE PARIS</t>
  </si>
  <si>
    <t>EXBOCAM SARL</t>
  </si>
  <si>
    <t>M041612522522X</t>
  </si>
  <si>
    <t>480</t>
  </si>
  <si>
    <t>677264684</t>
  </si>
  <si>
    <t>A COTE IMMEUBLE YEFOUO</t>
  </si>
  <si>
    <t>FEDERATION DES PLANTEURS DE TABAC ET  AUTRES CULTURES VIVRIERES DU CAMEROUN</t>
  </si>
  <si>
    <t>EPTC</t>
  </si>
  <si>
    <t>M017700028472K</t>
  </si>
  <si>
    <t>AGRICULTURE</t>
  </si>
  <si>
    <t>677133982/699619326</t>
  </si>
  <si>
    <t>Centre Ville</t>
  </si>
  <si>
    <t>FEUDJO KAMTO Ambroise</t>
  </si>
  <si>
    <t>FEUDJO KAMTO ET FILSS</t>
  </si>
  <si>
    <t>P107212267414M</t>
  </si>
  <si>
    <t>699538954</t>
  </si>
  <si>
    <t>FACE LIPAJOUR</t>
  </si>
  <si>
    <t>FONDATION CONFICIUS CAMEROUN</t>
  </si>
  <si>
    <t>FCC</t>
  </si>
  <si>
    <t>M021412586936F</t>
  </si>
  <si>
    <t>ACCOMPAGNEMENT DES JEUNES</t>
  </si>
  <si>
    <t>696903192</t>
  </si>
  <si>
    <t>AVANT HOTEL LA COLOMBE</t>
  </si>
  <si>
    <t>En face cathedrale Marie-Reine</t>
  </si>
  <si>
    <t>JIBO ALI</t>
  </si>
  <si>
    <t>ETS JIBO ALI</t>
  </si>
  <si>
    <t>P028612675375S</t>
  </si>
  <si>
    <t>COMMERCE DES PRODUITS PETROLIERS</t>
  </si>
  <si>
    <t>DERRIERE MARANATA</t>
  </si>
  <si>
    <t>650857559</t>
  </si>
  <si>
    <t>39</t>
  </si>
  <si>
    <t>699722581</t>
  </si>
  <si>
    <t>MANTSANA IGNACE BERTRAND</t>
  </si>
  <si>
    <t>ETS BATI SERVICES</t>
  </si>
  <si>
    <t>P067512115516M</t>
  </si>
  <si>
    <t>PRESTATIONS DE SERVICES(bureau d'etudes)</t>
  </si>
  <si>
    <t>MOLOKO 4</t>
  </si>
  <si>
    <t>LYCEE MOKOLO4</t>
  </si>
  <si>
    <t>36</t>
  </si>
  <si>
    <t>MOHAMAN BELLO</t>
  </si>
  <si>
    <t>P017012654652B</t>
  </si>
  <si>
    <t>699814201</t>
  </si>
  <si>
    <t>Marché Ndoumbi</t>
  </si>
  <si>
    <t>MONGBET OUSSENI</t>
  </si>
  <si>
    <t>ETS OM AND FILS</t>
  </si>
  <si>
    <t>P076800054363L</t>
  </si>
  <si>
    <t>676204082/699533779</t>
  </si>
  <si>
    <t>Italie</t>
  </si>
  <si>
    <t>Djadombé</t>
  </si>
  <si>
    <t>MUTUELLE COMMUNAUTAIRE DE CROISSANCE BATOURI</t>
  </si>
  <si>
    <t>Mutuelle communautaire de croissance BELABO</t>
  </si>
  <si>
    <t>MC² BELABO</t>
  </si>
  <si>
    <t>M081100038417D</t>
  </si>
  <si>
    <t>Mutuelle communautaire de croissance Mbang</t>
  </si>
  <si>
    <t>MC² Mbang</t>
  </si>
  <si>
    <t>M010800038625D</t>
  </si>
  <si>
    <t>678198421/694271995</t>
  </si>
  <si>
    <t>695</t>
  </si>
  <si>
    <t>676076499</t>
  </si>
  <si>
    <t>694831182</t>
  </si>
  <si>
    <t>699673769/678363287</t>
  </si>
  <si>
    <t>695419387</t>
  </si>
  <si>
    <t>677272210</t>
  </si>
  <si>
    <t>009004</t>
  </si>
  <si>
    <t>671871998</t>
  </si>
  <si>
    <t>663724413</t>
  </si>
  <si>
    <t>699332137</t>
  </si>
  <si>
    <t>STE FRIENDS MINING CONSULTING SARL</t>
  </si>
  <si>
    <t>M111712654649F</t>
  </si>
  <si>
    <t>DERRIERE RESIDENCE MONGI</t>
  </si>
  <si>
    <t>697403795</t>
  </si>
  <si>
    <t>699765999</t>
  </si>
  <si>
    <t>113</t>
  </si>
  <si>
    <t>693550000</t>
  </si>
  <si>
    <t>690649767</t>
  </si>
  <si>
    <t>TALIPOUE MANJIDOU</t>
  </si>
  <si>
    <t>ETS TALIPOUE &amp; FILS</t>
  </si>
  <si>
    <t>P118012334465W</t>
  </si>
  <si>
    <t>VENTE PRODUITS PETROLIERS</t>
  </si>
  <si>
    <t>GARI GOMBO</t>
  </si>
  <si>
    <t>A côté du poste de police</t>
  </si>
  <si>
    <t>518</t>
  </si>
  <si>
    <t>699568072</t>
  </si>
  <si>
    <t>699725807</t>
  </si>
  <si>
    <t>P016711073369F</t>
  </si>
  <si>
    <t>cheque</t>
  </si>
  <si>
    <t>virement</t>
  </si>
  <si>
    <t>SOCIETE DE REPRESENTATION ET DE DISTRIBUTION</t>
  </si>
  <si>
    <t>M081712640854G</t>
  </si>
  <si>
    <t>ENTREE ARTISANAT</t>
  </si>
  <si>
    <t>Recr.RAR</t>
  </si>
  <si>
    <t>≥</t>
  </si>
  <si>
    <t>&lt;</t>
  </si>
  <si>
    <t>≤</t>
  </si>
  <si>
    <t>&gt;</t>
  </si>
  <si>
    <t>BIKAGA CLAUDINE</t>
  </si>
  <si>
    <t>ETS BELVITAL</t>
  </si>
  <si>
    <t>PRESTATION DE SERVICES</t>
  </si>
  <si>
    <t>MOKOLO1</t>
  </si>
  <si>
    <t>SOREDIC</t>
  </si>
  <si>
    <t>HOPITAL REGIONAL DE BERTOUA</t>
  </si>
  <si>
    <t>SOINS DE SANTE</t>
  </si>
  <si>
    <t>ITALIE</t>
  </si>
  <si>
    <t>HOPITAL REGIONAL</t>
  </si>
  <si>
    <t>NEW TONW I</t>
  </si>
  <si>
    <t>KUETE ROGE</t>
  </si>
  <si>
    <t>Contrôle</t>
  </si>
  <si>
    <t>STE DISTRIBUTION PRODUITS ALIMENTAIRES DU CAMEROUN</t>
  </si>
  <si>
    <t>SODIPACAM SARL</t>
  </si>
  <si>
    <t>A COTE NZIKO BATOURI</t>
  </si>
  <si>
    <t>TCHATCHOUA NDJIKI ACHILLE BLAISE</t>
  </si>
  <si>
    <t>P047612412009Z</t>
  </si>
  <si>
    <t>677582076/690925879</t>
  </si>
  <si>
    <t>LAVERIE FACE A FACE</t>
  </si>
  <si>
    <t>CHOUMPA FORTUNE LAURE</t>
  </si>
  <si>
    <t>P088500500083E</t>
  </si>
  <si>
    <t>DERRIERE UNIVERSEL</t>
  </si>
  <si>
    <t>FEZE FEZE CELESTIN</t>
  </si>
  <si>
    <t>ETS F.F.C</t>
  </si>
  <si>
    <t>P057312333868G</t>
  </si>
  <si>
    <t>ROUTE AEROPORT</t>
  </si>
  <si>
    <t>recettes dormantes</t>
  </si>
  <si>
    <t>P075111243514M</t>
  </si>
  <si>
    <t>rar</t>
  </si>
  <si>
    <t>SOLDE IRPP</t>
  </si>
  <si>
    <t>EPEE JEAN HERVE</t>
  </si>
  <si>
    <t>VS</t>
  </si>
  <si>
    <t>RAISON_SOCIALE</t>
  </si>
  <si>
    <t>quincaillerie</t>
  </si>
  <si>
    <t>vente bh</t>
  </si>
  <si>
    <t>autres CG</t>
  </si>
  <si>
    <t>alimentation</t>
  </si>
  <si>
    <t>pharmacie</t>
  </si>
  <si>
    <t>MINE</t>
  </si>
  <si>
    <t>PROFESSIONS LIBERALES</t>
  </si>
  <si>
    <t>BTP</t>
  </si>
  <si>
    <t>AUTRES SERVICES</t>
  </si>
  <si>
    <t>FORESTERIE</t>
  </si>
  <si>
    <t>HERBERGEMENT</t>
  </si>
  <si>
    <t>NTIC</t>
  </si>
  <si>
    <t>MICROFINANCE</t>
  </si>
  <si>
    <t>SOUS SECTEURS</t>
  </si>
  <si>
    <t>PAR TYPE D'IMPOTS</t>
  </si>
  <si>
    <t>RENDEMENT PAR SOUS SECTEUR D'activités</t>
  </si>
  <si>
    <t>TOTAUX</t>
  </si>
  <si>
    <t>RENDEMENT PAR TYPE D'IMPOTS ET PAR UNITE DE GESTION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</si>
  <si>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</si>
  <si>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</si>
  <si>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</si>
  <si>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</si>
  <si>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</si>
  <si>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</si>
  <si>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</si>
  <si>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</si>
  <si>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</si>
  <si>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</si>
  <si>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</si>
  <si>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</si>
  <si>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</si>
  <si>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</si>
  <si>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691633837</t>
  </si>
  <si>
    <t>AYACHE ISAAC HERVE HASSAN</t>
  </si>
  <si>
    <t>ETS L.F.E</t>
  </si>
  <si>
    <t>P109112517469W</t>
  </si>
  <si>
    <t>653617379</t>
  </si>
  <si>
    <t>17</t>
  </si>
  <si>
    <t>19</t>
  </si>
  <si>
    <t>20</t>
  </si>
  <si>
    <t>21</t>
  </si>
  <si>
    <t>22</t>
  </si>
  <si>
    <t>23</t>
  </si>
  <si>
    <t>P076600296168T</t>
  </si>
  <si>
    <t>726</t>
  </si>
  <si>
    <t>696008658</t>
  </si>
  <si>
    <t>24</t>
  </si>
  <si>
    <t>25</t>
  </si>
  <si>
    <t>26</t>
  </si>
  <si>
    <t>694041773</t>
  </si>
  <si>
    <t>27</t>
  </si>
  <si>
    <t>28</t>
  </si>
  <si>
    <t>29</t>
  </si>
  <si>
    <t>30</t>
  </si>
  <si>
    <t>31</t>
  </si>
  <si>
    <t>32</t>
  </si>
  <si>
    <t>33</t>
  </si>
  <si>
    <t>699737364</t>
  </si>
  <si>
    <t>34</t>
  </si>
  <si>
    <t>35</t>
  </si>
  <si>
    <t>37</t>
  </si>
  <si>
    <t>40</t>
  </si>
  <si>
    <t>41</t>
  </si>
  <si>
    <t>42</t>
  </si>
  <si>
    <t>44</t>
  </si>
  <si>
    <t>45</t>
  </si>
  <si>
    <t>47</t>
  </si>
  <si>
    <t>48</t>
  </si>
  <si>
    <t>49</t>
  </si>
  <si>
    <t>51</t>
  </si>
  <si>
    <t>52</t>
  </si>
  <si>
    <t>53</t>
  </si>
  <si>
    <t>54</t>
  </si>
  <si>
    <t>56</t>
  </si>
  <si>
    <t>57</t>
  </si>
  <si>
    <t>58</t>
  </si>
  <si>
    <t>59</t>
  </si>
  <si>
    <t>61</t>
  </si>
  <si>
    <t>65</t>
  </si>
  <si>
    <t>66</t>
  </si>
  <si>
    <t>67</t>
  </si>
  <si>
    <t>68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</si>
  <si>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</si>
  <si>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</si>
  <si>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</si>
  <si>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</si>
  <si>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</si>
  <si>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</si>
  <si>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</si>
  <si>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</si>
  <si>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</si>
  <si>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</si>
  <si>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</si>
  <si>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</si>
  <si>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ETS EPEE JEAN HERVE</t>
  </si>
  <si>
    <t>P017612527206Q</t>
  </si>
  <si>
    <t>VENTE CARBURANT</t>
  </si>
  <si>
    <t>GARE</t>
  </si>
  <si>
    <t>83</t>
  </si>
  <si>
    <t>84</t>
  </si>
  <si>
    <t>86</t>
  </si>
  <si>
    <t>87</t>
  </si>
  <si>
    <t>88</t>
  </si>
  <si>
    <t>89</t>
  </si>
  <si>
    <t>001001</t>
  </si>
  <si>
    <t>90</t>
  </si>
  <si>
    <t>91</t>
  </si>
  <si>
    <t>676249348</t>
  </si>
  <si>
    <t>92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</si>
  <si>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</si>
  <si>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</si>
  <si>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</si>
  <si>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</si>
  <si>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</si>
  <si>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</si>
  <si>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</si>
  <si>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</si>
  <si>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</si>
  <si>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105</t>
  </si>
  <si>
    <t>M016000024474Z</t>
  </si>
  <si>
    <t>106</t>
  </si>
  <si>
    <t>107</t>
  </si>
  <si>
    <t>108</t>
  </si>
  <si>
    <t>109</t>
  </si>
  <si>
    <t>IYA IBRAHIM</t>
  </si>
  <si>
    <t>ETS IYA IBRAHIM</t>
  </si>
  <si>
    <t>P099312443981B</t>
  </si>
  <si>
    <t>110</t>
  </si>
  <si>
    <t>677262653</t>
  </si>
  <si>
    <t>111</t>
  </si>
  <si>
    <t>112</t>
  </si>
  <si>
    <t>114</t>
  </si>
  <si>
    <t>115</t>
  </si>
  <si>
    <t>116</t>
  </si>
  <si>
    <t>117</t>
  </si>
  <si>
    <t>119</t>
  </si>
  <si>
    <t>120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</si>
  <si>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</si>
  <si>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</si>
  <si>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</si>
  <si>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</si>
  <si>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</si>
  <si>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</si>
  <si>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</si>
  <si>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</si>
  <si>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</si>
  <si>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</si>
  <si>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133</t>
  </si>
  <si>
    <t>134</t>
  </si>
  <si>
    <t>135</t>
  </si>
  <si>
    <t>143</t>
  </si>
  <si>
    <t>690439287</t>
  </si>
  <si>
    <t>136</t>
  </si>
  <si>
    <t>137</t>
  </si>
  <si>
    <t>138</t>
  </si>
  <si>
    <t>139</t>
  </si>
  <si>
    <t>140</t>
  </si>
  <si>
    <t>142</t>
  </si>
  <si>
    <t>144</t>
  </si>
  <si>
    <t>145</t>
  </si>
  <si>
    <t>146</t>
  </si>
  <si>
    <t>147</t>
  </si>
  <si>
    <t>148</t>
  </si>
  <si>
    <t>151</t>
  </si>
  <si>
    <t>152</t>
  </si>
  <si>
    <t>153</t>
  </si>
  <si>
    <t>154</t>
  </si>
  <si>
    <t>155</t>
  </si>
  <si>
    <t>P028312264860F</t>
  </si>
  <si>
    <t>VENTE PRODUITS PETROLIERS ET DIVERS</t>
  </si>
  <si>
    <t>BOULANGERIE DIVA</t>
  </si>
  <si>
    <t>156</t>
  </si>
  <si>
    <t>157</t>
  </si>
  <si>
    <t>158</t>
  </si>
  <si>
    <t>159</t>
  </si>
  <si>
    <t>160</t>
  </si>
  <si>
    <t>M071100037662N</t>
  </si>
  <si>
    <t>161</t>
  </si>
  <si>
    <t>162</t>
  </si>
  <si>
    <t>491 BTA</t>
  </si>
  <si>
    <t>699868671/67507144</t>
  </si>
  <si>
    <t>FORET COMMUNAL</t>
  </si>
  <si>
    <t>163</t>
  </si>
  <si>
    <t>164</t>
  </si>
  <si>
    <t>165</t>
  </si>
  <si>
    <t>166</t>
  </si>
  <si>
    <t>167</t>
  </si>
  <si>
    <t>168</t>
  </si>
  <si>
    <t>169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</si>
  <si>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</si>
  <si>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</si>
  <si>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</si>
  <si>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</si>
  <si>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</si>
  <si>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</si>
  <si>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</si>
  <si>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</si>
  <si>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</si>
  <si>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</si>
  <si>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</si>
  <si>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</si>
  <si>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</si>
  <si>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</si>
  <si>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</si>
  <si>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</si>
  <si>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</si>
  <si>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</si>
  <si>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</si>
  <si>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</si>
  <si>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</si>
  <si>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</si>
  <si>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</si>
  <si>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</si>
  <si>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</si>
  <si>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</si>
  <si>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</si>
  <si>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</si>
  <si>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</si>
  <si>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</si>
  <si>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</si>
  <si>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</si>
  <si>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</si>
  <si>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</si>
  <si>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</si>
  <si>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</si>
  <si>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SOCIETE BEN BENJO SARL</t>
  </si>
  <si>
    <t>M081812717840N</t>
  </si>
  <si>
    <t>A COTE PEAGE</t>
  </si>
  <si>
    <t>209</t>
  </si>
  <si>
    <t>210</t>
  </si>
  <si>
    <t>SCDB SARL</t>
  </si>
  <si>
    <t>211</t>
  </si>
  <si>
    <t>212</t>
  </si>
  <si>
    <t>476</t>
  </si>
  <si>
    <t>698050443</t>
  </si>
  <si>
    <t>213</t>
  </si>
  <si>
    <t>214</t>
  </si>
  <si>
    <t>215</t>
  </si>
  <si>
    <t>216</t>
  </si>
  <si>
    <t>217</t>
  </si>
  <si>
    <t>220</t>
  </si>
  <si>
    <t>221</t>
  </si>
  <si>
    <t>222</t>
  </si>
  <si>
    <t>223</t>
  </si>
  <si>
    <t>224</t>
  </si>
  <si>
    <t>225</t>
  </si>
  <si>
    <t>226</t>
  </si>
  <si>
    <t>STE BRASS DISTRIBUTION SARL</t>
  </si>
  <si>
    <t>A COTE MARCHE DERNIER POTEAU</t>
  </si>
  <si>
    <t>229</t>
  </si>
  <si>
    <t>230</t>
  </si>
  <si>
    <t>231</t>
  </si>
  <si>
    <t>STE CONCORDIA SARL</t>
  </si>
  <si>
    <t>ANCIEN OLYMPIA</t>
  </si>
  <si>
    <t>232</t>
  </si>
  <si>
    <t>233</t>
  </si>
  <si>
    <t>235</t>
  </si>
  <si>
    <t>M031812695501D</t>
  </si>
  <si>
    <t>672351515</t>
  </si>
  <si>
    <t>237</t>
  </si>
  <si>
    <t>699525498</t>
  </si>
  <si>
    <t>MOLOKO</t>
  </si>
  <si>
    <t>238</t>
  </si>
  <si>
    <t>239</t>
  </si>
  <si>
    <t>240</t>
  </si>
  <si>
    <t>241</t>
  </si>
  <si>
    <t>242</t>
  </si>
  <si>
    <t>STE MOLO ET FRERE DISTRIBUTION SARL</t>
  </si>
  <si>
    <t>M081812717851R</t>
  </si>
  <si>
    <t>EN FACE DE CAMWATER</t>
  </si>
  <si>
    <t>243</t>
  </si>
  <si>
    <t>STE NDZ DISTRIBUTION SARL</t>
  </si>
  <si>
    <t>NDZ DISTRIBUTION SARL</t>
  </si>
  <si>
    <t>CARREFOUR DU STADE</t>
  </si>
  <si>
    <t>244</t>
  </si>
  <si>
    <t>STE SA'ADA DISTRIBUTION SARL</t>
  </si>
  <si>
    <t>M081812717836S</t>
  </si>
  <si>
    <t>245</t>
  </si>
  <si>
    <t>246</t>
  </si>
  <si>
    <t>248</t>
  </si>
  <si>
    <t>249</t>
  </si>
  <si>
    <t>250</t>
  </si>
  <si>
    <t>251</t>
  </si>
  <si>
    <t>675306566</t>
  </si>
  <si>
    <t>252</t>
  </si>
  <si>
    <t>253</t>
  </si>
  <si>
    <t>254</t>
  </si>
  <si>
    <t>255</t>
  </si>
  <si>
    <t>257</t>
  </si>
  <si>
    <t>258</t>
  </si>
  <si>
    <t>260</t>
  </si>
  <si>
    <t>261</t>
  </si>
  <si>
    <t>262</t>
  </si>
  <si>
    <t>263</t>
  </si>
  <si>
    <t>264</t>
  </si>
  <si>
    <t>265</t>
  </si>
  <si>
    <t>266</t>
  </si>
  <si>
    <t>267</t>
  </si>
  <si>
    <t>269</t>
  </si>
  <si>
    <t>270</t>
  </si>
  <si>
    <t>271</t>
  </si>
  <si>
    <t>272</t>
  </si>
  <si>
    <t>273</t>
  </si>
  <si>
    <t>274</t>
  </si>
  <si>
    <t>275</t>
  </si>
  <si>
    <t>276</t>
  </si>
  <si>
    <t>MVONGO NDE PHILIBERT</t>
  </si>
  <si>
    <t>277</t>
  </si>
  <si>
    <t>Recouvrement</t>
  </si>
  <si>
    <t>REALISATIONS</t>
  </si>
  <si>
    <t>REPUBLIQUE DU CAMEROUN</t>
  </si>
  <si>
    <t>REPUBLIC OF CAMEROON</t>
  </si>
  <si>
    <t>Paix-Travail-Patrie</t>
  </si>
  <si>
    <t>Peace-Work-Fatherland</t>
  </si>
  <si>
    <t>-----------------</t>
  </si>
  <si>
    <t>DIRECTION GENERAL DES IMPOTS</t>
  </si>
  <si>
    <t>REGIONAL CENTER OF TAXATION EAST</t>
  </si>
  <si>
    <t>CENTRE DES IMPOTS DES MOYENNES ENTREPRISES</t>
  </si>
  <si>
    <t>MEDIUM SIZE TAXPAYERS OFFICE</t>
  </si>
  <si>
    <t>SERVICE DU FICHIER, DES STATISTIQUES ET DE L’INFORMATIQUE</t>
  </si>
  <si>
    <t>FILE, STATISTICS AND SCIENCE COMPUTER SERVICE</t>
  </si>
  <si>
    <t>N°-----------------MINFI/DGI/CRIE/CIME BTA/SFSI</t>
  </si>
  <si>
    <t>--------------------------</t>
  </si>
  <si>
    <t>STE ALIKENK SARL</t>
  </si>
  <si>
    <t>STE DE TRANSFORMATION INDUSTRIELLE DU CAMEROUN</t>
  </si>
  <si>
    <t>INDUSTRIE DE PRODUCTION</t>
  </si>
  <si>
    <t>STRICAM SARL</t>
  </si>
  <si>
    <t>M081612567772F</t>
  </si>
  <si>
    <t>PRODUCTION INDUSTRIELLE EAUX ET SAVON</t>
  </si>
  <si>
    <t>M061812708061D</t>
  </si>
  <si>
    <t>M081812717848X</t>
  </si>
  <si>
    <t>M081812717832N</t>
  </si>
  <si>
    <t>673159731</t>
  </si>
  <si>
    <t>680272727</t>
  </si>
  <si>
    <t>656861148</t>
  </si>
  <si>
    <t>GESTION COMPTABLE ET COMMERCIALE</t>
  </si>
  <si>
    <t>661010203</t>
  </si>
  <si>
    <t>NKOLBIKONG</t>
  </si>
  <si>
    <t>AVANT CLUB 58</t>
  </si>
  <si>
    <t>6563338</t>
  </si>
  <si>
    <t>UG</t>
  </si>
  <si>
    <t>M081812717844S</t>
  </si>
  <si>
    <t>STE RIPPER WOOD SARL</t>
  </si>
  <si>
    <t>M081812719874S</t>
  </si>
  <si>
    <t>21 DIMAKO</t>
  </si>
  <si>
    <t>BEUL</t>
  </si>
  <si>
    <t>280</t>
  </si>
  <si>
    <t>281</t>
  </si>
  <si>
    <t>STE AFRI-BEST TRADE AND DISTRIBUTION CORP</t>
  </si>
  <si>
    <t>ATDICO</t>
  </si>
  <si>
    <t>M101712649173F</t>
  </si>
  <si>
    <t>EN FACE CENTRE MTN</t>
  </si>
  <si>
    <t>282</t>
  </si>
  <si>
    <t>BAKARI DOBILE NARMAI</t>
  </si>
  <si>
    <t>ETS TABOLO</t>
  </si>
  <si>
    <t>P037500578890H</t>
  </si>
  <si>
    <t>283</t>
  </si>
  <si>
    <t>TCHUYO JEAN ROSTIN</t>
  </si>
  <si>
    <t>P037500434670S</t>
  </si>
  <si>
    <t>HOTEL QUATAR</t>
  </si>
  <si>
    <t>284</t>
  </si>
  <si>
    <t>IBRAHIMA BOUBA</t>
  </si>
  <si>
    <t>ETS CAMEROON BUILDING GROUP</t>
  </si>
  <si>
    <t>S/C 153</t>
  </si>
  <si>
    <t>STE FORESTIERE ET DE REALISATION DU DJA SARL</t>
  </si>
  <si>
    <t>M101812734613R</t>
  </si>
  <si>
    <t>AVANT LE PONT</t>
  </si>
  <si>
    <t>SERVICES</t>
  </si>
  <si>
    <t>CSP(PEC)</t>
  </si>
  <si>
    <t>Soldes</t>
  </si>
  <si>
    <t>Total Objectifs</t>
  </si>
  <si>
    <t>Montant total comptabilisé</t>
  </si>
  <si>
    <t>Ecart</t>
  </si>
  <si>
    <t>Réalisations mois 2018</t>
  </si>
  <si>
    <t>Objectifs</t>
  </si>
  <si>
    <t>Réalisations</t>
  </si>
  <si>
    <t>BRIGADE DE CONTRÔLE ET DES VERIFICATIONS</t>
  </si>
  <si>
    <t>RECETTE DES IMPOTS</t>
  </si>
  <si>
    <t>Total Brigade de Contrôle et vérifications</t>
  </si>
  <si>
    <t>Stock au 31/12/2018</t>
  </si>
  <si>
    <t>Total recette des Impôts</t>
  </si>
  <si>
    <t>Vérifications Générales (VG)</t>
  </si>
  <si>
    <t>Contrôles Ponctuels (CP)</t>
  </si>
  <si>
    <t>PEC           2019</t>
  </si>
  <si>
    <t>TABLEAU DE PRESENTATION DES TENDANCES/REALISATIONS MENSUELLES DES IMPÔTS ET TAXES AU</t>
  </si>
  <si>
    <r>
      <t>1.</t>
    </r>
    <r>
      <rPr>
        <b/>
        <u/>
        <sz val="12"/>
        <color theme="1"/>
        <rFont val="Calibri"/>
        <family val="2"/>
        <scheme val="minor"/>
      </rPr>
      <t>CELLULE DE GESTION ET DE SUIVI</t>
    </r>
  </si>
  <si>
    <r>
      <rPr>
        <b/>
        <sz val="12"/>
        <color theme="1"/>
        <rFont val="Calibri"/>
        <family val="2"/>
        <scheme val="minor"/>
      </rPr>
      <t>2.</t>
    </r>
    <r>
      <rPr>
        <b/>
        <u/>
        <sz val="12"/>
        <color theme="1"/>
        <rFont val="Calibri"/>
        <family val="2"/>
        <scheme val="minor"/>
      </rPr>
      <t>BRIGADE DE CONTRÔLE ET DES VERIFICATIONS &amp; RECETTE DES IMPÔTS</t>
    </r>
  </si>
  <si>
    <t>Collectivités Territoriales Décentralisées(CTD)</t>
  </si>
  <si>
    <t>-TPF</t>
  </si>
  <si>
    <t>-DTA</t>
  </si>
  <si>
    <t>-RFA</t>
  </si>
  <si>
    <t>Etablissements Publics(EP)</t>
  </si>
  <si>
    <t>-CRTV</t>
  </si>
  <si>
    <t>-CCF</t>
  </si>
  <si>
    <t>-FNE</t>
  </si>
  <si>
    <t>-CCIMA</t>
  </si>
  <si>
    <t>-CAPEF</t>
  </si>
  <si>
    <t>dont:</t>
  </si>
  <si>
    <t>RECETTES AFFECTEES AUX CTD ET EP</t>
  </si>
  <si>
    <t xml:space="preserve">TOTAL </t>
  </si>
  <si>
    <t>FCA</t>
  </si>
  <si>
    <t>SOLDES</t>
  </si>
  <si>
    <t>MUTUELLE COMMUNAUTAIRE DE CROISSANCE ABONG MBANG</t>
  </si>
  <si>
    <t>MC² ABONG MBANG</t>
  </si>
  <si>
    <t>SOLDE TVA</t>
  </si>
  <si>
    <t>PROJECTIONS</t>
  </si>
  <si>
    <t>NOUPAYOU ROGER</t>
  </si>
  <si>
    <t>ETS NOUPAYOU ROGER</t>
  </si>
  <si>
    <t>I. ACTIVITES DE GESTION ET DE SUIVI</t>
  </si>
  <si>
    <t>1. PROGECTIONS DES VS</t>
  </si>
  <si>
    <t>a) Projections globales VS</t>
  </si>
  <si>
    <t>Services</t>
  </si>
  <si>
    <t>Projections</t>
  </si>
  <si>
    <t>Réalisations effect.</t>
  </si>
  <si>
    <t>CIME/BERTOUA</t>
  </si>
  <si>
    <t>b) Projections grands comptes</t>
  </si>
  <si>
    <t>Raison sociale</t>
  </si>
  <si>
    <t>INDUSTRIES</t>
  </si>
  <si>
    <t>BANQUES, ASSURANCES, TIC</t>
  </si>
  <si>
    <t>FORETS, EAU PETROLE</t>
  </si>
  <si>
    <t>Total général VS</t>
  </si>
  <si>
    <t>2. Autres activités de gestion</t>
  </si>
  <si>
    <t>Activités</t>
  </si>
  <si>
    <t>Total 1</t>
  </si>
  <si>
    <t>Total 2</t>
  </si>
  <si>
    <t>Total général</t>
  </si>
  <si>
    <t>II. ACTIVITES DES CONTROLES</t>
  </si>
  <si>
    <t>DOSSIERS</t>
  </si>
  <si>
    <t>OBJECTIFS</t>
  </si>
  <si>
    <t>DELAIS</t>
  </si>
  <si>
    <t xml:space="preserve">III. ACTIVITES DE RECOUVREMENT </t>
  </si>
  <si>
    <t>Nom ou Raison Sociale</t>
  </si>
  <si>
    <t>KAKOUANDE</t>
  </si>
  <si>
    <t>LE CHEF DE CENTRE</t>
  </si>
  <si>
    <t>EYEBE THEOPHILE</t>
  </si>
  <si>
    <t>IBRAHIM BI ISSA</t>
  </si>
  <si>
    <t>FC D'ABONG MBANG - P/C STBC SARL</t>
  </si>
  <si>
    <t>MOHAMADOU YAYA</t>
  </si>
  <si>
    <t xml:space="preserve"> </t>
  </si>
  <si>
    <t>TISV CU</t>
  </si>
  <si>
    <t>EMASSI JACQUES</t>
  </si>
  <si>
    <t>MOYENGUE BENJAMIN</t>
  </si>
  <si>
    <t>P107100558230N</t>
  </si>
  <si>
    <t>P068112329553J</t>
  </si>
  <si>
    <t>PENKO PENKO Ebenezer Alain</t>
  </si>
  <si>
    <t>ETS ESPACE II</t>
  </si>
  <si>
    <t>P118100381598R</t>
  </si>
  <si>
    <t>P017700539451R</t>
  </si>
  <si>
    <t>SIGLE</t>
  </si>
  <si>
    <t>ACTIVITE_PRINCIPALE</t>
  </si>
  <si>
    <t>VENTE_BOISSON</t>
  </si>
  <si>
    <t>BOITE_POSTALE</t>
  </si>
  <si>
    <t>FORME_JURIDIQUE</t>
  </si>
  <si>
    <t>CENTRE_DE_RATTACHEMENT</t>
  </si>
  <si>
    <t>REGION_ADMINISTRATIVE</t>
  </si>
  <si>
    <t>LIEUX_DIT</t>
  </si>
  <si>
    <t>696190657</t>
  </si>
  <si>
    <t>ENTREPRISE INDIVIDUELLE</t>
  </si>
  <si>
    <t>22713119</t>
  </si>
  <si>
    <t>ETS LES MICROEDITIONS</t>
  </si>
  <si>
    <t>696217228/699542969</t>
  </si>
  <si>
    <t>P056412408672L</t>
  </si>
  <si>
    <t/>
  </si>
  <si>
    <t>699555965</t>
  </si>
  <si>
    <t>EI</t>
  </si>
  <si>
    <t>MOPOULO</t>
  </si>
  <si>
    <t>F.O. DISTRIBUTION SARL</t>
  </si>
  <si>
    <t>M091812729548M</t>
  </si>
  <si>
    <t>CARREFOUR TERRESTIA</t>
  </si>
  <si>
    <t>ALIMENTATION</t>
  </si>
  <si>
    <t>FOUDA MENYENG ESTELLE</t>
  </si>
  <si>
    <t>ETS MAEL ET FRERES</t>
  </si>
  <si>
    <t>P118212673009Y</t>
  </si>
  <si>
    <t>675522592/691266941</t>
  </si>
  <si>
    <t>KPOKOLOTA</t>
  </si>
  <si>
    <t>a côté des travaux publics</t>
  </si>
  <si>
    <t>ETS GOGA WALL</t>
  </si>
  <si>
    <t>P118412694760F</t>
  </si>
  <si>
    <t>BUREAU D'ACHAT</t>
  </si>
  <si>
    <t>P127300489734H</t>
  </si>
  <si>
    <t>699013630</t>
  </si>
  <si>
    <t>MARERO RIBERO JEAN</t>
  </si>
  <si>
    <t>ETS LUCIA ET FILS</t>
  </si>
  <si>
    <t>P117612551851Y</t>
  </si>
  <si>
    <t>PRESTAT DE SCES / BPT / IMPORT-EXPORT</t>
  </si>
  <si>
    <t>699029616</t>
  </si>
  <si>
    <t>P077200270613U</t>
  </si>
  <si>
    <t>699613462</t>
  </si>
  <si>
    <t>SOCOPAO</t>
  </si>
  <si>
    <t>SERVICE SOCIAL</t>
  </si>
  <si>
    <t>ETS MOYENGUE</t>
  </si>
  <si>
    <t>690925879/677582076</t>
  </si>
  <si>
    <t>BETARE OYA</t>
  </si>
  <si>
    <t>carrefour ndokayo</t>
  </si>
  <si>
    <t>NDUTU ESSOME</t>
  </si>
  <si>
    <t>ETS MERVEILLES D'ALICE</t>
  </si>
  <si>
    <t>P087900369463W</t>
  </si>
  <si>
    <t>676679292</t>
  </si>
  <si>
    <t>KOUME BONIS</t>
  </si>
  <si>
    <t>677166907</t>
  </si>
  <si>
    <t>VENTE DES ARMES</t>
  </si>
  <si>
    <t>P027500347729N</t>
  </si>
  <si>
    <t>652033158</t>
  </si>
  <si>
    <t>677815664</t>
  </si>
  <si>
    <t>286</t>
  </si>
  <si>
    <t>287</t>
  </si>
  <si>
    <t>288</t>
  </si>
  <si>
    <t>289</t>
  </si>
  <si>
    <t>P068012678136T</t>
  </si>
  <si>
    <t>290</t>
  </si>
  <si>
    <t>291</t>
  </si>
  <si>
    <t>UNIVERSAL BUSINESS GROUP</t>
  </si>
  <si>
    <t>UBG</t>
  </si>
  <si>
    <t>M061712629499P</t>
  </si>
  <si>
    <t>TRANSPORT DE MARCHANDISES</t>
  </si>
  <si>
    <t>699305886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</si>
  <si>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</si>
  <si>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</si>
  <si>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</si>
  <si>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</si>
  <si>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</si>
  <si>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</si>
  <si>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</si>
  <si>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</si>
  <si>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</si>
  <si>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</si>
  <si>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</si>
  <si>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ETATNIU</t>
  </si>
  <si>
    <t>IDCLASSE_ACTIVITE</t>
  </si>
  <si>
    <t>038006</t>
  </si>
  <si>
    <t>STATION DE SERVICES</t>
  </si>
  <si>
    <t>NSF CAMEROUN SARL</t>
  </si>
  <si>
    <t>P047300386836N</t>
  </si>
  <si>
    <t>SOLDE PSA</t>
  </si>
  <si>
    <t>M061612568310C</t>
  </si>
  <si>
    <t>KPOUMIE CHUCHAP AHMADOU</t>
  </si>
  <si>
    <t>P068012485669R</t>
  </si>
  <si>
    <t>FEILIAKESI INTERNATIONAL TRADE COMPANY LTD</t>
  </si>
  <si>
    <t>M121712671185D</t>
  </si>
  <si>
    <t>SOCIETE ETOILE CAMEROUN SARL</t>
  </si>
  <si>
    <t>SOCIETE PHOENICIA SARL</t>
  </si>
  <si>
    <t>RECOUVREMENT</t>
  </si>
  <si>
    <t>PRODUCTION &amp; EXPORTATION DU BOIS</t>
  </si>
  <si>
    <t>69688161</t>
  </si>
  <si>
    <t>MOUAFO TSASSE Alain Bertrand</t>
  </si>
  <si>
    <t>Donneur d'ordre</t>
  </si>
  <si>
    <t>Montant viré</t>
  </si>
  <si>
    <t>PRESTATIONS DE SERVICE</t>
  </si>
  <si>
    <t>M091612567464T</t>
  </si>
  <si>
    <t>M021912749397S</t>
  </si>
  <si>
    <t>P027612483174L</t>
  </si>
  <si>
    <t>P047512327347T</t>
  </si>
  <si>
    <t>STE DABABA REALISAT. BAT ET TRAV PUB</t>
  </si>
  <si>
    <t>SDR CAM-SARL</t>
  </si>
  <si>
    <t>M111312565995E</t>
  </si>
  <si>
    <t>SOCIETE COOP SIMPL DES TRANSP INTER-URBAIN DU CAMEROUN</t>
  </si>
  <si>
    <t>SCOOPS/AVENIR DE LA KADEY</t>
  </si>
  <si>
    <t>M011300045163Q</t>
  </si>
  <si>
    <t>691109658</t>
  </si>
  <si>
    <t xml:space="preserve">EXERCICE : </t>
  </si>
  <si>
    <t xml:space="preserve">MOIS : </t>
  </si>
  <si>
    <r>
      <rPr>
        <b/>
        <i/>
        <u/>
        <sz val="10"/>
        <rFont val="Century Gothic"/>
        <family val="2"/>
      </rPr>
      <t>Unité</t>
    </r>
    <r>
      <rPr>
        <i/>
        <sz val="10"/>
        <rFont val="Century Gothic"/>
        <family val="2"/>
      </rPr>
      <t xml:space="preserve"> : en fcfa</t>
    </r>
  </si>
  <si>
    <t>Contrôle (AMR)</t>
  </si>
  <si>
    <t>Contrôle + RAR</t>
  </si>
  <si>
    <t xml:space="preserve">    - Taxe de séjour</t>
  </si>
  <si>
    <t xml:space="preserve">    - Solde Impôts sur Sociétés</t>
  </si>
  <si>
    <t xml:space="preserve">  - Taxe d'insp. Sani. Vétér. Commerce</t>
  </si>
  <si>
    <t xml:space="preserve">  - Taxe d'exploitation</t>
  </si>
  <si>
    <t xml:space="preserve">  - Taxe extraction des carrières</t>
  </si>
  <si>
    <t xml:space="preserve">  - Taxe ad valorem sur les recettes minières</t>
  </si>
  <si>
    <t xml:space="preserve">  - Timbre sur publicité</t>
  </si>
  <si>
    <t>Date virement</t>
  </si>
  <si>
    <t>N° du virement</t>
  </si>
  <si>
    <t xml:space="preserve">VIREMENTS EFFECTUES AU CIME LA PERIODE ALLANT DU </t>
  </si>
  <si>
    <t>AVRIL</t>
  </si>
  <si>
    <t>Structure: CRI EST</t>
  </si>
  <si>
    <t>CAC/SEJOUR</t>
  </si>
  <si>
    <t>CAC/TE</t>
  </si>
  <si>
    <t>CAC/TISV</t>
  </si>
  <si>
    <t>CAC/TAXE/JEUX</t>
  </si>
  <si>
    <t xml:space="preserve">   - Taxe de sejour</t>
  </si>
  <si>
    <t>GESTION</t>
  </si>
  <si>
    <t>ctd</t>
  </si>
  <si>
    <t>penalites</t>
  </si>
  <si>
    <t>epa</t>
  </si>
  <si>
    <t>F.A</t>
  </si>
  <si>
    <t xml:space="preserve">VIREMENTS EFFECTUES AU CENTRE REGIONALE POUR LE COMPTE DU CIME LA PERIODE ALLANT DU </t>
  </si>
  <si>
    <t>RFA part Etat 1ere tranche 2019</t>
  </si>
  <si>
    <t>RFA part Etat 1ere tranche 2018</t>
  </si>
  <si>
    <r>
      <t xml:space="preserve">RECETTES BUDGETAIRES NON PETROLIERES:Objectif 2019 = </t>
    </r>
    <r>
      <rPr>
        <b/>
        <sz val="11"/>
        <color theme="1"/>
        <rFont val="Calibri"/>
        <family val="2"/>
        <scheme val="minor"/>
      </rPr>
      <t>FCFA  3,45083 Milliards</t>
    </r>
  </si>
  <si>
    <t>TOTAL TRESORERIE</t>
  </si>
  <si>
    <t>TOTAL  BRIGARDE                        ET RECETTE</t>
  </si>
  <si>
    <t>IMPOTS</t>
  </si>
  <si>
    <t>SOLDE IS/IRCM</t>
  </si>
  <si>
    <t>MOIS</t>
  </si>
  <si>
    <t>Realisations</t>
  </si>
  <si>
    <t xml:space="preserve">    - TAXE/JEUX</t>
  </si>
  <si>
    <t>FOE JEAN MARIE LUC</t>
  </si>
  <si>
    <t>Etat</t>
  </si>
  <si>
    <t>comptabilisé</t>
  </si>
  <si>
    <t>non comptabilisé</t>
  </si>
  <si>
    <t>SITUATION AU</t>
  </si>
  <si>
    <t>FONDS REG POUR LA PROMOT DE LA SANTE</t>
  </si>
  <si>
    <t>SOUS SECTEUR D ACTIVITE</t>
  </si>
  <si>
    <t>CAMEROON GOLDING WRAPPER GROUP SARL</t>
  </si>
  <si>
    <t>SOCIETE ARMOR SARL</t>
  </si>
  <si>
    <t>KOUAM PAUL</t>
  </si>
  <si>
    <t>OMA MANDONG JEAN</t>
  </si>
  <si>
    <t>SOCIETE NADA CONSTRUCTIONSARL</t>
  </si>
  <si>
    <t>NGOUGHOUE DAVID ERNEST</t>
  </si>
  <si>
    <t>CONTINENTAL EXPRESS SARL</t>
  </si>
  <si>
    <t>679426818</t>
  </si>
  <si>
    <t>038002</t>
  </si>
  <si>
    <t>M041812700798D</t>
  </si>
  <si>
    <t>VENTE TABAC</t>
  </si>
  <si>
    <t>663445293</t>
  </si>
  <si>
    <t>22 039 082</t>
  </si>
  <si>
    <t>696925913</t>
  </si>
  <si>
    <t>M091812723221M</t>
  </si>
  <si>
    <t>COM GEN/PRESTATTIONS DE SCES</t>
  </si>
  <si>
    <t>P016011917808A</t>
  </si>
  <si>
    <t>GAROUA BOULAI</t>
  </si>
  <si>
    <t>ETS MOUAJO ET FILS</t>
  </si>
  <si>
    <t>034003</t>
  </si>
  <si>
    <t>696125212</t>
  </si>
  <si>
    <t>ETS O.M.A</t>
  </si>
  <si>
    <t>P097000016302E</t>
  </si>
  <si>
    <t>Carrefour NDI</t>
  </si>
  <si>
    <t>FRPS-EST</t>
  </si>
  <si>
    <t>M061200042778G</t>
  </si>
  <si>
    <t>M101812723448B</t>
  </si>
  <si>
    <t>Avant CENAJES</t>
  </si>
  <si>
    <t>P097300273129A</t>
  </si>
  <si>
    <t>M010012579085L</t>
  </si>
  <si>
    <t>CHIFFRE D'AFFAIRE</t>
  </si>
  <si>
    <t>contrôle</t>
  </si>
  <si>
    <t>recouvrement</t>
  </si>
  <si>
    <t>Total Virement</t>
  </si>
  <si>
    <t>Gestion</t>
  </si>
  <si>
    <t>Communes</t>
  </si>
  <si>
    <t>Pénalités</t>
  </si>
  <si>
    <t>Recettes Budgetaires</t>
  </si>
  <si>
    <t>Recettes Non Budgetaires</t>
  </si>
  <si>
    <t>Recettes</t>
  </si>
  <si>
    <t>Rubriques</t>
  </si>
  <si>
    <t>Montants</t>
  </si>
  <si>
    <t>Frais d'Assiettes</t>
  </si>
  <si>
    <t>TOTAL I</t>
  </si>
  <si>
    <t>TOTAL II</t>
  </si>
  <si>
    <t xml:space="preserve">SITUATION GLOBALE </t>
  </si>
  <si>
    <t>TOTAL VIREMENTS COMPTABILISÉS</t>
  </si>
  <si>
    <t>feicom</t>
  </si>
  <si>
    <t>total</t>
  </si>
  <si>
    <t>Bertoua le</t>
  </si>
  <si>
    <t>P014012718723J</t>
  </si>
  <si>
    <t>P. SERVICES</t>
  </si>
  <si>
    <t>698545403</t>
  </si>
  <si>
    <t>2019</t>
  </si>
  <si>
    <t>CFE</t>
  </si>
  <si>
    <t>M108900004386A</t>
  </si>
  <si>
    <t>SOCIETE KAGOM ET FILS SARL</t>
  </si>
  <si>
    <t>M021912751639Z</t>
  </si>
  <si>
    <t>699436371</t>
  </si>
  <si>
    <t>BONIS</t>
  </si>
  <si>
    <t>A COTE DE BOCOM</t>
  </si>
  <si>
    <t>303</t>
  </si>
  <si>
    <t>SOCIETE KYH DISTRIBUTION SARL</t>
  </si>
  <si>
    <t>M031912751769M</t>
  </si>
  <si>
    <t>REPRESENTAT COM/COM GEN/PRESTAT SCES</t>
  </si>
  <si>
    <t>304</t>
  </si>
  <si>
    <t>D&amp;K2 ENTREPRISE SARL</t>
  </si>
  <si>
    <t>M011912754988L</t>
  </si>
  <si>
    <t>697373330</t>
  </si>
  <si>
    <t>305</t>
  </si>
  <si>
    <t>P017300572791M</t>
  </si>
  <si>
    <t>696898575</t>
  </si>
  <si>
    <t>306</t>
  </si>
  <si>
    <t>P058712418974R</t>
  </si>
  <si>
    <t>MENUISERIE</t>
  </si>
  <si>
    <t>307</t>
  </si>
  <si>
    <t>PRESTATIONS SCES</t>
  </si>
  <si>
    <t>308</t>
  </si>
  <si>
    <t>P037300122305G</t>
  </si>
  <si>
    <t>BP BERTOUA/CENTRE VILLE</t>
  </si>
  <si>
    <t>CENTRE COMMERC</t>
  </si>
  <si>
    <t>003003</t>
  </si>
  <si>
    <t>P037512103029Z</t>
  </si>
  <si>
    <t>309</t>
  </si>
  <si>
    <t>310</t>
  </si>
  <si>
    <t>311</t>
  </si>
  <si>
    <t>ESSAMA</t>
  </si>
  <si>
    <t>TOTAL RECETTES BUDGETAIRES NON PETROLIERES  de la periode de Oct 2018</t>
  </si>
  <si>
    <t>TOTAL RECETTES BUDGETAIRES NON PETROLIERES  de la periode de Oct 2019</t>
  </si>
  <si>
    <t>REPARTITION DES RECETTES/ OCTOBRE 2019</t>
  </si>
  <si>
    <t>capef</t>
  </si>
  <si>
    <t>M101812725597Q</t>
  </si>
  <si>
    <t>budgetaires</t>
  </si>
  <si>
    <t>non budgetaires</t>
  </si>
  <si>
    <t>312</t>
  </si>
  <si>
    <t>TPF</t>
  </si>
  <si>
    <t>BAIL</t>
  </si>
  <si>
    <t>actif/Regul</t>
  </si>
  <si>
    <t>GROUPE TALMA SARL</t>
  </si>
  <si>
    <t>M031912756579B</t>
  </si>
  <si>
    <t>actif/NEANT</t>
  </si>
  <si>
    <t>M091712644319G</t>
  </si>
  <si>
    <t>M120300019320J</t>
  </si>
  <si>
    <t>INDUSTRIES MINIERES DU CAMEROUN</t>
  </si>
  <si>
    <t>M061812711048N</t>
  </si>
  <si>
    <t>CHARLES AKUM TENDU</t>
  </si>
  <si>
    <t>P077412264802D</t>
  </si>
  <si>
    <t>ZOUHOUR SARL</t>
  </si>
  <si>
    <t>M031812696971J</t>
  </si>
  <si>
    <t>ELOUNDOU NKA HENRI</t>
  </si>
  <si>
    <t>P118412703856N</t>
  </si>
  <si>
    <t>P017412624013F</t>
  </si>
  <si>
    <t>P017812444312Y</t>
  </si>
  <si>
    <t>STE JOSEPHINE GILBERT MARGUERITE</t>
  </si>
  <si>
    <t>ESPOIR DISTRIBUTION SARL</t>
  </si>
  <si>
    <t>kol</t>
  </si>
  <si>
    <t>ABONO</t>
  </si>
  <si>
    <t>ABOUBAKAR</t>
  </si>
  <si>
    <t>ALI</t>
  </si>
  <si>
    <t>ANIEKWE</t>
  </si>
  <si>
    <t>ASSOGNOLEBOT ANDRE</t>
  </si>
  <si>
    <t>BAKARI DOBIL</t>
  </si>
  <si>
    <t>CIE FORESTIERE DE L'EST</t>
  </si>
  <si>
    <t>DJANKEP</t>
  </si>
  <si>
    <t>DJIBRILLA</t>
  </si>
  <si>
    <t>DJOUSSE</t>
  </si>
  <si>
    <t>DYNASTY MINING SARL</t>
  </si>
  <si>
    <t>EDANGTE EPSE BIYEGUE BIYEGUE</t>
  </si>
  <si>
    <t>FAKO</t>
  </si>
  <si>
    <t>FOFACK</t>
  </si>
  <si>
    <t>FOZOH EMMANUEL</t>
  </si>
  <si>
    <t>HAROUNA</t>
  </si>
  <si>
    <t>IBRAHIMA</t>
  </si>
  <si>
    <t>IDRISSA</t>
  </si>
  <si>
    <t>LAMINOU</t>
  </si>
  <si>
    <t>LEMBO</t>
  </si>
  <si>
    <t>MANFOUO</t>
  </si>
  <si>
    <t>MBE</t>
  </si>
  <si>
    <t>MBGENVOH YAYA HERMANIS ARMAND</t>
  </si>
  <si>
    <t>MBOLATCHOUGOU AKA</t>
  </si>
  <si>
    <t>MBUA</t>
  </si>
  <si>
    <t>MEDZI</t>
  </si>
  <si>
    <t>METSENI BEKOLO</t>
  </si>
  <si>
    <t>MOHAMMADOU</t>
  </si>
  <si>
    <t>MOUSAGUINYO</t>
  </si>
  <si>
    <t>MOUSSA</t>
  </si>
  <si>
    <t>MUTUELLE COMMUNAUT.DE CROISSANCE DE BERTOUA</t>
  </si>
  <si>
    <t>NDIFAI</t>
  </si>
  <si>
    <t>NDJANDJA CHIAGE</t>
  </si>
  <si>
    <t>NGOH NKEM</t>
  </si>
  <si>
    <t>NGOUFO FOSSO</t>
  </si>
  <si>
    <t>NGUEFACK</t>
  </si>
  <si>
    <t>NGUIMO</t>
  </si>
  <si>
    <t>OUSMANOU</t>
  </si>
  <si>
    <t>RADIO AURORE</t>
  </si>
  <si>
    <t>SALE</t>
  </si>
  <si>
    <t>SOC CAM DE TRANSF DE BOIS</t>
  </si>
  <si>
    <t>SOCIETE GLOBAL MINING SARL</t>
  </si>
  <si>
    <t>SOCIETE IBRAHIM COMPANY SARL</t>
  </si>
  <si>
    <t>SOCIETE MING CHENG TRADE CO.LTD SARL</t>
  </si>
  <si>
    <t>SOCIETE NYIMI ET FILS SARL</t>
  </si>
  <si>
    <t>SOCIETE O.M.C. SARL</t>
  </si>
  <si>
    <t>SOCIETE PHOENIX CAMP CAM (PC)SARL</t>
  </si>
  <si>
    <t>SOCIETE WARRIORS SARL</t>
  </si>
  <si>
    <t>SONPIE KENE</t>
  </si>
  <si>
    <t>STE CARRIERE ORIENT DE BERTOUA SARL</t>
  </si>
  <si>
    <t>STE D'EXPLOIT DES PROD DES CARRIERE</t>
  </si>
  <si>
    <t>STE FOREST INDUST AGRIC DE MBETHEN</t>
  </si>
  <si>
    <t>TADJIO TIOMELA EPSEE FOPA MARIE THERESE</t>
  </si>
  <si>
    <t>313</t>
  </si>
  <si>
    <t>314</t>
  </si>
  <si>
    <t>TALLA</t>
  </si>
  <si>
    <t>315</t>
  </si>
  <si>
    <t>316</t>
  </si>
  <si>
    <t>317</t>
  </si>
  <si>
    <t>318</t>
  </si>
  <si>
    <t>TCHAPTCHIE BOCHOU</t>
  </si>
  <si>
    <t>319</t>
  </si>
  <si>
    <t>320</t>
  </si>
  <si>
    <t>TCHOFFO KAFO MENE</t>
  </si>
  <si>
    <t>322</t>
  </si>
  <si>
    <t>323</t>
  </si>
  <si>
    <t>324</t>
  </si>
  <si>
    <t>325</t>
  </si>
  <si>
    <t>326</t>
  </si>
  <si>
    <t>TIZE</t>
  </si>
  <si>
    <t>327</t>
  </si>
  <si>
    <t>328</t>
  </si>
  <si>
    <t>329</t>
  </si>
  <si>
    <t>330</t>
  </si>
  <si>
    <t>WACHE</t>
  </si>
  <si>
    <t>331</t>
  </si>
  <si>
    <t>332</t>
  </si>
  <si>
    <t>333</t>
  </si>
  <si>
    <t>YAOUBA</t>
  </si>
  <si>
    <t>335</t>
  </si>
  <si>
    <t>YAYA</t>
  </si>
  <si>
    <t>336</t>
  </si>
  <si>
    <t>337</t>
  </si>
  <si>
    <t>338</t>
  </si>
  <si>
    <t>339</t>
  </si>
  <si>
    <t>YOUHANISSOU</t>
  </si>
  <si>
    <t>341</t>
  </si>
  <si>
    <t>342</t>
  </si>
  <si>
    <t>343</t>
  </si>
  <si>
    <t>ZOBA</t>
  </si>
  <si>
    <t>344</t>
  </si>
  <si>
    <t>GILBERT</t>
  </si>
  <si>
    <t>CRIE</t>
  </si>
  <si>
    <t>BP ABONG-MBANG/NYONG</t>
  </si>
  <si>
    <t>ABDOULAYE</t>
  </si>
  <si>
    <t>P069714235764T</t>
  </si>
  <si>
    <t>COM DES SUBSTANCES MINIERES</t>
  </si>
  <si>
    <t>6333444040</t>
  </si>
  <si>
    <t>BP BATOURI/COLOMINE</t>
  </si>
  <si>
    <t>GARGA</t>
  </si>
  <si>
    <t>P017914235380H</t>
  </si>
  <si>
    <t>691413077</t>
  </si>
  <si>
    <t>BP KETTE/GBITI</t>
  </si>
  <si>
    <t>NELSON</t>
  </si>
  <si>
    <t>P017712754809Z</t>
  </si>
  <si>
    <t>P015812402689X</t>
  </si>
  <si>
    <t>NARMAI</t>
  </si>
  <si>
    <t>670161132</t>
  </si>
  <si>
    <t>ETS CHARLES AKUM</t>
  </si>
  <si>
    <t>VENTE PROD PETROLIER/COM GEN</t>
  </si>
  <si>
    <t>BP YOKADOUMA</t>
  </si>
  <si>
    <t>222 24 14 32</t>
  </si>
  <si>
    <t>Société anonyme</t>
  </si>
  <si>
    <t>TRANSPORT DE PERSONNES</t>
  </si>
  <si>
    <t>Société à responsbilités limités</t>
  </si>
  <si>
    <t>GUY</t>
  </si>
  <si>
    <t>P076412652324J</t>
  </si>
  <si>
    <t>PROPRIETAIRE FONCIER</t>
  </si>
  <si>
    <t>DJOUGOUODOUM</t>
  </si>
  <si>
    <t>P108312485535W</t>
  </si>
  <si>
    <t>COM GEN/PREST SCES/QUINCAILLERIE</t>
  </si>
  <si>
    <t>694463017</t>
  </si>
  <si>
    <t>HUGUES</t>
  </si>
  <si>
    <t>P017200196847J</t>
  </si>
  <si>
    <t>P046712327237F</t>
  </si>
  <si>
    <t>M041812703247C</t>
  </si>
  <si>
    <t>RECHERCHE ET EXPLOITATION MINIÈRE/COM GEN/FORET/ PRESTATIONS DE SERVICE</t>
  </si>
  <si>
    <t>REGINE</t>
  </si>
  <si>
    <t>P068200414767J</t>
  </si>
  <si>
    <t>673768877</t>
  </si>
  <si>
    <t>BP YOKADOUMA/ADMINISTRATION</t>
  </si>
  <si>
    <t>ADMINISTRATION</t>
  </si>
  <si>
    <t>COM GEN/BTP/TRANSP MARCHANDISES/PRESTAT SCES</t>
  </si>
  <si>
    <t>699751411</t>
  </si>
  <si>
    <t>BERTOUA Ier</t>
  </si>
  <si>
    <t>MARCHE</t>
  </si>
  <si>
    <t>PHILIBERT</t>
  </si>
  <si>
    <t>BP BERTOUA/KPOKOLOTA</t>
  </si>
  <si>
    <t>CLOVIS HILAIRE</t>
  </si>
  <si>
    <t>P117412576278G</t>
  </si>
  <si>
    <t>670750883</t>
  </si>
  <si>
    <t>CASIMIR</t>
  </si>
  <si>
    <t>P027912150426A</t>
  </si>
  <si>
    <t>DISTRIBUTION DES MEDICAMENTS</t>
  </si>
  <si>
    <t>Administration Publique</t>
  </si>
  <si>
    <t>AYAFOR</t>
  </si>
  <si>
    <t>HEBERGEMENT/COM GEN/PRESTATIONS SCES</t>
  </si>
  <si>
    <t>BP BERTOUA/MOKOLO</t>
  </si>
  <si>
    <t>AHMADOU</t>
  </si>
  <si>
    <t>P018612584822G</t>
  </si>
  <si>
    <t>BP KENTZOU</t>
  </si>
  <si>
    <t>22 241 650</t>
  </si>
  <si>
    <t>COM-GEN/TRANSP DE MARCHANDISES</t>
  </si>
  <si>
    <t>ABDEL</t>
  </si>
  <si>
    <t>P058814235388T</t>
  </si>
  <si>
    <t>COM DES SUBSTANCES MINIERE</t>
  </si>
  <si>
    <t>677070009</t>
  </si>
  <si>
    <t>BP BERTOUA/KOLOMINE</t>
  </si>
  <si>
    <t>I.M.C. SARL</t>
  </si>
  <si>
    <t>BERTOUA/BODOMO</t>
  </si>
  <si>
    <t>699555342</t>
  </si>
  <si>
    <t>BP BERTOUA/BODOMO</t>
  </si>
  <si>
    <t>P018112331614T</t>
  </si>
  <si>
    <t>COM GEN/PRESTATIONS DE SERVICES</t>
  </si>
  <si>
    <t>BP BERTOUA/ENIA</t>
  </si>
  <si>
    <t>GEORGES</t>
  </si>
  <si>
    <t>P126112753198A</t>
  </si>
  <si>
    <t>PRESTATION DE SERVICES/COMM.GEN.</t>
  </si>
  <si>
    <t>ENTREPRISE IND</t>
  </si>
  <si>
    <t>ROMAIN</t>
  </si>
  <si>
    <t>P067612438603X</t>
  </si>
  <si>
    <t>697005163</t>
  </si>
  <si>
    <t>MIKELIN</t>
  </si>
  <si>
    <t>P097900197016N</t>
  </si>
  <si>
    <t>VENTE PIECES DETACHEES</t>
  </si>
  <si>
    <t>699583037</t>
  </si>
  <si>
    <t>BP BERTOUA/NKOLBIKON</t>
  </si>
  <si>
    <t>ETS YAYA &amp; CIE</t>
  </si>
  <si>
    <t>P117812263474B</t>
  </si>
  <si>
    <t>695 630 901</t>
  </si>
  <si>
    <t>BP ABONG-MBANG/BAMILEKE</t>
  </si>
  <si>
    <t>BAMILEKE</t>
  </si>
  <si>
    <t>ERIC HERVE</t>
  </si>
  <si>
    <t>P057400258579H</t>
  </si>
  <si>
    <t>ANDREW WOKAMBE</t>
  </si>
  <si>
    <t>P077212132809K</t>
  </si>
  <si>
    <t>COMMERCE GÉNÉRAL</t>
  </si>
  <si>
    <t>699094319</t>
  </si>
  <si>
    <t>JEROME YVAN</t>
  </si>
  <si>
    <t>P019412734862G</t>
  </si>
  <si>
    <t>22 04 33 60</t>
  </si>
  <si>
    <t>P116900399876D</t>
  </si>
  <si>
    <t>BELLO</t>
  </si>
  <si>
    <t>P118612735639Z</t>
  </si>
  <si>
    <t>COMMECRE GENERAL</t>
  </si>
  <si>
    <t>677060741</t>
  </si>
  <si>
    <t>BP MANDJOU/APRES GRANDE MOSQUE</t>
  </si>
  <si>
    <t>JEREMIE</t>
  </si>
  <si>
    <t>P017214378780G</t>
  </si>
  <si>
    <t>COMMERCE GÉNÉRAL,PRESTATION SCES</t>
  </si>
  <si>
    <t>666631871</t>
  </si>
  <si>
    <t>KPO-MOKOLO</t>
  </si>
  <si>
    <t>ADAMOU</t>
  </si>
  <si>
    <t>P028000400114M</t>
  </si>
  <si>
    <t>RESTAURANT</t>
  </si>
  <si>
    <t>EST/LOM ET DJEREM</t>
  </si>
  <si>
    <t>BERTOUA/BAMVELE</t>
  </si>
  <si>
    <t>MC² BTA</t>
  </si>
  <si>
    <t>ETS DE MICROFINANCE</t>
  </si>
  <si>
    <t>670</t>
  </si>
  <si>
    <t>Association</t>
  </si>
  <si>
    <t>ERNEST</t>
  </si>
  <si>
    <t>P027812707372P</t>
  </si>
  <si>
    <t>RICHARD HARISON</t>
  </si>
  <si>
    <t>FREDERIC</t>
  </si>
  <si>
    <t>P046700136856D</t>
  </si>
  <si>
    <t>PRESTATAIRE DE SERVICES</t>
  </si>
  <si>
    <t>501</t>
  </si>
  <si>
    <t>ADMNINISTRATIF</t>
  </si>
  <si>
    <t>VENTE DES BOISSONS</t>
  </si>
  <si>
    <t>BP BERTOUA/TINDAMBA</t>
  </si>
  <si>
    <t>695831687</t>
  </si>
  <si>
    <t>MARIE GISEL</t>
  </si>
  <si>
    <t>P037400123122C</t>
  </si>
  <si>
    <t>672350230</t>
  </si>
  <si>
    <t>BP MANDJOU/MOLAH HOTEL</t>
  </si>
  <si>
    <t>MARCHE CANTRAL</t>
  </si>
  <si>
    <t>RENE</t>
  </si>
  <si>
    <t>675582741</t>
  </si>
  <si>
    <t>BP BERTOUA/NKOLBIKON I</t>
  </si>
  <si>
    <t>699977776</t>
  </si>
  <si>
    <t>SANDA</t>
  </si>
  <si>
    <t>ACHAT ET VENTE D'OR</t>
  </si>
  <si>
    <t>AMADOU</t>
  </si>
  <si>
    <t>P017314246282M</t>
  </si>
  <si>
    <t>COM DES SUBST MINIERES</t>
  </si>
  <si>
    <t>679229545</t>
  </si>
  <si>
    <t>BP BETARE-OYA</t>
  </si>
  <si>
    <t>M030100017990L</t>
  </si>
  <si>
    <t>PRODUCTION AUDIO-VISUEL</t>
  </si>
  <si>
    <t>699525772</t>
  </si>
  <si>
    <t>LAOLO</t>
  </si>
  <si>
    <t>P018414235765T</t>
  </si>
  <si>
    <t>679370196</t>
  </si>
  <si>
    <t>SOCATRAB SARL</t>
  </si>
  <si>
    <t>694211717/699114442</t>
  </si>
  <si>
    <t>Coopérative</t>
  </si>
  <si>
    <t>BP 212 BERTOUA</t>
  </si>
  <si>
    <t>G.M SARL</t>
  </si>
  <si>
    <t>M021812680199A</t>
  </si>
  <si>
    <t>ICOM SARL</t>
  </si>
  <si>
    <t>M011912736294J</t>
  </si>
  <si>
    <t>COM GEN/PREST SCES/TRANSPORT</t>
  </si>
  <si>
    <t>699890247</t>
  </si>
  <si>
    <t>BP BERTOUA</t>
  </si>
  <si>
    <t>M061912787598P</t>
  </si>
  <si>
    <t>COM GEN/EXTRACT MINIERE/EXPLOIT FOREST</t>
  </si>
  <si>
    <t>675635878</t>
  </si>
  <si>
    <t>699515890</t>
  </si>
  <si>
    <t>S.N.F.S</t>
  </si>
  <si>
    <t>M011812735303H</t>
  </si>
  <si>
    <t>695193803</t>
  </si>
  <si>
    <t>BP BERTOUA/BIRPONDO</t>
  </si>
  <si>
    <t>M031812760217M</t>
  </si>
  <si>
    <t>COM GEN/PRESTAT SCES/BTP</t>
  </si>
  <si>
    <t>M111812730639L</t>
  </si>
  <si>
    <t>EXPLOIT MINIERE/PRESTAT SCES/COM GEN</t>
  </si>
  <si>
    <t>M011912735637W</t>
  </si>
  <si>
    <t>COM GEN/REPRESENTATION COM/PREST SCES</t>
  </si>
  <si>
    <t>MARIE MADELEINE</t>
  </si>
  <si>
    <t>M031912770869T</t>
  </si>
  <si>
    <t>EXTRACTION DES MINES/BTP/COM GEN</t>
  </si>
  <si>
    <t>656536351</t>
  </si>
  <si>
    <t>BP BERTOUA/BOGNIS</t>
  </si>
  <si>
    <t>S.E.P.C. SARL</t>
  </si>
  <si>
    <t>M091712645598R</t>
  </si>
  <si>
    <t>EXPLOIT DES PRODUITS DES CARRIERES</t>
  </si>
  <si>
    <t>699539240</t>
  </si>
  <si>
    <t>BP BERTOUA/MOKOLO I</t>
  </si>
  <si>
    <t>FIAM S.A.</t>
  </si>
  <si>
    <t>M120013956675K</t>
  </si>
  <si>
    <t>STE G. JOSEPHINE SARL</t>
  </si>
  <si>
    <t>M074400024738B</t>
  </si>
  <si>
    <t>PRESTATION SERVICES</t>
  </si>
  <si>
    <t>896</t>
  </si>
  <si>
    <t>BP BERTOUA/KOUME</t>
  </si>
  <si>
    <t>ETS NAPSAL-CAM</t>
  </si>
  <si>
    <t>P017300137591U</t>
  </si>
  <si>
    <t>596</t>
  </si>
  <si>
    <t>691 854 738</t>
  </si>
  <si>
    <t>LITTORAL</t>
  </si>
  <si>
    <t>WOURI</t>
  </si>
  <si>
    <t>DOUALA</t>
  </si>
  <si>
    <t>DOUALA 4</t>
  </si>
  <si>
    <t>BONABERI</t>
  </si>
  <si>
    <t>JOSEPH</t>
  </si>
  <si>
    <t>P046300022358K</t>
  </si>
  <si>
    <t>699616550</t>
  </si>
  <si>
    <t>BP BERTOUA/BRIQUETERIE</t>
  </si>
  <si>
    <t>PAULIN</t>
  </si>
  <si>
    <t>BP 640 BERTOUA</t>
  </si>
  <si>
    <t>ERNEST ALBIN</t>
  </si>
  <si>
    <t>VENTE MEDICAMENTS</t>
  </si>
  <si>
    <t>BP BERTOUA/QUARTIER NKOLBIKON</t>
  </si>
  <si>
    <t>MOHAMADOU LEONARD</t>
  </si>
  <si>
    <t>JEAN BOSCO</t>
  </si>
  <si>
    <t>HAMDJA</t>
  </si>
  <si>
    <t>P018614235358Q</t>
  </si>
  <si>
    <t>697505994</t>
  </si>
  <si>
    <t>BP GAROUA-BOULAI</t>
  </si>
  <si>
    <t>BAKARY</t>
  </si>
  <si>
    <t>P015212756092R</t>
  </si>
  <si>
    <t>690388149</t>
  </si>
  <si>
    <t>CHRISTINE</t>
  </si>
  <si>
    <t>P086700122839P</t>
  </si>
  <si>
    <t>BUREAU D'ACHATS D'OR</t>
  </si>
  <si>
    <t>NON</t>
  </si>
  <si>
    <t>OUI</t>
  </si>
  <si>
    <t>NOUVEAU</t>
  </si>
  <si>
    <t>PARTENAIRE(ORANGE)</t>
  </si>
  <si>
    <t>TOTAL RECETTES</t>
  </si>
  <si>
    <t>ETAT</t>
  </si>
  <si>
    <t>KENFACK</t>
  </si>
  <si>
    <t>MICHEL</t>
  </si>
  <si>
    <t>P046100418065D</t>
  </si>
  <si>
    <t>PRESTATION DE SERVICES/BTP</t>
  </si>
  <si>
    <t>345</t>
  </si>
  <si>
    <t>defaillant</t>
  </si>
  <si>
    <t>Defaillants</t>
  </si>
  <si>
    <t>Neants</t>
  </si>
  <si>
    <t>Reguliers</t>
  </si>
  <si>
    <t>Taille Fichier</t>
  </si>
  <si>
    <t>CA</t>
  </si>
  <si>
    <t>P015412265588P</t>
  </si>
  <si>
    <t>entrée mai</t>
  </si>
  <si>
    <t>IBRAHIM ISSA</t>
  </si>
  <si>
    <t>P128700571900W</t>
  </si>
  <si>
    <t>SALI</t>
  </si>
  <si>
    <t>P016512650493L</t>
  </si>
  <si>
    <t>RSA</t>
  </si>
  <si>
    <t>Feicom</t>
  </si>
  <si>
    <t>FICHIER</t>
  </si>
  <si>
    <t>UGI 1: industries</t>
  </si>
  <si>
    <t>UGI 2: commerce general</t>
  </si>
  <si>
    <t>UGI 3: NTIC, Assurances, CTD</t>
  </si>
  <si>
    <t>UGI 4: forets, mines, petroles</t>
  </si>
  <si>
    <t>UGI 5: prestations services</t>
  </si>
  <si>
    <t xml:space="preserve">  </t>
  </si>
  <si>
    <t>Action specifique (Campagne Forets)</t>
  </si>
  <si>
    <t xml:space="preserve">   </t>
  </si>
  <si>
    <t>Cumul Grands Comptes</t>
  </si>
  <si>
    <t>Cumul Autres (nbre)</t>
  </si>
  <si>
    <t xml:space="preserve">CGD </t>
  </si>
  <si>
    <t>SCTW SARL</t>
  </si>
  <si>
    <t>Total général GC (nbre)</t>
  </si>
  <si>
    <t>Total général autres (nbre)</t>
  </si>
  <si>
    <t>c) Projections des soldes</t>
  </si>
  <si>
    <t>BANQUES, ASSURANCES, NTIC, CTD</t>
  </si>
  <si>
    <t>FORETS, EAUX, MINES, PETROLES</t>
  </si>
  <si>
    <t>TOTAL SOLDES</t>
  </si>
  <si>
    <t>d) RFA / RSA</t>
  </si>
  <si>
    <t>Multiservices plus</t>
  </si>
  <si>
    <t>soldé</t>
  </si>
  <si>
    <t>Kakouande</t>
  </si>
  <si>
    <t>defaillant 3eme T</t>
  </si>
  <si>
    <t>SAFE</t>
  </si>
  <si>
    <t>autres paiements de RSA (Dekonka)</t>
  </si>
  <si>
    <t>DPR suite infos DRMIDT</t>
  </si>
  <si>
    <t>TOTAL RFA / RSA</t>
  </si>
  <si>
    <t>RAISONS SOCIALES</t>
  </si>
  <si>
    <t>SUIVI DES RELIQUATAIRES ET DEFAILLANTS</t>
  </si>
  <si>
    <t>CSP/DPR</t>
  </si>
  <si>
    <t xml:space="preserve">    </t>
  </si>
  <si>
    <t>Total 3 et 4</t>
  </si>
  <si>
    <t>Raison sociales</t>
  </si>
  <si>
    <t>RAS</t>
  </si>
  <si>
    <t>Total VG</t>
  </si>
  <si>
    <t>Total CP</t>
  </si>
  <si>
    <t>TOTAL GENERAL (VG+CP)</t>
  </si>
  <si>
    <t>1. Projections globale par secteur d'activité</t>
  </si>
  <si>
    <t>Total</t>
  </si>
  <si>
    <t>1. Projections des grands comptes</t>
  </si>
  <si>
    <t>MORATOIRE</t>
  </si>
  <si>
    <t>CONTENTIEUX</t>
  </si>
  <si>
    <t>DIFFICILE</t>
  </si>
  <si>
    <t>REELS</t>
  </si>
  <si>
    <t xml:space="preserve">S/TOTAL </t>
  </si>
  <si>
    <t>IV. RECAPITULATIF</t>
  </si>
  <si>
    <t>Réalisations à date</t>
  </si>
  <si>
    <t>Vs spontanés</t>
  </si>
  <si>
    <t>RFA / RSA</t>
  </si>
  <si>
    <t>Autres AG</t>
  </si>
  <si>
    <t xml:space="preserve">Controles </t>
  </si>
  <si>
    <t>Recouvrements</t>
  </si>
  <si>
    <t>TR</t>
  </si>
  <si>
    <t>Total Général</t>
  </si>
  <si>
    <t>V. REPARTITION PAR TYPES D'IMPOTS</t>
  </si>
  <si>
    <t xml:space="preserve">Types d'impots </t>
  </si>
  <si>
    <t>TAXE ABATAGE</t>
  </si>
  <si>
    <t>AUTRES DF</t>
  </si>
  <si>
    <t>TAXE SEJOUR</t>
  </si>
  <si>
    <t>autres impots (AIR, PSL, DF, taxes, ,,,)</t>
  </si>
  <si>
    <t>SOCOPAT</t>
  </si>
  <si>
    <t>STE KYH DISTRIBUTION</t>
  </si>
  <si>
    <t>STE MO'OLO DISTRIBUTION</t>
  </si>
  <si>
    <t>STE CONCORDIA</t>
  </si>
  <si>
    <t>STE UNIVERSEL SARL</t>
  </si>
  <si>
    <t>MC2 BERTOUA</t>
  </si>
  <si>
    <t>MC2 BATOURI</t>
  </si>
  <si>
    <t>COMMUNE DE BELABO</t>
  </si>
  <si>
    <t>AHMADOU ADAMA</t>
  </si>
  <si>
    <t>GROUPE TALMA</t>
  </si>
  <si>
    <t>CSP(PEC)/DPR</t>
  </si>
  <si>
    <t>virement tresor</t>
  </si>
  <si>
    <t>vs</t>
  </si>
  <si>
    <t>pat</t>
  </si>
  <si>
    <t>inactif/vs Oct</t>
  </si>
  <si>
    <t>actif/vs Oct</t>
  </si>
  <si>
    <t>Autres</t>
  </si>
  <si>
    <t>VS DECEMBRE PAYES EN DECEMBRE</t>
  </si>
  <si>
    <t>ETAT NOMMINATIF DES RELIQUATAIRES DU MOIS DE DECEMBRE 2020</t>
  </si>
  <si>
    <t>PB</t>
  </si>
  <si>
    <t>MONTANT</t>
  </si>
  <si>
    <t>ELOUNDOU DOMINIQUE(phcie generale)</t>
  </si>
  <si>
    <t>SAIBOU ALIOU</t>
  </si>
  <si>
    <t>CLIMAT DUBAI</t>
  </si>
  <si>
    <t>ETS RAVITAILLEUR</t>
  </si>
  <si>
    <t>MANA NGWOA Lucie</t>
  </si>
  <si>
    <t>DOUONVEU PHILEMON</t>
  </si>
  <si>
    <t>bail</t>
  </si>
  <si>
    <t>tpf</t>
  </si>
  <si>
    <t>lic</t>
  </si>
  <si>
    <t>Ventilation par organisme</t>
  </si>
  <si>
    <t>Date création</t>
  </si>
  <si>
    <t>N° déclaration</t>
  </si>
  <si>
    <t>Nom contribuable</t>
  </si>
  <si>
    <t>Emission</t>
  </si>
  <si>
    <t>SUIVI DEFAILLANTS ET REL RFA</t>
  </si>
  <si>
    <t>HAROUNA AHMADOU</t>
  </si>
  <si>
    <t>ALI GARGA</t>
  </si>
  <si>
    <t>YAOUBA HAMDJA</t>
  </si>
  <si>
    <t>HAROUNA ADAMOU YOUSSOUFA</t>
  </si>
  <si>
    <t>OUSMANOU AMADOU</t>
  </si>
  <si>
    <t>SALE LAOLO</t>
  </si>
  <si>
    <t>SOULEYMANOU OUMAROU</t>
  </si>
  <si>
    <t>AFRIQUE METAL SARL (AM SARL)</t>
  </si>
  <si>
    <t>SOCIETE ETOILE CAMEROUN (ETOILE CAM SA)</t>
  </si>
  <si>
    <t>SOCIETE INTERN MINIERE SARL</t>
  </si>
  <si>
    <t>STRICAM</t>
  </si>
  <si>
    <t>ESPOIR DISTRIBUTION</t>
  </si>
  <si>
    <t>MC2 ABONG-MBANG</t>
  </si>
  <si>
    <t>FRTS</t>
  </si>
  <si>
    <t>STE JOSEPHINE MARGUERITE</t>
  </si>
  <si>
    <t>SUIVI DEFAILLANTS ET REL RSA</t>
  </si>
  <si>
    <t>Taux de Real,</t>
  </si>
  <si>
    <r>
      <t>Taux de Progession Periode</t>
    </r>
    <r>
      <rPr>
        <b/>
        <sz val="9"/>
        <color theme="1"/>
        <rFont val="Times New Roman"/>
        <family val="1"/>
      </rPr>
      <t xml:space="preserve"> n-1</t>
    </r>
  </si>
  <si>
    <t>STE OVERLINE</t>
  </si>
  <si>
    <t>FC COMMUNE DE MESSAMENA/MINDOUROU</t>
  </si>
  <si>
    <t>FC COMMUNE DE LOMIE</t>
  </si>
  <si>
    <t>DPR/DIALOGUE DE GESTION</t>
  </si>
  <si>
    <t>03/11/2021 13:31:23</t>
  </si>
  <si>
    <t>09/11/2021 15:26:28</t>
  </si>
  <si>
    <t>09/11/2021 15:40:55</t>
  </si>
  <si>
    <t>09/11/2021 20:02:07</t>
  </si>
  <si>
    <t>09/11/2021 20:34:24</t>
  </si>
  <si>
    <t>09/11/2021 20:57:09</t>
  </si>
  <si>
    <t>09/11/2021 21:40:24</t>
  </si>
  <si>
    <t>09/11/2021 22:02:24</t>
  </si>
  <si>
    <t>09/11/2021 22:27:02</t>
  </si>
  <si>
    <t>10/11/2021 11:03:42</t>
  </si>
  <si>
    <t>11/11/2021 16:43:48</t>
  </si>
  <si>
    <t>12/11/2021 15:29:38</t>
  </si>
  <si>
    <t>12/11/2021 15:48:01</t>
  </si>
  <si>
    <t>12/11/2021 19:28:05</t>
  </si>
  <si>
    <t>41011361885</t>
  </si>
  <si>
    <t>41011392479</t>
  </si>
  <si>
    <t>41011392673</t>
  </si>
  <si>
    <t>41011395109</t>
  </si>
  <si>
    <t>41011395261</t>
  </si>
  <si>
    <t>41011395347</t>
  </si>
  <si>
    <t>41011395536</t>
  </si>
  <si>
    <t>41011395640</t>
  </si>
  <si>
    <t>41011395753</t>
  </si>
  <si>
    <t>41011398813</t>
  </si>
  <si>
    <t>41011410744</t>
  </si>
  <si>
    <t>41011419501</t>
  </si>
  <si>
    <t>41011419747</t>
  </si>
  <si>
    <t>41011421640</t>
  </si>
  <si>
    <t>oui</t>
  </si>
  <si>
    <t>1206991</t>
  </si>
  <si>
    <t>1521135</t>
  </si>
  <si>
    <t>1521139</t>
  </si>
  <si>
    <t>1521142</t>
  </si>
  <si>
    <t>1521144</t>
  </si>
  <si>
    <t>avant le 15</t>
  </si>
  <si>
    <t>après le 15</t>
  </si>
  <si>
    <t>OUMAROU SANDA/ETS OUMRA</t>
  </si>
  <si>
    <t>REPARTITION DES RECETTES/NOVEMBRE 2021</t>
  </si>
  <si>
    <t>ok</t>
  </si>
  <si>
    <t>FC COMMUNE GARI GOMBO</t>
  </si>
  <si>
    <t>CONSEIL REGIONAL</t>
  </si>
  <si>
    <t>FC COMMUNE DE MOLOUNDOU</t>
  </si>
  <si>
    <t xml:space="preserve">01/12/2021  AU </t>
  </si>
  <si>
    <t>CONSEIL REGIONAL DE L'EST</t>
  </si>
  <si>
    <t>FC COMMUNE DE MINDOUROU/SC STBC Royalties</t>
  </si>
  <si>
    <t xml:space="preserve">        EXERCICE : 2022</t>
  </si>
  <si>
    <t>CSP</t>
  </si>
  <si>
    <t>TENANTEU</t>
  </si>
  <si>
    <t>SOCATRAFO</t>
  </si>
  <si>
    <t>AVENIR DE LA KADEY</t>
  </si>
  <si>
    <t>IDA18 PNDP COMMUNE DE GA</t>
  </si>
  <si>
    <t>FC COMMUNE DE DOUME</t>
  </si>
  <si>
    <t>COMMUNE DE NGOURA</t>
  </si>
  <si>
    <t>1002265</t>
  </si>
  <si>
    <t>impots et taxes/SAL 03/21</t>
  </si>
  <si>
    <t>IDA18 PNDP COMMUNE OULI</t>
  </si>
  <si>
    <t>1588812</t>
  </si>
  <si>
    <t>taxes sur les ets dibadjo et fils</t>
  </si>
  <si>
    <t>1002267</t>
  </si>
  <si>
    <t>impots et taxes/SAL 04/21</t>
  </si>
  <si>
    <t>IDA18 PNDP COMMUNE DE SALAPOUMBE</t>
  </si>
  <si>
    <t>1588026</t>
  </si>
  <si>
    <t>paiement du decompte n 01 des ets akufor</t>
  </si>
  <si>
    <t>IDA18 PNDP COMMUNE DE MANDJOU</t>
  </si>
  <si>
    <t>1588807</t>
  </si>
  <si>
    <t>1588100</t>
  </si>
  <si>
    <t>paiement des taxes sur le prestataire ets</t>
  </si>
  <si>
    <t>taxes sur le paiement du decompte final</t>
  </si>
  <si>
    <t>CAISSE AUTONOME</t>
  </si>
  <si>
    <t>taxe sur prestation ets jatino</t>
  </si>
  <si>
    <t>taxe sur le prestataire ets agoume solutions</t>
  </si>
  <si>
    <t>FEILIAKESI TRADE INTERNATIONAL</t>
  </si>
  <si>
    <t>Etats des sommes dues</t>
  </si>
  <si>
    <t>impots et taxes/SAL 05/21</t>
  </si>
  <si>
    <t>IDA18 PNDP COMMUNE DE BA</t>
  </si>
  <si>
    <t>paiement des taxes du prestataire ets stephy</t>
  </si>
  <si>
    <t>taux progression</t>
  </si>
  <si>
    <t>Rendement/UG1</t>
  </si>
  <si>
    <t>Rendement/UG2</t>
  </si>
  <si>
    <t>Rendement/UG3</t>
  </si>
  <si>
    <t>Rendement/UG4</t>
  </si>
  <si>
    <t>Rendement/UG5</t>
  </si>
  <si>
    <t>Fonction Fiscale</t>
  </si>
  <si>
    <t>AAG</t>
  </si>
  <si>
    <t>Versements spontanés</t>
  </si>
  <si>
    <t>Autres Activités de Gestion</t>
  </si>
  <si>
    <t>RDT CIME BTA</t>
  </si>
  <si>
    <t>Ecart/Realisations</t>
  </si>
  <si>
    <t>II - PAR FONCTION FONCTION FISCALE</t>
  </si>
  <si>
    <t>I - PAR TYPE D'IMPOT ET PAR UNITE DE GESTION</t>
  </si>
  <si>
    <t>III - RAPPEL MÉMOIRE</t>
  </si>
  <si>
    <t>BCV</t>
  </si>
  <si>
    <t>RI</t>
  </si>
  <si>
    <t>CGS</t>
  </si>
  <si>
    <t>CGS: Cellule de Gestion et du Suivi</t>
  </si>
  <si>
    <t>BCV: Brigade de contrôles et Verifications</t>
  </si>
  <si>
    <t>RI: Recette des impots</t>
  </si>
  <si>
    <t>TR.</t>
  </si>
  <si>
    <t>TR: Taux de Réalisation</t>
  </si>
  <si>
    <t>IDA 18 PNDP COM BETARE</t>
  </si>
  <si>
    <t>IDA 18 PNDP COM DE KE</t>
  </si>
  <si>
    <t>IDA 18 PNDP COM DE BA</t>
  </si>
  <si>
    <t>FED PNDP ALLOCATION COM</t>
  </si>
  <si>
    <t>taxes sur paiement assolo awono eric</t>
  </si>
  <si>
    <t>taxe sur le paiement de m noubissi</t>
  </si>
  <si>
    <t>taxe sur le paiement de m nganouk heumeni</t>
  </si>
  <si>
    <t>taxe sur le contrôle okala eteme</t>
  </si>
  <si>
    <t>taxe sur ecompte prestataire</t>
  </si>
  <si>
    <t>DIALOGUE DE GESTION</t>
  </si>
  <si>
    <t>COMMUNE DE DIMAKO</t>
  </si>
  <si>
    <t>1626678</t>
  </si>
  <si>
    <t>1626682</t>
  </si>
  <si>
    <t>1627236</t>
  </si>
  <si>
    <t>1627245</t>
  </si>
  <si>
    <t>1627250</t>
  </si>
  <si>
    <t>ETS KOUEBO &amp; FILS</t>
  </si>
  <si>
    <t>1348650</t>
  </si>
  <si>
    <t>1627885</t>
  </si>
  <si>
    <t>------------</t>
  </si>
  <si>
    <t>Mois de Mars</t>
  </si>
  <si>
    <t>OBJECTIFS DE MARS 2022</t>
  </si>
  <si>
    <t>COMMUNAUTE URBAINE DE BERTOUA</t>
  </si>
  <si>
    <t>AFRIQUE METAL</t>
  </si>
  <si>
    <t>ETOILE CAMEROUN</t>
  </si>
  <si>
    <t>FC ABONG MBANG/MINDOUROU/MESSAMENA</t>
  </si>
  <si>
    <t>MULTI SERVICE PLUS</t>
  </si>
  <si>
    <t>Réalisation Mars 2021</t>
  </si>
  <si>
    <t>STE CAMEROUNAISES DES BOIS DEBITES</t>
  </si>
  <si>
    <t>FEILIAKESI</t>
  </si>
  <si>
    <t>COMMUNE DE BERTOUA 1ER</t>
  </si>
  <si>
    <t>COMMUNE DE YOKADOUMA</t>
  </si>
  <si>
    <t>COMMUNAUTE URBAINE</t>
  </si>
  <si>
    <t>reliquataire au 25</t>
  </si>
  <si>
    <t>SOCIETE DE TRANSPORTS ET DISTRIBUTIONS</t>
  </si>
  <si>
    <t>cdi</t>
  </si>
  <si>
    <t xml:space="preserve">    MOIS : AVRIL</t>
  </si>
  <si>
    <t>OBJECTIF AVRIL</t>
  </si>
  <si>
    <t>Reliquataires Mars 2021</t>
  </si>
  <si>
    <t>REALISATIONS DE AVRIL 2022</t>
  </si>
  <si>
    <t>Réalisations  Avril 2021</t>
  </si>
  <si>
    <t>Rendement UG            Mars-2021</t>
  </si>
  <si>
    <t>Rendement UG            Avril-2022</t>
  </si>
  <si>
    <t>Rendement                  Avril-2022</t>
  </si>
  <si>
    <t>ETAT COMPARATIF DES RENDEMENTS (Avril 2021 et Avril 2022)</t>
  </si>
  <si>
    <t>Rendement UG            Avril-2021</t>
  </si>
  <si>
    <t>Rendement                      Avril-2021</t>
  </si>
  <si>
    <t xml:space="preserve"> PLAN D'ACTIONS DU CIME AU TITRE DU MOIS D'AVRIL 2022</t>
  </si>
  <si>
    <t>Réalisation Avril 2021</t>
  </si>
  <si>
    <t>Estimation Avril 2022</t>
  </si>
  <si>
    <t>Estimations Avril 2022</t>
  </si>
  <si>
    <t>Réalisations Avril 2021</t>
  </si>
  <si>
    <t>Réalisation Mars 2022</t>
  </si>
  <si>
    <t>Rendement                       Mars-2022</t>
  </si>
  <si>
    <t>SOCAMER/Bail</t>
  </si>
  <si>
    <t>FOE JEAN/Bail</t>
  </si>
  <si>
    <t>ANKOUMA ATEBA CLAIRE/Bail</t>
  </si>
  <si>
    <t>KOUEKAM ANDRE/MAITRE DIMENE/Bail</t>
  </si>
  <si>
    <t>LE CREDIT DU SAHEL SA/Bail</t>
  </si>
  <si>
    <t>MEELO GILBERT/Bail</t>
  </si>
  <si>
    <t>COMPAGNIE DES TABACS CAMEROUNAIS/Bail + Penalités</t>
  </si>
  <si>
    <t>C D G SARL/Bail</t>
  </si>
  <si>
    <t>ETUDE MAITRE PONKA TAMO/Bail</t>
  </si>
  <si>
    <t>MBOHO JEAN/tpf</t>
  </si>
  <si>
    <t>FOMETE ETS/TPF</t>
  </si>
  <si>
    <t>ETUDE MAITRE MELINGUI/TPF</t>
  </si>
  <si>
    <t>DOMNO LEOPOLD/tpf</t>
  </si>
  <si>
    <t>MAHAMAT ABDOULAYE/tpf</t>
  </si>
  <si>
    <t>CROIX ROUGE FRANCAISE</t>
  </si>
  <si>
    <t>ETS MOINAM HOLDING</t>
  </si>
  <si>
    <t>OLA ENERGY CAMEROUN</t>
  </si>
  <si>
    <t>COMMUNE DE GAROUA BOULAI</t>
  </si>
  <si>
    <t>PNDP COMMUNE DE MANDJOU</t>
  </si>
  <si>
    <t>AHMADOU SARDOUNA/STE MINGCHENG TRADE</t>
  </si>
  <si>
    <t>ETS J AND K HAPPY FAMILY</t>
  </si>
  <si>
    <t>AHMADOU SARDOUNA/DONFACK TCHALEU CLAUDE</t>
  </si>
  <si>
    <t>SOCAMER</t>
  </si>
  <si>
    <t>AHMADOU SARDOUNA/STE MING CHENG TRADE 4</t>
  </si>
  <si>
    <t>AHMADOU SARDOUNA/TIOMO BERTRAND</t>
  </si>
  <si>
    <t>NDIP NTUI LAWRENCE/XING YUANG</t>
  </si>
  <si>
    <t>AHMADOU SARDAOUNA/china mining</t>
  </si>
  <si>
    <t>ETINA MARCEL/STE GOOD LUCK MINING</t>
  </si>
  <si>
    <t>AHMADOU SARDAOUNA/DINDO SAMATE JULIENNE RSA</t>
  </si>
  <si>
    <t>AHMADOU SARDOUNA/ets abdoul et fils</t>
  </si>
  <si>
    <t>GREEN VALLEY INCORPORATION</t>
  </si>
  <si>
    <t>SOCIETE DE TRANSFORMATION DU BOIS/FC ABONG MBANG</t>
  </si>
  <si>
    <t>SOCIETE DE TRANSFORMATION DU BOIS/FC DOUME</t>
  </si>
  <si>
    <t>SOCIETE DE TRANSFORMATION DU BOIS/FC DOUMAINTANG</t>
  </si>
  <si>
    <t>SOCIETE DE TRANSFORMATION DU BOIS/FC MESSAMENA-MINDOUROU</t>
  </si>
  <si>
    <t>ETS FOZOH EMMANUEL/Exploitation forestiere</t>
  </si>
  <si>
    <t>LES NOUVELLES TECHNIQUES/Exploitation forestiere</t>
  </si>
  <si>
    <t>AHMADOU SARDAOUNA/sezeboth de pepo</t>
  </si>
  <si>
    <t>AHMADOU SARDAOUNA/ASS SOUEKA</t>
  </si>
  <si>
    <t>HAMADOU ADAMA SARL/RELIQUATAIRE MARS</t>
  </si>
  <si>
    <t>HAMADOU ADAMA SARL P/C FC SALAPOUMBE</t>
  </si>
  <si>
    <t>GIC DES AGRICULTEURS DE MOGANSONA</t>
  </si>
  <si>
    <t>ETS KOUEBO ET FILS S/C issa gambo/DF</t>
  </si>
  <si>
    <t>ETS KOUEBO ET FILS S/C HASSANA ALIOUM/DF</t>
  </si>
  <si>
    <t>ETS KOUEBO ET FILS S/C IBRAHIM EGUI/DF</t>
  </si>
  <si>
    <t>EFFA EFFA VICTOR</t>
  </si>
  <si>
    <t>NGAI FREDERIC</t>
  </si>
  <si>
    <t>ETS KOUEBO ET FILS</t>
  </si>
  <si>
    <t>ABDOULAHI NANA</t>
  </si>
  <si>
    <t>MALIKI BABADJI</t>
  </si>
  <si>
    <t>NGUIARO BARA PAUL</t>
  </si>
  <si>
    <t>AHMADOU SARDAOUNA</t>
  </si>
  <si>
    <t>BOUK JINETTE</t>
  </si>
  <si>
    <t>SOCIETE IBRAHIM COMPANY SARL/Bail</t>
  </si>
  <si>
    <t>NCHUFANE HAROUNA</t>
  </si>
  <si>
    <t>MOMO FOMETEU ARSENE</t>
  </si>
  <si>
    <t>ETS KOUEBO ET FILS S/C</t>
  </si>
  <si>
    <t>OUMAROU</t>
  </si>
  <si>
    <t>FOZOH EMMANUEL AYAFOR</t>
  </si>
  <si>
    <t>PNDP ALLOC COMMUNE DE LOMIE</t>
  </si>
  <si>
    <t>PNDP HORS ALLOC CRCEST</t>
  </si>
  <si>
    <t>CUB/ Recettes Dormantes</t>
  </si>
  <si>
    <t>SOCIETE REUSSITE ASSURANCE SARLU</t>
  </si>
  <si>
    <t>COMMUNE DE GAROUA BOULAI PRODEL</t>
  </si>
  <si>
    <t>FOMETE TCHINDA/REGULARISATION</t>
  </si>
  <si>
    <t>TSINOU</t>
  </si>
  <si>
    <t>ANYOUZOA</t>
  </si>
  <si>
    <t>STE DE COMMERCE GENERAL POSHO  LUCIEN/RELIQUATAITRE MARS</t>
  </si>
  <si>
    <t>ZOUHOUR exploitant minier</t>
  </si>
  <si>
    <t>ETS EMBE JACQUIE THERESE</t>
  </si>
  <si>
    <t>ETS D-TEK CAMEROUN</t>
  </si>
  <si>
    <t>SUBVENTION PROJET C2D PSFE 2 C</t>
  </si>
  <si>
    <t>CWE</t>
  </si>
  <si>
    <t>ETS MANDONG JEAN</t>
  </si>
  <si>
    <t>COMMUNE DE MANJOU</t>
  </si>
  <si>
    <t>COMMUNE D'ABONG MBANG</t>
  </si>
  <si>
    <t>COMMUNE DE SALAPOUMBE</t>
  </si>
  <si>
    <t>COMMUNE DE MOLOUNDOU</t>
  </si>
  <si>
    <t>POSHO LUCIEN</t>
  </si>
  <si>
    <t>SOANEG</t>
  </si>
  <si>
    <t>AVENIR LA KAFEY</t>
  </si>
  <si>
    <t>ETS ZENGOUOU</t>
  </si>
  <si>
    <t>MEN CHENG</t>
  </si>
  <si>
    <t>MUFID BERTOUA</t>
  </si>
  <si>
    <t>ELOUNDOU NKA</t>
  </si>
  <si>
    <t>DR NGNINGAHA</t>
  </si>
  <si>
    <t>DR SIBEFFO</t>
  </si>
  <si>
    <t>FOE LUC</t>
  </si>
  <si>
    <t>OBJECTIFS DU MOIS: 515 723 644</t>
  </si>
  <si>
    <t>FC COMMUNE D'ABONG MBANG</t>
  </si>
  <si>
    <r>
      <t>FOZOH EMMANUEL AYAFOR/CSP amr 1526/</t>
    </r>
    <r>
      <rPr>
        <b/>
        <sz val="10"/>
        <color theme="1"/>
        <rFont val="Calibri"/>
        <family val="2"/>
        <scheme val="minor"/>
      </rPr>
      <t>Solde principal</t>
    </r>
  </si>
  <si>
    <r>
      <t>NGNINGAHA AUGUSTIN amr 1885/</t>
    </r>
    <r>
      <rPr>
        <b/>
        <sz val="10"/>
        <color theme="1"/>
        <rFont val="Calibri"/>
        <family val="2"/>
        <scheme val="minor"/>
      </rPr>
      <t>Avance principal</t>
    </r>
  </si>
  <si>
    <r>
      <t>FACOGESCAM amr 109029/</t>
    </r>
    <r>
      <rPr>
        <b/>
        <sz val="10"/>
        <color theme="1"/>
        <rFont val="Calibri"/>
        <family val="2"/>
        <scheme val="minor"/>
      </rPr>
      <t>Avance principal</t>
    </r>
  </si>
  <si>
    <r>
      <t>COMMUNE DE DIMAKO/</t>
    </r>
    <r>
      <rPr>
        <b/>
        <sz val="10"/>
        <color theme="1"/>
        <rFont val="Calibri"/>
        <family val="2"/>
        <scheme val="minor"/>
      </rPr>
      <t>Apurement dette</t>
    </r>
  </si>
  <si>
    <t>acompte ret is totalement apuré et is amorcé de 423246</t>
  </si>
  <si>
    <r>
      <t>STE AFRICAINE DE NEGOCE SARL amr 1552/</t>
    </r>
    <r>
      <rPr>
        <b/>
        <sz val="10"/>
        <color theme="1"/>
        <rFont val="Calibri"/>
        <family val="2"/>
        <scheme val="minor"/>
      </rPr>
      <t>Avance principal</t>
    </r>
  </si>
  <si>
    <r>
      <t>SCOOPS/AVENIR DE LA KADEY amr 1831/</t>
    </r>
    <r>
      <rPr>
        <b/>
        <sz val="10"/>
        <color theme="1"/>
        <rFont val="Calibri"/>
        <family val="2"/>
        <scheme val="minor"/>
      </rPr>
      <t>Solde principal</t>
    </r>
  </si>
  <si>
    <r>
      <t>ETS KAKOUANDE &amp; FILS amr 116038/</t>
    </r>
    <r>
      <rPr>
        <b/>
        <sz val="10"/>
        <color theme="1"/>
        <rFont val="Calibri"/>
        <family val="2"/>
        <scheme val="minor"/>
      </rPr>
      <t>Avance tva principal</t>
    </r>
  </si>
  <si>
    <r>
      <t>SOCIETE CAMEROUNAISE DES BOIS DEBITES SARL amr 1835/</t>
    </r>
    <r>
      <rPr>
        <b/>
        <sz val="10"/>
        <color theme="1"/>
        <rFont val="Calibri"/>
        <family val="2"/>
        <scheme val="minor"/>
      </rPr>
      <t>Avance principal</t>
    </r>
  </si>
  <si>
    <r>
      <t>SOCIETE MING CHENG TRADE CO.LTD SARL amr 83/</t>
    </r>
    <r>
      <rPr>
        <b/>
        <sz val="10"/>
        <color theme="1"/>
        <rFont val="Calibri"/>
        <family val="2"/>
        <scheme val="minor"/>
      </rPr>
      <t>Avance principal</t>
    </r>
  </si>
  <si>
    <r>
      <t>WAN ZHENGGUO amr 79/</t>
    </r>
    <r>
      <rPr>
        <b/>
        <sz val="10"/>
        <color theme="1"/>
        <rFont val="Calibri"/>
        <family val="2"/>
        <scheme val="minor"/>
      </rPr>
      <t>Avance principal</t>
    </r>
  </si>
  <si>
    <r>
      <t>FOE LUC amr 4947/</t>
    </r>
    <r>
      <rPr>
        <b/>
        <sz val="10"/>
        <color theme="1"/>
        <rFont val="Calibri"/>
        <family val="2"/>
        <scheme val="minor"/>
      </rPr>
      <t>Avance principal</t>
    </r>
  </si>
  <si>
    <r>
      <t>YONTA JOSEPH amr 4949/</t>
    </r>
    <r>
      <rPr>
        <b/>
        <sz val="10"/>
        <color theme="1"/>
        <rFont val="Calibri"/>
        <family val="2"/>
        <scheme val="minor"/>
      </rPr>
      <t>Avance principal</t>
    </r>
  </si>
  <si>
    <r>
      <t>ETS UNIVERSEL SARL amr 47311/</t>
    </r>
    <r>
      <rPr>
        <b/>
        <sz val="10"/>
        <color theme="1"/>
        <rFont val="Calibri"/>
        <family val="2"/>
        <scheme val="minor"/>
      </rPr>
      <t>Avance principal</t>
    </r>
  </si>
  <si>
    <t>AAG/TVA</t>
  </si>
  <si>
    <t>mine</t>
  </si>
  <si>
    <t>GOOD LUCK TRANS-NATIONAL/M061300046301X</t>
  </si>
  <si>
    <t>JIBO ALI/P028612675375S</t>
  </si>
  <si>
    <t>JIBO ALI/P028612675375S/Avce CSP du 12 avril 2022</t>
  </si>
  <si>
    <t>AAG/csp</t>
  </si>
  <si>
    <r>
      <t>SOCIETE ETOILE CAMEROUN SARL amr 5086 /</t>
    </r>
    <r>
      <rPr>
        <b/>
        <sz val="10"/>
        <color theme="1"/>
        <rFont val="Calibri"/>
        <family val="2"/>
        <scheme val="minor"/>
      </rPr>
      <t>Avance principal</t>
    </r>
  </si>
  <si>
    <r>
      <t>SCOOPS/AVENIR DE LA KADEY amr 1831/</t>
    </r>
    <r>
      <rPr>
        <b/>
        <sz val="10"/>
        <color theme="1"/>
        <rFont val="Calibri"/>
        <family val="2"/>
        <scheme val="minor"/>
      </rPr>
      <t>amr soldé apres remise gracieuse</t>
    </r>
  </si>
  <si>
    <r>
      <t>COMMUNE D' ANGOSSAS/</t>
    </r>
    <r>
      <rPr>
        <b/>
        <sz val="10"/>
        <color theme="1"/>
        <rFont val="Calibri"/>
        <family val="2"/>
        <scheme val="minor"/>
      </rPr>
      <t>Apurement dette</t>
    </r>
  </si>
  <si>
    <r>
      <t xml:space="preserve">KAMWA ETIENNE/ </t>
    </r>
    <r>
      <rPr>
        <b/>
        <sz val="10"/>
        <color theme="1"/>
        <rFont val="Calibri"/>
        <family val="2"/>
        <scheme val="minor"/>
      </rPr>
      <t>solde dettes amr 4129, 109749 et 38854</t>
    </r>
  </si>
  <si>
    <r>
      <t xml:space="preserve">NDEBI NKOTH LUC/ </t>
    </r>
    <r>
      <rPr>
        <b/>
        <sz val="10"/>
        <color theme="1"/>
        <rFont val="Calibri"/>
        <family val="2"/>
        <scheme val="minor"/>
      </rPr>
      <t>amr 38745 soldé</t>
    </r>
  </si>
  <si>
    <r>
      <t>NDEBI NKOTH LUC/</t>
    </r>
    <r>
      <rPr>
        <b/>
        <sz val="10"/>
        <color theme="1"/>
        <rFont val="Calibri"/>
        <family val="2"/>
        <scheme val="minor"/>
      </rPr>
      <t xml:space="preserve"> amr 1788 soldé</t>
    </r>
  </si>
  <si>
    <t>NTOU ROLLAND PENALITES AMR N°114657</t>
  </si>
  <si>
    <t>WANG BINCHEN TVA 2021</t>
  </si>
  <si>
    <r>
      <t>COMMUNE DE BERTOUA II/</t>
    </r>
    <r>
      <rPr>
        <b/>
        <sz val="10"/>
        <color theme="1"/>
        <rFont val="Calibri"/>
        <family val="2"/>
        <scheme val="minor"/>
      </rPr>
      <t>Apurement dette</t>
    </r>
  </si>
  <si>
    <t>CHE JOSEPH VUGHANGSI</t>
  </si>
  <si>
    <t>P057812314131T</t>
  </si>
  <si>
    <t>STBC/FC COMMUNE DOUME</t>
  </si>
  <si>
    <t>STBC/ FC DOUMAINATNATG</t>
  </si>
  <si>
    <t>ntic</t>
  </si>
  <si>
    <t>ETS ZHENGGUO</t>
  </si>
  <si>
    <t>SOCIETE GLOBAL MINING CAMEROUN</t>
  </si>
  <si>
    <t>SARBE SELANGAI RSA 2022</t>
  </si>
  <si>
    <t>SKY GOLD RSA 2022</t>
  </si>
  <si>
    <t>PILLO BABA RSA 2022</t>
  </si>
  <si>
    <t>RSA STE MINIERE COMMUNAUTAIRE</t>
  </si>
  <si>
    <t>ETTA MANFRED/Donneur d'ordre</t>
  </si>
  <si>
    <t>GIC PROFOREST DE GARI-GOMBO</t>
  </si>
  <si>
    <t>ETS FMNC/Ta fevrier 2022</t>
  </si>
  <si>
    <t>ETS ABDOUL WAHABOU DODO/Ta mars 2022</t>
  </si>
  <si>
    <t>reliquataire</t>
  </si>
  <si>
    <t xml:space="preserve">COMMUNE RURALE DE DOUMAINTANG </t>
  </si>
  <si>
    <t>MUTUELLE COMMUNAUTAIRE DE CROISSANCE BELABO</t>
  </si>
  <si>
    <t>M061612526744D</t>
  </si>
  <si>
    <t>COMMUNE D'ATOK/Regul vs 08</t>
  </si>
  <si>
    <t>COMMUNE DE BETARE OYA/Regul</t>
  </si>
  <si>
    <t>assurance</t>
  </si>
  <si>
    <t>FED PNDP HORS ALLOCATION</t>
  </si>
  <si>
    <t>royalties</t>
  </si>
  <si>
    <t>COMMUNE DE DOUME/Regul vs 02</t>
  </si>
  <si>
    <t>ok3</t>
  </si>
  <si>
    <t>COMMUNE DE BERTOUA II/Regul + RNC INDEMNITE FONCTOION MAIRE</t>
  </si>
  <si>
    <t>DOUKA MOUSSA EXPLOITATION</t>
  </si>
  <si>
    <t>SOCIETE GLOBAL MINING CAMEROUN/RSA2022 HUATING MINING</t>
  </si>
  <si>
    <t>POLA DOMGUE Emmanuel/Avce CSP du 21 avril 2022</t>
  </si>
  <si>
    <t>KOPCHI TSOPJU</t>
  </si>
  <si>
    <t>P089315203779G</t>
  </si>
  <si>
    <t>MBONDIT ADAMOU N (ETS GODWIN)</t>
  </si>
  <si>
    <t>P108315234378X</t>
  </si>
  <si>
    <t>LA RACINE SARL</t>
  </si>
  <si>
    <t>M011812673773Q</t>
  </si>
  <si>
    <t>NENGOU</t>
  </si>
  <si>
    <t>P017100503593P</t>
  </si>
  <si>
    <t>POLA DOMGUE EMMANUEL</t>
  </si>
  <si>
    <t>NGUIADEU épse FOTSING MARIE/vs 02</t>
  </si>
  <si>
    <t>KOUAM PAUL/vs 02</t>
  </si>
  <si>
    <t>MOUSAGUINYO/vs 02</t>
  </si>
  <si>
    <t>DYNASTY MINING SARL S/C XIN YVAN</t>
  </si>
  <si>
    <t>DYNASTY MINING SARL S/C LIN XING</t>
  </si>
  <si>
    <t>FONKEU NJABOUN JULES S/C HUATIN MINING</t>
  </si>
  <si>
    <t xml:space="preserve">MOBILE MONEY POOL ACCOUNT </t>
  </si>
  <si>
    <t xml:space="preserve">ORANGE CAMEROUN RECETTES </t>
  </si>
  <si>
    <t>HOPITAL REGIONAL DE BERTOUA/Reliquat vs 02</t>
  </si>
  <si>
    <r>
      <t>ELOUNDOU NKA amr 2755 /</t>
    </r>
    <r>
      <rPr>
        <b/>
        <sz val="10"/>
        <color theme="1"/>
        <rFont val="Calibri"/>
        <family val="2"/>
        <scheme val="minor"/>
      </rPr>
      <t>Avance principal</t>
    </r>
  </si>
  <si>
    <t>NCHUFANE</t>
  </si>
  <si>
    <t>P058715095103J</t>
  </si>
  <si>
    <t>MOMO FOMETEU ARSENE/P078612604349L</t>
  </si>
  <si>
    <t>SOCIETE CAMEROUNAISE DES BOIS DEBITES SARL/vs 01</t>
  </si>
  <si>
    <t xml:space="preserve">               </t>
  </si>
  <si>
    <t>BASSIROU BELLO/P107912642995Q</t>
  </si>
  <si>
    <t>SOCIETE BELOKO MINING SARL/vs 02</t>
  </si>
  <si>
    <t>STE CAMEROON TRANSFORMATION WOOD Sarl/vs 02</t>
  </si>
  <si>
    <t>ETS DONAT SERVICE/MENAME AOUDOU/TPF</t>
  </si>
  <si>
    <t>ALIKENK SARL/STE CAM DE BOIS DEBITES SARL (SCDB SARL)/TPF</t>
  </si>
  <si>
    <t>SOCIETE IBRAHIM COMPANY SARL/BAIL</t>
  </si>
  <si>
    <t>MUTUELLE FINANCIERE DE DEVELOP/BAIL</t>
  </si>
  <si>
    <t>ETUDE MAITRE MANFOUO JEAN/BAIL</t>
  </si>
  <si>
    <t>FAMILLE DISTRIBUTION DE L'EST/BAIL</t>
  </si>
  <si>
    <t>NGUIADEU Ã©pse FOTSING MARIE</t>
  </si>
  <si>
    <t>TANKOU PATRICE</t>
  </si>
  <si>
    <t>P117100249346P</t>
  </si>
  <si>
    <t>P105400014426L</t>
  </si>
  <si>
    <t>M121712672303C</t>
  </si>
  <si>
    <t>SOCIETE TSAGUE WELFARE CORP SARL</t>
  </si>
  <si>
    <t>M051912772883B</t>
  </si>
  <si>
    <t>LEMBO GEORGES</t>
  </si>
  <si>
    <t>MEDZO Vincent de Paul</t>
  </si>
  <si>
    <t>ORANGE CAMEROUN S.A</t>
  </si>
  <si>
    <r>
      <t>NOUPAYOU ROGER/</t>
    </r>
    <r>
      <rPr>
        <b/>
        <sz val="10"/>
        <color theme="1"/>
        <rFont val="Calibri"/>
        <family val="2"/>
        <scheme val="minor"/>
      </rPr>
      <t>Apurement dette( amr 50139 et 73254 )</t>
    </r>
  </si>
  <si>
    <t>ETS DONAT SERVICE/MENAME AOUDOU</t>
  </si>
  <si>
    <t>WENDA/P035300292404R</t>
  </si>
  <si>
    <t>TEGUIA FIDELE</t>
  </si>
  <si>
    <t>P068112260229Y</t>
  </si>
  <si>
    <r>
      <t>MC2 BERTOUA/</t>
    </r>
    <r>
      <rPr>
        <b/>
        <sz val="10"/>
        <color theme="1"/>
        <rFont val="Calibri"/>
        <family val="2"/>
        <scheme val="minor"/>
      </rPr>
      <t>Avance principal</t>
    </r>
  </si>
  <si>
    <t>NTARINKON COOPERATIVE CREDIT</t>
  </si>
  <si>
    <t>ABDOUL AZIZ MANA</t>
  </si>
  <si>
    <t>BIDOUNG FOUMA FAUSTIN</t>
  </si>
  <si>
    <t>FOTSING MARIE/COT DE LA DETTE FEV AMER DU 16</t>
  </si>
  <si>
    <t>NTARINKON COOPERATIVE CREDIT/RGLT AMR N°109806 &amp; N°114642</t>
  </si>
  <si>
    <t>ARCHIDIOCESE DE BERTOUA</t>
  </si>
  <si>
    <t>CUB apurement dette/Declaration de recette</t>
  </si>
  <si>
    <t>RNC</t>
  </si>
  <si>
    <t>AIR</t>
  </si>
  <si>
    <t>RTS</t>
  </si>
  <si>
    <t>COMMUNAUTE URBAINE BERTOUA/Declarations de recettes</t>
  </si>
  <si>
    <t>cub</t>
  </si>
  <si>
    <t>yokadouma</t>
  </si>
  <si>
    <t>ndelele</t>
  </si>
  <si>
    <t>mbang</t>
  </si>
  <si>
    <t>Commune de  YOKADOUMA/Declarations de recettes</t>
  </si>
  <si>
    <t>COMMUNE DE NDELELE/Declarations de recettes</t>
  </si>
  <si>
    <t>COMMUNE DE MBANG/Declarations de recettes</t>
  </si>
  <si>
    <t>declaration de recette</t>
  </si>
  <si>
    <t>amr</t>
  </si>
  <si>
    <t>ETAT COMPARATIF DES RENDEMENTS (Mars 2022 et Avril 2022)</t>
  </si>
  <si>
    <t>ETOILE CAMEROUN SARL</t>
  </si>
  <si>
    <t>STE MAXCOM SARL/M011812671574B/Avce CSP amr 6004 du 14 avril 2022</t>
  </si>
</sst>
</file>

<file path=xl/styles.xml><?xml version="1.0" encoding="utf-8"?>
<styleSheet xmlns="http://schemas.openxmlformats.org/spreadsheetml/2006/main">
  <numFmts count="6">
    <numFmt numFmtId="43" formatCode="_-* #,##0.00\ _€_-;\-* #,##0.00\ _€_-;_-* &quot;-&quot;??\ _€_-;_-@_-"/>
    <numFmt numFmtId="164" formatCode="_-* #,##0\ _€_-;\-* #,##0\ _€_-;_-* &quot;-&quot;??\ _€_-;_-@_-"/>
    <numFmt numFmtId="165" formatCode="#,##0_ ;\-#,##0\ "/>
    <numFmt numFmtId="166" formatCode="[$-F800]dddd\,\ mmmm\ dd\,\ yyyy"/>
    <numFmt numFmtId="167" formatCode="#,##0.0000"/>
    <numFmt numFmtId="169" formatCode="#,##0.0"/>
  </numFmts>
  <fonts count="83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8"/>
      <color theme="1"/>
      <name val="Times New Roman"/>
      <family val="1"/>
    </font>
    <font>
      <b/>
      <sz val="9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7"/>
      <color theme="1"/>
      <name val="Times New Roman"/>
      <family val="1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6"/>
      <color theme="1"/>
      <name val="Times New Roman"/>
      <family val="1"/>
    </font>
    <font>
      <sz val="5"/>
      <color theme="1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color rgb="FF000000"/>
      <name val="Times New Roman"/>
      <family val="1"/>
    </font>
    <font>
      <sz val="8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Times New Roman"/>
      <family val="1"/>
    </font>
    <font>
      <b/>
      <i/>
      <sz val="8"/>
      <color theme="1"/>
      <name val="Times New Roman"/>
      <family val="1"/>
    </font>
    <font>
      <i/>
      <sz val="8"/>
      <color theme="1"/>
      <name val="Times New Roman"/>
      <family val="1"/>
    </font>
    <font>
      <sz val="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Century Gothic"/>
      <family val="2"/>
    </font>
    <font>
      <sz val="8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  <font>
      <b/>
      <u/>
      <sz val="11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i/>
      <sz val="10"/>
      <name val="Century Gothic"/>
      <family val="2"/>
    </font>
    <font>
      <b/>
      <i/>
      <u/>
      <sz val="10"/>
      <name val="Century Gothic"/>
      <family val="2"/>
    </font>
    <font>
      <b/>
      <sz val="12"/>
      <name val="Century Gothic"/>
      <family val="2"/>
    </font>
    <font>
      <sz val="9"/>
      <name val="Century Gothic"/>
      <family val="2"/>
    </font>
    <font>
      <b/>
      <sz val="7"/>
      <name val="Century Gothic"/>
      <family val="2"/>
    </font>
    <font>
      <b/>
      <sz val="9"/>
      <name val="Century Gothic"/>
      <family val="2"/>
    </font>
    <font>
      <sz val="8"/>
      <color rgb="FF000000"/>
      <name val="Century Gothic"/>
      <family val="2"/>
    </font>
    <font>
      <b/>
      <sz val="10"/>
      <color theme="1"/>
      <name val="Century Gothic"/>
      <family val="2"/>
    </font>
    <font>
      <sz val="11"/>
      <color theme="1"/>
      <name val="Century Gothic"/>
      <family val="2"/>
    </font>
    <font>
      <sz val="10"/>
      <color theme="1"/>
      <name val="Century Gothic"/>
      <family val="2"/>
    </font>
    <font>
      <b/>
      <u/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Times New Roman"/>
      <family val="1"/>
    </font>
    <font>
      <b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i/>
      <sz val="9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i/>
      <sz val="7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0"/>
      <name val="Times New Roman"/>
      <family val="1"/>
    </font>
    <font>
      <sz val="8"/>
      <color theme="0"/>
      <name val="Times New Roman"/>
      <family val="1"/>
    </font>
    <font>
      <b/>
      <sz val="8"/>
      <color theme="0"/>
      <name val="Times New Roman"/>
      <family val="1"/>
    </font>
    <font>
      <sz val="7"/>
      <color theme="0"/>
      <name val="Times New Roman"/>
      <family val="1"/>
    </font>
    <font>
      <b/>
      <sz val="2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10"/>
      <color rgb="FF000000"/>
      <name val="Segoe UI"/>
      <family val="2"/>
    </font>
    <font>
      <sz val="11"/>
      <color theme="4" tint="-0.499984740745262"/>
      <name val="Calibri"/>
      <family val="2"/>
      <scheme val="minor"/>
    </font>
    <font>
      <sz val="10"/>
      <name val="Segoe UI"/>
      <family val="2"/>
    </font>
  </fonts>
  <fills count="2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7A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1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 style="thin">
        <color auto="1"/>
      </right>
      <top style="thick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ck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ck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indexed="64"/>
      </top>
      <bottom style="thin">
        <color auto="1"/>
      </bottom>
      <diagonal/>
    </border>
    <border>
      <left/>
      <right style="thick">
        <color indexed="64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 style="thin">
        <color auto="1"/>
      </right>
      <top style="thin">
        <color auto="1"/>
      </top>
      <bottom style="thick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thin">
        <color auto="1"/>
      </top>
      <bottom style="thick">
        <color indexed="64"/>
      </bottom>
      <diagonal/>
    </border>
    <border>
      <left style="thin">
        <color auto="1"/>
      </left>
      <right style="thick">
        <color indexed="64"/>
      </right>
      <top style="thick">
        <color indexed="64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rgb="FFE26B0A"/>
      </left>
      <right style="thin">
        <color rgb="FFE26B0A"/>
      </right>
      <top style="medium">
        <color rgb="FFE26B0A"/>
      </top>
      <bottom style="thin">
        <color rgb="FFE26B0A"/>
      </bottom>
      <diagonal/>
    </border>
    <border>
      <left style="thin">
        <color rgb="FFE26B0A"/>
      </left>
      <right style="thin">
        <color rgb="FFE26B0A"/>
      </right>
      <top style="medium">
        <color rgb="FFE26B0A"/>
      </top>
      <bottom style="thin">
        <color rgb="FFE26B0A"/>
      </bottom>
      <diagonal/>
    </border>
    <border>
      <left style="thin">
        <color rgb="FFE26B0A"/>
      </left>
      <right/>
      <top style="medium">
        <color rgb="FFE26B0A"/>
      </top>
      <bottom style="thin">
        <color rgb="FFE26B0A"/>
      </bottom>
      <diagonal/>
    </border>
    <border>
      <left style="thin">
        <color rgb="FFE26B0A"/>
      </left>
      <right style="medium">
        <color rgb="FFE26B0A"/>
      </right>
      <top style="medium">
        <color rgb="FFE26B0A"/>
      </top>
      <bottom style="thin">
        <color rgb="FFE26B0A"/>
      </bottom>
      <diagonal/>
    </border>
    <border>
      <left style="medium">
        <color rgb="FFE26B0A"/>
      </left>
      <right style="thin">
        <color rgb="FFE26B0A"/>
      </right>
      <top style="thin">
        <color rgb="FFE26B0A"/>
      </top>
      <bottom style="medium">
        <color rgb="FFE26B0A"/>
      </bottom>
      <diagonal/>
    </border>
    <border>
      <left style="thin">
        <color rgb="FFE26B0A"/>
      </left>
      <right style="thin">
        <color rgb="FFE26B0A"/>
      </right>
      <top style="thin">
        <color rgb="FFE26B0A"/>
      </top>
      <bottom style="medium">
        <color rgb="FFE26B0A"/>
      </bottom>
      <diagonal/>
    </border>
    <border>
      <left style="thin">
        <color rgb="FFE26B0A"/>
      </left>
      <right/>
      <top style="thin">
        <color rgb="FFE26B0A"/>
      </top>
      <bottom style="medium">
        <color rgb="FFE26B0A"/>
      </bottom>
      <diagonal/>
    </border>
    <border>
      <left style="thin">
        <color rgb="FFE26B0A"/>
      </left>
      <right style="medium">
        <color rgb="FFE26B0A"/>
      </right>
      <top style="thin">
        <color rgb="FFE26B0A"/>
      </top>
      <bottom style="medium">
        <color rgb="FFE26B0A"/>
      </bottom>
      <diagonal/>
    </border>
    <border>
      <left style="medium">
        <color rgb="FFE26B0A"/>
      </left>
      <right/>
      <top style="medium">
        <color rgb="FFE26B0A"/>
      </top>
      <bottom style="thin">
        <color rgb="FFE26B0A"/>
      </bottom>
      <diagonal/>
    </border>
    <border>
      <left/>
      <right/>
      <top style="medium">
        <color rgb="FFE26B0A"/>
      </top>
      <bottom style="thin">
        <color rgb="FFE26B0A"/>
      </bottom>
      <diagonal/>
    </border>
    <border>
      <left style="medium">
        <color rgb="FFE26B0A"/>
      </left>
      <right/>
      <top style="thin">
        <color rgb="FFE26B0A"/>
      </top>
      <bottom style="thin">
        <color rgb="FFE26B0A"/>
      </bottom>
      <diagonal/>
    </border>
    <border>
      <left style="medium">
        <color rgb="FFE26B0A"/>
      </left>
      <right style="thin">
        <color rgb="FFE26B0A"/>
      </right>
      <top style="thin">
        <color rgb="FFE26B0A"/>
      </top>
      <bottom style="thin">
        <color rgb="FFE26B0A"/>
      </bottom>
      <diagonal/>
    </border>
    <border>
      <left style="thin">
        <color rgb="FFE26B0A"/>
      </left>
      <right style="thin">
        <color rgb="FFE26B0A"/>
      </right>
      <top style="thin">
        <color rgb="FFE26B0A"/>
      </top>
      <bottom style="thin">
        <color rgb="FFE26B0A"/>
      </bottom>
      <diagonal/>
    </border>
    <border>
      <left style="thin">
        <color rgb="FFE26B0A"/>
      </left>
      <right style="medium">
        <color rgb="FFE26B0A"/>
      </right>
      <top style="thin">
        <color rgb="FFE26B0A"/>
      </top>
      <bottom style="thin">
        <color rgb="FFE26B0A"/>
      </bottom>
      <diagonal/>
    </border>
    <border>
      <left/>
      <right style="thin">
        <color rgb="FFE26B0A"/>
      </right>
      <top style="thin">
        <color rgb="FFE26B0A"/>
      </top>
      <bottom style="thin">
        <color rgb="FFE26B0A"/>
      </bottom>
      <diagonal/>
    </border>
    <border>
      <left style="medium">
        <color rgb="FFE26B0A"/>
      </left>
      <right/>
      <top style="thin">
        <color rgb="FFE26B0A"/>
      </top>
      <bottom/>
      <diagonal/>
    </border>
    <border>
      <left style="medium">
        <color rgb="FFE26B0A"/>
      </left>
      <right style="thin">
        <color rgb="FFE26B0A"/>
      </right>
      <top style="thin">
        <color rgb="FFE26B0A"/>
      </top>
      <bottom/>
      <diagonal/>
    </border>
    <border>
      <left style="thin">
        <color rgb="FFE26B0A"/>
      </left>
      <right style="thin">
        <color rgb="FFE26B0A"/>
      </right>
      <top style="thin">
        <color rgb="FFE26B0A"/>
      </top>
      <bottom/>
      <diagonal/>
    </border>
    <border>
      <left style="thin">
        <color rgb="FFE26B0A"/>
      </left>
      <right style="medium">
        <color rgb="FFE26B0A"/>
      </right>
      <top style="thin">
        <color rgb="FFE26B0A"/>
      </top>
      <bottom/>
      <diagonal/>
    </border>
    <border>
      <left/>
      <right/>
      <top style="medium">
        <color rgb="FFE26B0A"/>
      </top>
      <bottom style="medium">
        <color rgb="FFE26B0A"/>
      </bottom>
      <diagonal/>
    </border>
    <border>
      <left style="medium">
        <color rgb="FFE26B0A"/>
      </left>
      <right/>
      <top/>
      <bottom style="thin">
        <color rgb="FFE26B0A"/>
      </bottom>
      <diagonal/>
    </border>
    <border>
      <left style="medium">
        <color rgb="FFE26B0A"/>
      </left>
      <right style="thin">
        <color rgb="FFE26B0A"/>
      </right>
      <top/>
      <bottom style="thin">
        <color rgb="FFE26B0A"/>
      </bottom>
      <diagonal/>
    </border>
    <border>
      <left style="thin">
        <color rgb="FFE26B0A"/>
      </left>
      <right style="thin">
        <color rgb="FFE26B0A"/>
      </right>
      <top/>
      <bottom style="thin">
        <color rgb="FFE26B0A"/>
      </bottom>
      <diagonal/>
    </border>
    <border>
      <left style="thin">
        <color rgb="FFE26B0A"/>
      </left>
      <right style="medium">
        <color rgb="FFE26B0A"/>
      </right>
      <top/>
      <bottom style="thin">
        <color rgb="FFE26B0A"/>
      </bottom>
      <diagonal/>
    </border>
    <border>
      <left style="medium">
        <color rgb="FFE26B0A"/>
      </left>
      <right/>
      <top style="thin">
        <color rgb="FFE26B0A"/>
      </top>
      <bottom style="medium">
        <color rgb="FFE26B0A"/>
      </bottom>
      <diagonal/>
    </border>
    <border>
      <left style="medium">
        <color rgb="FFE26B0A"/>
      </left>
      <right style="thin">
        <color indexed="64"/>
      </right>
      <top style="thin">
        <color rgb="FFE26B0A"/>
      </top>
      <bottom style="thin">
        <color rgb="FFE26B0A"/>
      </bottom>
      <diagonal/>
    </border>
    <border>
      <left style="medium">
        <color rgb="FFE26B0A"/>
      </left>
      <right style="thin">
        <color rgb="FFE26B0A"/>
      </right>
      <top style="medium">
        <color rgb="FFE26B0A"/>
      </top>
      <bottom/>
      <diagonal/>
    </border>
    <border>
      <left style="medium">
        <color rgb="FFE26B0A"/>
      </left>
      <right style="thin">
        <color rgb="FFE26B0A"/>
      </right>
      <top/>
      <bottom style="medium">
        <color rgb="FFE26B0A"/>
      </bottom>
      <diagonal/>
    </border>
    <border>
      <left/>
      <right style="thin">
        <color rgb="FFE26B0A"/>
      </right>
      <top style="medium">
        <color rgb="FFE26B0A"/>
      </top>
      <bottom style="thin">
        <color rgb="FFE26B0A"/>
      </bottom>
      <diagonal/>
    </border>
    <border>
      <left/>
      <right style="medium">
        <color rgb="FFE26B0A"/>
      </right>
      <top style="medium">
        <color rgb="FFE26B0A"/>
      </top>
      <bottom style="thin">
        <color rgb="FFE26B0A"/>
      </bottom>
      <diagonal/>
    </border>
    <border>
      <left style="thin">
        <color rgb="FFE26B0A"/>
      </left>
      <right/>
      <top style="thin">
        <color rgb="FFE26B0A"/>
      </top>
      <bottom style="thin">
        <color rgb="FFE26B0A"/>
      </bottom>
      <diagonal/>
    </border>
    <border>
      <left style="thin">
        <color rgb="FFE26B0A"/>
      </left>
      <right/>
      <top style="thin">
        <color rgb="FFE26B0A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</borders>
  <cellStyleXfs count="5">
    <xf numFmtId="0" fontId="0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72" fillId="0" borderId="0" applyNumberFormat="0" applyFill="0" applyBorder="0" applyAlignment="0" applyProtection="0">
      <alignment vertical="top"/>
      <protection locked="0"/>
    </xf>
  </cellStyleXfs>
  <cellXfs count="1065">
    <xf numFmtId="0" fontId="0" fillId="0" borderId="0" xfId="0"/>
    <xf numFmtId="0" fontId="0" fillId="0" borderId="6" xfId="0" applyBorder="1"/>
    <xf numFmtId="0" fontId="10" fillId="0" borderId="4" xfId="0" applyFont="1" applyBorder="1" applyAlignment="1">
      <alignment horizontal="center"/>
    </xf>
    <xf numFmtId="164" fontId="0" fillId="0" borderId="8" xfId="1" applyNumberFormat="1" applyFont="1" applyBorder="1"/>
    <xf numFmtId="164" fontId="0" fillId="0" borderId="6" xfId="1" applyNumberFormat="1" applyFont="1" applyBorder="1"/>
    <xf numFmtId="164" fontId="10" fillId="0" borderId="4" xfId="1" applyNumberFormat="1" applyFont="1" applyBorder="1"/>
    <xf numFmtId="164" fontId="0" fillId="0" borderId="0" xfId="0" applyNumberFormat="1"/>
    <xf numFmtId="10" fontId="10" fillId="0" borderId="0" xfId="2" applyNumberFormat="1" applyFont="1"/>
    <xf numFmtId="0" fontId="0" fillId="0" borderId="6" xfId="0" applyBorder="1" applyAlignment="1">
      <alignment horizontal="center" vertical="center"/>
    </xf>
    <xf numFmtId="0" fontId="11" fillId="0" borderId="0" xfId="0" applyFont="1"/>
    <xf numFmtId="0" fontId="11" fillId="0" borderId="6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vertical="center" wrapText="1"/>
    </xf>
    <xf numFmtId="0" fontId="13" fillId="0" borderId="6" xfId="0" applyFont="1" applyBorder="1" applyAlignment="1">
      <alignment horizontal="center" wrapText="1"/>
    </xf>
    <xf numFmtId="164" fontId="11" fillId="0" borderId="6" xfId="1" applyNumberFormat="1" applyFont="1" applyBorder="1"/>
    <xf numFmtId="0" fontId="13" fillId="0" borderId="0" xfId="0" applyFont="1"/>
    <xf numFmtId="0" fontId="11" fillId="0" borderId="0" xfId="0" applyFont="1" applyAlignment="1">
      <alignment vertical="center"/>
    </xf>
    <xf numFmtId="164" fontId="11" fillId="0" borderId="6" xfId="1" applyNumberFormat="1" applyFont="1" applyBorder="1" applyAlignment="1">
      <alignment vertical="center"/>
    </xf>
    <xf numFmtId="164" fontId="2" fillId="0" borderId="6" xfId="1" applyNumberFormat="1" applyFont="1" applyBorder="1" applyAlignment="1">
      <alignment vertical="center"/>
    </xf>
    <xf numFmtId="164" fontId="1" fillId="0" borderId="6" xfId="1" applyNumberFormat="1" applyFont="1" applyBorder="1" applyAlignment="1">
      <alignment vertical="center"/>
    </xf>
    <xf numFmtId="164" fontId="11" fillId="0" borderId="0" xfId="0" applyNumberFormat="1" applyFont="1"/>
    <xf numFmtId="0" fontId="0" fillId="2" borderId="0" xfId="0" applyFill="1"/>
    <xf numFmtId="164" fontId="0" fillId="3" borderId="0" xfId="0" applyNumberFormat="1" applyFill="1"/>
    <xf numFmtId="3" fontId="0" fillId="2" borderId="0" xfId="0" applyNumberFormat="1" applyFill="1"/>
    <xf numFmtId="0" fontId="10" fillId="0" borderId="6" xfId="0" applyFont="1" applyBorder="1" applyAlignment="1">
      <alignment horizontal="center" vertical="center" wrapText="1"/>
    </xf>
    <xf numFmtId="3" fontId="0" fillId="0" borderId="6" xfId="0" applyNumberFormat="1" applyBorder="1"/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" fillId="0" borderId="6" xfId="0" applyFont="1" applyBorder="1"/>
    <xf numFmtId="3" fontId="0" fillId="0" borderId="0" xfId="0" applyNumberFormat="1"/>
    <xf numFmtId="0" fontId="10" fillId="0" borderId="4" xfId="0" applyFont="1" applyBorder="1" applyAlignment="1">
      <alignment horizontal="left"/>
    </xf>
    <xf numFmtId="0" fontId="0" fillId="0" borderId="0" xfId="0" applyAlignment="1">
      <alignment horizontal="left"/>
    </xf>
    <xf numFmtId="0" fontId="10" fillId="0" borderId="6" xfId="0" applyFont="1" applyBorder="1" applyAlignment="1">
      <alignment horizontal="center"/>
    </xf>
    <xf numFmtId="3" fontId="10" fillId="0" borderId="0" xfId="0" applyNumberFormat="1" applyFont="1"/>
    <xf numFmtId="164" fontId="10" fillId="0" borderId="0" xfId="1" applyNumberFormat="1" applyFont="1"/>
    <xf numFmtId="0" fontId="18" fillId="0" borderId="4" xfId="0" applyFont="1" applyBorder="1" applyAlignment="1">
      <alignment horizontal="center"/>
    </xf>
    <xf numFmtId="0" fontId="18" fillId="0" borderId="4" xfId="0" applyFont="1" applyBorder="1" applyAlignment="1">
      <alignment horizontal="left"/>
    </xf>
    <xf numFmtId="3" fontId="18" fillId="0" borderId="4" xfId="0" applyNumberFormat="1" applyFont="1" applyBorder="1" applyAlignment="1">
      <alignment horizontal="center"/>
    </xf>
    <xf numFmtId="0" fontId="16" fillId="2" borderId="0" xfId="0" applyFont="1" applyFill="1"/>
    <xf numFmtId="0" fontId="16" fillId="3" borderId="0" xfId="0" applyFont="1" applyFill="1"/>
    <xf numFmtId="0" fontId="16" fillId="0" borderId="0" xfId="0" applyFont="1"/>
    <xf numFmtId="0" fontId="16" fillId="0" borderId="12" xfId="0" applyFont="1" applyBorder="1"/>
    <xf numFmtId="0" fontId="16" fillId="0" borderId="12" xfId="0" quotePrefix="1" applyFont="1" applyBorder="1" applyAlignment="1">
      <alignment horizontal="left" vertical="center"/>
    </xf>
    <xf numFmtId="3" fontId="16" fillId="0" borderId="6" xfId="0" applyNumberFormat="1" applyFont="1" applyBorder="1" applyAlignment="1">
      <alignment horizontal="center" vertical="center"/>
    </xf>
    <xf numFmtId="164" fontId="16" fillId="0" borderId="6" xfId="1" applyNumberFormat="1" applyFont="1" applyBorder="1"/>
    <xf numFmtId="164" fontId="16" fillId="0" borderId="8" xfId="1" applyNumberFormat="1" applyFont="1" applyBorder="1"/>
    <xf numFmtId="164" fontId="16" fillId="2" borderId="0" xfId="0" quotePrefix="1" applyNumberFormat="1" applyFont="1" applyFill="1"/>
    <xf numFmtId="164" fontId="16" fillId="3" borderId="0" xfId="0" applyNumberFormat="1" applyFont="1" applyFill="1"/>
    <xf numFmtId="164" fontId="18" fillId="0" borderId="4" xfId="1" applyNumberFormat="1" applyFont="1" applyBorder="1"/>
    <xf numFmtId="165" fontId="18" fillId="0" borderId="4" xfId="1" applyNumberFormat="1" applyFont="1" applyBorder="1"/>
    <xf numFmtId="0" fontId="16" fillId="0" borderId="0" xfId="0" applyFont="1" applyAlignment="1">
      <alignment horizontal="left"/>
    </xf>
    <xf numFmtId="3" fontId="16" fillId="0" borderId="0" xfId="0" applyNumberFormat="1" applyFont="1"/>
    <xf numFmtId="0" fontId="0" fillId="3" borderId="6" xfId="0" applyFill="1" applyBorder="1"/>
    <xf numFmtId="3" fontId="0" fillId="2" borderId="6" xfId="0" applyNumberFormat="1" applyFill="1" applyBorder="1"/>
    <xf numFmtId="3" fontId="10" fillId="0" borderId="6" xfId="0" applyNumberFormat="1" applyFont="1" applyBorder="1" applyAlignment="1">
      <alignment horizontal="center"/>
    </xf>
    <xf numFmtId="0" fontId="0" fillId="0" borderId="0" xfId="0" applyAlignment="1"/>
    <xf numFmtId="164" fontId="0" fillId="0" borderId="0" xfId="1" applyNumberFormat="1" applyFont="1" applyFill="1" applyBorder="1"/>
    <xf numFmtId="164" fontId="10" fillId="0" borderId="0" xfId="1" applyNumberFormat="1" applyFont="1" applyFill="1" applyBorder="1"/>
    <xf numFmtId="3" fontId="10" fillId="0" borderId="6" xfId="0" applyNumberFormat="1" applyFont="1" applyBorder="1"/>
    <xf numFmtId="3" fontId="17" fillId="0" borderId="0" xfId="0" applyNumberFormat="1" applyFont="1"/>
    <xf numFmtId="0" fontId="20" fillId="0" borderId="0" xfId="0" applyFont="1"/>
    <xf numFmtId="0" fontId="16" fillId="5" borderId="0" xfId="0" applyFont="1" applyFill="1"/>
    <xf numFmtId="164" fontId="16" fillId="5" borderId="0" xfId="0" applyNumberFormat="1" applyFont="1" applyFill="1"/>
    <xf numFmtId="10" fontId="19" fillId="0" borderId="0" xfId="2" applyNumberFormat="1" applyFont="1"/>
    <xf numFmtId="164" fontId="17" fillId="0" borderId="0" xfId="0" applyNumberFormat="1" applyFont="1"/>
    <xf numFmtId="0" fontId="21" fillId="0" borderId="15" xfId="0" applyFont="1" applyBorder="1"/>
    <xf numFmtId="3" fontId="21" fillId="0" borderId="16" xfId="0" applyNumberFormat="1" applyFont="1" applyBorder="1"/>
    <xf numFmtId="3" fontId="21" fillId="0" borderId="10" xfId="0" applyNumberFormat="1" applyFont="1" applyBorder="1"/>
    <xf numFmtId="0" fontId="10" fillId="0" borderId="17" xfId="0" applyFont="1" applyBorder="1" applyAlignment="1">
      <alignment horizontal="center"/>
    </xf>
    <xf numFmtId="3" fontId="10" fillId="0" borderId="18" xfId="0" applyNumberFormat="1" applyFont="1" applyBorder="1"/>
    <xf numFmtId="3" fontId="21" fillId="0" borderId="6" xfId="0" applyNumberFormat="1" applyFont="1" applyBorder="1"/>
    <xf numFmtId="0" fontId="10" fillId="0" borderId="25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3" fontId="21" fillId="0" borderId="15" xfId="0" applyNumberFormat="1" applyFont="1" applyBorder="1"/>
    <xf numFmtId="3" fontId="22" fillId="0" borderId="16" xfId="0" applyNumberFormat="1" applyFont="1" applyBorder="1"/>
    <xf numFmtId="3" fontId="22" fillId="0" borderId="30" xfId="0" applyNumberFormat="1" applyFont="1" applyBorder="1"/>
    <xf numFmtId="0" fontId="21" fillId="0" borderId="0" xfId="0" applyFont="1"/>
    <xf numFmtId="3" fontId="16" fillId="0" borderId="6" xfId="0" applyNumberFormat="1" applyFont="1" applyBorder="1"/>
    <xf numFmtId="0" fontId="26" fillId="0" borderId="0" xfId="0" applyFont="1"/>
    <xf numFmtId="0" fontId="0" fillId="0" borderId="0" xfId="0" applyBorder="1"/>
    <xf numFmtId="0" fontId="0" fillId="0" borderId="0" xfId="0" applyAlignment="1">
      <alignment horizontal="center"/>
    </xf>
    <xf numFmtId="3" fontId="10" fillId="0" borderId="4" xfId="0" applyNumberFormat="1" applyFont="1" applyBorder="1" applyAlignment="1">
      <alignment horizontal="center"/>
    </xf>
    <xf numFmtId="3" fontId="0" fillId="0" borderId="6" xfId="0" quotePrefix="1" applyNumberFormat="1" applyBorder="1"/>
    <xf numFmtId="0" fontId="6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25" fillId="0" borderId="0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30" fillId="0" borderId="0" xfId="0" applyFont="1" applyBorder="1"/>
    <xf numFmtId="0" fontId="30" fillId="0" borderId="0" xfId="0" quotePrefix="1" applyFont="1" applyBorder="1"/>
    <xf numFmtId="0" fontId="21" fillId="0" borderId="0" xfId="0" applyFont="1" applyBorder="1"/>
    <xf numFmtId="0" fontId="30" fillId="0" borderId="56" xfId="0" applyFont="1" applyBorder="1" applyAlignment="1">
      <alignment horizontal="right"/>
    </xf>
    <xf numFmtId="0" fontId="30" fillId="0" borderId="56" xfId="0" applyFont="1" applyBorder="1"/>
    <xf numFmtId="0" fontId="21" fillId="7" borderId="58" xfId="0" applyFont="1" applyFill="1" applyBorder="1" applyAlignment="1">
      <alignment horizontal="left"/>
    </xf>
    <xf numFmtId="0" fontId="21" fillId="7" borderId="59" xfId="0" applyFont="1" applyFill="1" applyBorder="1" applyAlignment="1">
      <alignment horizontal="left"/>
    </xf>
    <xf numFmtId="3" fontId="0" fillId="0" borderId="0" xfId="0" applyNumberFormat="1" applyAlignment="1">
      <alignment vertical="center" wrapText="1"/>
    </xf>
    <xf numFmtId="3" fontId="0" fillId="0" borderId="15" xfId="0" applyNumberFormat="1" applyBorder="1" applyAlignment="1">
      <alignment vertical="center" wrapText="1"/>
    </xf>
    <xf numFmtId="3" fontId="0" fillId="0" borderId="6" xfId="0" applyNumberFormat="1" applyBorder="1" applyAlignment="1">
      <alignment vertical="center" wrapText="1"/>
    </xf>
    <xf numFmtId="3" fontId="0" fillId="0" borderId="45" xfId="0" applyNumberFormat="1" applyBorder="1" applyAlignment="1">
      <alignment vertical="center" wrapText="1"/>
    </xf>
    <xf numFmtId="3" fontId="0" fillId="0" borderId="46" xfId="0" applyNumberFormat="1" applyBorder="1" applyAlignment="1">
      <alignment vertical="center" wrapText="1"/>
    </xf>
    <xf numFmtId="0" fontId="28" fillId="12" borderId="0" xfId="0" applyFont="1" applyFill="1" applyBorder="1"/>
    <xf numFmtId="0" fontId="27" fillId="0" borderId="0" xfId="0" applyFont="1" applyAlignment="1">
      <alignment horizontal="right"/>
    </xf>
    <xf numFmtId="14" fontId="27" fillId="0" borderId="0" xfId="0" applyNumberFormat="1" applyFont="1" applyAlignment="1">
      <alignment horizontal="left"/>
    </xf>
    <xf numFmtId="0" fontId="27" fillId="0" borderId="0" xfId="0" applyFont="1" applyAlignment="1">
      <alignment horizontal="left"/>
    </xf>
    <xf numFmtId="164" fontId="16" fillId="12" borderId="0" xfId="0" applyNumberFormat="1" applyFont="1" applyFill="1"/>
    <xf numFmtId="3" fontId="0" fillId="0" borderId="12" xfId="0" applyNumberFormat="1" applyBorder="1" applyAlignment="1">
      <alignment vertical="center" wrapText="1"/>
    </xf>
    <xf numFmtId="3" fontId="30" fillId="0" borderId="57" xfId="0" applyNumberFormat="1" applyFont="1" applyBorder="1" applyAlignment="1">
      <alignment horizontal="center"/>
    </xf>
    <xf numFmtId="3" fontId="30" fillId="0" borderId="0" xfId="0" applyNumberFormat="1" applyFont="1" applyBorder="1" applyAlignment="1">
      <alignment horizontal="right"/>
    </xf>
    <xf numFmtId="3" fontId="30" fillId="0" borderId="57" xfId="0" applyNumberFormat="1" applyFont="1" applyBorder="1" applyAlignment="1">
      <alignment horizontal="right"/>
    </xf>
    <xf numFmtId="3" fontId="30" fillId="7" borderId="0" xfId="0" applyNumberFormat="1" applyFont="1" applyFill="1" applyBorder="1" applyAlignment="1">
      <alignment horizontal="right"/>
    </xf>
    <xf numFmtId="3" fontId="30" fillId="7" borderId="57" xfId="0" applyNumberFormat="1" applyFont="1" applyFill="1" applyBorder="1" applyAlignment="1">
      <alignment horizontal="right"/>
    </xf>
    <xf numFmtId="3" fontId="21" fillId="7" borderId="60" xfId="0" applyNumberFormat="1" applyFont="1" applyFill="1" applyBorder="1" applyAlignment="1">
      <alignment horizontal="right"/>
    </xf>
    <xf numFmtId="3" fontId="22" fillId="7" borderId="59" xfId="0" applyNumberFormat="1" applyFont="1" applyFill="1" applyBorder="1" applyAlignment="1">
      <alignment horizontal="right"/>
    </xf>
    <xf numFmtId="2" fontId="0" fillId="0" borderId="0" xfId="0" applyNumberFormat="1"/>
    <xf numFmtId="167" fontId="0" fillId="0" borderId="0" xfId="0" applyNumberFormat="1"/>
    <xf numFmtId="0" fontId="5" fillId="0" borderId="0" xfId="0" applyFont="1" applyFill="1" applyBorder="1"/>
    <xf numFmtId="0" fontId="0" fillId="0" borderId="0" xfId="0" applyAlignment="1">
      <alignment horizontal="center"/>
    </xf>
    <xf numFmtId="3" fontId="0" fillId="0" borderId="6" xfId="0" applyNumberFormat="1" applyBorder="1" applyAlignment="1">
      <alignment horizontal="center" vertical="center"/>
    </xf>
    <xf numFmtId="3" fontId="0" fillId="0" borderId="6" xfId="1" applyNumberFormat="1" applyFont="1" applyBorder="1"/>
    <xf numFmtId="3" fontId="0" fillId="0" borderId="8" xfId="1" applyNumberFormat="1" applyFont="1" applyBorder="1"/>
    <xf numFmtId="3" fontId="10" fillId="0" borderId="4" xfId="1" applyNumberFormat="1" applyFont="1" applyBorder="1"/>
    <xf numFmtId="0" fontId="0" fillId="0" borderId="0" xfId="0" applyBorder="1" applyAlignment="1">
      <alignment horizontal="center" vertical="center"/>
    </xf>
    <xf numFmtId="0" fontId="35" fillId="0" borderId="0" xfId="0" applyFont="1"/>
    <xf numFmtId="0" fontId="6" fillId="0" borderId="0" xfId="0" applyFont="1" applyBorder="1" applyAlignment="1">
      <alignment horizontal="center"/>
    </xf>
    <xf numFmtId="0" fontId="0" fillId="0" borderId="0" xfId="0" applyAlignment="1">
      <alignment horizontal="right"/>
    </xf>
    <xf numFmtId="0" fontId="38" fillId="0" borderId="0" xfId="0" applyFont="1" applyFill="1" applyBorder="1" applyAlignment="1">
      <alignment vertical="center"/>
    </xf>
    <xf numFmtId="0" fontId="41" fillId="0" borderId="0" xfId="0" applyFont="1" applyFill="1" applyBorder="1" applyAlignment="1" applyProtection="1">
      <alignment horizontal="left" vertical="center"/>
      <protection locked="0"/>
    </xf>
    <xf numFmtId="3" fontId="42" fillId="0" borderId="0" xfId="0" applyNumberFormat="1" applyFont="1" applyFill="1" applyBorder="1" applyAlignment="1" applyProtection="1">
      <alignment horizontal="left" vertical="center"/>
      <protection locked="0"/>
    </xf>
    <xf numFmtId="0" fontId="43" fillId="0" borderId="0" xfId="0" applyFont="1" applyFill="1" applyBorder="1" applyAlignment="1" applyProtection="1">
      <alignment horizontal="left" vertical="center"/>
      <protection locked="0"/>
    </xf>
    <xf numFmtId="0" fontId="44" fillId="0" borderId="0" xfId="0" applyFont="1" applyFill="1" applyBorder="1" applyAlignment="1">
      <alignment vertical="center"/>
    </xf>
    <xf numFmtId="0" fontId="40" fillId="0" borderId="0" xfId="0" applyFont="1" applyFill="1" applyBorder="1" applyAlignment="1" applyProtection="1">
      <alignment vertical="center"/>
      <protection locked="0"/>
    </xf>
    <xf numFmtId="3" fontId="40" fillId="0" borderId="0" xfId="0" applyNumberFormat="1" applyFont="1" applyFill="1" applyBorder="1" applyAlignment="1" applyProtection="1">
      <alignment vertical="center"/>
      <protection locked="0"/>
    </xf>
    <xf numFmtId="0" fontId="37" fillId="0" borderId="0" xfId="0" applyFont="1" applyFill="1" applyBorder="1" applyAlignment="1" applyProtection="1">
      <alignment vertical="center"/>
      <protection locked="0"/>
    </xf>
    <xf numFmtId="169" fontId="37" fillId="0" borderId="0" xfId="0" applyNumberFormat="1" applyFont="1" applyFill="1" applyBorder="1" applyAlignment="1" applyProtection="1">
      <alignment vertical="center"/>
      <protection locked="0"/>
    </xf>
    <xf numFmtId="0" fontId="49" fillId="14" borderId="72" xfId="0" applyFont="1" applyFill="1" applyBorder="1" applyAlignment="1" applyProtection="1">
      <alignment horizontal="left" vertical="center"/>
      <protection locked="0"/>
    </xf>
    <xf numFmtId="3" fontId="38" fillId="0" borderId="74" xfId="0" applyNumberFormat="1" applyFont="1" applyFill="1" applyBorder="1" applyAlignment="1" applyProtection="1">
      <alignment horizontal="left" vertical="center"/>
    </xf>
    <xf numFmtId="164" fontId="38" fillId="0" borderId="75" xfId="1" applyNumberFormat="1" applyFont="1" applyFill="1" applyBorder="1" applyAlignment="1">
      <alignment vertical="top"/>
    </xf>
    <xf numFmtId="164" fontId="38" fillId="0" borderId="78" xfId="1" applyNumberFormat="1" applyFont="1" applyFill="1" applyBorder="1" applyAlignment="1">
      <alignment vertical="top"/>
    </xf>
    <xf numFmtId="0" fontId="50" fillId="0" borderId="74" xfId="0" applyFont="1" applyFill="1" applyBorder="1" applyAlignment="1">
      <alignment vertical="center"/>
    </xf>
    <xf numFmtId="3" fontId="38" fillId="0" borderId="74" xfId="0" applyNumberFormat="1" applyFont="1" applyFill="1" applyBorder="1" applyAlignment="1" applyProtection="1">
      <alignment vertical="center"/>
    </xf>
    <xf numFmtId="169" fontId="38" fillId="0" borderId="74" xfId="0" applyNumberFormat="1" applyFont="1" applyFill="1" applyBorder="1" applyAlignment="1" applyProtection="1">
      <alignment vertical="center"/>
      <protection locked="0"/>
    </xf>
    <xf numFmtId="0" fontId="49" fillId="14" borderId="74" xfId="0" applyFont="1" applyFill="1" applyBorder="1" applyAlignment="1" applyProtection="1">
      <alignment horizontal="left" vertical="center"/>
      <protection locked="0"/>
    </xf>
    <xf numFmtId="164" fontId="49" fillId="14" borderId="75" xfId="1" applyNumberFormat="1" applyFont="1" applyFill="1" applyBorder="1" applyAlignment="1">
      <alignment vertical="center"/>
    </xf>
    <xf numFmtId="164" fontId="49" fillId="14" borderId="76" xfId="1" applyNumberFormat="1" applyFont="1" applyFill="1" applyBorder="1" applyAlignment="1">
      <alignment vertical="center"/>
    </xf>
    <xf numFmtId="164" fontId="49" fillId="14" borderId="77" xfId="1" applyNumberFormat="1" applyFont="1" applyFill="1" applyBorder="1" applyAlignment="1">
      <alignment vertical="center"/>
    </xf>
    <xf numFmtId="0" fontId="38" fillId="0" borderId="74" xfId="0" applyFont="1" applyFill="1" applyBorder="1" applyAlignment="1" applyProtection="1">
      <alignment vertical="center"/>
      <protection locked="0"/>
    </xf>
    <xf numFmtId="0" fontId="49" fillId="14" borderId="79" xfId="0" applyFont="1" applyFill="1" applyBorder="1" applyAlignment="1" applyProtection="1">
      <alignment vertical="center"/>
      <protection locked="0"/>
    </xf>
    <xf numFmtId="3" fontId="37" fillId="0" borderId="83" xfId="0" applyNumberFormat="1" applyFont="1" applyFill="1" applyBorder="1" applyAlignment="1" applyProtection="1">
      <alignment vertical="center"/>
    </xf>
    <xf numFmtId="0" fontId="37" fillId="0" borderId="83" xfId="0" applyFont="1" applyFill="1" applyBorder="1" applyAlignment="1" applyProtection="1">
      <alignment vertical="center"/>
      <protection locked="0"/>
    </xf>
    <xf numFmtId="3" fontId="38" fillId="0" borderId="83" xfId="0" applyNumberFormat="1" applyFont="1" applyFill="1" applyBorder="1" applyAlignment="1">
      <alignment vertical="center"/>
    </xf>
    <xf numFmtId="3" fontId="37" fillId="0" borderId="83" xfId="0" applyNumberFormat="1" applyFont="1" applyFill="1" applyBorder="1" applyAlignment="1">
      <alignment vertical="center"/>
    </xf>
    <xf numFmtId="3" fontId="37" fillId="0" borderId="83" xfId="0" applyNumberFormat="1" applyFont="1" applyFill="1" applyBorder="1" applyAlignment="1" applyProtection="1">
      <alignment vertical="center"/>
      <protection locked="0"/>
    </xf>
    <xf numFmtId="3" fontId="38" fillId="0" borderId="84" xfId="0" applyNumberFormat="1" applyFont="1" applyFill="1" applyBorder="1" applyAlignment="1" applyProtection="1">
      <alignment vertical="center"/>
    </xf>
    <xf numFmtId="164" fontId="38" fillId="0" borderId="85" xfId="1" applyNumberFormat="1" applyFont="1" applyFill="1" applyBorder="1" applyAlignment="1">
      <alignment vertical="top"/>
    </xf>
    <xf numFmtId="164" fontId="38" fillId="0" borderId="64" xfId="1" applyNumberFormat="1" applyFont="1" applyFill="1" applyBorder="1" applyAlignment="1" applyProtection="1">
      <alignment vertical="top"/>
      <protection locked="0"/>
    </xf>
    <xf numFmtId="3" fontId="49" fillId="14" borderId="79" xfId="0" applyNumberFormat="1" applyFont="1" applyFill="1" applyBorder="1" applyAlignment="1" applyProtection="1">
      <alignment horizontal="left" vertical="center"/>
    </xf>
    <xf numFmtId="164" fontId="38" fillId="0" borderId="75" xfId="1" applyNumberFormat="1" applyFont="1" applyFill="1" applyBorder="1" applyAlignment="1" applyProtection="1">
      <alignment vertical="top"/>
      <protection locked="0"/>
    </xf>
    <xf numFmtId="3" fontId="49" fillId="14" borderId="74" xfId="0" applyNumberFormat="1" applyFont="1" applyFill="1" applyBorder="1" applyAlignment="1" applyProtection="1">
      <alignment horizontal="left" vertical="center"/>
    </xf>
    <xf numFmtId="0" fontId="37" fillId="14" borderId="88" xfId="0" applyFont="1" applyFill="1" applyBorder="1" applyAlignment="1" applyProtection="1">
      <alignment vertical="center"/>
      <protection locked="0"/>
    </xf>
    <xf numFmtId="164" fontId="49" fillId="14" borderId="68" xfId="1" applyNumberFormat="1" applyFont="1" applyFill="1" applyBorder="1" applyAlignment="1">
      <alignment vertical="center"/>
    </xf>
    <xf numFmtId="164" fontId="49" fillId="14" borderId="69" xfId="1" applyNumberFormat="1" applyFont="1" applyFill="1" applyBorder="1" applyAlignment="1">
      <alignment vertical="center"/>
    </xf>
    <xf numFmtId="164" fontId="49" fillId="14" borderId="71" xfId="1" applyNumberFormat="1" applyFont="1" applyFill="1" applyBorder="1" applyAlignment="1">
      <alignment vertical="center"/>
    </xf>
    <xf numFmtId="3" fontId="49" fillId="0" borderId="64" xfId="0" applyNumberFormat="1" applyFont="1" applyFill="1" applyBorder="1" applyAlignment="1">
      <alignment horizontal="centerContinuous" vertical="center"/>
    </xf>
    <xf numFmtId="17" fontId="49" fillId="0" borderId="65" xfId="0" applyNumberFormat="1" applyFont="1" applyFill="1" applyBorder="1" applyAlignment="1" applyProtection="1">
      <alignment horizontal="centerContinuous" vertical="center"/>
      <protection locked="0"/>
    </xf>
    <xf numFmtId="17" fontId="49" fillId="0" borderId="67" xfId="0" applyNumberFormat="1" applyFont="1" applyFill="1" applyBorder="1" applyAlignment="1" applyProtection="1">
      <alignment horizontal="centerContinuous" vertical="center"/>
      <protection locked="0"/>
    </xf>
    <xf numFmtId="17" fontId="49" fillId="0" borderId="64" xfId="0" applyNumberFormat="1" applyFont="1" applyFill="1" applyBorder="1" applyAlignment="1" applyProtection="1">
      <alignment horizontal="centerContinuous" vertical="center"/>
      <protection locked="0"/>
    </xf>
    <xf numFmtId="0" fontId="39" fillId="0" borderId="67" xfId="0" applyFont="1" applyFill="1" applyBorder="1" applyAlignment="1">
      <alignment vertical="center"/>
    </xf>
    <xf numFmtId="0" fontId="49" fillId="0" borderId="80" xfId="0" applyFont="1" applyFill="1" applyBorder="1" applyAlignment="1" applyProtection="1">
      <alignment horizontal="center" vertical="center"/>
    </xf>
    <xf numFmtId="3" fontId="49" fillId="0" borderId="81" xfId="0" applyNumberFormat="1" applyFont="1" applyFill="1" applyBorder="1" applyAlignment="1" applyProtection="1">
      <alignment horizontal="center" vertical="center"/>
      <protection locked="0"/>
    </xf>
    <xf numFmtId="3" fontId="49" fillId="0" borderId="82" xfId="0" applyNumberFormat="1" applyFont="1" applyFill="1" applyBorder="1" applyAlignment="1" applyProtection="1">
      <alignment horizontal="center" vertical="center"/>
      <protection locked="0"/>
    </xf>
    <xf numFmtId="0" fontId="39" fillId="0" borderId="82" xfId="0" applyFont="1" applyFill="1" applyBorder="1" applyAlignment="1">
      <alignment vertical="center"/>
    </xf>
    <xf numFmtId="169" fontId="37" fillId="0" borderId="83" xfId="0" applyNumberFormat="1" applyFont="1" applyFill="1" applyBorder="1" applyAlignment="1" applyProtection="1">
      <alignment vertical="center"/>
      <protection locked="0"/>
    </xf>
    <xf numFmtId="0" fontId="37" fillId="0" borderId="83" xfId="0" applyFont="1" applyFill="1" applyBorder="1" applyAlignment="1">
      <alignment vertical="center"/>
    </xf>
    <xf numFmtId="0" fontId="37" fillId="14" borderId="84" xfId="0" applyFont="1" applyFill="1" applyBorder="1" applyAlignment="1" applyProtection="1">
      <alignment vertical="center"/>
      <protection locked="0"/>
    </xf>
    <xf numFmtId="164" fontId="49" fillId="14" borderId="85" xfId="1" applyNumberFormat="1" applyFont="1" applyFill="1" applyBorder="1" applyAlignment="1">
      <alignment vertical="center"/>
    </xf>
    <xf numFmtId="164" fontId="49" fillId="14" borderId="86" xfId="1" applyNumberFormat="1" applyFont="1" applyFill="1" applyBorder="1" applyAlignment="1">
      <alignment vertical="center"/>
    </xf>
    <xf numFmtId="164" fontId="49" fillId="14" borderId="87" xfId="1" applyNumberFormat="1" applyFont="1" applyFill="1" applyBorder="1" applyAlignment="1">
      <alignment vertical="center"/>
    </xf>
    <xf numFmtId="0" fontId="50" fillId="0" borderId="89" xfId="0" applyFont="1" applyFill="1" applyBorder="1" applyAlignment="1">
      <alignment vertical="center"/>
    </xf>
    <xf numFmtId="164" fontId="38" fillId="0" borderId="75" xfId="1" applyNumberFormat="1" applyFont="1" applyFill="1" applyBorder="1" applyAlignment="1">
      <alignment vertical="center"/>
    </xf>
    <xf numFmtId="164" fontId="38" fillId="0" borderId="76" xfId="1" applyNumberFormat="1" applyFont="1" applyFill="1" applyBorder="1" applyAlignment="1">
      <alignment vertical="center"/>
    </xf>
    <xf numFmtId="164" fontId="38" fillId="15" borderId="77" xfId="1" applyNumberFormat="1" applyFont="1" applyFill="1" applyBorder="1" applyAlignment="1">
      <alignment vertical="center"/>
    </xf>
    <xf numFmtId="3" fontId="38" fillId="0" borderId="89" xfId="0" applyNumberFormat="1" applyFont="1" applyFill="1" applyBorder="1" applyAlignment="1" applyProtection="1">
      <alignment vertical="center"/>
    </xf>
    <xf numFmtId="0" fontId="37" fillId="14" borderId="74" xfId="0" applyFont="1" applyFill="1" applyBorder="1" applyAlignment="1" applyProtection="1">
      <alignment vertical="center"/>
      <protection locked="0"/>
    </xf>
    <xf numFmtId="0" fontId="49" fillId="14" borderId="74" xfId="0" applyFont="1" applyFill="1" applyBorder="1" applyAlignment="1" applyProtection="1">
      <alignment vertical="center"/>
      <protection locked="0"/>
    </xf>
    <xf numFmtId="164" fontId="38" fillId="0" borderId="75" xfId="1" applyNumberFormat="1" applyFont="1" applyFill="1" applyBorder="1" applyAlignment="1">
      <alignment horizontal="right" vertical="center"/>
    </xf>
    <xf numFmtId="0" fontId="49" fillId="14" borderId="74" xfId="0" applyFont="1" applyFill="1" applyBorder="1" applyAlignment="1" applyProtection="1">
      <alignment vertical="center"/>
    </xf>
    <xf numFmtId="164" fontId="49" fillId="14" borderId="75" xfId="1" applyNumberFormat="1" applyFont="1" applyFill="1" applyBorder="1" applyAlignment="1" applyProtection="1">
      <alignment vertical="center"/>
      <protection locked="0"/>
    </xf>
    <xf numFmtId="164" fontId="49" fillId="14" borderId="77" xfId="1" applyNumberFormat="1" applyFont="1" applyFill="1" applyBorder="1" applyAlignment="1" applyProtection="1">
      <alignment vertical="center"/>
      <protection locked="0"/>
    </xf>
    <xf numFmtId="0" fontId="47" fillId="0" borderId="74" xfId="0" applyFont="1" applyFill="1" applyBorder="1" applyAlignment="1" applyProtection="1">
      <alignment vertical="center"/>
    </xf>
    <xf numFmtId="164" fontId="38" fillId="0" borderId="75" xfId="1" applyNumberFormat="1" applyFont="1" applyFill="1" applyBorder="1" applyAlignment="1" applyProtection="1">
      <alignment vertical="center"/>
      <protection locked="0"/>
    </xf>
    <xf numFmtId="164" fontId="38" fillId="0" borderId="76" xfId="1" applyNumberFormat="1" applyFont="1" applyFill="1" applyBorder="1" applyAlignment="1" applyProtection="1">
      <alignment vertical="center"/>
    </xf>
    <xf numFmtId="164" fontId="38" fillId="0" borderId="76" xfId="1" applyNumberFormat="1" applyFont="1" applyFill="1" applyBorder="1" applyAlignment="1" applyProtection="1">
      <alignment vertical="center"/>
      <protection locked="0"/>
    </xf>
    <xf numFmtId="164" fontId="49" fillId="14" borderId="80" xfId="1" applyNumberFormat="1" applyFont="1" applyFill="1" applyBorder="1" applyAlignment="1" applyProtection="1">
      <alignment vertical="center"/>
      <protection locked="0"/>
    </xf>
    <xf numFmtId="3" fontId="38" fillId="0" borderId="84" xfId="0" applyNumberFormat="1" applyFont="1" applyFill="1" applyBorder="1" applyAlignment="1" applyProtection="1">
      <alignment horizontal="left" vertical="center"/>
    </xf>
    <xf numFmtId="164" fontId="38" fillId="0" borderId="85" xfId="1" applyNumberFormat="1" applyFont="1" applyFill="1" applyBorder="1" applyAlignment="1" applyProtection="1">
      <alignment vertical="center"/>
      <protection locked="0"/>
    </xf>
    <xf numFmtId="164" fontId="38" fillId="0" borderId="86" xfId="1" applyNumberFormat="1" applyFont="1" applyFill="1" applyBorder="1" applyAlignment="1" applyProtection="1">
      <alignment vertical="center"/>
      <protection locked="0"/>
    </xf>
    <xf numFmtId="0" fontId="38" fillId="0" borderId="74" xfId="0" applyFont="1" applyFill="1" applyBorder="1" applyAlignment="1" applyProtection="1">
      <alignment vertical="center"/>
    </xf>
    <xf numFmtId="3" fontId="37" fillId="14" borderId="74" xfId="0" applyNumberFormat="1" applyFont="1" applyFill="1" applyBorder="1" applyAlignment="1" applyProtection="1">
      <alignment vertical="center"/>
    </xf>
    <xf numFmtId="3" fontId="48" fillId="0" borderId="69" xfId="0" applyNumberFormat="1" applyFont="1" applyFill="1" applyBorder="1" applyAlignment="1">
      <alignment vertical="center"/>
    </xf>
    <xf numFmtId="3" fontId="48" fillId="0" borderId="69" xfId="0" applyNumberFormat="1" applyFont="1" applyFill="1" applyBorder="1" applyAlignment="1">
      <alignment horizontal="left" vertical="center"/>
    </xf>
    <xf numFmtId="164" fontId="49" fillId="14" borderId="64" xfId="1" applyNumberFormat="1" applyFont="1" applyFill="1" applyBorder="1" applyAlignment="1">
      <alignment horizontal="left" vertical="center"/>
    </xf>
    <xf numFmtId="164" fontId="38" fillId="0" borderId="75" xfId="1" applyNumberFormat="1" applyFont="1" applyFill="1" applyBorder="1" applyAlignment="1">
      <alignment horizontal="left" vertical="top"/>
    </xf>
    <xf numFmtId="164" fontId="49" fillId="14" borderId="75" xfId="1" applyNumberFormat="1" applyFont="1" applyFill="1" applyBorder="1" applyAlignment="1">
      <alignment horizontal="left" vertical="center"/>
    </xf>
    <xf numFmtId="164" fontId="49" fillId="14" borderId="80" xfId="1" applyNumberFormat="1" applyFont="1" applyFill="1" applyBorder="1" applyAlignment="1">
      <alignment horizontal="left" vertical="center"/>
    </xf>
    <xf numFmtId="17" fontId="48" fillId="0" borderId="69" xfId="0" applyNumberFormat="1" applyFont="1" applyFill="1" applyBorder="1" applyAlignment="1" applyProtection="1">
      <alignment horizontal="left" vertical="center"/>
      <protection locked="0"/>
    </xf>
    <xf numFmtId="17" fontId="48" fillId="0" borderId="70" xfId="0" applyNumberFormat="1" applyFont="1" applyFill="1" applyBorder="1" applyAlignment="1" applyProtection="1">
      <alignment horizontal="left" vertical="center"/>
      <protection locked="0"/>
    </xf>
    <xf numFmtId="0" fontId="48" fillId="0" borderId="71" xfId="0" applyFont="1" applyFill="1" applyBorder="1" applyAlignment="1">
      <alignment horizontal="left" vertical="center"/>
    </xf>
    <xf numFmtId="164" fontId="49" fillId="14" borderId="67" xfId="1" applyNumberFormat="1" applyFont="1" applyFill="1" applyBorder="1" applyAlignment="1">
      <alignment horizontal="left" vertical="center"/>
    </xf>
    <xf numFmtId="164" fontId="37" fillId="15" borderId="77" xfId="1" applyNumberFormat="1" applyFont="1" applyFill="1" applyBorder="1" applyAlignment="1">
      <alignment horizontal="left" vertical="top"/>
    </xf>
    <xf numFmtId="164" fontId="49" fillId="14" borderId="77" xfId="1" applyNumberFormat="1" applyFont="1" applyFill="1" applyBorder="1" applyAlignment="1">
      <alignment horizontal="left" vertical="center"/>
    </xf>
    <xf numFmtId="164" fontId="49" fillId="14" borderId="82" xfId="1" applyNumberFormat="1" applyFont="1" applyFill="1" applyBorder="1" applyAlignment="1">
      <alignment horizontal="left" vertical="center"/>
    </xf>
    <xf numFmtId="0" fontId="51" fillId="0" borderId="0" xfId="0" applyFont="1" applyAlignment="1">
      <alignment horizontal="left"/>
    </xf>
    <xf numFmtId="0" fontId="52" fillId="0" borderId="0" xfId="0" applyFont="1" applyAlignment="1">
      <alignment horizontal="left"/>
    </xf>
    <xf numFmtId="0" fontId="51" fillId="0" borderId="0" xfId="0" applyFont="1"/>
    <xf numFmtId="0" fontId="53" fillId="0" borderId="0" xfId="0" applyFont="1" applyAlignment="1"/>
    <xf numFmtId="0" fontId="53" fillId="0" borderId="0" xfId="0" applyFont="1" applyAlignment="1">
      <alignment horizontal="left"/>
    </xf>
    <xf numFmtId="0" fontId="53" fillId="0" borderId="0" xfId="0" applyFont="1"/>
    <xf numFmtId="0" fontId="52" fillId="0" borderId="0" xfId="0" applyFont="1" applyAlignment="1"/>
    <xf numFmtId="0" fontId="51" fillId="0" borderId="0" xfId="0" applyFont="1" applyAlignment="1">
      <alignment horizontal="center"/>
    </xf>
    <xf numFmtId="0" fontId="51" fillId="0" borderId="0" xfId="0" applyFont="1" applyAlignment="1">
      <alignment horizontal="right"/>
    </xf>
    <xf numFmtId="0" fontId="55" fillId="0" borderId="0" xfId="0" applyFont="1"/>
    <xf numFmtId="3" fontId="52" fillId="0" borderId="0" xfId="0" applyNumberFormat="1" applyFont="1" applyAlignment="1"/>
    <xf numFmtId="164" fontId="37" fillId="14" borderId="77" xfId="1" applyNumberFormat="1" applyFont="1" applyFill="1" applyBorder="1" applyAlignment="1" applyProtection="1">
      <alignment vertical="center"/>
      <protection locked="0"/>
    </xf>
    <xf numFmtId="3" fontId="0" fillId="16" borderId="0" xfId="0" applyNumberFormat="1" applyFill="1"/>
    <xf numFmtId="164" fontId="47" fillId="14" borderId="77" xfId="1" applyNumberFormat="1" applyFont="1" applyFill="1" applyBorder="1" applyAlignment="1">
      <alignment horizontal="left" vertical="center"/>
    </xf>
    <xf numFmtId="164" fontId="38" fillId="0" borderId="84" xfId="1" applyNumberFormat="1" applyFont="1" applyFill="1" applyBorder="1" applyAlignment="1" applyProtection="1">
      <alignment vertical="center"/>
      <protection locked="0"/>
    </xf>
    <xf numFmtId="164" fontId="38" fillId="0" borderId="74" xfId="1" applyNumberFormat="1" applyFont="1" applyFill="1" applyBorder="1" applyAlignment="1" applyProtection="1">
      <alignment vertical="center"/>
      <protection locked="0"/>
    </xf>
    <xf numFmtId="164" fontId="38" fillId="0" borderId="65" xfId="1" applyNumberFormat="1" applyFont="1" applyFill="1" applyBorder="1" applyAlignment="1" applyProtection="1">
      <alignment vertical="center"/>
      <protection locked="0"/>
    </xf>
    <xf numFmtId="164" fontId="49" fillId="14" borderId="94" xfId="1" applyNumberFormat="1" applyFont="1" applyFill="1" applyBorder="1" applyAlignment="1">
      <alignment horizontal="left" vertical="center"/>
    </xf>
    <xf numFmtId="164" fontId="37" fillId="15" borderId="94" xfId="1" applyNumberFormat="1" applyFont="1" applyFill="1" applyBorder="1" applyAlignment="1">
      <alignment horizontal="left" vertical="top"/>
    </xf>
    <xf numFmtId="164" fontId="49" fillId="14" borderId="95" xfId="1" applyNumberFormat="1" applyFont="1" applyFill="1" applyBorder="1" applyAlignment="1">
      <alignment horizontal="left" vertical="center"/>
    </xf>
    <xf numFmtId="164" fontId="0" fillId="0" borderId="5" xfId="0" applyNumberFormat="1" applyBorder="1"/>
    <xf numFmtId="3" fontId="8" fillId="0" borderId="36" xfId="0" applyNumberFormat="1" applyFont="1" applyBorder="1" applyAlignment="1">
      <alignment horizontal="center"/>
    </xf>
    <xf numFmtId="164" fontId="0" fillId="13" borderId="0" xfId="0" applyNumberFormat="1" applyFill="1"/>
    <xf numFmtId="3" fontId="37" fillId="14" borderId="79" xfId="0" applyNumberFormat="1" applyFont="1" applyFill="1" applyBorder="1" applyAlignment="1" applyProtection="1">
      <alignment vertical="center"/>
    </xf>
    <xf numFmtId="164" fontId="16" fillId="6" borderId="0" xfId="0" applyNumberFormat="1" applyFont="1" applyFill="1" applyAlignment="1">
      <alignment horizontal="left"/>
    </xf>
    <xf numFmtId="0" fontId="16" fillId="5" borderId="0" xfId="0" applyFont="1" applyFill="1" applyAlignment="1">
      <alignment horizontal="left"/>
    </xf>
    <xf numFmtId="3" fontId="16" fillId="0" borderId="0" xfId="0" applyNumberFormat="1" applyFont="1" applyAlignment="1">
      <alignment horizontal="left"/>
    </xf>
    <xf numFmtId="164" fontId="38" fillId="0" borderId="76" xfId="1" quotePrefix="1" applyNumberFormat="1" applyFont="1" applyFill="1" applyBorder="1" applyAlignment="1" applyProtection="1">
      <alignment vertical="center"/>
    </xf>
    <xf numFmtId="0" fontId="31" fillId="12" borderId="32" xfId="0" applyFont="1" applyFill="1" applyBorder="1" applyAlignment="1">
      <alignment horizontal="center" vertical="center"/>
    </xf>
    <xf numFmtId="14" fontId="31" fillId="12" borderId="5" xfId="0" applyNumberFormat="1" applyFont="1" applyFill="1" applyBorder="1" applyAlignment="1">
      <alignment horizontal="left" vertical="center"/>
    </xf>
    <xf numFmtId="14" fontId="0" fillId="0" borderId="6" xfId="0" applyNumberFormat="1" applyBorder="1" applyAlignment="1">
      <alignment horizontal="center"/>
    </xf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3" fontId="8" fillId="0" borderId="96" xfId="0" applyNumberFormat="1" applyFont="1" applyBorder="1" applyAlignment="1">
      <alignment horizontal="center"/>
    </xf>
    <xf numFmtId="3" fontId="8" fillId="0" borderId="97" xfId="0" applyNumberFormat="1" applyFont="1" applyBorder="1" applyAlignment="1">
      <alignment horizontal="center"/>
    </xf>
    <xf numFmtId="0" fontId="36" fillId="0" borderId="0" xfId="0" applyFont="1"/>
    <xf numFmtId="0" fontId="26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6" fillId="12" borderId="15" xfId="0" applyFont="1" applyFill="1" applyBorder="1" applyAlignment="1">
      <alignment vertical="center"/>
    </xf>
    <xf numFmtId="0" fontId="10" fillId="0" borderId="6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/>
    <xf numFmtId="0" fontId="23" fillId="0" borderId="6" xfId="0" applyFont="1" applyBorder="1"/>
    <xf numFmtId="0" fontId="31" fillId="0" borderId="25" xfId="0" applyFont="1" applyBorder="1" applyAlignment="1">
      <alignment vertical="center"/>
    </xf>
    <xf numFmtId="3" fontId="28" fillId="0" borderId="31" xfId="0" applyNumberFormat="1" applyFont="1" applyBorder="1" applyAlignment="1">
      <alignment vertical="center"/>
    </xf>
    <xf numFmtId="0" fontId="31" fillId="0" borderId="17" xfId="0" applyFont="1" applyBorder="1" applyAlignment="1">
      <alignment vertical="center"/>
    </xf>
    <xf numFmtId="3" fontId="28" fillId="0" borderId="18" xfId="0" applyNumberFormat="1" applyFont="1" applyBorder="1" applyAlignment="1">
      <alignment vertical="center"/>
    </xf>
    <xf numFmtId="0" fontId="31" fillId="12" borderId="32" xfId="0" applyFont="1" applyFill="1" applyBorder="1" applyAlignment="1">
      <alignment horizontal="right"/>
    </xf>
    <xf numFmtId="0" fontId="10" fillId="0" borderId="6" xfId="0" applyFont="1" applyBorder="1" applyAlignment="1">
      <alignment horizontal="center" vertical="center" wrapText="1"/>
    </xf>
    <xf numFmtId="3" fontId="10" fillId="0" borderId="6" xfId="0" applyNumberFormat="1" applyFont="1" applyBorder="1" applyAlignment="1">
      <alignment horizontal="center" vertical="center" wrapText="1"/>
    </xf>
    <xf numFmtId="3" fontId="11" fillId="0" borderId="0" xfId="0" applyNumberFormat="1" applyFont="1"/>
    <xf numFmtId="3" fontId="32" fillId="2" borderId="0" xfId="0" applyNumberFormat="1" applyFont="1" applyFill="1"/>
    <xf numFmtId="3" fontId="32" fillId="16" borderId="0" xfId="0" applyNumberFormat="1" applyFont="1" applyFill="1"/>
    <xf numFmtId="0" fontId="10" fillId="0" borderId="6" xfId="0" applyFont="1" applyBorder="1" applyAlignment="1">
      <alignment horizontal="left" vertical="center" wrapText="1"/>
    </xf>
    <xf numFmtId="3" fontId="22" fillId="0" borderId="100" xfId="0" applyNumberFormat="1" applyFont="1" applyBorder="1"/>
    <xf numFmtId="0" fontId="10" fillId="0" borderId="106" xfId="0" applyFont="1" applyBorder="1" applyAlignment="1">
      <alignment horizontal="right"/>
    </xf>
    <xf numFmtId="14" fontId="10" fillId="0" borderId="107" xfId="0" applyNumberFormat="1" applyFont="1" applyBorder="1" applyAlignment="1">
      <alignment horizontal="left"/>
    </xf>
    <xf numFmtId="0" fontId="0" fillId="0" borderId="6" xfId="0" applyBorder="1" applyAlignment="1">
      <alignment vertical="center" wrapText="1"/>
    </xf>
    <xf numFmtId="0" fontId="10" fillId="0" borderId="0" xfId="0" applyFont="1"/>
    <xf numFmtId="0" fontId="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6" fontId="26" fillId="0" borderId="0" xfId="0" applyNumberFormat="1" applyFont="1" applyAlignment="1">
      <alignment horizontal="center" vertical="center"/>
    </xf>
    <xf numFmtId="0" fontId="6" fillId="0" borderId="0" xfId="0" applyFont="1" applyBorder="1" applyAlignment="1">
      <alignment vertical="center"/>
    </xf>
    <xf numFmtId="3" fontId="0" fillId="13" borderId="0" xfId="0" applyNumberFormat="1" applyFill="1"/>
    <xf numFmtId="14" fontId="61" fillId="11" borderId="12" xfId="0" applyNumberFormat="1" applyFont="1" applyFill="1" applyBorder="1" applyAlignment="1">
      <alignment horizontal="center"/>
    </xf>
    <xf numFmtId="0" fontId="25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right" vertical="center"/>
    </xf>
    <xf numFmtId="0" fontId="6" fillId="0" borderId="0" xfId="0" applyFont="1" applyBorder="1" applyAlignment="1">
      <alignment horizontal="center" vertical="center"/>
    </xf>
    <xf numFmtId="49" fontId="0" fillId="0" borderId="6" xfId="0" applyNumberFormat="1" applyBorder="1" applyAlignment="1">
      <alignment horizontal="right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6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right" vertical="center" wrapText="1"/>
    </xf>
    <xf numFmtId="166" fontId="26" fillId="0" borderId="0" xfId="0" applyNumberFormat="1" applyFont="1" applyAlignment="1">
      <alignment horizontal="center" vertical="center" wrapText="1"/>
    </xf>
    <xf numFmtId="14" fontId="31" fillId="12" borderId="5" xfId="0" applyNumberFormat="1" applyFont="1" applyFill="1" applyBorder="1" applyAlignment="1">
      <alignment horizontal="left" wrapText="1"/>
    </xf>
    <xf numFmtId="3" fontId="0" fillId="0" borderId="0" xfId="0" applyNumberFormat="1" applyAlignment="1">
      <alignment wrapText="1"/>
    </xf>
    <xf numFmtId="3" fontId="10" fillId="0" borderId="6" xfId="0" applyNumberFormat="1" applyFont="1" applyBorder="1" applyAlignment="1">
      <alignment horizontal="center" wrapText="1"/>
    </xf>
    <xf numFmtId="0" fontId="23" fillId="0" borderId="6" xfId="0" applyFont="1" applyBorder="1" applyAlignment="1">
      <alignment wrapText="1"/>
    </xf>
    <xf numFmtId="3" fontId="28" fillId="0" borderId="31" xfId="0" applyNumberFormat="1" applyFont="1" applyBorder="1" applyAlignment="1">
      <alignment vertical="center" wrapText="1"/>
    </xf>
    <xf numFmtId="3" fontId="28" fillId="0" borderId="18" xfId="0" applyNumberFormat="1" applyFont="1" applyBorder="1" applyAlignment="1">
      <alignment vertical="center" wrapText="1"/>
    </xf>
    <xf numFmtId="0" fontId="31" fillId="0" borderId="25" xfId="0" applyFont="1" applyBorder="1" applyAlignment="1">
      <alignment vertical="center" wrapText="1"/>
    </xf>
    <xf numFmtId="0" fontId="31" fillId="0" borderId="17" xfId="0" applyFont="1" applyBorder="1" applyAlignment="1">
      <alignment vertical="center" wrapText="1"/>
    </xf>
    <xf numFmtId="0" fontId="31" fillId="0" borderId="106" xfId="0" applyFont="1" applyFill="1" applyBorder="1" applyAlignment="1">
      <alignment vertical="center" wrapText="1"/>
    </xf>
    <xf numFmtId="0" fontId="10" fillId="0" borderId="0" xfId="0" applyFont="1" applyAlignment="1">
      <alignment wrapText="1"/>
    </xf>
    <xf numFmtId="0" fontId="0" fillId="0" borderId="0" xfId="0" applyAlignment="1">
      <alignment horizontal="right" wrapText="1"/>
    </xf>
    <xf numFmtId="164" fontId="10" fillId="0" borderId="0" xfId="0" applyNumberFormat="1" applyFont="1"/>
    <xf numFmtId="0" fontId="8" fillId="0" borderId="0" xfId="0" applyFont="1"/>
    <xf numFmtId="0" fontId="0" fillId="11" borderId="6" xfId="0" applyFill="1" applyBorder="1"/>
    <xf numFmtId="0" fontId="18" fillId="0" borderId="5" xfId="0" applyFont="1" applyBorder="1" applyAlignment="1">
      <alignment horizontal="center"/>
    </xf>
    <xf numFmtId="0" fontId="8" fillId="0" borderId="16" xfId="0" applyFont="1" applyBorder="1" applyAlignment="1">
      <alignment horizontal="center" vertical="center" wrapText="1"/>
    </xf>
    <xf numFmtId="164" fontId="16" fillId="4" borderId="6" xfId="1" applyNumberFormat="1" applyFont="1" applyFill="1" applyBorder="1"/>
    <xf numFmtId="164" fontId="16" fillId="19" borderId="6" xfId="1" applyNumberFormat="1" applyFont="1" applyFill="1" applyBorder="1"/>
    <xf numFmtId="0" fontId="8" fillId="0" borderId="10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9" fillId="0" borderId="6" xfId="3" applyBorder="1"/>
    <xf numFmtId="164" fontId="10" fillId="0" borderId="6" xfId="1" applyNumberFormat="1" applyFont="1" applyBorder="1"/>
    <xf numFmtId="0" fontId="16" fillId="0" borderId="0" xfId="0" applyFont="1" applyFill="1"/>
    <xf numFmtId="164" fontId="2" fillId="0" borderId="0" xfId="0" applyNumberFormat="1" applyFont="1" applyBorder="1" applyAlignment="1">
      <alignment horizontal="center" vertical="center"/>
    </xf>
    <xf numFmtId="0" fontId="10" fillId="0" borderId="0" xfId="0" applyFont="1" applyAlignment="1"/>
    <xf numFmtId="3" fontId="18" fillId="0" borderId="6" xfId="0" applyNumberFormat="1" applyFont="1" applyBorder="1"/>
    <xf numFmtId="164" fontId="36" fillId="0" borderId="0" xfId="0" applyNumberFormat="1" applyFont="1"/>
    <xf numFmtId="0" fontId="9" fillId="11" borderId="6" xfId="3" applyFill="1" applyBorder="1"/>
    <xf numFmtId="0" fontId="0" fillId="11" borderId="6" xfId="3" applyFont="1" applyFill="1" applyBorder="1"/>
    <xf numFmtId="3" fontId="0" fillId="0" borderId="16" xfId="0" applyNumberFormat="1" applyBorder="1"/>
    <xf numFmtId="0" fontId="10" fillId="0" borderId="15" xfId="0" applyFont="1" applyBorder="1" applyAlignment="1">
      <alignment horizontal="right"/>
    </xf>
    <xf numFmtId="3" fontId="16" fillId="13" borderId="0" xfId="0" applyNumberFormat="1" applyFont="1" applyFill="1"/>
    <xf numFmtId="14" fontId="31" fillId="12" borderId="32" xfId="0" applyNumberFormat="1" applyFont="1" applyFill="1" applyBorder="1" applyAlignment="1">
      <alignment horizontal="left"/>
    </xf>
    <xf numFmtId="0" fontId="0" fillId="22" borderId="0" xfId="0" applyFill="1"/>
    <xf numFmtId="0" fontId="0" fillId="18" borderId="0" xfId="0" applyFill="1"/>
    <xf numFmtId="0" fontId="0" fillId="23" borderId="0" xfId="0" applyFill="1"/>
    <xf numFmtId="0" fontId="0" fillId="21" borderId="0" xfId="0" applyFill="1"/>
    <xf numFmtId="0" fontId="24" fillId="0" borderId="0" xfId="0" applyFont="1"/>
    <xf numFmtId="9" fontId="24" fillId="0" borderId="0" xfId="2" applyFont="1" applyAlignment="1">
      <alignment horizontal="center"/>
    </xf>
    <xf numFmtId="3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20" borderId="0" xfId="0" applyFill="1"/>
    <xf numFmtId="3" fontId="0" fillId="11" borderId="6" xfId="0" applyNumberFormat="1" applyFill="1" applyBorder="1"/>
    <xf numFmtId="165" fontId="16" fillId="0" borderId="0" xfId="1" applyNumberFormat="1" applyFont="1" applyBorder="1"/>
    <xf numFmtId="164" fontId="0" fillId="3" borderId="0" xfId="1" applyNumberFormat="1" applyFont="1" applyFill="1" applyAlignment="1">
      <alignment horizontal="center" vertical="center" wrapText="1"/>
    </xf>
    <xf numFmtId="164" fontId="0" fillId="3" borderId="0" xfId="1" applyNumberFormat="1" applyFont="1" applyFill="1"/>
    <xf numFmtId="0" fontId="0" fillId="5" borderId="0" xfId="0" applyFill="1"/>
    <xf numFmtId="0" fontId="0" fillId="0" borderId="12" xfId="0" applyBorder="1"/>
    <xf numFmtId="0" fontId="0" fillId="0" borderId="34" xfId="0" applyBorder="1"/>
    <xf numFmtId="0" fontId="0" fillId="10" borderId="6" xfId="3" applyFont="1" applyFill="1" applyBorder="1"/>
    <xf numFmtId="3" fontId="10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center"/>
    </xf>
    <xf numFmtId="0" fontId="6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6" xfId="0" quotePrefix="1" applyBorder="1" applyAlignment="1">
      <alignment horizontal="right"/>
    </xf>
    <xf numFmtId="3" fontId="28" fillId="0" borderId="19" xfId="0" applyNumberFormat="1" applyFont="1" applyBorder="1" applyAlignment="1">
      <alignment horizontal="center"/>
    </xf>
    <xf numFmtId="3" fontId="28" fillId="0" borderId="99" xfId="0" applyNumberFormat="1" applyFont="1" applyBorder="1" applyAlignment="1">
      <alignment horizontal="center"/>
    </xf>
    <xf numFmtId="164" fontId="10" fillId="11" borderId="6" xfId="1" applyNumberFormat="1" applyFont="1" applyFill="1" applyBorder="1"/>
    <xf numFmtId="3" fontId="10" fillId="11" borderId="6" xfId="0" applyNumberFormat="1" applyFont="1" applyFill="1" applyBorder="1" applyAlignment="1">
      <alignment horizontal="center"/>
    </xf>
    <xf numFmtId="3" fontId="0" fillId="11" borderId="6" xfId="0" quotePrefix="1" applyNumberFormat="1" applyFill="1" applyBorder="1"/>
    <xf numFmtId="164" fontId="0" fillId="11" borderId="0" xfId="1" applyNumberFormat="1" applyFont="1" applyFill="1"/>
    <xf numFmtId="0" fontId="0" fillId="11" borderId="0" xfId="0" applyFill="1"/>
    <xf numFmtId="0" fontId="0" fillId="2" borderId="6" xfId="0" applyFill="1" applyBorder="1"/>
    <xf numFmtId="0" fontId="10" fillId="0" borderId="1" xfId="0" applyFont="1" applyBorder="1" applyAlignment="1">
      <alignment horizontal="right" wrapText="1"/>
    </xf>
    <xf numFmtId="14" fontId="10" fillId="0" borderId="98" xfId="0" applyNumberFormat="1" applyFont="1" applyBorder="1" applyAlignment="1">
      <alignment horizontal="left" wrapText="1"/>
    </xf>
    <xf numFmtId="10" fontId="0" fillId="0" borderId="0" xfId="2" applyNumberFormat="1" applyFont="1" applyAlignment="1">
      <alignment horizontal="center"/>
    </xf>
    <xf numFmtId="0" fontId="32" fillId="0" borderId="0" xfId="0" applyFont="1" applyFill="1"/>
    <xf numFmtId="0" fontId="62" fillId="0" borderId="6" xfId="0" applyFont="1" applyFill="1" applyBorder="1" applyAlignment="1">
      <alignment horizontal="center" vertical="center"/>
    </xf>
    <xf numFmtId="164" fontId="5" fillId="0" borderId="6" xfId="1" applyNumberFormat="1" applyFont="1" applyFill="1" applyBorder="1" applyAlignment="1">
      <alignment vertical="center"/>
    </xf>
    <xf numFmtId="9" fontId="2" fillId="0" borderId="6" xfId="0" applyNumberFormat="1" applyFont="1" applyFill="1" applyBorder="1" applyAlignment="1">
      <alignment horizontal="center"/>
    </xf>
    <xf numFmtId="0" fontId="32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/>
    <xf numFmtId="15" fontId="58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 vertical="center"/>
    </xf>
    <xf numFmtId="164" fontId="3" fillId="0" borderId="6" xfId="1" applyNumberFormat="1" applyFont="1" applyFill="1" applyBorder="1" applyAlignment="1">
      <alignment vertical="center"/>
    </xf>
    <xf numFmtId="9" fontId="1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right" vertical="center"/>
    </xf>
    <xf numFmtId="164" fontId="33" fillId="0" borderId="6" xfId="1" applyNumberFormat="1" applyFont="1" applyFill="1" applyBorder="1" applyAlignment="1">
      <alignment vertical="center"/>
    </xf>
    <xf numFmtId="164" fontId="34" fillId="0" borderId="6" xfId="1" applyNumberFormat="1" applyFont="1" applyFill="1" applyBorder="1" applyAlignment="1">
      <alignment vertical="center"/>
    </xf>
    <xf numFmtId="0" fontId="5" fillId="0" borderId="6" xfId="0" applyFont="1" applyFill="1" applyBorder="1"/>
    <xf numFmtId="164" fontId="5" fillId="0" borderId="6" xfId="1" applyNumberFormat="1" applyFont="1" applyFill="1" applyBorder="1"/>
    <xf numFmtId="164" fontId="34" fillId="0" borderId="6" xfId="1" applyNumberFormat="1" applyFont="1" applyFill="1" applyBorder="1"/>
    <xf numFmtId="164" fontId="33" fillId="0" borderId="6" xfId="1" applyNumberFormat="1" applyFont="1" applyFill="1" applyBorder="1"/>
    <xf numFmtId="0" fontId="5" fillId="0" borderId="0" xfId="0" applyFont="1" applyFill="1" applyBorder="1" applyAlignment="1">
      <alignment horizontal="left" vertical="center"/>
    </xf>
    <xf numFmtId="164" fontId="33" fillId="0" borderId="0" xfId="1" applyNumberFormat="1" applyFont="1" applyFill="1" applyBorder="1"/>
    <xf numFmtId="0" fontId="34" fillId="0" borderId="0" xfId="0" applyFont="1" applyFill="1"/>
    <xf numFmtId="0" fontId="33" fillId="0" borderId="0" xfId="0" applyFont="1" applyFill="1"/>
    <xf numFmtId="164" fontId="5" fillId="0" borderId="6" xfId="1" applyNumberFormat="1" applyFont="1" applyFill="1" applyBorder="1" applyAlignment="1">
      <alignment horizontal="center" vertical="center"/>
    </xf>
    <xf numFmtId="164" fontId="3" fillId="0" borderId="6" xfId="1" applyNumberFormat="1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vertical="center"/>
    </xf>
    <xf numFmtId="164" fontId="11" fillId="0" borderId="6" xfId="1" applyNumberFormat="1" applyFont="1" applyFill="1" applyBorder="1"/>
    <xf numFmtId="164" fontId="33" fillId="0" borderId="6" xfId="0" applyNumberFormat="1" applyFont="1" applyFill="1" applyBorder="1"/>
    <xf numFmtId="164" fontId="57" fillId="0" borderId="6" xfId="1" applyNumberFormat="1" applyFont="1" applyFill="1" applyBorder="1" applyAlignment="1">
      <alignment vertical="center"/>
    </xf>
    <xf numFmtId="164" fontId="60" fillId="0" borderId="6" xfId="0" applyNumberFormat="1" applyFont="1" applyFill="1" applyBorder="1"/>
    <xf numFmtId="164" fontId="4" fillId="0" borderId="6" xfId="0" applyNumberFormat="1" applyFont="1" applyFill="1" applyBorder="1"/>
    <xf numFmtId="164" fontId="3" fillId="0" borderId="6" xfId="0" applyNumberFormat="1" applyFont="1" applyFill="1" applyBorder="1"/>
    <xf numFmtId="0" fontId="33" fillId="0" borderId="6" xfId="0" applyFont="1" applyFill="1" applyBorder="1"/>
    <xf numFmtId="0" fontId="5" fillId="0" borderId="6" xfId="0" applyFont="1" applyFill="1" applyBorder="1" applyAlignment="1">
      <alignment vertical="center" wrapText="1"/>
    </xf>
    <xf numFmtId="0" fontId="3" fillId="0" borderId="6" xfId="0" applyFont="1" applyFill="1" applyBorder="1"/>
    <xf numFmtId="0" fontId="5" fillId="0" borderId="0" xfId="0" applyFont="1" applyFill="1" applyBorder="1" applyAlignment="1">
      <alignment horizontal="center" vertical="center"/>
    </xf>
    <xf numFmtId="0" fontId="5" fillId="0" borderId="6" xfId="0" applyFont="1" applyFill="1" applyBorder="1" applyAlignment="1"/>
    <xf numFmtId="164" fontId="3" fillId="0" borderId="6" xfId="1" applyNumberFormat="1" applyFont="1" applyFill="1" applyBorder="1"/>
    <xf numFmtId="0" fontId="3" fillId="0" borderId="0" xfId="0" applyFont="1" applyFill="1"/>
    <xf numFmtId="0" fontId="58" fillId="0" borderId="0" xfId="0" applyFont="1" applyFill="1"/>
    <xf numFmtId="0" fontId="34" fillId="0" borderId="0" xfId="0" applyFont="1" applyFill="1" applyBorder="1" applyAlignment="1">
      <alignment horizontal="left"/>
    </xf>
    <xf numFmtId="164" fontId="3" fillId="0" borderId="0" xfId="1" applyNumberFormat="1" applyFont="1" applyFill="1" applyBorder="1"/>
    <xf numFmtId="10" fontId="3" fillId="0" borderId="0" xfId="2" applyNumberFormat="1" applyFont="1" applyFill="1" applyAlignment="1">
      <alignment horizontal="center"/>
    </xf>
    <xf numFmtId="164" fontId="5" fillId="0" borderId="35" xfId="0" applyNumberFormat="1" applyFont="1" applyFill="1" applyBorder="1" applyAlignment="1">
      <alignment horizontal="left"/>
    </xf>
    <xf numFmtId="164" fontId="5" fillId="0" borderId="6" xfId="0" applyNumberFormat="1" applyFont="1" applyFill="1" applyBorder="1" applyAlignment="1">
      <alignment horizontal="left"/>
    </xf>
    <xf numFmtId="164" fontId="5" fillId="0" borderId="61" xfId="0" applyNumberFormat="1" applyFont="1" applyFill="1" applyBorder="1" applyAlignment="1">
      <alignment horizontal="left"/>
    </xf>
    <xf numFmtId="0" fontId="5" fillId="0" borderId="10" xfId="0" applyFont="1" applyFill="1" applyBorder="1" applyAlignment="1">
      <alignment horizontal="center"/>
    </xf>
    <xf numFmtId="164" fontId="3" fillId="0" borderId="6" xfId="0" applyNumberFormat="1" applyFont="1" applyFill="1" applyBorder="1" applyAlignment="1">
      <alignment horizontal="left" vertical="center"/>
    </xf>
    <xf numFmtId="3" fontId="5" fillId="0" borderId="0" xfId="0" applyNumberFormat="1" applyFont="1" applyFill="1"/>
    <xf numFmtId="0" fontId="32" fillId="7" borderId="0" xfId="0" applyFont="1" applyFill="1"/>
    <xf numFmtId="0" fontId="58" fillId="7" borderId="0" xfId="0" applyFont="1" applyFill="1"/>
    <xf numFmtId="0" fontId="0" fillId="7" borderId="0" xfId="0" applyFill="1"/>
    <xf numFmtId="0" fontId="0" fillId="7" borderId="0" xfId="0" quotePrefix="1" applyFill="1"/>
    <xf numFmtId="3" fontId="32" fillId="0" borderId="0" xfId="0" applyNumberFormat="1" applyFont="1" applyFill="1"/>
    <xf numFmtId="3" fontId="6" fillId="0" borderId="0" xfId="0" applyNumberFormat="1" applyFont="1" applyBorder="1" applyAlignment="1">
      <alignment horizontal="center"/>
    </xf>
    <xf numFmtId="0" fontId="64" fillId="0" borderId="0" xfId="0" applyFont="1" applyFill="1"/>
    <xf numFmtId="0" fontId="64" fillId="7" borderId="0" xfId="0" applyFont="1" applyFill="1"/>
    <xf numFmtId="0" fontId="32" fillId="0" borderId="0" xfId="0" applyFont="1" applyFill="1" applyAlignment="1">
      <alignment vertical="center"/>
    </xf>
    <xf numFmtId="0" fontId="65" fillId="0" borderId="0" xfId="0" applyFont="1" applyFill="1"/>
    <xf numFmtId="0" fontId="66" fillId="0" borderId="0" xfId="0" applyFont="1" applyFill="1"/>
    <xf numFmtId="0" fontId="67" fillId="0" borderId="0" xfId="0" applyFont="1" applyFill="1"/>
    <xf numFmtId="0" fontId="66" fillId="0" borderId="0" xfId="0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0" fontId="65" fillId="0" borderId="0" xfId="0" applyFont="1" applyFill="1" applyBorder="1"/>
    <xf numFmtId="3" fontId="0" fillId="2" borderId="8" xfId="0" applyNumberFormat="1" applyFill="1" applyBorder="1"/>
    <xf numFmtId="0" fontId="10" fillId="0" borderId="108" xfId="0" applyFont="1" applyBorder="1" applyAlignment="1">
      <alignment horizontal="right"/>
    </xf>
    <xf numFmtId="3" fontId="0" fillId="0" borderId="29" xfId="0" applyNumberFormat="1" applyBorder="1"/>
    <xf numFmtId="0" fontId="0" fillId="0" borderId="6" xfId="0" applyBorder="1" applyAlignment="1">
      <alignment horizontal="left"/>
    </xf>
    <xf numFmtId="0" fontId="5" fillId="0" borderId="0" xfId="0" applyFont="1" applyFill="1" applyAlignment="1">
      <alignment horizontal="center"/>
    </xf>
    <xf numFmtId="0" fontId="5" fillId="0" borderId="6" xfId="0" applyFont="1" applyFill="1" applyBorder="1" applyAlignment="1">
      <alignment horizontal="left" vertical="center"/>
    </xf>
    <xf numFmtId="0" fontId="5" fillId="0" borderId="10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 vertical="center"/>
    </xf>
    <xf numFmtId="164" fontId="5" fillId="0" borderId="10" xfId="0" applyNumberFormat="1" applyFont="1" applyFill="1" applyBorder="1" applyAlignment="1">
      <alignment horizontal="left"/>
    </xf>
    <xf numFmtId="0" fontId="10" fillId="0" borderId="109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8" fillId="2" borderId="109" xfId="0" applyFont="1" applyFill="1" applyBorder="1" applyAlignment="1">
      <alignment horizontal="center"/>
    </xf>
    <xf numFmtId="164" fontId="18" fillId="6" borderId="109" xfId="0" applyNumberFormat="1" applyFont="1" applyFill="1" applyBorder="1" applyAlignment="1">
      <alignment horizontal="left"/>
    </xf>
    <xf numFmtId="0" fontId="0" fillId="0" borderId="15" xfId="0" applyBorder="1"/>
    <xf numFmtId="164" fontId="16" fillId="0" borderId="24" xfId="1" applyNumberFormat="1" applyFont="1" applyFill="1" applyBorder="1"/>
    <xf numFmtId="164" fontId="16" fillId="2" borderId="28" xfId="0" applyNumberFormat="1" applyFont="1" applyFill="1" applyBorder="1"/>
    <xf numFmtId="164" fontId="70" fillId="11" borderId="6" xfId="0" quotePrefix="1" applyNumberFormat="1" applyFont="1" applyFill="1" applyBorder="1"/>
    <xf numFmtId="164" fontId="70" fillId="11" borderId="6" xfId="0" applyNumberFormat="1" applyFont="1" applyFill="1" applyBorder="1"/>
    <xf numFmtId="164" fontId="0" fillId="0" borderId="110" xfId="0" applyNumberFormat="1" applyBorder="1"/>
    <xf numFmtId="0" fontId="10" fillId="0" borderId="114" xfId="0" applyFont="1" applyBorder="1" applyAlignment="1">
      <alignment horizontal="center"/>
    </xf>
    <xf numFmtId="0" fontId="10" fillId="0" borderId="111" xfId="0" applyFont="1" applyBorder="1" applyAlignment="1">
      <alignment horizontal="center"/>
    </xf>
    <xf numFmtId="0" fontId="10" fillId="0" borderId="115" xfId="0" applyFont="1" applyBorder="1" applyAlignment="1">
      <alignment horizontal="center"/>
    </xf>
    <xf numFmtId="164" fontId="16" fillId="11" borderId="31" xfId="0" applyNumberFormat="1" applyFont="1" applyFill="1" applyBorder="1"/>
    <xf numFmtId="0" fontId="10" fillId="0" borderId="15" xfId="0" applyFont="1" applyBorder="1" applyAlignment="1">
      <alignment horizontal="center"/>
    </xf>
    <xf numFmtId="164" fontId="16" fillId="11" borderId="29" xfId="0" applyNumberFormat="1" applyFont="1" applyFill="1" applyBorder="1"/>
    <xf numFmtId="164" fontId="16" fillId="11" borderId="16" xfId="0" applyNumberFormat="1" applyFont="1" applyFill="1" applyBorder="1"/>
    <xf numFmtId="0" fontId="10" fillId="0" borderId="103" xfId="0" applyFont="1" applyBorder="1" applyAlignment="1">
      <alignment horizontal="center"/>
    </xf>
    <xf numFmtId="164" fontId="16" fillId="11" borderId="116" xfId="0" applyNumberFormat="1" applyFont="1" applyFill="1" applyBorder="1"/>
    <xf numFmtId="164" fontId="16" fillId="11" borderId="101" xfId="0" applyNumberFormat="1" applyFont="1" applyFill="1" applyBorder="1"/>
    <xf numFmtId="164" fontId="16" fillId="11" borderId="115" xfId="0" applyNumberFormat="1" applyFont="1" applyFill="1" applyBorder="1"/>
    <xf numFmtId="164" fontId="0" fillId="0" borderId="115" xfId="0" applyNumberFormat="1" applyBorder="1" applyAlignment="1"/>
    <xf numFmtId="164" fontId="70" fillId="11" borderId="16" xfId="0" quotePrefix="1" applyNumberFormat="1" applyFont="1" applyFill="1" applyBorder="1"/>
    <xf numFmtId="0" fontId="0" fillId="0" borderId="17" xfId="0" applyBorder="1"/>
    <xf numFmtId="164" fontId="70" fillId="11" borderId="30" xfId="0" quotePrefix="1" applyNumberFormat="1" applyFont="1" applyFill="1" applyBorder="1"/>
    <xf numFmtId="164" fontId="70" fillId="11" borderId="18" xfId="0" quotePrefix="1" applyNumberFormat="1" applyFont="1" applyFill="1" applyBorder="1"/>
    <xf numFmtId="0" fontId="0" fillId="0" borderId="108" xfId="0" applyBorder="1"/>
    <xf numFmtId="0" fontId="0" fillId="0" borderId="4" xfId="0" applyBorder="1"/>
    <xf numFmtId="164" fontId="4" fillId="7" borderId="6" xfId="1" applyNumberFormat="1" applyFont="1" applyFill="1" applyBorder="1" applyAlignment="1">
      <alignment vertical="center"/>
    </xf>
    <xf numFmtId="0" fontId="8" fillId="7" borderId="6" xfId="0" applyFont="1" applyFill="1" applyBorder="1" applyAlignment="1">
      <alignment horizontal="center" vertical="center" wrapText="1"/>
    </xf>
    <xf numFmtId="164" fontId="5" fillId="7" borderId="6" xfId="1" applyNumberFormat="1" applyFont="1" applyFill="1" applyBorder="1" applyAlignment="1">
      <alignment vertical="center"/>
    </xf>
    <xf numFmtId="164" fontId="5" fillId="0" borderId="0" xfId="0" applyNumberFormat="1" applyFont="1" applyFill="1"/>
    <xf numFmtId="164" fontId="70" fillId="11" borderId="16" xfId="0" applyNumberFormat="1" applyFont="1" applyFill="1" applyBorder="1"/>
    <xf numFmtId="0" fontId="8" fillId="0" borderId="12" xfId="3" applyFont="1" applyBorder="1"/>
    <xf numFmtId="0" fontId="8" fillId="0" borderId="6" xfId="3" applyFont="1" applyBorder="1"/>
    <xf numFmtId="0" fontId="5" fillId="0" borderId="6" xfId="0" applyFont="1" applyFill="1" applyBorder="1" applyAlignment="1">
      <alignment horizontal="center" vertical="center"/>
    </xf>
    <xf numFmtId="164" fontId="5" fillId="0" borderId="10" xfId="0" applyNumberFormat="1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33" fillId="0" borderId="6" xfId="0" applyFont="1" applyFill="1" applyBorder="1" applyAlignment="1">
      <alignment horizontal="center"/>
    </xf>
    <xf numFmtId="164" fontId="5" fillId="0" borderId="6" xfId="1" applyNumberFormat="1" applyFont="1" applyFill="1" applyBorder="1" applyAlignment="1">
      <alignment horizontal="center"/>
    </xf>
    <xf numFmtId="0" fontId="0" fillId="0" borderId="6" xfId="0" applyFill="1" applyBorder="1"/>
    <xf numFmtId="3" fontId="0" fillId="0" borderId="6" xfId="0" applyNumberFormat="1" applyFill="1" applyBorder="1"/>
    <xf numFmtId="0" fontId="10" fillId="0" borderId="3" xfId="0" applyFont="1" applyFill="1" applyBorder="1" applyAlignment="1">
      <alignment horizontal="center"/>
    </xf>
    <xf numFmtId="3" fontId="28" fillId="0" borderId="20" xfId="0" applyNumberFormat="1" applyFont="1" applyBorder="1" applyAlignment="1">
      <alignment vertical="center" wrapText="1"/>
    </xf>
    <xf numFmtId="0" fontId="31" fillId="0" borderId="15" xfId="0" applyFont="1" applyBorder="1" applyAlignment="1">
      <alignment vertical="center" wrapText="1"/>
    </xf>
    <xf numFmtId="3" fontId="28" fillId="0" borderId="16" xfId="0" applyNumberFormat="1" applyFont="1" applyBorder="1" applyAlignment="1">
      <alignment vertical="center" wrapText="1"/>
    </xf>
    <xf numFmtId="0" fontId="0" fillId="25" borderId="6" xfId="0" applyFont="1" applyFill="1" applyBorder="1" applyAlignment="1">
      <alignment horizontal="right"/>
    </xf>
    <xf numFmtId="3" fontId="0" fillId="16" borderId="4" xfId="0" applyNumberFormat="1" applyFill="1" applyBorder="1"/>
    <xf numFmtId="164" fontId="0" fillId="0" borderId="0" xfId="0" applyNumberFormat="1" applyAlignment="1">
      <alignment horizontal="left"/>
    </xf>
    <xf numFmtId="0" fontId="5" fillId="0" borderId="0" xfId="0" applyFont="1" applyFill="1" applyAlignment="1">
      <alignment horizontal="center"/>
    </xf>
    <xf numFmtId="0" fontId="5" fillId="0" borderId="10" xfId="0" applyFont="1" applyFill="1" applyBorder="1" applyAlignment="1">
      <alignment horizontal="right" vertical="center"/>
    </xf>
    <xf numFmtId="3" fontId="0" fillId="17" borderId="0" xfId="0" applyNumberFormat="1" applyFill="1" applyAlignment="1">
      <alignment horizontal="center"/>
    </xf>
    <xf numFmtId="0" fontId="16" fillId="20" borderId="0" xfId="0" applyFont="1" applyFill="1"/>
    <xf numFmtId="3" fontId="16" fillId="20" borderId="0" xfId="0" applyNumberFormat="1" applyFont="1" applyFill="1"/>
    <xf numFmtId="0" fontId="36" fillId="20" borderId="0" xfId="0" applyFont="1" applyFill="1"/>
    <xf numFmtId="164" fontId="36" fillId="20" borderId="0" xfId="0" applyNumberFormat="1" applyFont="1" applyFill="1"/>
    <xf numFmtId="9" fontId="2" fillId="0" borderId="8" xfId="0" applyNumberFormat="1" applyFont="1" applyFill="1" applyBorder="1" applyAlignment="1">
      <alignment horizontal="center"/>
    </xf>
    <xf numFmtId="0" fontId="32" fillId="0" borderId="6" xfId="0" applyFont="1" applyFill="1" applyBorder="1"/>
    <xf numFmtId="0" fontId="16" fillId="16" borderId="0" xfId="0" applyFont="1" applyFill="1"/>
    <xf numFmtId="0" fontId="36" fillId="16" borderId="0" xfId="0" applyFont="1" applyFill="1"/>
    <xf numFmtId="164" fontId="36" fillId="16" borderId="0" xfId="0" applyNumberFormat="1" applyFont="1" applyFill="1"/>
    <xf numFmtId="0" fontId="26" fillId="20" borderId="15" xfId="0" applyFont="1" applyFill="1" applyBorder="1" applyAlignment="1">
      <alignment vertical="center"/>
    </xf>
    <xf numFmtId="9" fontId="32" fillId="0" borderId="0" xfId="2" applyFont="1" applyFill="1"/>
    <xf numFmtId="10" fontId="32" fillId="0" borderId="0" xfId="2" applyNumberFormat="1" applyFont="1" applyFill="1"/>
    <xf numFmtId="164" fontId="32" fillId="0" borderId="0" xfId="0" applyNumberFormat="1" applyFont="1" applyFill="1"/>
    <xf numFmtId="164" fontId="38" fillId="20" borderId="75" xfId="1" applyNumberFormat="1" applyFont="1" applyFill="1" applyBorder="1" applyAlignment="1">
      <alignment vertical="top"/>
    </xf>
    <xf numFmtId="0" fontId="0" fillId="20" borderId="6" xfId="0" applyFill="1" applyBorder="1"/>
    <xf numFmtId="0" fontId="0" fillId="0" borderId="0" xfId="0" applyAlignment="1">
      <alignment horizontal="center"/>
    </xf>
    <xf numFmtId="0" fontId="0" fillId="0" borderId="32" xfId="0" applyBorder="1"/>
    <xf numFmtId="0" fontId="0" fillId="25" borderId="8" xfId="0" applyFont="1" applyFill="1" applyBorder="1" applyAlignment="1">
      <alignment horizontal="right"/>
    </xf>
    <xf numFmtId="0" fontId="0" fillId="0" borderId="8" xfId="0" applyBorder="1"/>
    <xf numFmtId="0" fontId="10" fillId="24" borderId="2" xfId="0" applyFont="1" applyFill="1" applyBorder="1" applyAlignment="1">
      <alignment horizontal="right"/>
    </xf>
    <xf numFmtId="0" fontId="20" fillId="24" borderId="32" xfId="4" applyFont="1" applyFill="1" applyBorder="1" applyAlignment="1" applyProtection="1">
      <alignment wrapText="1"/>
    </xf>
    <xf numFmtId="0" fontId="20" fillId="24" borderId="32" xfId="4" applyFont="1" applyFill="1" applyBorder="1" applyAlignment="1" applyProtection="1">
      <alignment horizontal="left" wrapText="1"/>
    </xf>
    <xf numFmtId="0" fontId="18" fillId="0" borderId="5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14" fontId="0" fillId="0" borderId="6" xfId="0" applyNumberFormat="1" applyBorder="1"/>
    <xf numFmtId="164" fontId="0" fillId="0" borderId="8" xfId="1" applyNumberFormat="1" applyFont="1" applyBorder="1" applyAlignment="1">
      <alignment horizontal="right"/>
    </xf>
    <xf numFmtId="0" fontId="0" fillId="20" borderId="6" xfId="0" applyFont="1" applyFill="1" applyBorder="1" applyAlignment="1">
      <alignment horizontal="right"/>
    </xf>
    <xf numFmtId="14" fontId="0" fillId="0" borderId="6" xfId="0" applyNumberFormat="1" applyFont="1" applyBorder="1" applyAlignment="1">
      <alignment horizontal="center"/>
    </xf>
    <xf numFmtId="49" fontId="10" fillId="0" borderId="6" xfId="0" applyNumberFormat="1" applyFont="1" applyBorder="1" applyAlignment="1">
      <alignment horizontal="right"/>
    </xf>
    <xf numFmtId="0" fontId="0" fillId="0" borderId="6" xfId="0" applyBorder="1" applyAlignment="1">
      <alignment horizontal="right"/>
    </xf>
    <xf numFmtId="164" fontId="0" fillId="0" borderId="9" xfId="1" applyNumberFormat="1" applyFont="1" applyFill="1" applyBorder="1" applyAlignment="1">
      <alignment horizontal="right"/>
    </xf>
    <xf numFmtId="164" fontId="0" fillId="0" borderId="9" xfId="1" applyNumberFormat="1" applyFont="1" applyFill="1" applyBorder="1"/>
    <xf numFmtId="0" fontId="0" fillId="13" borderId="0" xfId="0" applyFill="1"/>
    <xf numFmtId="0" fontId="5" fillId="0" borderId="6" xfId="0" applyFont="1" applyFill="1" applyBorder="1" applyAlignment="1">
      <alignment horizontal="left" vertical="center"/>
    </xf>
    <xf numFmtId="0" fontId="59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23" fillId="0" borderId="28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17" fontId="31" fillId="0" borderId="114" xfId="0" applyNumberFormat="1" applyFont="1" applyBorder="1" applyAlignment="1">
      <alignment horizontal="center" vertical="center" wrapText="1"/>
    </xf>
    <xf numFmtId="17" fontId="31" fillId="0" borderId="111" xfId="0" applyNumberFormat="1" applyFont="1" applyBorder="1" applyAlignment="1">
      <alignment horizontal="center" vertical="center" wrapText="1"/>
    </xf>
    <xf numFmtId="0" fontId="23" fillId="0" borderId="115" xfId="0" applyFont="1" applyBorder="1" applyAlignment="1">
      <alignment horizontal="center" vertical="center" wrapText="1"/>
    </xf>
    <xf numFmtId="0" fontId="23" fillId="0" borderId="112" xfId="0" applyFont="1" applyBorder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28" fillId="0" borderId="0" xfId="0" applyFont="1" applyAlignment="1">
      <alignment horizontal="center"/>
    </xf>
    <xf numFmtId="164" fontId="27" fillId="0" borderId="0" xfId="0" applyNumberFormat="1" applyFont="1" applyAlignment="1">
      <alignment horizontal="right"/>
    </xf>
    <xf numFmtId="0" fontId="16" fillId="0" borderId="6" xfId="0" applyFont="1" applyBorder="1"/>
    <xf numFmtId="3" fontId="0" fillId="0" borderId="6" xfId="0" applyNumberFormat="1" applyBorder="1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59" fillId="0" borderId="0" xfId="0" applyFont="1" applyAlignment="1">
      <alignment horizontal="center"/>
    </xf>
    <xf numFmtId="0" fontId="24" fillId="0" borderId="19" xfId="0" applyFont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73" fillId="12" borderId="28" xfId="0" applyFont="1" applyFill="1" applyBorder="1" applyAlignment="1">
      <alignment vertical="center"/>
    </xf>
    <xf numFmtId="3" fontId="75" fillId="7" borderId="25" xfId="0" applyNumberFormat="1" applyFont="1" applyFill="1" applyBorder="1" applyAlignment="1">
      <alignment vertical="center"/>
    </xf>
    <xf numFmtId="3" fontId="73" fillId="0" borderId="26" xfId="0" applyNumberFormat="1" applyFont="1" applyBorder="1"/>
    <xf numFmtId="10" fontId="73" fillId="0" borderId="31" xfId="2" applyNumberFormat="1" applyFont="1" applyBorder="1"/>
    <xf numFmtId="3" fontId="75" fillId="7" borderId="108" xfId="0" applyNumberFormat="1" applyFont="1" applyFill="1" applyBorder="1" applyAlignment="1">
      <alignment vertical="center"/>
    </xf>
    <xf numFmtId="3" fontId="73" fillId="0" borderId="8" xfId="0" applyNumberFormat="1" applyFont="1" applyBorder="1"/>
    <xf numFmtId="10" fontId="73" fillId="0" borderId="29" xfId="2" applyNumberFormat="1" applyFont="1" applyBorder="1"/>
    <xf numFmtId="3" fontId="73" fillId="0" borderId="6" xfId="0" applyNumberFormat="1" applyFont="1" applyBorder="1"/>
    <xf numFmtId="3" fontId="75" fillId="7" borderId="15" xfId="0" applyNumberFormat="1" applyFont="1" applyFill="1" applyBorder="1" applyAlignment="1">
      <alignment vertical="center"/>
    </xf>
    <xf numFmtId="10" fontId="73" fillId="0" borderId="116" xfId="2" applyNumberFormat="1" applyFont="1" applyBorder="1"/>
    <xf numFmtId="3" fontId="73" fillId="0" borderId="61" xfId="0" applyNumberFormat="1" applyFont="1" applyBorder="1"/>
    <xf numFmtId="0" fontId="73" fillId="12" borderId="33" xfId="0" applyFont="1" applyFill="1" applyBorder="1" applyAlignment="1">
      <alignment vertical="center"/>
    </xf>
    <xf numFmtId="3" fontId="75" fillId="7" borderId="103" xfId="0" applyNumberFormat="1" applyFont="1" applyFill="1" applyBorder="1" applyAlignment="1">
      <alignment vertical="center"/>
    </xf>
    <xf numFmtId="3" fontId="73" fillId="0" borderId="7" xfId="0" applyNumberFormat="1" applyFont="1" applyBorder="1"/>
    <xf numFmtId="3" fontId="75" fillId="7" borderId="117" xfId="0" applyNumberFormat="1" applyFont="1" applyFill="1" applyBorder="1" applyAlignment="1">
      <alignment vertical="center"/>
    </xf>
    <xf numFmtId="3" fontId="73" fillId="0" borderId="9" xfId="0" applyNumberFormat="1" applyFont="1" applyBorder="1"/>
    <xf numFmtId="0" fontId="24" fillId="12" borderId="2" xfId="0" applyFont="1" applyFill="1" applyBorder="1" applyAlignment="1">
      <alignment vertical="center"/>
    </xf>
    <xf numFmtId="3" fontId="24" fillId="0" borderId="111" xfId="0" applyNumberFormat="1" applyFont="1" applyBorder="1"/>
    <xf numFmtId="10" fontId="73" fillId="0" borderId="115" xfId="2" applyNumberFormat="1" applyFont="1" applyBorder="1"/>
    <xf numFmtId="3" fontId="24" fillId="7" borderId="114" xfId="0" applyNumberFormat="1" applyFont="1" applyFill="1" applyBorder="1"/>
    <xf numFmtId="3" fontId="24" fillId="9" borderId="111" xfId="0" applyNumberFormat="1" applyFont="1" applyFill="1" applyBorder="1"/>
    <xf numFmtId="3" fontId="24" fillId="9" borderId="112" xfId="0" applyNumberFormat="1" applyFont="1" applyFill="1" applyBorder="1"/>
    <xf numFmtId="10" fontId="73" fillId="0" borderId="29" xfId="2" applyNumberFormat="1" applyFont="1" applyBorder="1" applyAlignment="1">
      <alignment vertical="center"/>
    </xf>
    <xf numFmtId="10" fontId="24" fillId="0" borderId="116" xfId="2" applyNumberFormat="1" applyFont="1" applyBorder="1" applyAlignment="1">
      <alignment vertical="center"/>
    </xf>
    <xf numFmtId="0" fontId="24" fillId="12" borderId="4" xfId="0" applyFont="1" applyFill="1" applyBorder="1" applyAlignment="1">
      <alignment horizontal="center" vertical="center" wrapText="1"/>
    </xf>
    <xf numFmtId="0" fontId="31" fillId="12" borderId="4" xfId="0" applyFont="1" applyFill="1" applyBorder="1" applyAlignment="1">
      <alignment horizontal="center" vertical="center" wrapText="1"/>
    </xf>
    <xf numFmtId="3" fontId="73" fillId="0" borderId="26" xfId="0" applyNumberFormat="1" applyFont="1" applyBorder="1" applyAlignment="1">
      <alignment vertical="center"/>
    </xf>
    <xf numFmtId="10" fontId="73" fillId="0" borderId="31" xfId="2" applyNumberFormat="1" applyFont="1" applyBorder="1" applyAlignment="1">
      <alignment vertical="center"/>
    </xf>
    <xf numFmtId="3" fontId="73" fillId="0" borderId="8" xfId="0" applyNumberFormat="1" applyFont="1" applyBorder="1" applyAlignment="1">
      <alignment vertical="center"/>
    </xf>
    <xf numFmtId="3" fontId="73" fillId="0" borderId="6" xfId="0" applyNumberFormat="1" applyFont="1" applyBorder="1" applyAlignment="1">
      <alignment vertical="center"/>
    </xf>
    <xf numFmtId="10" fontId="73" fillId="0" borderId="116" xfId="2" applyNumberFormat="1" applyFont="1" applyBorder="1" applyAlignment="1">
      <alignment vertical="center"/>
    </xf>
    <xf numFmtId="3" fontId="73" fillId="0" borderId="61" xfId="0" applyNumberFormat="1" applyFont="1" applyBorder="1" applyAlignment="1">
      <alignment vertical="center"/>
    </xf>
    <xf numFmtId="3" fontId="73" fillId="0" borderId="7" xfId="0" applyNumberFormat="1" applyFont="1" applyBorder="1" applyAlignment="1">
      <alignment vertical="center"/>
    </xf>
    <xf numFmtId="3" fontId="73" fillId="0" borderId="9" xfId="0" applyNumberFormat="1" applyFont="1" applyBorder="1" applyAlignment="1">
      <alignment vertical="center"/>
    </xf>
    <xf numFmtId="3" fontId="76" fillId="7" borderId="114" xfId="0" applyNumberFormat="1" applyFont="1" applyFill="1" applyBorder="1" applyAlignment="1">
      <alignment vertical="center"/>
    </xf>
    <xf numFmtId="3" fontId="24" fillId="0" borderId="111" xfId="0" applyNumberFormat="1" applyFont="1" applyBorder="1" applyAlignment="1">
      <alignment vertical="center"/>
    </xf>
    <xf numFmtId="10" fontId="73" fillId="0" borderId="115" xfId="2" applyNumberFormat="1" applyFont="1" applyBorder="1" applyAlignment="1">
      <alignment vertical="center"/>
    </xf>
    <xf numFmtId="3" fontId="24" fillId="7" borderId="114" xfId="0" applyNumberFormat="1" applyFont="1" applyFill="1" applyBorder="1" applyAlignment="1">
      <alignment vertical="center"/>
    </xf>
    <xf numFmtId="3" fontId="24" fillId="9" borderId="111" xfId="0" applyNumberFormat="1" applyFont="1" applyFill="1" applyBorder="1" applyAlignment="1">
      <alignment vertical="center"/>
    </xf>
    <xf numFmtId="3" fontId="24" fillId="9" borderId="112" xfId="0" applyNumberFormat="1" applyFont="1" applyFill="1" applyBorder="1" applyAlignment="1">
      <alignment vertical="center"/>
    </xf>
    <xf numFmtId="0" fontId="21" fillId="0" borderId="0" xfId="0" applyFont="1" applyAlignment="1">
      <alignment horizontal="center"/>
    </xf>
    <xf numFmtId="0" fontId="73" fillId="0" borderId="0" xfId="0" applyFont="1"/>
    <xf numFmtId="0" fontId="24" fillId="12" borderId="19" xfId="0" applyFont="1" applyFill="1" applyBorder="1" applyAlignment="1">
      <alignment horizontal="center" vertical="center"/>
    </xf>
    <xf numFmtId="3" fontId="73" fillId="0" borderId="25" xfId="0" applyNumberFormat="1" applyFont="1" applyBorder="1" applyAlignment="1">
      <alignment vertical="center"/>
    </xf>
    <xf numFmtId="10" fontId="73" fillId="0" borderId="16" xfId="2" applyNumberFormat="1" applyFont="1" applyBorder="1" applyAlignment="1">
      <alignment vertical="center"/>
    </xf>
    <xf numFmtId="0" fontId="24" fillId="12" borderId="28" xfId="0" applyFont="1" applyFill="1" applyBorder="1" applyAlignment="1">
      <alignment horizontal="center" vertical="center"/>
    </xf>
    <xf numFmtId="3" fontId="73" fillId="0" borderId="15" xfId="0" applyNumberFormat="1" applyFont="1" applyBorder="1" applyAlignment="1">
      <alignment vertical="center"/>
    </xf>
    <xf numFmtId="0" fontId="24" fillId="12" borderId="33" xfId="0" applyFont="1" applyFill="1" applyBorder="1" applyAlignment="1">
      <alignment horizontal="center" vertical="center"/>
    </xf>
    <xf numFmtId="3" fontId="73" fillId="0" borderId="103" xfId="0" applyNumberFormat="1" applyFont="1" applyBorder="1" applyAlignment="1">
      <alignment vertical="center"/>
    </xf>
    <xf numFmtId="0" fontId="8" fillId="0" borderId="6" xfId="0" applyFont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 vertical="center"/>
    </xf>
    <xf numFmtId="0" fontId="5" fillId="0" borderId="11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center"/>
    </xf>
    <xf numFmtId="0" fontId="5" fillId="0" borderId="11" xfId="0" applyFont="1" applyFill="1" applyBorder="1" applyAlignment="1">
      <alignment vertical="center"/>
    </xf>
    <xf numFmtId="0" fontId="5" fillId="0" borderId="12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left"/>
    </xf>
    <xf numFmtId="0" fontId="0" fillId="8" borderId="6" xfId="0" applyFill="1" applyBorder="1"/>
    <xf numFmtId="0" fontId="0" fillId="16" borderId="6" xfId="3" applyFont="1" applyFill="1" applyBorder="1"/>
    <xf numFmtId="0" fontId="0" fillId="16" borderId="6" xfId="0" applyFill="1" applyBorder="1"/>
    <xf numFmtId="3" fontId="16" fillId="16" borderId="6" xfId="0" applyNumberFormat="1" applyFont="1" applyFill="1" applyBorder="1"/>
    <xf numFmtId="0" fontId="16" fillId="11" borderId="6" xfId="0" applyFont="1" applyFill="1" applyBorder="1"/>
    <xf numFmtId="3" fontId="16" fillId="0" borderId="6" xfId="0" applyNumberFormat="1" applyFont="1" applyBorder="1" applyAlignment="1">
      <alignment horizontal="center"/>
    </xf>
    <xf numFmtId="3" fontId="16" fillId="26" borderId="6" xfId="0" applyNumberFormat="1" applyFont="1" applyFill="1" applyBorder="1" applyAlignment="1">
      <alignment horizontal="center"/>
    </xf>
    <xf numFmtId="3" fontId="16" fillId="20" borderId="6" xfId="0" applyNumberFormat="1" applyFont="1" applyFill="1" applyBorder="1"/>
    <xf numFmtId="0" fontId="17" fillId="0" borderId="0" xfId="0" applyFont="1" applyFill="1"/>
    <xf numFmtId="3" fontId="17" fillId="0" borderId="0" xfId="0" applyNumberFormat="1" applyFont="1" applyFill="1"/>
    <xf numFmtId="3" fontId="73" fillId="0" borderId="0" xfId="0" applyNumberFormat="1" applyFont="1"/>
    <xf numFmtId="0" fontId="58" fillId="12" borderId="117" xfId="0" applyFont="1" applyFill="1" applyBorder="1" applyAlignment="1">
      <alignment horizontal="center" vertical="center"/>
    </xf>
    <xf numFmtId="0" fontId="58" fillId="12" borderId="9" xfId="0" applyFont="1" applyFill="1" applyBorder="1" applyAlignment="1">
      <alignment horizontal="center" vertical="center"/>
    </xf>
    <xf numFmtId="0" fontId="58" fillId="12" borderId="116" xfId="0" applyFont="1" applyFill="1" applyBorder="1" applyAlignment="1">
      <alignment horizontal="center" vertical="center"/>
    </xf>
    <xf numFmtId="10" fontId="73" fillId="0" borderId="10" xfId="2" applyNumberFormat="1" applyFont="1" applyBorder="1" applyAlignment="1">
      <alignment vertical="center"/>
    </xf>
    <xf numFmtId="10" fontId="73" fillId="0" borderId="102" xfId="2" applyNumberFormat="1" applyFont="1" applyBorder="1" applyAlignment="1">
      <alignment vertical="center"/>
    </xf>
    <xf numFmtId="10" fontId="24" fillId="0" borderId="29" xfId="2" applyNumberFormat="1" applyFont="1" applyBorder="1" applyAlignment="1">
      <alignment horizontal="center"/>
    </xf>
    <xf numFmtId="10" fontId="28" fillId="9" borderId="4" xfId="2" applyNumberFormat="1" applyFont="1" applyFill="1" applyBorder="1" applyAlignment="1">
      <alignment horizontal="center"/>
    </xf>
    <xf numFmtId="10" fontId="24" fillId="0" borderId="29" xfId="2" applyNumberFormat="1" applyFont="1" applyBorder="1" applyAlignment="1">
      <alignment horizontal="center" vertical="center"/>
    </xf>
    <xf numFmtId="10" fontId="28" fillId="9" borderId="4" xfId="2" applyNumberFormat="1" applyFont="1" applyFill="1" applyBorder="1" applyAlignment="1">
      <alignment horizontal="center" vertical="center"/>
    </xf>
    <xf numFmtId="10" fontId="73" fillId="0" borderId="101" xfId="2" applyNumberFormat="1" applyFont="1" applyBorder="1" applyAlignment="1">
      <alignment vertical="center"/>
    </xf>
    <xf numFmtId="0" fontId="24" fillId="12" borderId="2" xfId="0" applyFont="1" applyFill="1" applyBorder="1" applyAlignment="1">
      <alignment horizontal="center" vertical="center"/>
    </xf>
    <xf numFmtId="3" fontId="24" fillId="0" borderId="114" xfId="0" applyNumberFormat="1" applyFont="1" applyBorder="1" applyAlignment="1">
      <alignment vertical="center"/>
    </xf>
    <xf numFmtId="10" fontId="73" fillId="0" borderId="35" xfId="2" applyNumberFormat="1" applyFont="1" applyBorder="1" applyAlignment="1">
      <alignment vertical="center"/>
    </xf>
    <xf numFmtId="10" fontId="24" fillId="0" borderId="112" xfId="2" applyNumberFormat="1" applyFont="1" applyBorder="1" applyAlignment="1">
      <alignment vertical="center"/>
    </xf>
    <xf numFmtId="10" fontId="24" fillId="0" borderId="115" xfId="2" applyNumberFormat="1" applyFont="1" applyBorder="1" applyAlignment="1">
      <alignment vertical="center"/>
    </xf>
    <xf numFmtId="0" fontId="8" fillId="0" borderId="6" xfId="0" applyFont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5" fillId="0" borderId="10" xfId="0" applyFont="1" applyFill="1" applyBorder="1" applyAlignment="1">
      <alignment horizontal="left" vertical="center"/>
    </xf>
    <xf numFmtId="0" fontId="5" fillId="0" borderId="11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/>
    </xf>
    <xf numFmtId="0" fontId="0" fillId="19" borderId="6" xfId="0" applyFill="1" applyBorder="1"/>
    <xf numFmtId="3" fontId="16" fillId="2" borderId="6" xfId="0" applyNumberFormat="1" applyFont="1" applyFill="1" applyBorder="1"/>
    <xf numFmtId="0" fontId="0" fillId="0" borderId="9" xfId="0" applyFill="1" applyBorder="1"/>
    <xf numFmtId="0" fontId="16" fillId="20" borderId="6" xfId="0" applyFont="1" applyFill="1" applyBorder="1"/>
    <xf numFmtId="3" fontId="16" fillId="19" borderId="6" xfId="0" applyNumberFormat="1" applyFont="1" applyFill="1" applyBorder="1"/>
    <xf numFmtId="0" fontId="8" fillId="19" borderId="6" xfId="3" applyFont="1" applyFill="1" applyBorder="1"/>
    <xf numFmtId="0" fontId="0" fillId="2" borderId="6" xfId="3" applyFont="1" applyFill="1" applyBorder="1"/>
    <xf numFmtId="3" fontId="27" fillId="0" borderId="0" xfId="0" applyNumberFormat="1" applyFont="1" applyAlignment="1">
      <alignment horizontal="right"/>
    </xf>
    <xf numFmtId="0" fontId="8" fillId="20" borderId="6" xfId="0" applyFont="1" applyFill="1" applyBorder="1" applyAlignment="1">
      <alignment wrapText="1"/>
    </xf>
    <xf numFmtId="0" fontId="8" fillId="11" borderId="6" xfId="0" applyFont="1" applyFill="1" applyBorder="1" applyAlignment="1">
      <alignment wrapText="1"/>
    </xf>
    <xf numFmtId="0" fontId="0" fillId="16" borderId="0" xfId="0" applyFill="1"/>
    <xf numFmtId="0" fontId="16" fillId="0" borderId="12" xfId="0" applyFont="1" applyBorder="1" applyAlignment="1">
      <alignment horizontal="left" vertical="center"/>
    </xf>
    <xf numFmtId="0" fontId="0" fillId="5" borderId="6" xfId="0" applyFill="1" applyBorder="1"/>
    <xf numFmtId="0" fontId="0" fillId="2" borderId="0" xfId="0" applyFill="1" applyAlignment="1">
      <alignment wrapText="1"/>
    </xf>
    <xf numFmtId="0" fontId="0" fillId="2" borderId="6" xfId="0" applyFill="1" applyBorder="1" applyAlignment="1">
      <alignment wrapText="1"/>
    </xf>
    <xf numFmtId="3" fontId="16" fillId="11" borderId="6" xfId="0" applyNumberFormat="1" applyFont="1" applyFill="1" applyBorder="1"/>
    <xf numFmtId="3" fontId="16" fillId="11" borderId="6" xfId="0" applyNumberFormat="1" applyFont="1" applyFill="1" applyBorder="1" applyAlignment="1">
      <alignment horizontal="center" vertical="center"/>
    </xf>
    <xf numFmtId="164" fontId="16" fillId="11" borderId="6" xfId="1" applyNumberFormat="1" applyFont="1" applyFill="1" applyBorder="1"/>
    <xf numFmtId="164" fontId="16" fillId="11" borderId="8" xfId="1" applyNumberFormat="1" applyFont="1" applyFill="1" applyBorder="1"/>
    <xf numFmtId="0" fontId="0" fillId="0" borderId="6" xfId="0" applyFont="1" applyBorder="1"/>
    <xf numFmtId="0" fontId="73" fillId="0" borderId="6" xfId="0" applyFont="1" applyBorder="1"/>
    <xf numFmtId="0" fontId="0" fillId="11" borderId="6" xfId="0" applyFont="1" applyFill="1" applyBorder="1"/>
    <xf numFmtId="0" fontId="80" fillId="0" borderId="0" xfId="0" applyFont="1"/>
    <xf numFmtId="164" fontId="16" fillId="17" borderId="8" xfId="1" applyNumberFormat="1" applyFont="1" applyFill="1" applyBorder="1"/>
    <xf numFmtId="0" fontId="21" fillId="11" borderId="0" xfId="0" applyFont="1" applyFill="1" applyBorder="1" applyAlignment="1">
      <alignment horizontal="center" vertical="center"/>
    </xf>
    <xf numFmtId="0" fontId="70" fillId="0" borderId="6" xfId="3" applyFont="1" applyBorder="1"/>
    <xf numFmtId="0" fontId="70" fillId="0" borderId="10" xfId="3" applyFont="1" applyBorder="1"/>
    <xf numFmtId="14" fontId="16" fillId="11" borderId="7" xfId="0" applyNumberFormat="1" applyFont="1" applyFill="1" applyBorder="1" applyAlignment="1">
      <alignment horizontal="left"/>
    </xf>
    <xf numFmtId="1" fontId="16" fillId="0" borderId="6" xfId="0" applyNumberFormat="1" applyFont="1" applyBorder="1" applyAlignment="1">
      <alignment horizontal="center" vertical="center"/>
    </xf>
    <xf numFmtId="3" fontId="16" fillId="0" borderId="7" xfId="0" applyNumberFormat="1" applyFont="1" applyBorder="1"/>
    <xf numFmtId="164" fontId="16" fillId="0" borderId="7" xfId="1" applyNumberFormat="1" applyFont="1" applyBorder="1"/>
    <xf numFmtId="3" fontId="16" fillId="4" borderId="7" xfId="0" applyNumberFormat="1" applyFont="1" applyFill="1" applyBorder="1"/>
    <xf numFmtId="3" fontId="16" fillId="0" borderId="10" xfId="0" applyNumberFormat="1" applyFont="1" applyBorder="1"/>
    <xf numFmtId="3" fontId="16" fillId="0" borderId="35" xfId="0" applyNumberFormat="1" applyFont="1" applyBorder="1"/>
    <xf numFmtId="3" fontId="81" fillId="0" borderId="6" xfId="0" applyNumberFormat="1" applyFont="1" applyFill="1" applyBorder="1"/>
    <xf numFmtId="3" fontId="81" fillId="0" borderId="6" xfId="0" applyNumberFormat="1" applyFont="1" applyFill="1" applyBorder="1" applyAlignment="1">
      <alignment horizontal="center" vertical="center"/>
    </xf>
    <xf numFmtId="164" fontId="81" fillId="0" borderId="8" xfId="1" applyNumberFormat="1" applyFont="1" applyFill="1" applyBorder="1"/>
    <xf numFmtId="164" fontId="81" fillId="0" borderId="6" xfId="1" applyNumberFormat="1" applyFont="1" applyFill="1" applyBorder="1"/>
    <xf numFmtId="0" fontId="8" fillId="0" borderId="10" xfId="3" applyFont="1" applyBorder="1"/>
    <xf numFmtId="0" fontId="8" fillId="11" borderId="12" xfId="3" applyFont="1" applyFill="1" applyBorder="1"/>
    <xf numFmtId="0" fontId="8" fillId="11" borderId="10" xfId="3" applyFont="1" applyFill="1" applyBorder="1"/>
    <xf numFmtId="0" fontId="31" fillId="0" borderId="6" xfId="3" applyFont="1" applyBorder="1"/>
    <xf numFmtId="0" fontId="8" fillId="27" borderId="6" xfId="3" applyFont="1" applyFill="1" applyBorder="1"/>
    <xf numFmtId="0" fontId="0" fillId="27" borderId="6" xfId="0" applyFill="1" applyBorder="1"/>
    <xf numFmtId="0" fontId="8" fillId="27" borderId="7" xfId="3" applyFont="1" applyFill="1" applyBorder="1"/>
    <xf numFmtId="0" fontId="0" fillId="11" borderId="7" xfId="0" applyFill="1" applyBorder="1"/>
    <xf numFmtId="3" fontId="81" fillId="0" borderId="7" xfId="0" applyNumberFormat="1" applyFont="1" applyFill="1" applyBorder="1"/>
    <xf numFmtId="3" fontId="81" fillId="0" borderId="7" xfId="0" applyNumberFormat="1" applyFont="1" applyFill="1" applyBorder="1" applyAlignment="1">
      <alignment horizontal="center" vertical="center"/>
    </xf>
    <xf numFmtId="164" fontId="81" fillId="0" borderId="9" xfId="1" applyNumberFormat="1" applyFont="1" applyFill="1" applyBorder="1"/>
    <xf numFmtId="164" fontId="81" fillId="0" borderId="7" xfId="1" applyNumberFormat="1" applyFont="1" applyFill="1" applyBorder="1"/>
    <xf numFmtId="164" fontId="16" fillId="0" borderId="10" xfId="1" applyNumberFormat="1" applyFont="1" applyBorder="1"/>
    <xf numFmtId="0" fontId="70" fillId="11" borderId="6" xfId="3" applyFont="1" applyFill="1" applyBorder="1"/>
    <xf numFmtId="0" fontId="82" fillId="11" borderId="6" xfId="0" applyFont="1" applyFill="1" applyBorder="1" applyAlignment="1">
      <alignment horizontal="left" vertical="center" wrapText="1"/>
    </xf>
    <xf numFmtId="0" fontId="16" fillId="11" borderId="6" xfId="0" applyFont="1" applyFill="1" applyBorder="1" applyAlignment="1">
      <alignment horizontal="left"/>
    </xf>
    <xf numFmtId="3" fontId="16" fillId="0" borderId="9" xfId="0" applyNumberFormat="1" applyFont="1" applyBorder="1"/>
    <xf numFmtId="0" fontId="0" fillId="7" borderId="6" xfId="0" applyFill="1" applyBorder="1"/>
    <xf numFmtId="3" fontId="0" fillId="0" borderId="0" xfId="0" applyNumberFormat="1" applyBorder="1"/>
    <xf numFmtId="0" fontId="0" fillId="12" borderId="6" xfId="0" applyFill="1" applyBorder="1"/>
    <xf numFmtId="3" fontId="16" fillId="0" borderId="7" xfId="0" applyNumberFormat="1" applyFont="1" applyBorder="1" applyAlignment="1">
      <alignment horizontal="center"/>
    </xf>
    <xf numFmtId="0" fontId="70" fillId="11" borderId="10" xfId="3" applyFont="1" applyFill="1" applyBorder="1"/>
    <xf numFmtId="0" fontId="16" fillId="0" borderId="7" xfId="0" applyFont="1" applyBorder="1"/>
    <xf numFmtId="3" fontId="16" fillId="0" borderId="7" xfId="0" applyNumberFormat="1" applyFont="1" applyBorder="1" applyAlignment="1">
      <alignment horizontal="center" vertical="center"/>
    </xf>
    <xf numFmtId="164" fontId="16" fillId="0" borderId="9" xfId="1" applyNumberFormat="1" applyFont="1" applyBorder="1"/>
    <xf numFmtId="164" fontId="16" fillId="0" borderId="35" xfId="1" applyNumberFormat="1" applyFont="1" applyBorder="1"/>
    <xf numFmtId="0" fontId="70" fillId="2" borderId="6" xfId="3" applyFont="1" applyFill="1" applyBorder="1"/>
    <xf numFmtId="0" fontId="16" fillId="2" borderId="6" xfId="0" applyFont="1" applyFill="1" applyBorder="1" applyAlignment="1">
      <alignment horizontal="left"/>
    </xf>
    <xf numFmtId="3" fontId="0" fillId="20" borderId="6" xfId="0" applyNumberFormat="1" applyFill="1" applyBorder="1"/>
    <xf numFmtId="0" fontId="8" fillId="16" borderId="6" xfId="0" applyFont="1" applyFill="1" applyBorder="1" applyAlignment="1">
      <alignment wrapText="1"/>
    </xf>
    <xf numFmtId="3" fontId="0" fillId="16" borderId="6" xfId="0" applyNumberFormat="1" applyFill="1" applyBorder="1"/>
    <xf numFmtId="0" fontId="0" fillId="16" borderId="0" xfId="0" applyFill="1" applyBorder="1" applyAlignment="1">
      <alignment horizontal="center" vertical="center"/>
    </xf>
    <xf numFmtId="0" fontId="20" fillId="16" borderId="0" xfId="0" applyFont="1" applyFill="1"/>
    <xf numFmtId="0" fontId="5" fillId="0" borderId="6" xfId="0" applyFont="1" applyFill="1" applyBorder="1" applyAlignment="1">
      <alignment horizontal="center"/>
    </xf>
    <xf numFmtId="164" fontId="0" fillId="0" borderId="0" xfId="1" applyNumberFormat="1" applyFont="1"/>
    <xf numFmtId="0" fontId="5" fillId="0" borderId="8" xfId="0" applyFont="1" applyFill="1" applyBorder="1" applyAlignment="1">
      <alignment horizontal="center" vertical="center" wrapText="1"/>
    </xf>
    <xf numFmtId="3" fontId="18" fillId="2" borderId="4" xfId="0" applyNumberFormat="1" applyFont="1" applyFill="1" applyBorder="1" applyAlignment="1">
      <alignment horizontal="center"/>
    </xf>
    <xf numFmtId="3" fontId="18" fillId="17" borderId="6" xfId="0" applyNumberFormat="1" applyFont="1" applyFill="1" applyBorder="1"/>
    <xf numFmtId="0" fontId="18" fillId="17" borderId="5" xfId="0" applyFont="1" applyFill="1" applyBorder="1" applyAlignment="1">
      <alignment horizontal="center"/>
    </xf>
    <xf numFmtId="0" fontId="18" fillId="17" borderId="4" xfId="0" applyFont="1" applyFill="1" applyBorder="1" applyAlignment="1">
      <alignment horizontal="left"/>
    </xf>
    <xf numFmtId="3" fontId="18" fillId="17" borderId="4" xfId="0" applyNumberFormat="1" applyFont="1" applyFill="1" applyBorder="1" applyAlignment="1">
      <alignment horizontal="center"/>
    </xf>
    <xf numFmtId="0" fontId="10" fillId="17" borderId="4" xfId="0" applyFont="1" applyFill="1" applyBorder="1" applyAlignment="1">
      <alignment horizontal="center"/>
    </xf>
    <xf numFmtId="0" fontId="18" fillId="17" borderId="4" xfId="0" applyFont="1" applyFill="1" applyBorder="1" applyAlignment="1">
      <alignment horizontal="center"/>
    </xf>
    <xf numFmtId="0" fontId="16" fillId="17" borderId="0" xfId="0" applyFont="1" applyFill="1"/>
    <xf numFmtId="0" fontId="18" fillId="17" borderId="0" xfId="0" applyFont="1" applyFill="1"/>
    <xf numFmtId="164" fontId="18" fillId="17" borderId="0" xfId="0" applyNumberFormat="1" applyFont="1" applyFill="1" applyAlignment="1">
      <alignment horizontal="left"/>
    </xf>
    <xf numFmtId="0" fontId="16" fillId="17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13" xfId="0" applyFill="1" applyBorder="1" applyAlignment="1">
      <alignment horizontal="center"/>
    </xf>
    <xf numFmtId="3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3" fontId="10" fillId="0" borderId="17" xfId="0" applyNumberFormat="1" applyFont="1" applyBorder="1" applyAlignment="1">
      <alignment horizontal="right"/>
    </xf>
    <xf numFmtId="3" fontId="10" fillId="0" borderId="18" xfId="0" applyNumberFormat="1" applyFont="1" applyBorder="1" applyAlignment="1">
      <alignment horizontal="right"/>
    </xf>
    <xf numFmtId="17" fontId="39" fillId="0" borderId="66" xfId="0" applyNumberFormat="1" applyFont="1" applyFill="1" applyBorder="1" applyAlignment="1" applyProtection="1">
      <alignment horizontal="center" vertical="center"/>
      <protection locked="0"/>
    </xf>
    <xf numFmtId="17" fontId="39" fillId="0" borderId="73" xfId="0" applyNumberFormat="1" applyFont="1" applyFill="1" applyBorder="1" applyAlignment="1" applyProtection="1">
      <alignment horizontal="center" vertical="center"/>
      <protection locked="0"/>
    </xf>
    <xf numFmtId="17" fontId="39" fillId="0" borderId="93" xfId="0" applyNumberFormat="1" applyFont="1" applyFill="1" applyBorder="1" applyAlignment="1" applyProtection="1">
      <alignment horizontal="center" vertical="center"/>
      <protection locked="0"/>
    </xf>
    <xf numFmtId="0" fontId="51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46" fillId="0" borderId="90" xfId="0" applyFont="1" applyFill="1" applyBorder="1" applyAlignment="1" applyProtection="1">
      <alignment horizontal="center" vertical="center"/>
      <protection locked="0"/>
    </xf>
    <xf numFmtId="0" fontId="46" fillId="0" borderId="91" xfId="0" applyFont="1" applyFill="1" applyBorder="1" applyAlignment="1" applyProtection="1">
      <alignment horizontal="center" vertical="center"/>
      <protection locked="0"/>
    </xf>
    <xf numFmtId="3" fontId="39" fillId="0" borderId="66" xfId="0" applyNumberFormat="1" applyFont="1" applyFill="1" applyBorder="1" applyAlignment="1">
      <alignment horizontal="center" vertical="center"/>
    </xf>
    <xf numFmtId="3" fontId="39" fillId="0" borderId="73" xfId="0" applyNumberFormat="1" applyFont="1" applyFill="1" applyBorder="1" applyAlignment="1">
      <alignment horizontal="center" vertical="center"/>
    </xf>
    <xf numFmtId="3" fontId="39" fillId="0" borderId="92" xfId="0" applyNumberFormat="1" applyFont="1" applyFill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23" fillId="0" borderId="28" xfId="0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23" fillId="0" borderId="22" xfId="0" applyFont="1" applyBorder="1" applyAlignment="1">
      <alignment horizontal="center"/>
    </xf>
    <xf numFmtId="0" fontId="23" fillId="0" borderId="24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23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3" fontId="10" fillId="0" borderId="10" xfId="0" applyNumberFormat="1" applyFont="1" applyBorder="1" applyAlignment="1">
      <alignment horizontal="right"/>
    </xf>
    <xf numFmtId="3" fontId="10" fillId="0" borderId="12" xfId="0" applyNumberFormat="1" applyFont="1" applyBorder="1" applyAlignment="1">
      <alignment horizontal="right"/>
    </xf>
    <xf numFmtId="0" fontId="46" fillId="0" borderId="72" xfId="0" applyFont="1" applyFill="1" applyBorder="1" applyAlignment="1" applyProtection="1">
      <alignment horizontal="center" vertical="center"/>
      <protection locked="0"/>
    </xf>
    <xf numFmtId="0" fontId="40" fillId="0" borderId="7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quotePrefix="1" applyFont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11" borderId="7" xfId="0" applyFont="1" applyFill="1" applyBorder="1" applyAlignment="1">
      <alignment horizontal="center" vertical="center" wrapText="1"/>
    </xf>
    <xf numFmtId="0" fontId="11" fillId="11" borderId="8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wrapText="1"/>
    </xf>
    <xf numFmtId="0" fontId="11" fillId="0" borderId="8" xfId="0" applyFont="1" applyBorder="1" applyAlignment="1">
      <alignment horizontal="center" wrapText="1"/>
    </xf>
    <xf numFmtId="0" fontId="11" fillId="11" borderId="9" xfId="0" applyFont="1" applyFill="1" applyBorder="1" applyAlignment="1">
      <alignment horizontal="center" vertical="center" wrapText="1"/>
    </xf>
    <xf numFmtId="0" fontId="11" fillId="11" borderId="7" xfId="0" applyFont="1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11" fillId="11" borderId="8" xfId="0" applyFont="1" applyFill="1" applyBorder="1" applyAlignment="1">
      <alignment horizontal="center" vertical="center"/>
    </xf>
    <xf numFmtId="0" fontId="26" fillId="8" borderId="56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left"/>
    </xf>
    <xf numFmtId="3" fontId="21" fillId="8" borderId="0" xfId="0" applyNumberFormat="1" applyFont="1" applyFill="1" applyBorder="1" applyAlignment="1">
      <alignment horizontal="center"/>
    </xf>
    <xf numFmtId="0" fontId="21" fillId="8" borderId="57" xfId="0" applyFont="1" applyFill="1" applyBorder="1" applyAlignment="1">
      <alignment horizontal="center"/>
    </xf>
    <xf numFmtId="0" fontId="26" fillId="7" borderId="56" xfId="0" applyFont="1" applyFill="1" applyBorder="1" applyAlignment="1">
      <alignment horizontal="left"/>
    </xf>
    <xf numFmtId="0" fontId="26" fillId="7" borderId="0" xfId="0" applyFont="1" applyFill="1" applyBorder="1" applyAlignment="1">
      <alignment horizontal="left"/>
    </xf>
    <xf numFmtId="3" fontId="21" fillId="7" borderId="0" xfId="0" applyNumberFormat="1" applyFont="1" applyFill="1" applyBorder="1" applyAlignment="1">
      <alignment horizontal="center"/>
    </xf>
    <xf numFmtId="0" fontId="21" fillId="7" borderId="57" xfId="0" applyFont="1" applyFill="1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23" fillId="7" borderId="54" xfId="0" applyFont="1" applyFill="1" applyBorder="1" applyAlignment="1">
      <alignment horizontal="center"/>
    </xf>
    <xf numFmtId="0" fontId="23" fillId="7" borderId="14" xfId="0" applyFont="1" applyFill="1" applyBorder="1" applyAlignment="1">
      <alignment horizontal="center"/>
    </xf>
    <xf numFmtId="0" fontId="23" fillId="7" borderId="56" xfId="0" applyFont="1" applyFill="1" applyBorder="1" applyAlignment="1">
      <alignment horizontal="center"/>
    </xf>
    <xf numFmtId="0" fontId="23" fillId="7" borderId="0" xfId="0" applyFont="1" applyFill="1" applyBorder="1" applyAlignment="1">
      <alignment horizontal="center"/>
    </xf>
    <xf numFmtId="0" fontId="31" fillId="12" borderId="56" xfId="0" applyFont="1" applyFill="1" applyBorder="1" applyAlignment="1">
      <alignment horizontal="left"/>
    </xf>
    <xf numFmtId="0" fontId="31" fillId="12" borderId="0" xfId="0" applyFont="1" applyFill="1" applyBorder="1" applyAlignment="1">
      <alignment horizontal="left"/>
    </xf>
    <xf numFmtId="3" fontId="0" fillId="7" borderId="14" xfId="0" applyNumberFormat="1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3" fontId="56" fillId="7" borderId="0" xfId="0" applyNumberFormat="1" applyFont="1" applyFill="1" applyBorder="1" applyAlignment="1">
      <alignment horizontal="center"/>
    </xf>
    <xf numFmtId="0" fontId="56" fillId="7" borderId="57" xfId="0" applyFont="1" applyFill="1" applyBorder="1" applyAlignment="1">
      <alignment horizontal="center"/>
    </xf>
    <xf numFmtId="3" fontId="10" fillId="12" borderId="0" xfId="0" applyNumberFormat="1" applyFont="1" applyFill="1" applyBorder="1" applyAlignment="1">
      <alignment horizontal="center"/>
    </xf>
    <xf numFmtId="0" fontId="10" fillId="12" borderId="57" xfId="0" applyFont="1" applyFill="1" applyBorder="1" applyAlignment="1">
      <alignment horizontal="center"/>
    </xf>
    <xf numFmtId="3" fontId="0" fillId="0" borderId="46" xfId="0" applyNumberFormat="1" applyBorder="1" applyAlignment="1">
      <alignment horizontal="center" vertical="center" wrapText="1"/>
    </xf>
    <xf numFmtId="3" fontId="0" fillId="0" borderId="44" xfId="0" applyNumberFormat="1" applyBorder="1" applyAlignment="1">
      <alignment horizontal="center" vertical="center" wrapText="1"/>
    </xf>
    <xf numFmtId="3" fontId="0" fillId="12" borderId="50" xfId="0" applyNumberFormat="1" applyFill="1" applyBorder="1" applyAlignment="1">
      <alignment horizontal="center" vertical="center" wrapText="1"/>
    </xf>
    <xf numFmtId="3" fontId="0" fillId="12" borderId="47" xfId="0" applyNumberFormat="1" applyFill="1" applyBorder="1" applyAlignment="1">
      <alignment horizontal="center" vertical="center" wrapText="1"/>
    </xf>
    <xf numFmtId="3" fontId="0" fillId="0" borderId="6" xfId="0" applyNumberFormat="1" applyBorder="1" applyAlignment="1">
      <alignment horizontal="center" vertical="center" wrapText="1"/>
    </xf>
    <xf numFmtId="3" fontId="0" fillId="0" borderId="16" xfId="0" applyNumberForma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44" xfId="0" applyFill="1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0" fillId="12" borderId="40" xfId="0" applyFill="1" applyBorder="1" applyAlignment="1">
      <alignment horizontal="center" vertical="center" wrapText="1"/>
    </xf>
    <xf numFmtId="0" fontId="0" fillId="12" borderId="48" xfId="0" applyFill="1" applyBorder="1" applyAlignment="1">
      <alignment horizontal="center" vertical="center" wrapText="1"/>
    </xf>
    <xf numFmtId="0" fontId="0" fillId="12" borderId="15" xfId="0" applyFill="1" applyBorder="1" applyAlignment="1">
      <alignment horizontal="center" vertical="center" wrapText="1"/>
    </xf>
    <xf numFmtId="0" fontId="0" fillId="12" borderId="49" xfId="0" applyFill="1" applyBorder="1" applyAlignment="1">
      <alignment horizontal="center" vertical="center" wrapText="1"/>
    </xf>
    <xf numFmtId="3" fontId="0" fillId="12" borderId="28" xfId="0" applyNumberFormat="1" applyFill="1" applyBorder="1" applyAlignment="1">
      <alignment horizontal="center" vertical="center" wrapText="1"/>
    </xf>
    <xf numFmtId="3" fontId="0" fillId="12" borderId="42" xfId="0" applyNumberFormat="1" applyFill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31" fillId="0" borderId="32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14" fontId="27" fillId="0" borderId="0" xfId="0" applyNumberFormat="1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right"/>
    </xf>
    <xf numFmtId="0" fontId="21" fillId="7" borderId="56" xfId="0" applyFont="1" applyFill="1" applyBorder="1" applyAlignment="1">
      <alignment horizontal="left"/>
    </xf>
    <xf numFmtId="0" fontId="21" fillId="7" borderId="0" xfId="0" applyFont="1" applyFill="1" applyBorder="1" applyAlignment="1">
      <alignment horizontal="left"/>
    </xf>
    <xf numFmtId="0" fontId="30" fillId="7" borderId="14" xfId="0" applyFont="1" applyFill="1" applyBorder="1" applyAlignment="1">
      <alignment horizontal="center"/>
    </xf>
    <xf numFmtId="0" fontId="30" fillId="7" borderId="55" xfId="0" applyFont="1" applyFill="1" applyBorder="1" applyAlignment="1">
      <alignment horizontal="center"/>
    </xf>
    <xf numFmtId="0" fontId="21" fillId="7" borderId="54" xfId="0" applyFont="1" applyFill="1" applyBorder="1" applyAlignment="1">
      <alignment horizontal="left"/>
    </xf>
    <xf numFmtId="0" fontId="21" fillId="7" borderId="14" xfId="0" applyFont="1" applyFill="1" applyBorder="1" applyAlignment="1">
      <alignment horizontal="left"/>
    </xf>
    <xf numFmtId="0" fontId="0" fillId="0" borderId="43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24" fillId="0" borderId="0" xfId="0" applyFont="1" applyAlignment="1">
      <alignment horizontal="left"/>
    </xf>
    <xf numFmtId="166" fontId="26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0" fontId="31" fillId="0" borderId="25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8" fillId="7" borderId="98" xfId="0" applyFont="1" applyFill="1" applyBorder="1" applyAlignment="1">
      <alignment horizontal="center" vertical="center" wrapText="1"/>
    </xf>
    <xf numFmtId="0" fontId="8" fillId="7" borderId="22" xfId="0" applyFont="1" applyFill="1" applyBorder="1" applyAlignment="1">
      <alignment horizontal="center" vertical="center" wrapText="1"/>
    </xf>
    <xf numFmtId="3" fontId="28" fillId="12" borderId="0" xfId="0" applyNumberFormat="1" applyFont="1" applyFill="1" applyAlignment="1">
      <alignment horizontal="center"/>
    </xf>
    <xf numFmtId="0" fontId="28" fillId="12" borderId="0" xfId="0" applyFont="1" applyFill="1" applyAlignment="1">
      <alignment horizontal="center"/>
    </xf>
    <xf numFmtId="0" fontId="24" fillId="0" borderId="0" xfId="0" applyFont="1" applyAlignment="1">
      <alignment horizontal="center"/>
    </xf>
    <xf numFmtId="0" fontId="8" fillId="0" borderId="109" xfId="0" applyFont="1" applyBorder="1" applyAlignment="1">
      <alignment horizontal="center" vertical="center" wrapText="1"/>
    </xf>
    <xf numFmtId="0" fontId="8" fillId="0" borderId="113" xfId="0" applyFont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5" fillId="0" borderId="11" xfId="0" applyFont="1" applyFill="1" applyBorder="1" applyAlignment="1">
      <alignment horizontal="left"/>
    </xf>
    <xf numFmtId="164" fontId="5" fillId="0" borderId="10" xfId="0" applyNumberFormat="1" applyFont="1" applyFill="1" applyBorder="1" applyAlignment="1">
      <alignment horizontal="center" vertical="center"/>
    </xf>
    <xf numFmtId="164" fontId="5" fillId="0" borderId="12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63" xfId="0" applyFont="1" applyFill="1" applyBorder="1" applyAlignment="1">
      <alignment horizontal="center" vertical="center"/>
    </xf>
    <xf numFmtId="0" fontId="3" fillId="0" borderId="34" xfId="0" applyFont="1" applyFill="1" applyBorder="1" applyAlignment="1">
      <alignment horizontal="center" vertical="center"/>
    </xf>
    <xf numFmtId="0" fontId="3" fillId="0" borderId="61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62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wrapText="1"/>
    </xf>
    <xf numFmtId="0" fontId="3" fillId="0" borderId="8" xfId="0" applyFont="1" applyFill="1" applyBorder="1" applyAlignment="1">
      <alignment horizontal="center" wrapText="1"/>
    </xf>
    <xf numFmtId="0" fontId="5" fillId="0" borderId="6" xfId="0" applyFont="1" applyFill="1" applyBorder="1" applyAlignment="1">
      <alignment horizontal="left"/>
    </xf>
    <xf numFmtId="164" fontId="5" fillId="0" borderId="10" xfId="0" applyNumberFormat="1" applyFont="1" applyFill="1" applyBorder="1" applyAlignment="1">
      <alignment horizontal="left"/>
    </xf>
    <xf numFmtId="0" fontId="3" fillId="0" borderId="6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center"/>
    </xf>
    <xf numFmtId="164" fontId="3" fillId="0" borderId="10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left"/>
    </xf>
    <xf numFmtId="0" fontId="3" fillId="0" borderId="12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center"/>
    </xf>
    <xf numFmtId="0" fontId="33" fillId="0" borderId="10" xfId="0" applyFont="1" applyFill="1" applyBorder="1" applyAlignment="1">
      <alignment horizontal="left"/>
    </xf>
    <xf numFmtId="0" fontId="33" fillId="0" borderId="11" xfId="0" applyFont="1" applyFill="1" applyBorder="1" applyAlignment="1">
      <alignment horizontal="left"/>
    </xf>
    <xf numFmtId="0" fontId="33" fillId="0" borderId="12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61" xfId="0" applyFont="1" applyFill="1" applyBorder="1" applyAlignment="1">
      <alignment vertical="center"/>
    </xf>
    <xf numFmtId="0" fontId="3" fillId="0" borderId="62" xfId="0" applyFont="1" applyFill="1" applyBorder="1" applyAlignment="1">
      <alignment vertical="center"/>
    </xf>
    <xf numFmtId="164" fontId="5" fillId="0" borderId="10" xfId="1" applyNumberFormat="1" applyFont="1" applyFill="1" applyBorder="1" applyAlignment="1">
      <alignment horizontal="center" vertical="center"/>
    </xf>
    <xf numFmtId="164" fontId="5" fillId="0" borderId="12" xfId="1" applyNumberFormat="1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left" vertical="center"/>
    </xf>
    <xf numFmtId="0" fontId="5" fillId="0" borderId="11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64" fontId="3" fillId="0" borderId="10" xfId="1" applyNumberFormat="1" applyFont="1" applyFill="1" applyBorder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textRotation="90" wrapText="1"/>
    </xf>
    <xf numFmtId="0" fontId="3" fillId="0" borderId="9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 textRotation="90" wrapText="1"/>
    </xf>
    <xf numFmtId="0" fontId="57" fillId="0" borderId="10" xfId="0" applyFont="1" applyFill="1" applyBorder="1" applyAlignment="1">
      <alignment horizontal="left"/>
    </xf>
    <xf numFmtId="0" fontId="57" fillId="0" borderId="12" xfId="0" applyFont="1" applyFill="1" applyBorder="1" applyAlignment="1">
      <alignment horizontal="left"/>
    </xf>
    <xf numFmtId="0" fontId="5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textRotation="90" wrapText="1"/>
    </xf>
    <xf numFmtId="0" fontId="7" fillId="0" borderId="7" xfId="0" applyFont="1" applyFill="1" applyBorder="1" applyAlignment="1">
      <alignment horizontal="center" vertical="center" textRotation="90" wrapText="1"/>
    </xf>
    <xf numFmtId="0" fontId="7" fillId="0" borderId="9" xfId="0" applyFont="1" applyFill="1" applyBorder="1" applyAlignment="1">
      <alignment horizontal="center" vertical="center" textRotation="90" wrapText="1"/>
    </xf>
    <xf numFmtId="0" fontId="7" fillId="0" borderId="8" xfId="0" applyFont="1" applyFill="1" applyBorder="1" applyAlignment="1">
      <alignment horizontal="center" vertical="center" textRotation="90" wrapText="1"/>
    </xf>
    <xf numFmtId="0" fontId="5" fillId="0" borderId="6" xfId="0" applyFont="1" applyFill="1" applyBorder="1" applyAlignment="1">
      <alignment horizontal="center"/>
    </xf>
    <xf numFmtId="0" fontId="5" fillId="0" borderId="11" xfId="0" applyFont="1" applyFill="1" applyBorder="1" applyAlignment="1">
      <alignment vertical="center"/>
    </xf>
    <xf numFmtId="0" fontId="5" fillId="0" borderId="12" xfId="0" applyFont="1" applyFill="1" applyBorder="1" applyAlignment="1">
      <alignment vertical="center"/>
    </xf>
    <xf numFmtId="0" fontId="5" fillId="0" borderId="10" xfId="0" applyFont="1" applyFill="1" applyBorder="1" applyAlignment="1">
      <alignment vertical="center"/>
    </xf>
    <xf numFmtId="0" fontId="33" fillId="0" borderId="10" xfId="0" applyFont="1" applyFill="1" applyBorder="1" applyAlignment="1">
      <alignment horizontal="left" vertical="center"/>
    </xf>
    <xf numFmtId="0" fontId="33" fillId="0" borderId="11" xfId="0" applyFont="1" applyFill="1" applyBorder="1" applyAlignment="1">
      <alignment horizontal="left" vertical="center"/>
    </xf>
    <xf numFmtId="0" fontId="33" fillId="0" borderId="12" xfId="0" applyFont="1" applyFill="1" applyBorder="1" applyAlignment="1">
      <alignment horizontal="left" vertical="center"/>
    </xf>
    <xf numFmtId="0" fontId="63" fillId="0" borderId="10" xfId="0" applyFont="1" applyFill="1" applyBorder="1" applyAlignment="1">
      <alignment horizontal="center" vertical="center"/>
    </xf>
    <xf numFmtId="0" fontId="63" fillId="0" borderId="11" xfId="0" applyFont="1" applyFill="1" applyBorder="1" applyAlignment="1">
      <alignment horizontal="center" vertical="center"/>
    </xf>
    <xf numFmtId="0" fontId="63" fillId="0" borderId="12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left" vertical="center"/>
    </xf>
    <xf numFmtId="0" fontId="57" fillId="0" borderId="6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/>
    </xf>
    <xf numFmtId="0" fontId="10" fillId="0" borderId="99" xfId="0" applyFont="1" applyBorder="1" applyAlignment="1">
      <alignment horizontal="center"/>
    </xf>
    <xf numFmtId="0" fontId="10" fillId="0" borderId="104" xfId="0" applyFont="1" applyBorder="1" applyAlignment="1">
      <alignment horizontal="center"/>
    </xf>
    <xf numFmtId="0" fontId="10" fillId="0" borderId="100" xfId="0" applyFont="1" applyBorder="1" applyAlignment="1">
      <alignment horizontal="center"/>
    </xf>
    <xf numFmtId="3" fontId="28" fillId="0" borderId="30" xfId="0" applyNumberFormat="1" applyFont="1" applyBorder="1" applyAlignment="1">
      <alignment horizontal="right" vertical="center" wrapText="1"/>
    </xf>
    <xf numFmtId="0" fontId="28" fillId="0" borderId="18" xfId="0" applyFont="1" applyBorder="1" applyAlignment="1">
      <alignment horizontal="righ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3" fontId="0" fillId="0" borderId="6" xfId="0" applyNumberFormat="1" applyBorder="1" applyAlignment="1">
      <alignment horizontal="right" vertical="center" wrapText="1"/>
    </xf>
    <xf numFmtId="0" fontId="0" fillId="0" borderId="16" xfId="0" applyBorder="1" applyAlignment="1">
      <alignment horizontal="right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3" fontId="24" fillId="0" borderId="6" xfId="0" applyNumberFormat="1" applyFont="1" applyBorder="1" applyAlignment="1">
      <alignment horizontal="right" vertical="center" wrapText="1"/>
    </xf>
    <xf numFmtId="0" fontId="24" fillId="0" borderId="16" xfId="0" applyFont="1" applyBorder="1" applyAlignment="1">
      <alignment horizontal="right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0" fontId="31" fillId="12" borderId="2" xfId="0" applyFont="1" applyFill="1" applyBorder="1" applyAlignment="1">
      <alignment horizontal="right"/>
    </xf>
    <xf numFmtId="0" fontId="0" fillId="0" borderId="32" xfId="0" applyBorder="1"/>
    <xf numFmtId="3" fontId="28" fillId="0" borderId="12" xfId="0" applyNumberFormat="1" applyFont="1" applyBorder="1" applyAlignment="1">
      <alignment horizontal="center"/>
    </xf>
    <xf numFmtId="3" fontId="28" fillId="0" borderId="7" xfId="0" applyNumberFormat="1" applyFont="1" applyBorder="1" applyAlignment="1">
      <alignment horizontal="center"/>
    </xf>
    <xf numFmtId="0" fontId="10" fillId="0" borderId="25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59" fillId="0" borderId="0" xfId="0" applyFont="1" applyAlignment="1">
      <alignment horizontal="center"/>
    </xf>
    <xf numFmtId="3" fontId="28" fillId="0" borderId="10" xfId="0" applyNumberFormat="1" applyFont="1" applyBorder="1" applyAlignment="1">
      <alignment horizontal="center"/>
    </xf>
    <xf numFmtId="3" fontId="28" fillId="0" borderId="1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3" fontId="28" fillId="0" borderId="6" xfId="0" applyNumberFormat="1" applyFont="1" applyBorder="1" applyAlignment="1">
      <alignment horizontal="center"/>
    </xf>
    <xf numFmtId="3" fontId="28" fillId="0" borderId="8" xfId="0" applyNumberFormat="1" applyFont="1" applyBorder="1" applyAlignment="1">
      <alignment horizontal="center"/>
    </xf>
    <xf numFmtId="0" fontId="31" fillId="12" borderId="2" xfId="0" applyFont="1" applyFill="1" applyBorder="1" applyAlignment="1">
      <alignment vertical="center" wrapText="1"/>
    </xf>
    <xf numFmtId="0" fontId="31" fillId="12" borderId="32" xfId="0" applyFont="1" applyFill="1" applyBorder="1" applyAlignment="1">
      <alignment vertical="center" wrapText="1"/>
    </xf>
    <xf numFmtId="0" fontId="0" fillId="0" borderId="0" xfId="0" quotePrefix="1" applyAlignment="1">
      <alignment horizontal="center" vertical="center"/>
    </xf>
    <xf numFmtId="166" fontId="2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5" xfId="0" applyBorder="1" applyAlignment="1">
      <alignment horizontal="center"/>
    </xf>
    <xf numFmtId="0" fontId="79" fillId="0" borderId="0" xfId="0" applyFont="1" applyBorder="1" applyAlignment="1">
      <alignment horizontal="center" vertical="center"/>
    </xf>
    <xf numFmtId="0" fontId="79" fillId="0" borderId="0" xfId="0" quotePrefix="1" applyFont="1" applyBorder="1" applyAlignment="1">
      <alignment horizontal="center" vertical="center"/>
    </xf>
    <xf numFmtId="164" fontId="58" fillId="0" borderId="35" xfId="0" applyNumberFormat="1" applyFont="1" applyBorder="1" applyAlignment="1">
      <alignment vertical="center"/>
    </xf>
    <xf numFmtId="164" fontId="58" fillId="0" borderId="63" xfId="0" applyNumberFormat="1" applyFont="1" applyBorder="1" applyAlignment="1">
      <alignment vertical="center"/>
    </xf>
    <xf numFmtId="164" fontId="58" fillId="0" borderId="10" xfId="0" applyNumberFormat="1" applyFont="1" applyBorder="1" applyAlignment="1">
      <alignment vertical="center"/>
    </xf>
    <xf numFmtId="164" fontId="58" fillId="0" borderId="12" xfId="0" applyNumberFormat="1" applyFont="1" applyBorder="1" applyAlignment="1">
      <alignment vertical="center"/>
    </xf>
    <xf numFmtId="0" fontId="58" fillId="7" borderId="28" xfId="0" applyFont="1" applyFill="1" applyBorder="1" applyAlignment="1">
      <alignment horizontal="left" vertical="center"/>
    </xf>
    <xf numFmtId="0" fontId="58" fillId="7" borderId="12" xfId="0" applyFont="1" applyFill="1" applyBorder="1" applyAlignment="1">
      <alignment horizontal="left" vertical="center"/>
    </xf>
    <xf numFmtId="0" fontId="58" fillId="7" borderId="33" xfId="0" applyFont="1" applyFill="1" applyBorder="1" applyAlignment="1">
      <alignment horizontal="left" vertical="center"/>
    </xf>
    <xf numFmtId="0" fontId="58" fillId="7" borderId="34" xfId="0" applyFont="1" applyFill="1" applyBorder="1" applyAlignment="1">
      <alignment horizontal="left" vertical="center"/>
    </xf>
    <xf numFmtId="164" fontId="32" fillId="0" borderId="10" xfId="0" applyNumberFormat="1" applyFont="1" applyBorder="1" applyAlignment="1">
      <alignment vertical="center"/>
    </xf>
    <xf numFmtId="164" fontId="32" fillId="0" borderId="12" xfId="0" applyNumberFormat="1" applyFont="1" applyBorder="1" applyAlignment="1">
      <alignment vertical="center"/>
    </xf>
    <xf numFmtId="164" fontId="58" fillId="0" borderId="7" xfId="0" applyNumberFormat="1" applyFont="1" applyBorder="1" applyAlignment="1">
      <alignment vertical="center"/>
    </xf>
    <xf numFmtId="164" fontId="58" fillId="0" borderId="34" xfId="0" applyNumberFormat="1" applyFont="1" applyBorder="1" applyAlignment="1">
      <alignment vertical="center"/>
    </xf>
    <xf numFmtId="0" fontId="10" fillId="0" borderId="105" xfId="0" applyFont="1" applyBorder="1" applyAlignment="1">
      <alignment horizontal="center"/>
    </xf>
    <xf numFmtId="0" fontId="0" fillId="0" borderId="105" xfId="0" applyBorder="1" applyAlignment="1">
      <alignment horizontal="center"/>
    </xf>
    <xf numFmtId="0" fontId="58" fillId="12" borderId="2" xfId="0" applyFont="1" applyFill="1" applyBorder="1" applyAlignment="1">
      <alignment horizontal="center" vertical="center"/>
    </xf>
    <xf numFmtId="0" fontId="58" fillId="12" borderId="5" xfId="0" applyFont="1" applyFill="1" applyBorder="1" applyAlignment="1">
      <alignment horizontal="center" vertical="center"/>
    </xf>
    <xf numFmtId="0" fontId="58" fillId="12" borderId="2" xfId="0" applyFont="1" applyFill="1" applyBorder="1" applyAlignment="1">
      <alignment horizontal="center" vertical="center" wrapText="1"/>
    </xf>
    <xf numFmtId="0" fontId="58" fillId="12" borderId="5" xfId="0" applyFont="1" applyFill="1" applyBorder="1" applyAlignment="1">
      <alignment horizontal="center" vertical="center" wrapText="1"/>
    </xf>
    <xf numFmtId="164" fontId="58" fillId="0" borderId="112" xfId="0" applyNumberFormat="1" applyFont="1" applyBorder="1" applyAlignment="1">
      <alignment vertical="center"/>
    </xf>
    <xf numFmtId="164" fontId="58" fillId="0" borderId="5" xfId="0" applyNumberFormat="1" applyFont="1" applyBorder="1" applyAlignment="1">
      <alignment vertical="center"/>
    </xf>
    <xf numFmtId="0" fontId="77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4" fontId="32" fillId="0" borderId="61" xfId="0" applyNumberFormat="1" applyFont="1" applyBorder="1" applyAlignment="1">
      <alignment vertical="center"/>
    </xf>
    <xf numFmtId="164" fontId="32" fillId="0" borderId="62" xfId="0" applyNumberFormat="1" applyFont="1" applyBorder="1" applyAlignment="1">
      <alignment vertical="center"/>
    </xf>
    <xf numFmtId="164" fontId="58" fillId="0" borderId="11" xfId="0" applyNumberFormat="1" applyFont="1" applyBorder="1" applyAlignment="1">
      <alignment vertical="center"/>
    </xf>
    <xf numFmtId="164" fontId="58" fillId="0" borderId="111" xfId="0" applyNumberFormat="1" applyFont="1" applyBorder="1" applyAlignment="1">
      <alignment vertical="center"/>
    </xf>
    <xf numFmtId="0" fontId="32" fillId="7" borderId="21" xfId="0" applyFont="1" applyFill="1" applyBorder="1" applyAlignment="1">
      <alignment horizontal="left" vertical="center"/>
    </xf>
    <xf numFmtId="0" fontId="32" fillId="7" borderId="62" xfId="0" applyFont="1" applyFill="1" applyBorder="1" applyAlignment="1">
      <alignment horizontal="left" vertical="center"/>
    </xf>
    <xf numFmtId="0" fontId="32" fillId="7" borderId="28" xfId="0" applyFont="1" applyFill="1" applyBorder="1" applyAlignment="1">
      <alignment horizontal="left" vertical="center"/>
    </xf>
    <xf numFmtId="0" fontId="32" fillId="7" borderId="12" xfId="0" applyFont="1" applyFill="1" applyBorder="1" applyAlignment="1">
      <alignment horizontal="left" vertical="center"/>
    </xf>
    <xf numFmtId="0" fontId="32" fillId="7" borderId="28" xfId="0" applyFont="1" applyFill="1" applyBorder="1" applyAlignment="1">
      <alignment horizontal="left" vertical="center" wrapText="1"/>
    </xf>
    <xf numFmtId="0" fontId="32" fillId="7" borderId="12" xfId="0" applyFont="1" applyFill="1" applyBorder="1" applyAlignment="1">
      <alignment horizontal="left" vertical="center" wrapText="1"/>
    </xf>
    <xf numFmtId="0" fontId="58" fillId="12" borderId="110" xfId="0" applyFont="1" applyFill="1" applyBorder="1" applyAlignment="1">
      <alignment horizontal="center" vertical="center"/>
    </xf>
    <xf numFmtId="0" fontId="58" fillId="7" borderId="28" xfId="0" applyFont="1" applyFill="1" applyBorder="1" applyAlignment="1">
      <alignment horizontal="left" vertical="center" wrapText="1"/>
    </xf>
    <xf numFmtId="0" fontId="58" fillId="7" borderId="12" xfId="0" applyFont="1" applyFill="1" applyBorder="1" applyAlignment="1">
      <alignment horizontal="left" vertical="center" wrapText="1"/>
    </xf>
    <xf numFmtId="0" fontId="10" fillId="0" borderId="110" xfId="0" applyFont="1" applyBorder="1" applyAlignment="1">
      <alignment horizontal="center"/>
    </xf>
    <xf numFmtId="0" fontId="10" fillId="0" borderId="111" xfId="0" applyFont="1" applyBorder="1" applyAlignment="1">
      <alignment horizontal="center"/>
    </xf>
    <xf numFmtId="0" fontId="10" fillId="0" borderId="112" xfId="0" applyFont="1" applyBorder="1" applyAlignment="1">
      <alignment horizontal="center"/>
    </xf>
    <xf numFmtId="0" fontId="31" fillId="9" borderId="31" xfId="0" applyFont="1" applyFill="1" applyBorder="1" applyAlignment="1">
      <alignment horizontal="center" vertical="center" wrapText="1"/>
    </xf>
    <xf numFmtId="0" fontId="31" fillId="9" borderId="18" xfId="0" applyFont="1" applyFill="1" applyBorder="1" applyAlignment="1">
      <alignment horizontal="center" vertical="center" wrapText="1"/>
    </xf>
    <xf numFmtId="0" fontId="31" fillId="9" borderId="25" xfId="0" applyFont="1" applyFill="1" applyBorder="1" applyAlignment="1">
      <alignment horizontal="center" vertical="center" wrapText="1"/>
    </xf>
    <xf numFmtId="0" fontId="31" fillId="9" borderId="17" xfId="0" applyFont="1" applyFill="1" applyBorder="1" applyAlignment="1">
      <alignment horizontal="center" vertical="center" wrapText="1"/>
    </xf>
    <xf numFmtId="0" fontId="58" fillId="11" borderId="0" xfId="0" applyFont="1" applyFill="1" applyBorder="1" applyAlignment="1">
      <alignment horizontal="left" vertical="center" wrapText="1"/>
    </xf>
    <xf numFmtId="0" fontId="58" fillId="12" borderId="1" xfId="0" applyFont="1" applyFill="1" applyBorder="1" applyAlignment="1">
      <alignment horizontal="center" vertical="center"/>
    </xf>
    <xf numFmtId="0" fontId="58" fillId="12" borderId="106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98" xfId="0" applyFont="1" applyBorder="1" applyAlignment="1">
      <alignment horizontal="center" vertical="center"/>
    </xf>
    <xf numFmtId="0" fontId="78" fillId="0" borderId="0" xfId="0" applyFont="1" applyAlignment="1">
      <alignment horizontal="center"/>
    </xf>
    <xf numFmtId="0" fontId="10" fillId="0" borderId="114" xfId="0" applyFont="1" applyBorder="1" applyAlignment="1">
      <alignment horizontal="center"/>
    </xf>
    <xf numFmtId="0" fontId="10" fillId="0" borderId="115" xfId="0" applyFont="1" applyBorder="1" applyAlignment="1">
      <alignment horizontal="center"/>
    </xf>
    <xf numFmtId="0" fontId="32" fillId="7" borderId="21" xfId="0" applyFont="1" applyFill="1" applyBorder="1" applyAlignment="1">
      <alignment horizontal="left" vertical="center" wrapText="1"/>
    </xf>
    <xf numFmtId="0" fontId="32" fillId="7" borderId="62" xfId="0" applyFont="1" applyFill="1" applyBorder="1" applyAlignment="1">
      <alignment horizontal="left" vertical="center" wrapText="1"/>
    </xf>
    <xf numFmtId="0" fontId="3" fillId="12" borderId="2" xfId="0" applyFont="1" applyFill="1" applyBorder="1" applyAlignment="1">
      <alignment horizontal="center" vertical="center"/>
    </xf>
    <xf numFmtId="0" fontId="3" fillId="12" borderId="110" xfId="0" applyFont="1" applyFill="1" applyBorder="1" applyAlignment="1">
      <alignment horizontal="center" vertical="center"/>
    </xf>
    <xf numFmtId="0" fontId="58" fillId="7" borderId="33" xfId="0" applyFont="1" applyFill="1" applyBorder="1" applyAlignment="1">
      <alignment horizontal="left" vertical="center" wrapText="1"/>
    </xf>
    <xf numFmtId="0" fontId="58" fillId="7" borderId="34" xfId="0" applyFont="1" applyFill="1" applyBorder="1" applyAlignment="1">
      <alignment horizontal="left" vertical="center" wrapText="1"/>
    </xf>
  </cellXfs>
  <cellStyles count="5">
    <cellStyle name="Lien hypertexte" xfId="4" builtinId="8"/>
    <cellStyle name="Milliers" xfId="1" builtinId="3"/>
    <cellStyle name="Normal" xfId="0" builtinId="0"/>
    <cellStyle name="Normal 2" xfId="3"/>
    <cellStyle name="Pourcentage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419100</xdr:colOff>
      <xdr:row>6</xdr:row>
      <xdr:rowOff>0</xdr:rowOff>
    </xdr:to>
    <xdr:sp macro="" textlink="">
      <xdr:nvSpPr>
        <xdr:cNvPr id="2" name="ZoneTexte 1"/>
        <xdr:cNvSpPr txBox="1"/>
      </xdr:nvSpPr>
      <xdr:spPr>
        <a:xfrm>
          <a:off x="0" y="0"/>
          <a:ext cx="2933700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700">
              <a:latin typeface="Times New Roman" panose="02020603050405020304" pitchFamily="18" charset="0"/>
              <a:cs typeface="Times New Roman" panose="02020603050405020304" pitchFamily="18" charset="0"/>
            </a:rPr>
            <a:t>REPUBLIQUE</a:t>
          </a:r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 DU CAMEROUN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Paix-Travail-Patrie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MINISTERE DES FINANCES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DIRECTION GENERALE DES IMPOTS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CENTRE REGIONAL DES IMPOTS DE L'EST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SERVICE DES STATISTIQUES</a:t>
          </a:r>
        </a:p>
        <a:p>
          <a:pPr algn="ctr"/>
          <a:endParaRPr lang="en-US" sz="7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endParaRPr lang="en-US" sz="7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466725</xdr:colOff>
      <xdr:row>0</xdr:row>
      <xdr:rowOff>19050</xdr:rowOff>
    </xdr:from>
    <xdr:to>
      <xdr:col>8</xdr:col>
      <xdr:colOff>723900</xdr:colOff>
      <xdr:row>6</xdr:row>
      <xdr:rowOff>0</xdr:rowOff>
    </xdr:to>
    <xdr:sp macro="" textlink="">
      <xdr:nvSpPr>
        <xdr:cNvPr id="3" name="ZoneTexte 2"/>
        <xdr:cNvSpPr txBox="1"/>
      </xdr:nvSpPr>
      <xdr:spPr>
        <a:xfrm>
          <a:off x="4981575" y="19050"/>
          <a:ext cx="2047875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700">
              <a:latin typeface="Times New Roman" panose="02020603050405020304" pitchFamily="18" charset="0"/>
              <a:cs typeface="Times New Roman" panose="02020603050405020304" pitchFamily="18" charset="0"/>
            </a:rPr>
            <a:t>REPUBLIIC</a:t>
          </a:r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 OF CAMEROON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Peace-Work-Fatherland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MINISTRY OF FINANCE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GENERAL DIRECTORATE OF TAXATION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REGIONAL TAXATION CENTER OF THE EAST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----------</a:t>
          </a:r>
        </a:p>
        <a:p>
          <a:pPr algn="ctr"/>
          <a:r>
            <a:rPr lang="en-US" sz="700" baseline="0">
              <a:latin typeface="Times New Roman" panose="02020603050405020304" pitchFamily="18" charset="0"/>
              <a:cs typeface="Times New Roman" panose="02020603050405020304" pitchFamily="18" charset="0"/>
            </a:rPr>
            <a:t>STATISTICS OFFICE</a:t>
          </a:r>
        </a:p>
        <a:p>
          <a:pPr algn="ctr"/>
          <a:endParaRPr lang="en-US" sz="7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5</xdr:col>
      <xdr:colOff>133350</xdr:colOff>
      <xdr:row>1</xdr:row>
      <xdr:rowOff>76200</xdr:rowOff>
    </xdr:from>
    <xdr:to>
      <xdr:col>5</xdr:col>
      <xdr:colOff>914400</xdr:colOff>
      <xdr:row>5</xdr:row>
      <xdr:rowOff>9524</xdr:rowOff>
    </xdr:to>
    <xdr:pic>
      <xdr:nvPicPr>
        <xdr:cNvPr id="4" name="Image 3" descr="DGI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276225"/>
          <a:ext cx="781050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923925</xdr:colOff>
      <xdr:row>0</xdr:row>
      <xdr:rowOff>76201</xdr:rowOff>
    </xdr:from>
    <xdr:to>
      <xdr:col>6</xdr:col>
      <xdr:colOff>212090</xdr:colOff>
      <xdr:row>6</xdr:row>
      <xdr:rowOff>28575</xdr:rowOff>
    </xdr:to>
    <xdr:pic>
      <xdr:nvPicPr>
        <xdr:cNvPr id="5" name="Image 4" descr="C:\Users\Dell\Desktop\logo DGI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438525" y="76201"/>
          <a:ext cx="1288415" cy="1152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</xdr:colOff>
      <xdr:row>1</xdr:row>
      <xdr:rowOff>114300</xdr:rowOff>
    </xdr:to>
    <xdr:pic>
      <xdr:nvPicPr>
        <xdr:cNvPr id="2" name="Picture 1" descr="http://192.168.198.50/Images/Grid/Edit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9550" y="190500"/>
          <a:ext cx="114300" cy="1143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istiques%20fevrier%20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Dell/Desktop/Plan%20d'Action/2019/Users/obilomo/Desktop/Plan%20d'Action/SUIVI%20PLAN%20D'ACTION_TENDANCES_CRIE/LISTES%20DES%20GRANDS%20COMPT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kolotto/Movies/perso/statkol/mon%20suivi/Suivi%20des%20declarations/2020/statistiques%20avril%20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kolotto/Movies/perso/statkol/mon%20suivi/Suivi%20des%20declarations/2021/statistiques%20avril%20202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ointage"/>
      <sheetName val="SUIVI JOURNALIER FEVRIER"/>
      <sheetName val="vs fevrier"/>
      <sheetName val="CONTROLES"/>
      <sheetName val="FEVRIER"/>
      <sheetName val="R. AFFECTEES"/>
      <sheetName val="point sur les patentes"/>
      <sheetName val="labo"/>
      <sheetName val="tendances"/>
      <sheetName val="Plan d actions "/>
      <sheetName val="Etats des virements"/>
      <sheetName val="Etats des virements2"/>
      <sheetName val="Evaluation"/>
      <sheetName val="Feuil1"/>
      <sheetName val="reliquataires"/>
      <sheetName val="suivi des TAV"/>
      <sheetName val="Etat comparatif 1"/>
      <sheetName val="Etat comparatif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RAISON_SOCIALE</v>
          </cell>
          <cell r="C1" t="str">
            <v>SOUS SECTEUR D ACTIVITE</v>
          </cell>
        </row>
        <row r="2">
          <cell r="B2" t="str">
            <v>ABDOULAYE HAROUNA</v>
          </cell>
          <cell r="C2" t="str">
            <v>MINE</v>
          </cell>
        </row>
        <row r="3">
          <cell r="B3" t="str">
            <v>ABONO</v>
          </cell>
          <cell r="C3" t="str">
            <v>AUTRES SERVICES</v>
          </cell>
        </row>
        <row r="4">
          <cell r="B4" t="str">
            <v>ABOUBAKAR</v>
          </cell>
          <cell r="C4" t="str">
            <v>MINE</v>
          </cell>
        </row>
        <row r="5">
          <cell r="B5" t="str">
            <v>ADALA BOADE</v>
          </cell>
          <cell r="C5" t="str">
            <v>PROFESSIONS LIBERALES</v>
          </cell>
        </row>
        <row r="6">
          <cell r="B6" t="str">
            <v>ADAMOU SOULE</v>
          </cell>
          <cell r="C6" t="str">
            <v>BTP</v>
          </cell>
        </row>
        <row r="7">
          <cell r="B7" t="str">
            <v>ADEBA DIEUDONNE</v>
          </cell>
          <cell r="C7" t="str">
            <v>STATION DE SERVICES</v>
          </cell>
        </row>
        <row r="8">
          <cell r="B8" t="str">
            <v>ADEMOU YAYA</v>
          </cell>
          <cell r="C8" t="str">
            <v>MINE</v>
          </cell>
        </row>
        <row r="9">
          <cell r="B9" t="str">
            <v>AFRI BEST INSURANCE</v>
          </cell>
          <cell r="C9" t="str">
            <v>ASSURANCE</v>
          </cell>
        </row>
        <row r="10">
          <cell r="B10" t="str">
            <v>AFRICA HUMANITARIAN ACTION</v>
          </cell>
          <cell r="C10" t="str">
            <v>ONG</v>
          </cell>
        </row>
        <row r="11">
          <cell r="B11" t="str">
            <v>AFRIQUE METAL SARL</v>
          </cell>
          <cell r="C11" t="str">
            <v>MINE</v>
          </cell>
        </row>
        <row r="12">
          <cell r="B12" t="str">
            <v>ALI</v>
          </cell>
          <cell r="C12" t="str">
            <v>MINE</v>
          </cell>
        </row>
        <row r="13">
          <cell r="B13" t="str">
            <v>AMADOU HAMADOU</v>
          </cell>
          <cell r="C13" t="str">
            <v>BOULANGERIE</v>
          </cell>
        </row>
        <row r="14">
          <cell r="B14" t="str">
            <v>AMEYAHU NJODZEVEN</v>
          </cell>
          <cell r="C14" t="str">
            <v>AUTRES SERVICES</v>
          </cell>
        </row>
        <row r="15">
          <cell r="B15" t="str">
            <v>ANIEKWE</v>
          </cell>
          <cell r="C15" t="str">
            <v>autres CG</v>
          </cell>
        </row>
        <row r="16">
          <cell r="B16" t="str">
            <v>ANKOUMA Ateba</v>
          </cell>
          <cell r="C16" t="str">
            <v>ASSURANCE</v>
          </cell>
        </row>
        <row r="17">
          <cell r="B17" t="str">
            <v>ASSOGNOLEBOT ANDRE</v>
          </cell>
          <cell r="C17" t="str">
            <v>PROFESSIONS LIBERALES</v>
          </cell>
        </row>
        <row r="18">
          <cell r="B18" t="str">
            <v>AWONO ATEBA</v>
          </cell>
          <cell r="C18" t="str">
            <v>PROFESSIONS LIBERALES</v>
          </cell>
        </row>
        <row r="19">
          <cell r="B19" t="str">
            <v>AYACHE ISAAC HERVE HASSAN</v>
          </cell>
          <cell r="C19" t="str">
            <v>FORESTERIE</v>
          </cell>
        </row>
        <row r="20">
          <cell r="B20" t="str">
            <v>BAKARI DOBIL</v>
          </cell>
          <cell r="C20" t="str">
            <v>AUTRES SERVICES</v>
          </cell>
        </row>
        <row r="21">
          <cell r="B21" t="str">
            <v>BAKARI DOBILE NARMAI</v>
          </cell>
          <cell r="C21" t="str">
            <v>AUTRES SERVICES</v>
          </cell>
        </row>
        <row r="22">
          <cell r="B22" t="str">
            <v>BANDANG CONSTANCE</v>
          </cell>
          <cell r="C22" t="str">
            <v>PROFESSIONS LIBERALES</v>
          </cell>
        </row>
        <row r="23">
          <cell r="B23" t="str">
            <v>BASSOUNGA BASSOUNGA ALBERT AIME</v>
          </cell>
          <cell r="C23" t="str">
            <v>STATION DE SERVICES</v>
          </cell>
        </row>
        <row r="24">
          <cell r="B24" t="str">
            <v>BEMBELL OLIVIER</v>
          </cell>
          <cell r="C24" t="str">
            <v>PROFESSIONS LIBERALES</v>
          </cell>
        </row>
        <row r="25">
          <cell r="B25" t="str">
            <v>BETHEL INDUSTRIES AND TRADE COMPANY SARL</v>
          </cell>
          <cell r="C25" t="str">
            <v>FORESTERIE</v>
          </cell>
        </row>
        <row r="26">
          <cell r="B26" t="str">
            <v>BIKAGA CLAUDINE</v>
          </cell>
          <cell r="C26" t="str">
            <v>AUTRES SERVICES</v>
          </cell>
        </row>
        <row r="27">
          <cell r="B27" t="str">
            <v>BIKOUN JEAN PAUL</v>
          </cell>
          <cell r="C27" t="str">
            <v>PROFESSIONS LIBERALES</v>
          </cell>
        </row>
        <row r="28">
          <cell r="B28" t="str">
            <v>BILONGO Leontine</v>
          </cell>
          <cell r="C28" t="str">
            <v>PROFESSIONS LIBERALES</v>
          </cell>
        </row>
        <row r="29">
          <cell r="B29" t="str">
            <v>BIMOGA NZIE LOUIS PETIT</v>
          </cell>
          <cell r="C29" t="str">
            <v>PROFESSIONS LIBERALES</v>
          </cell>
        </row>
        <row r="30">
          <cell r="B30" t="str">
            <v>BISSOCK Julien Charles</v>
          </cell>
          <cell r="C30" t="str">
            <v>PROFESSIONS LIBERALES</v>
          </cell>
        </row>
        <row r="31">
          <cell r="B31" t="str">
            <v>BIYA BI-TANG Pierre C.</v>
          </cell>
          <cell r="C31" t="str">
            <v>PROFESSIONS LIBERALES</v>
          </cell>
        </row>
        <row r="32">
          <cell r="B32" t="str">
            <v>BOIS-NEGOCE-IMPORT-EXPORT</v>
          </cell>
          <cell r="C32" t="str">
            <v>FORESTERIE</v>
          </cell>
        </row>
        <row r="33">
          <cell r="B33" t="str">
            <v>BOULANGERIE FAMILIALE</v>
          </cell>
          <cell r="C33" t="str">
            <v>BOULANGERIE</v>
          </cell>
        </row>
        <row r="34">
          <cell r="B34" t="str">
            <v>BUREAU DE  GESTION FRET TERRESTRE</v>
          </cell>
          <cell r="C34" t="str">
            <v>AUTRES SERVICES</v>
          </cell>
        </row>
        <row r="35">
          <cell r="B35" t="str">
            <v>CAMEROON GOLDING WRAPPER GROUP SARL</v>
          </cell>
          <cell r="C35" t="str">
            <v>INDUSTRIE DE PRODUCTION</v>
          </cell>
        </row>
        <row r="36">
          <cell r="B36" t="str">
            <v>CHARLES AKUM TENDU</v>
          </cell>
          <cell r="C36" t="str">
            <v>STATION DE SERVICES</v>
          </cell>
        </row>
        <row r="37">
          <cell r="B37" t="str">
            <v>CHOUMPA FORTUNE LAURE</v>
          </cell>
          <cell r="C37" t="str">
            <v>vente bh</v>
          </cell>
        </row>
        <row r="38">
          <cell r="B38" t="str">
            <v>CIE FORESTIERE DE L'EST</v>
          </cell>
          <cell r="C38" t="str">
            <v>FORESTERIE</v>
          </cell>
        </row>
        <row r="39">
          <cell r="B39" t="str">
            <v>COMMUNAUTE URBAINE BERTOUA</v>
          </cell>
          <cell r="C39" t="str">
            <v>CTD</v>
          </cell>
        </row>
        <row r="40">
          <cell r="B40" t="str">
            <v>COMMUNE D'ABONG-MBANG</v>
          </cell>
          <cell r="C40" t="str">
            <v>CTD</v>
          </cell>
        </row>
        <row r="41">
          <cell r="B41" t="str">
            <v>COMMUNE D'ANGOSSAS</v>
          </cell>
          <cell r="C41" t="str">
            <v>CTD</v>
          </cell>
        </row>
        <row r="42">
          <cell r="B42" t="str">
            <v>COMMUNE D'ATOK</v>
          </cell>
          <cell r="C42" t="str">
            <v>CTD</v>
          </cell>
        </row>
        <row r="43">
          <cell r="B43" t="str">
            <v>Commune de  YOKADOUMA</v>
          </cell>
          <cell r="C43" t="str">
            <v>CTD</v>
          </cell>
        </row>
        <row r="44">
          <cell r="B44" t="str">
            <v>COMMUNE DE BATOURI</v>
          </cell>
          <cell r="C44" t="str">
            <v>CTD</v>
          </cell>
        </row>
        <row r="45">
          <cell r="B45" t="str">
            <v>COMMUNE DE BERTOUA I</v>
          </cell>
          <cell r="C45" t="str">
            <v>CTD</v>
          </cell>
        </row>
        <row r="46">
          <cell r="B46" t="str">
            <v>COMMUNE DE BERTOUA II</v>
          </cell>
          <cell r="C46" t="str">
            <v>CTD</v>
          </cell>
        </row>
        <row r="47">
          <cell r="B47" t="str">
            <v>COMMUNE DE BETARE OYA</v>
          </cell>
          <cell r="C47" t="str">
            <v>CTD</v>
          </cell>
        </row>
        <row r="48">
          <cell r="B48" t="str">
            <v>COMMUNE DE DOUME</v>
          </cell>
          <cell r="C48" t="str">
            <v>CTD</v>
          </cell>
        </row>
        <row r="49">
          <cell r="B49" t="str">
            <v>Commune de GARI-GOMBO</v>
          </cell>
          <cell r="C49" t="str">
            <v>CTD</v>
          </cell>
        </row>
        <row r="50">
          <cell r="B50" t="str">
            <v>COMMUNE DE GAROUA-BOULAÏ</v>
          </cell>
          <cell r="C50" t="str">
            <v>CTD</v>
          </cell>
        </row>
        <row r="51">
          <cell r="B51" t="str">
            <v>COMMUNE DE KENTZOU</v>
          </cell>
          <cell r="C51" t="str">
            <v>CTD</v>
          </cell>
        </row>
        <row r="52">
          <cell r="B52" t="str">
            <v>COMMUNE DE KETTE</v>
          </cell>
          <cell r="C52" t="str">
            <v>CTD</v>
          </cell>
        </row>
        <row r="53">
          <cell r="B53" t="str">
            <v>COMMUNE DE LOMIE</v>
          </cell>
          <cell r="C53" t="str">
            <v>CTD</v>
          </cell>
        </row>
        <row r="54">
          <cell r="B54" t="str">
            <v>COMMUNE DE MANDJOU</v>
          </cell>
          <cell r="C54" t="str">
            <v>CTD</v>
          </cell>
        </row>
        <row r="55">
          <cell r="B55" t="str">
            <v>COMMUNE DE MBANG</v>
          </cell>
          <cell r="C55" t="str">
            <v>CTD</v>
          </cell>
        </row>
        <row r="56">
          <cell r="B56" t="str">
            <v>COMMUNE DE MBOMA</v>
          </cell>
          <cell r="C56" t="str">
            <v>CTD</v>
          </cell>
        </row>
        <row r="57">
          <cell r="B57" t="str">
            <v>COMMUNE DE MESSAMENA</v>
          </cell>
          <cell r="C57" t="str">
            <v>CTD</v>
          </cell>
        </row>
        <row r="58">
          <cell r="B58" t="str">
            <v>COMMUNE DE MESSOK</v>
          </cell>
          <cell r="C58" t="str">
            <v>CTD</v>
          </cell>
        </row>
        <row r="59">
          <cell r="B59" t="str">
            <v>COMMUNE DE MINDOUROU</v>
          </cell>
          <cell r="C59" t="str">
            <v>CTD</v>
          </cell>
        </row>
        <row r="60">
          <cell r="B60" t="str">
            <v>Commune de MOLOUNDOU</v>
          </cell>
          <cell r="C60" t="str">
            <v>CTD</v>
          </cell>
        </row>
        <row r="61">
          <cell r="B61" t="str">
            <v>COMMUNE DE NDELELE</v>
          </cell>
          <cell r="C61" t="str">
            <v>CTD</v>
          </cell>
        </row>
        <row r="62">
          <cell r="B62" t="str">
            <v>COMMUNE DE NGOYLA</v>
          </cell>
          <cell r="C62" t="str">
            <v>CTD</v>
          </cell>
        </row>
        <row r="63">
          <cell r="B63" t="str">
            <v>COMMUNE DE NGUELEBOCK</v>
          </cell>
          <cell r="C63" t="str">
            <v>CTD</v>
          </cell>
        </row>
        <row r="64">
          <cell r="B64" t="str">
            <v>COMMUNE DE NGUELEMENDOUKA</v>
          </cell>
          <cell r="C64" t="str">
            <v>CTD</v>
          </cell>
        </row>
        <row r="65">
          <cell r="B65" t="str">
            <v>COMMUNE DE OULI</v>
          </cell>
          <cell r="C65" t="str">
            <v>CTD</v>
          </cell>
        </row>
        <row r="66">
          <cell r="B66" t="str">
            <v>Commune de SALAPOUMBE</v>
          </cell>
          <cell r="C66" t="str">
            <v>CTD</v>
          </cell>
        </row>
        <row r="67">
          <cell r="B67" t="str">
            <v>COMMUNE DE SOMALOMO</v>
          </cell>
          <cell r="C67" t="str">
            <v>CTD</v>
          </cell>
        </row>
        <row r="68">
          <cell r="B68" t="str">
            <v>COMMUNE DIMAKO</v>
          </cell>
          <cell r="C68" t="str">
            <v>CTD</v>
          </cell>
        </row>
        <row r="69">
          <cell r="B69" t="str">
            <v>COMMUNE R BELABO</v>
          </cell>
          <cell r="C69" t="str">
            <v>CTD</v>
          </cell>
        </row>
        <row r="70">
          <cell r="B70" t="str">
            <v>COMMUNE RURALE DE DIANG</v>
          </cell>
          <cell r="C70" t="str">
            <v>CTD</v>
          </cell>
        </row>
        <row r="71">
          <cell r="B71" t="str">
            <v>COMMUNE RURALE DE NGOURA</v>
          </cell>
          <cell r="C71" t="str">
            <v>CTD</v>
          </cell>
        </row>
        <row r="72">
          <cell r="B72" t="str">
            <v>COMPAGNIE DES TABACS CAMEROUNAISES</v>
          </cell>
          <cell r="C72" t="str">
            <v>INDUSTRIE DE PRODUCTION</v>
          </cell>
        </row>
        <row r="73">
          <cell r="B73" t="str">
            <v>COMPAGNIE GENERALE DE DISTRIBUTION</v>
          </cell>
          <cell r="C73" t="str">
            <v>autres CG</v>
          </cell>
        </row>
        <row r="74">
          <cell r="B74" t="str">
            <v>CONTINENTAL EXPRESS SARL</v>
          </cell>
          <cell r="C74" t="str">
            <v>TRANSPORT</v>
          </cell>
        </row>
        <row r="75">
          <cell r="B75" t="str">
            <v>D&amp;K2 ENTREPRISE SARL</v>
          </cell>
          <cell r="C75" t="str">
            <v>AUTRES SERVICES</v>
          </cell>
        </row>
        <row r="76">
          <cell r="B76" t="str">
            <v>DABADJI TAREK</v>
          </cell>
          <cell r="C76" t="str">
            <v>BOULANGERIE</v>
          </cell>
        </row>
        <row r="77">
          <cell r="B77" t="str">
            <v>DEWA ABDOURAMAN</v>
          </cell>
          <cell r="C77" t="str">
            <v>MINE</v>
          </cell>
        </row>
        <row r="78">
          <cell r="B78" t="str">
            <v>DJANKEP</v>
          </cell>
          <cell r="C78" t="str">
            <v>PROFESSIONS LIBERALES</v>
          </cell>
        </row>
        <row r="79">
          <cell r="B79" t="str">
            <v>DJIBRILLA</v>
          </cell>
          <cell r="C79" t="str">
            <v>quincaillerie</v>
          </cell>
        </row>
        <row r="80">
          <cell r="B80" t="str">
            <v>DJIDDA BICHARA</v>
          </cell>
          <cell r="C80" t="str">
            <v>MINE</v>
          </cell>
        </row>
        <row r="81">
          <cell r="B81" t="str">
            <v>DJOLBO EDOUARD</v>
          </cell>
          <cell r="C81" t="str">
            <v>AUTRES SERVICES</v>
          </cell>
        </row>
        <row r="82">
          <cell r="B82" t="str">
            <v>DJOUSSE</v>
          </cell>
          <cell r="C82" t="str">
            <v>quincaillerie</v>
          </cell>
        </row>
        <row r="83">
          <cell r="B83" t="str">
            <v>DOMNO Léopold</v>
          </cell>
          <cell r="C83" t="str">
            <v>HERBERGEMENT</v>
          </cell>
        </row>
        <row r="84">
          <cell r="B84" t="str">
            <v>DOUONVEU PHILEMON</v>
          </cell>
          <cell r="C84" t="str">
            <v>PROFESSIONS LIBERALES</v>
          </cell>
        </row>
        <row r="85">
          <cell r="B85" t="str">
            <v>DYNASTY MINING SARL</v>
          </cell>
          <cell r="C85" t="str">
            <v>MINE</v>
          </cell>
        </row>
        <row r="86">
          <cell r="B86" t="str">
            <v>EBODE Bertin Honora</v>
          </cell>
          <cell r="C86" t="str">
            <v>PROFESSIONS LIBERALES</v>
          </cell>
        </row>
        <row r="87">
          <cell r="B87" t="str">
            <v>EBOMO NOHA Jean Jacques</v>
          </cell>
          <cell r="C87" t="str">
            <v>AUTRES SERVICES</v>
          </cell>
        </row>
        <row r="88">
          <cell r="B88" t="str">
            <v>EDANGTE EPSE BIYEGUE BIYEGUE</v>
          </cell>
          <cell r="C88" t="str">
            <v>AUTRES SERVICES</v>
          </cell>
        </row>
        <row r="89">
          <cell r="B89" t="str">
            <v>ELOUNDOU NKA HENRI</v>
          </cell>
          <cell r="C89" t="str">
            <v>pharmacie</v>
          </cell>
        </row>
        <row r="90">
          <cell r="B90" t="str">
            <v>EMASSI JACQUES</v>
          </cell>
          <cell r="C90" t="str">
            <v>AUTRES SERVICES</v>
          </cell>
        </row>
        <row r="91">
          <cell r="B91" t="str">
            <v>EMBE JACQUIE</v>
          </cell>
          <cell r="C91" t="str">
            <v>STATION DE SERVICES</v>
          </cell>
        </row>
        <row r="92">
          <cell r="B92" t="str">
            <v>EPEE JEAN HERVE</v>
          </cell>
          <cell r="C92" t="str">
            <v>STATION DE SERVICES</v>
          </cell>
        </row>
        <row r="93">
          <cell r="B93" t="str">
            <v>ESPOIR DISTRIBUTION SARL</v>
          </cell>
          <cell r="C93" t="str">
            <v>vente bh</v>
          </cell>
        </row>
        <row r="94">
          <cell r="B94" t="str">
            <v>ESSAMA</v>
          </cell>
          <cell r="C94" t="str">
            <v>AUTRES SERVICES</v>
          </cell>
        </row>
        <row r="95">
          <cell r="B95" t="str">
            <v>ESSIMI NGONO</v>
          </cell>
          <cell r="C95" t="str">
            <v>PROFESSIONS LIBERALES</v>
          </cell>
        </row>
        <row r="96">
          <cell r="B96" t="str">
            <v>ETOILE CAMEROUN SA</v>
          </cell>
          <cell r="C96" t="str">
            <v>MINE</v>
          </cell>
        </row>
        <row r="97">
          <cell r="B97" t="str">
            <v>ETS KAKOUANDE &amp; FILS</v>
          </cell>
          <cell r="C97" t="str">
            <v>FORESTERIE</v>
          </cell>
        </row>
        <row r="98">
          <cell r="B98" t="str">
            <v>EXBOCAM SARL</v>
          </cell>
          <cell r="C98" t="str">
            <v>FORESTERIE</v>
          </cell>
        </row>
        <row r="99">
          <cell r="B99" t="str">
            <v>EYEBE THEOPHILE</v>
          </cell>
          <cell r="C99" t="str">
            <v>PROFESSIONS LIBERALES</v>
          </cell>
        </row>
        <row r="100">
          <cell r="B100" t="str">
            <v>F.O. DISTRIBUTION SARL</v>
          </cell>
          <cell r="C100" t="str">
            <v>autres CG</v>
          </cell>
        </row>
        <row r="101">
          <cell r="B101" t="str">
            <v>FACOGESCAM</v>
          </cell>
          <cell r="C101" t="str">
            <v>FORESTERIE</v>
          </cell>
        </row>
        <row r="102">
          <cell r="B102" t="str">
            <v>FAKO</v>
          </cell>
          <cell r="C102" t="str">
            <v>autres CG</v>
          </cell>
        </row>
        <row r="103">
          <cell r="B103" t="str">
            <v>FAMILLE DISTRIBUTION SARL</v>
          </cell>
          <cell r="C103" t="str">
            <v>alimentation</v>
          </cell>
        </row>
        <row r="104">
          <cell r="B104" t="str">
            <v>FEDERATION DES PLANTEURS DE TABAC ET  AUTRES CULTURES VIVRIERES DU CAMEROUN</v>
          </cell>
          <cell r="C104" t="str">
            <v>INDUSTRIE DE PRODUCTION</v>
          </cell>
        </row>
        <row r="105">
          <cell r="B105" t="str">
            <v>FEILIAKESI INTERNATIONAL TRADE COMPANY LTD</v>
          </cell>
          <cell r="C105" t="str">
            <v>FORESTERIE</v>
          </cell>
        </row>
        <row r="106">
          <cell r="B106" t="str">
            <v>FEUDJO KAMTO Ambroise</v>
          </cell>
          <cell r="C106" t="str">
            <v>AUTRES SERVICES</v>
          </cell>
        </row>
        <row r="107">
          <cell r="B107" t="str">
            <v>FEZE FEZE CELESTIN</v>
          </cell>
          <cell r="C107" t="str">
            <v>vente bh</v>
          </cell>
        </row>
        <row r="108">
          <cell r="B108" t="str">
            <v>FODJO NGUESSOM JOSEPH BIENVENU</v>
          </cell>
          <cell r="C108" t="str">
            <v>STATION DE SERVICES</v>
          </cell>
        </row>
        <row r="109">
          <cell r="B109" t="str">
            <v>FOE JEAN MARIE LUC</v>
          </cell>
          <cell r="C109" t="str">
            <v>pharmacie</v>
          </cell>
        </row>
        <row r="110">
          <cell r="B110" t="str">
            <v>FOFACK</v>
          </cell>
          <cell r="C110" t="str">
            <v>INDUSTRIE DE PRODUCTION</v>
          </cell>
        </row>
        <row r="111">
          <cell r="B111" t="str">
            <v>FOMETE TCHINDA</v>
          </cell>
          <cell r="C111" t="str">
            <v>quincaillerie</v>
          </cell>
        </row>
        <row r="112">
          <cell r="B112" t="str">
            <v>FONDATION CONFICIUS CAMEROUN</v>
          </cell>
          <cell r="C112" t="str">
            <v>ONG</v>
          </cell>
        </row>
        <row r="113">
          <cell r="B113" t="str">
            <v>FONDS REG POUR LA PROMOT DE LA SANTE</v>
          </cell>
          <cell r="C113" t="str">
            <v>AUTRES SERVICES</v>
          </cell>
        </row>
        <row r="114">
          <cell r="B114" t="str">
            <v>FOTSING FERDINAND</v>
          </cell>
          <cell r="C114" t="str">
            <v>STATION DE SERVICES</v>
          </cell>
        </row>
        <row r="115">
          <cell r="B115" t="str">
            <v>FOTSING FONGANG PAULIN</v>
          </cell>
          <cell r="C115" t="str">
            <v>STATION DE SERVICES</v>
          </cell>
        </row>
        <row r="116">
          <cell r="B116" t="str">
            <v>FOUDA MENYENG ESTELLE</v>
          </cell>
          <cell r="C116" t="str">
            <v>AUTRES SERVICES</v>
          </cell>
        </row>
        <row r="117">
          <cell r="B117" t="str">
            <v>FOZOH EMMANUEL</v>
          </cell>
          <cell r="C117" t="str">
            <v>INDUSTRIE DE PRODUCTION</v>
          </cell>
        </row>
        <row r="118">
          <cell r="B118" t="str">
            <v>GROUPE GALERIE POPULAIRE</v>
          </cell>
          <cell r="C118" t="str">
            <v>autres CG</v>
          </cell>
        </row>
        <row r="119">
          <cell r="B119" t="str">
            <v>GROUPE TALMA SARL</v>
          </cell>
          <cell r="C119" t="str">
            <v>HERBERGEMENT</v>
          </cell>
        </row>
        <row r="120">
          <cell r="B120" t="str">
            <v>HAMADOU ADAMA SARL</v>
          </cell>
          <cell r="C120" t="str">
            <v>FORESTERIE</v>
          </cell>
        </row>
        <row r="121">
          <cell r="B121" t="str">
            <v>HAPPI TCHAMDJEU A. ROSETTE</v>
          </cell>
          <cell r="C121" t="str">
            <v>pharmacie</v>
          </cell>
        </row>
        <row r="122">
          <cell r="B122" t="str">
            <v>HAROUNA</v>
          </cell>
          <cell r="C122" t="str">
            <v>MINE</v>
          </cell>
        </row>
        <row r="123">
          <cell r="B123" t="str">
            <v>HAYATOU</v>
          </cell>
          <cell r="C123" t="str">
            <v>alimentation</v>
          </cell>
        </row>
        <row r="124">
          <cell r="B124" t="str">
            <v>HOPITAL REGIONAL DE BERTOUA</v>
          </cell>
          <cell r="C124" t="str">
            <v>PROFESSIONS LIBERALES</v>
          </cell>
        </row>
        <row r="125">
          <cell r="B125" t="str">
            <v>HOTEL MANSA</v>
          </cell>
          <cell r="C125" t="str">
            <v>HERBERGEMENT</v>
          </cell>
        </row>
        <row r="126">
          <cell r="B126" t="str">
            <v>IBRAHIM BI ISSA</v>
          </cell>
          <cell r="C126" t="str">
            <v>MINE</v>
          </cell>
        </row>
        <row r="127">
          <cell r="B127" t="str">
            <v>IBRAHIMA</v>
          </cell>
          <cell r="C127" t="str">
            <v>TRANSPORT</v>
          </cell>
        </row>
        <row r="128">
          <cell r="B128" t="str">
            <v>IBRAHIMA BOUBA</v>
          </cell>
          <cell r="C128" t="str">
            <v>AUTRES SERVICES</v>
          </cell>
        </row>
        <row r="129">
          <cell r="B129" t="str">
            <v>IDRISSA</v>
          </cell>
          <cell r="C129" t="str">
            <v>MINE</v>
          </cell>
        </row>
        <row r="130">
          <cell r="B130" t="str">
            <v>IDRISSA MAHAMAT</v>
          </cell>
          <cell r="C130" t="str">
            <v>MINE</v>
          </cell>
        </row>
        <row r="131">
          <cell r="B131" t="str">
            <v>INDUSTRIES MINIERES DU CAMEROUN</v>
          </cell>
          <cell r="C131" t="str">
            <v>MINE</v>
          </cell>
        </row>
        <row r="132">
          <cell r="B132" t="str">
            <v>IYA IBRAHIM</v>
          </cell>
          <cell r="C132" t="str">
            <v>STATION DE SERVICES</v>
          </cell>
        </row>
        <row r="133">
          <cell r="B133" t="str">
            <v>JIBO ALI</v>
          </cell>
          <cell r="C133" t="str">
            <v>MINE</v>
          </cell>
        </row>
        <row r="134">
          <cell r="B134" t="str">
            <v>KAMENI Robert</v>
          </cell>
          <cell r="C134" t="str">
            <v>PROFESSIONS LIBERALES</v>
          </cell>
        </row>
        <row r="135">
          <cell r="B135" t="str">
            <v>KAMGOU DOUNTIO Alexis</v>
          </cell>
          <cell r="C135" t="str">
            <v>vente bh</v>
          </cell>
        </row>
        <row r="136">
          <cell r="B136" t="str">
            <v>KAMTCHUIN NINKAM Hypolite</v>
          </cell>
          <cell r="C136" t="str">
            <v>PROFESSIONS LIBERALES</v>
          </cell>
        </row>
        <row r="137">
          <cell r="B137" t="str">
            <v>KAMWA ETIENNE</v>
          </cell>
          <cell r="C137" t="str">
            <v>PROFESSIONS LIBERALES</v>
          </cell>
        </row>
        <row r="138">
          <cell r="B138" t="str">
            <v>KEMCHOUNG JOUMESSI GEORGES</v>
          </cell>
          <cell r="C138" t="str">
            <v>quincaillerie</v>
          </cell>
        </row>
        <row r="139">
          <cell r="B139" t="str">
            <v>KENFACK</v>
          </cell>
          <cell r="C139" t="str">
            <v>AUTRES SERVICES</v>
          </cell>
        </row>
        <row r="140">
          <cell r="B140" t="str">
            <v>KENFACK Désire Bruno</v>
          </cell>
          <cell r="C140" t="str">
            <v>AUTRES SERVICES</v>
          </cell>
        </row>
        <row r="141">
          <cell r="B141" t="str">
            <v>KENGMENE THOMAS</v>
          </cell>
          <cell r="C141" t="str">
            <v>pharmacie</v>
          </cell>
        </row>
        <row r="142">
          <cell r="B142" t="str">
            <v>KITOU David</v>
          </cell>
          <cell r="C142" t="str">
            <v>AUTRES SERVICES</v>
          </cell>
        </row>
        <row r="143">
          <cell r="B143" t="str">
            <v>KITOU YEMON Gisele</v>
          </cell>
          <cell r="C143" t="str">
            <v>PROFESSIONS LIBERALES</v>
          </cell>
        </row>
        <row r="144">
          <cell r="B144" t="str">
            <v>KOUAM PAUL</v>
          </cell>
          <cell r="C144" t="str">
            <v>vente bh</v>
          </cell>
        </row>
        <row r="145">
          <cell r="B145" t="str">
            <v>KPOUMIE CHUCHAP AHMADOU</v>
          </cell>
          <cell r="C145" t="str">
            <v>AUTRES SERVICES</v>
          </cell>
        </row>
        <row r="146">
          <cell r="B146" t="str">
            <v>KUETE GUSTAVE</v>
          </cell>
          <cell r="C146" t="str">
            <v>vente bh</v>
          </cell>
        </row>
        <row r="147">
          <cell r="B147" t="str">
            <v>KUETE ROGE</v>
          </cell>
          <cell r="C147" t="str">
            <v>quincaillerie</v>
          </cell>
        </row>
        <row r="148">
          <cell r="B148" t="str">
            <v>LA LOGISTIQUE SARL</v>
          </cell>
          <cell r="C148" t="str">
            <v>FORESTERIE</v>
          </cell>
        </row>
        <row r="149">
          <cell r="B149" t="str">
            <v>LAKA THEOPHILE</v>
          </cell>
          <cell r="C149" t="str">
            <v>PROFESSIONS LIBERALES</v>
          </cell>
        </row>
        <row r="150">
          <cell r="B150" t="str">
            <v>LAMINOU</v>
          </cell>
          <cell r="C150" t="str">
            <v>autres CG</v>
          </cell>
        </row>
        <row r="151">
          <cell r="B151" t="str">
            <v>LEMBO</v>
          </cell>
          <cell r="C151" t="str">
            <v>AUTRES SERVICES</v>
          </cell>
        </row>
        <row r="152">
          <cell r="B152" t="str">
            <v>LEPKEU ETIENNE</v>
          </cell>
          <cell r="C152" t="str">
            <v>autres CG</v>
          </cell>
        </row>
        <row r="153">
          <cell r="B153" t="str">
            <v>MAHAMAT ABDOULAYE</v>
          </cell>
          <cell r="C153" t="str">
            <v>FORESTERIE</v>
          </cell>
        </row>
        <row r="154">
          <cell r="B154" t="str">
            <v>MALAGAL SIEWE CHARLES</v>
          </cell>
          <cell r="C154" t="str">
            <v>PROFESSIONS LIBERALES</v>
          </cell>
        </row>
        <row r="155">
          <cell r="B155" t="str">
            <v>MANA NGWOA Lucie</v>
          </cell>
          <cell r="C155" t="str">
            <v>PROFESSIONS LIBERALES</v>
          </cell>
        </row>
        <row r="156">
          <cell r="B156" t="str">
            <v>MANANG BAYIHA Jean Victor</v>
          </cell>
          <cell r="C156" t="str">
            <v>PROFESSIONS LIBERALES</v>
          </cell>
        </row>
        <row r="157">
          <cell r="B157" t="str">
            <v>MANFOUO</v>
          </cell>
          <cell r="C157" t="str">
            <v>autres CG</v>
          </cell>
        </row>
        <row r="158">
          <cell r="B158" t="str">
            <v>MANFOUO Jean</v>
          </cell>
          <cell r="C158" t="str">
            <v>PROFESSIONS LIBERALES</v>
          </cell>
        </row>
        <row r="159">
          <cell r="B159" t="str">
            <v>MANTSANA IGNACE BERTRAND</v>
          </cell>
          <cell r="C159" t="str">
            <v>AUTRES SERVICES</v>
          </cell>
        </row>
        <row r="160">
          <cell r="B160" t="str">
            <v>MARERO RIBERO JEAN</v>
          </cell>
          <cell r="C160" t="str">
            <v>AUTRES SERVICES</v>
          </cell>
        </row>
        <row r="161">
          <cell r="B161" t="str">
            <v>MBE</v>
          </cell>
          <cell r="C161" t="str">
            <v>autres CG</v>
          </cell>
        </row>
        <row r="162">
          <cell r="B162" t="str">
            <v>MBGENVOH YAYA HERMANIS ARMAND</v>
          </cell>
          <cell r="C162" t="str">
            <v>AUTRES SERVICES</v>
          </cell>
        </row>
        <row r="163">
          <cell r="B163" t="str">
            <v>MBOLATCHOUGOU AKA</v>
          </cell>
          <cell r="C163" t="str">
            <v>PROFESSIONS LIBERALES</v>
          </cell>
        </row>
        <row r="164">
          <cell r="B164" t="str">
            <v>MBOULANA Philibert</v>
          </cell>
          <cell r="C164" t="str">
            <v>PROFESSIONS LIBERALES</v>
          </cell>
        </row>
        <row r="165">
          <cell r="B165" t="str">
            <v>MBUA</v>
          </cell>
          <cell r="C165" t="str">
            <v>autres CG</v>
          </cell>
        </row>
        <row r="166">
          <cell r="B166" t="str">
            <v>Me KONTCHUE C. JEAN</v>
          </cell>
          <cell r="C166" t="str">
            <v>PROFESSIONS LIBERALES</v>
          </cell>
        </row>
        <row r="167">
          <cell r="B167" t="str">
            <v>Me SONG Etienne Macaire</v>
          </cell>
          <cell r="C167" t="str">
            <v>PROFESSIONS LIBERALES</v>
          </cell>
        </row>
        <row r="168">
          <cell r="B168" t="str">
            <v>MEDJO Vincent de Paul</v>
          </cell>
          <cell r="C168" t="str">
            <v>PROFESSIONS LIBERALES</v>
          </cell>
        </row>
        <row r="169">
          <cell r="B169" t="str">
            <v>MEDZI</v>
          </cell>
          <cell r="C169" t="str">
            <v>AUTRES SERVICES</v>
          </cell>
        </row>
        <row r="170">
          <cell r="B170" t="str">
            <v>MEKE SEBE</v>
          </cell>
          <cell r="C170" t="str">
            <v>PROFESSIONS LIBERALES</v>
          </cell>
        </row>
        <row r="171">
          <cell r="B171" t="str">
            <v>MELINGUI PAUL MARIE</v>
          </cell>
          <cell r="C171" t="str">
            <v>PROFESSIONS LIBERALES</v>
          </cell>
        </row>
        <row r="172">
          <cell r="B172" t="str">
            <v>METSENI BEKOLO</v>
          </cell>
          <cell r="C172" t="str">
            <v>AUTRES SERVICES</v>
          </cell>
        </row>
        <row r="173">
          <cell r="B173" t="str">
            <v>MEVOUNGLA MARCEL GASTON</v>
          </cell>
          <cell r="C173" t="str">
            <v>STATION DE SERVICES</v>
          </cell>
        </row>
        <row r="174">
          <cell r="B174" t="str">
            <v>MFATCHEU EPOUSE TCHAPNGA</v>
          </cell>
          <cell r="C174" t="str">
            <v>pharmacie</v>
          </cell>
        </row>
        <row r="175">
          <cell r="B175" t="str">
            <v>MODO NICOLAS</v>
          </cell>
          <cell r="C175" t="str">
            <v>PROFESSIONS LIBERALES</v>
          </cell>
        </row>
        <row r="176">
          <cell r="B176" t="str">
            <v>MOFFO TCHOFFO OLIVIER</v>
          </cell>
          <cell r="C176" t="str">
            <v>PROFESSIONS LIBERALES</v>
          </cell>
        </row>
        <row r="177">
          <cell r="B177" t="str">
            <v>MOHAMADOU NOUROUDINI</v>
          </cell>
          <cell r="C177" t="str">
            <v>AUTRES SERVICES</v>
          </cell>
        </row>
        <row r="178">
          <cell r="B178" t="str">
            <v>MOHAMADOU YAYA</v>
          </cell>
          <cell r="C178" t="str">
            <v>AUTRES SERVICES</v>
          </cell>
        </row>
        <row r="179">
          <cell r="B179" t="str">
            <v>MOHAMAN BELLO</v>
          </cell>
          <cell r="C179" t="str">
            <v>alimentation</v>
          </cell>
        </row>
        <row r="180">
          <cell r="B180" t="str">
            <v>MOHAMMADOU</v>
          </cell>
          <cell r="C180" t="str">
            <v>autres CG</v>
          </cell>
        </row>
        <row r="181">
          <cell r="B181" t="str">
            <v>MOMO EPSE DOUNTIO MODESTINE</v>
          </cell>
          <cell r="C181" t="str">
            <v>vente bh</v>
          </cell>
        </row>
        <row r="182">
          <cell r="B182" t="str">
            <v>MONGBET OUSSENI</v>
          </cell>
          <cell r="C182" t="str">
            <v>AUTRES SERVICES</v>
          </cell>
        </row>
        <row r="183">
          <cell r="B183" t="str">
            <v>MOUAFO TSASSE Alain Bertrand</v>
          </cell>
          <cell r="C183" t="str">
            <v>STATION DE SERVICES</v>
          </cell>
        </row>
        <row r="184">
          <cell r="B184" t="str">
            <v>MOUCHILI SALIFOU</v>
          </cell>
          <cell r="C184" t="str">
            <v>TRANSPORT</v>
          </cell>
        </row>
        <row r="185">
          <cell r="B185" t="str">
            <v>MOUSAGUINYO</v>
          </cell>
          <cell r="C185" t="str">
            <v>autres CG</v>
          </cell>
        </row>
        <row r="186">
          <cell r="B186" t="str">
            <v>MOUSSA</v>
          </cell>
          <cell r="C186" t="str">
            <v>AUTRES SERVICES</v>
          </cell>
        </row>
        <row r="187">
          <cell r="B187" t="str">
            <v>MOYENGUE BENJAMIN</v>
          </cell>
          <cell r="C187" t="str">
            <v>autres CG</v>
          </cell>
        </row>
        <row r="188">
          <cell r="B188" t="str">
            <v>MULTI SERVICES PLUS</v>
          </cell>
          <cell r="C188" t="str">
            <v>FORESTERIE</v>
          </cell>
        </row>
        <row r="189">
          <cell r="B189" t="str">
            <v>MUTUELLE COMMUNAUT.DE CROISSANCE DE BERTOUA</v>
          </cell>
          <cell r="C189" t="str">
            <v>MICROFINANCE</v>
          </cell>
        </row>
        <row r="190">
          <cell r="B190" t="str">
            <v>MUTUELLE COMMUNAUTAIRE DE CROISSANCE ABONG MBANG</v>
          </cell>
          <cell r="C190" t="str">
            <v>MICROFINANCE</v>
          </cell>
        </row>
        <row r="191">
          <cell r="B191" t="str">
            <v>MUTUELLE COMMUNAUTAIRE DE CROISSANCE BATOURI</v>
          </cell>
          <cell r="C191" t="str">
            <v>MICROFINANCE</v>
          </cell>
        </row>
        <row r="192">
          <cell r="B192" t="str">
            <v>Mutuelle communautaire de croissance BELABO</v>
          </cell>
          <cell r="C192" t="str">
            <v>MICROFINANCE</v>
          </cell>
        </row>
        <row r="193">
          <cell r="B193" t="str">
            <v>Mutuelle communautaire de croissance Mbang</v>
          </cell>
          <cell r="C193" t="str">
            <v>MICROFINANCE</v>
          </cell>
        </row>
        <row r="194">
          <cell r="B194" t="str">
            <v>MVONGO NDE PHILIBERT</v>
          </cell>
          <cell r="C194" t="str">
            <v>FORESTERIE</v>
          </cell>
        </row>
        <row r="195">
          <cell r="B195" t="str">
            <v>NAOUSSI LUCIEN CLAUDE</v>
          </cell>
          <cell r="C195" t="str">
            <v>PROFESSIONS LIBERALES</v>
          </cell>
        </row>
        <row r="196">
          <cell r="B196" t="str">
            <v>NDEBI NKOTH LUC</v>
          </cell>
          <cell r="C196" t="str">
            <v>AUTRES SERVICES</v>
          </cell>
        </row>
        <row r="197">
          <cell r="B197" t="str">
            <v>NDEMBOYE EPSE TOUKAM Mireille</v>
          </cell>
          <cell r="C197" t="str">
            <v>BTP</v>
          </cell>
        </row>
        <row r="198">
          <cell r="B198" t="str">
            <v>NDIFAI</v>
          </cell>
          <cell r="C198" t="str">
            <v>autres CG</v>
          </cell>
        </row>
        <row r="199">
          <cell r="B199" t="str">
            <v>NDJANDJA CHIAGE</v>
          </cell>
          <cell r="C199" t="str">
            <v>INDUSTRIE DE PRODUCTION</v>
          </cell>
        </row>
        <row r="200">
          <cell r="B200" t="str">
            <v>NDJIKE FIDELE</v>
          </cell>
          <cell r="C200" t="str">
            <v>pharmacie</v>
          </cell>
        </row>
        <row r="201">
          <cell r="B201" t="str">
            <v>NDOUNTSA Adelaîde</v>
          </cell>
          <cell r="C201" t="str">
            <v>vente bh</v>
          </cell>
        </row>
        <row r="202">
          <cell r="B202" t="str">
            <v>NDUTU ESSOME</v>
          </cell>
          <cell r="C202" t="str">
            <v>STATION DE SERVICES</v>
          </cell>
        </row>
        <row r="203">
          <cell r="B203" t="str">
            <v>NDZANA ANGONI FAUSTIN LIBOIRE ERIC</v>
          </cell>
          <cell r="C203" t="str">
            <v>STATION DE SERVICES</v>
          </cell>
        </row>
        <row r="204">
          <cell r="B204" t="str">
            <v>NEGOUE KUETA ACHILLE</v>
          </cell>
          <cell r="C204" t="str">
            <v>PROFESSIONS LIBERALES</v>
          </cell>
        </row>
        <row r="205">
          <cell r="B205" t="str">
            <v>NGA GERVAIS</v>
          </cell>
          <cell r="C205" t="str">
            <v>PROFESSIONS LIBERALES</v>
          </cell>
        </row>
        <row r="206">
          <cell r="B206" t="str">
            <v>NGABA ONDOUA LUC PATRICK</v>
          </cell>
          <cell r="C206" t="str">
            <v>PROFESSIONS LIBERALES</v>
          </cell>
        </row>
        <row r="207">
          <cell r="B207" t="str">
            <v>NGNINGAHA AUGUSTIN</v>
          </cell>
          <cell r="C207" t="str">
            <v>pharmacie</v>
          </cell>
        </row>
        <row r="208">
          <cell r="B208" t="str">
            <v>NGO DIYANI EPSE TAWET JULIENNE</v>
          </cell>
          <cell r="C208" t="str">
            <v>PROFESSIONS LIBERALES</v>
          </cell>
        </row>
        <row r="209">
          <cell r="B209" t="str">
            <v>NGOH NKEM</v>
          </cell>
          <cell r="C209" t="str">
            <v>AUTRES SERVICES</v>
          </cell>
        </row>
        <row r="210">
          <cell r="B210" t="str">
            <v>NGOUFO FOSSO</v>
          </cell>
          <cell r="C210" t="str">
            <v>autres CG</v>
          </cell>
        </row>
        <row r="211">
          <cell r="B211" t="str">
            <v>NGOUGHOUE DAVID ERNEST</v>
          </cell>
          <cell r="C211" t="str">
            <v>AUTRES SERVICES</v>
          </cell>
        </row>
        <row r="212">
          <cell r="B212" t="str">
            <v>NGUEBEDIANG ABIDIAS Epse ANGO</v>
          </cell>
          <cell r="C212" t="str">
            <v>PROFESSIONS LIBERALES</v>
          </cell>
        </row>
        <row r="213">
          <cell r="B213" t="str">
            <v>NGUEFACK</v>
          </cell>
          <cell r="C213" t="str">
            <v>HERBERGEMENT</v>
          </cell>
        </row>
        <row r="214">
          <cell r="B214" t="str">
            <v>NGUEFACK PEUWO YVAN LEONEL</v>
          </cell>
          <cell r="C214" t="str">
            <v>pharmacie</v>
          </cell>
        </row>
        <row r="215">
          <cell r="B215" t="str">
            <v>NGUEGANG FOUELLEFACK DARIUS GUY LANDRY</v>
          </cell>
          <cell r="C215" t="str">
            <v>PROFESSIONS LIBERALES</v>
          </cell>
        </row>
        <row r="216">
          <cell r="B216" t="str">
            <v>NGUELE MEKE ROGER</v>
          </cell>
          <cell r="C216" t="str">
            <v>pharmacie</v>
          </cell>
        </row>
        <row r="217">
          <cell r="B217" t="str">
            <v>NGUEPIE SIMON PIERRE</v>
          </cell>
          <cell r="C217" t="str">
            <v>PROFESSIONS LIBERALES</v>
          </cell>
        </row>
        <row r="218">
          <cell r="B218" t="str">
            <v>NGUIADEU épse FOTSING MARIE</v>
          </cell>
          <cell r="C218" t="str">
            <v>vente bh</v>
          </cell>
        </row>
        <row r="219">
          <cell r="B219" t="str">
            <v>NGUIMO</v>
          </cell>
          <cell r="C219" t="str">
            <v>INDUSTRIE DE PRODUCTION</v>
          </cell>
        </row>
        <row r="220">
          <cell r="B220" t="str">
            <v>NGWA WALTER NEBA</v>
          </cell>
          <cell r="C220" t="str">
            <v>FORESTERIE</v>
          </cell>
        </row>
        <row r="221">
          <cell r="B221" t="str">
            <v>NJIKE Honore</v>
          </cell>
          <cell r="C221" t="str">
            <v>AUTRES SERVICES</v>
          </cell>
        </row>
        <row r="222">
          <cell r="B222" t="str">
            <v>NJIKI Claude Martin</v>
          </cell>
          <cell r="C222" t="str">
            <v>PROFESSIONS LIBERALES</v>
          </cell>
        </row>
        <row r="223">
          <cell r="B223" t="str">
            <v>NJOH SEPPO</v>
          </cell>
          <cell r="C223" t="str">
            <v>STATION DE SERVICES</v>
          </cell>
        </row>
        <row r="224">
          <cell r="B224" t="str">
            <v>NJOME ETAME HANS</v>
          </cell>
          <cell r="C224" t="str">
            <v>STATION DE SERVICES</v>
          </cell>
        </row>
        <row r="225">
          <cell r="B225" t="str">
            <v>NONO THOMAS</v>
          </cell>
          <cell r="C225" t="str">
            <v>STATION DE SERVICES</v>
          </cell>
        </row>
        <row r="226">
          <cell r="B226" t="str">
            <v>NOUMBO GERMAIN</v>
          </cell>
          <cell r="C226" t="str">
            <v>HERBERGEMENT</v>
          </cell>
        </row>
        <row r="227">
          <cell r="B227" t="str">
            <v>NOUPAYOU ROGER</v>
          </cell>
          <cell r="C227" t="str">
            <v>AUTRES SERVICES</v>
          </cell>
        </row>
        <row r="228">
          <cell r="B228" t="str">
            <v>NSF CAMEROUN SARL</v>
          </cell>
          <cell r="C228" t="str">
            <v>AUTRES SERVICES</v>
          </cell>
        </row>
        <row r="229">
          <cell r="B229" t="str">
            <v>NTOU Rolland Didier</v>
          </cell>
          <cell r="C229" t="str">
            <v>PROFESSIONS LIBERALES</v>
          </cell>
        </row>
        <row r="230">
          <cell r="B230" t="str">
            <v>NYOUNGOU TOKO JACQUES</v>
          </cell>
          <cell r="C230" t="str">
            <v>STATION DE SERVICES</v>
          </cell>
        </row>
        <row r="231">
          <cell r="B231" t="str">
            <v>OMA MANDONG JEAN</v>
          </cell>
          <cell r="C231" t="str">
            <v>AUTRES SERVICES</v>
          </cell>
        </row>
        <row r="232">
          <cell r="B232" t="str">
            <v>ONANA ONANA Leandres</v>
          </cell>
          <cell r="C232" t="str">
            <v>PROFESSIONS LIBERALES</v>
          </cell>
        </row>
        <row r="233">
          <cell r="B233" t="str">
            <v>OUMAROU SANDA</v>
          </cell>
          <cell r="C233" t="str">
            <v>MINE</v>
          </cell>
        </row>
        <row r="234">
          <cell r="B234" t="str">
            <v>OUMAROU SANDA/ETS OUMRA</v>
          </cell>
          <cell r="C234" t="str">
            <v>alimentation</v>
          </cell>
        </row>
        <row r="235">
          <cell r="B235" t="str">
            <v>OUSMANOU</v>
          </cell>
          <cell r="C235" t="str">
            <v>MINE</v>
          </cell>
        </row>
        <row r="236">
          <cell r="B236" t="str">
            <v>OUSMANOU HASSANA</v>
          </cell>
          <cell r="C236" t="str">
            <v>NTIC</v>
          </cell>
        </row>
        <row r="237">
          <cell r="B237" t="str">
            <v>PAIN D'OR SARL</v>
          </cell>
          <cell r="C237" t="str">
            <v>BOULANGERIE</v>
          </cell>
        </row>
        <row r="238">
          <cell r="B238" t="str">
            <v>PENKO PENKO Ebenezer Alain</v>
          </cell>
          <cell r="C238" t="str">
            <v>AUTRES SERVICES</v>
          </cell>
        </row>
        <row r="239">
          <cell r="B239" t="str">
            <v>PETNGA NJABO EPSE FONING MARCELLE EDMONDE</v>
          </cell>
          <cell r="C239" t="str">
            <v>ASSURANCE</v>
          </cell>
        </row>
        <row r="240">
          <cell r="B240" t="str">
            <v>PIANTA JEAN CLAUDE</v>
          </cell>
          <cell r="C240" t="str">
            <v>quincaillerie</v>
          </cell>
        </row>
        <row r="241">
          <cell r="B241" t="str">
            <v>POLA DOMGUE Emmanuel</v>
          </cell>
          <cell r="C241" t="str">
            <v>pharmacie</v>
          </cell>
        </row>
        <row r="242">
          <cell r="B242" t="str">
            <v>PONKA TAMO Theophile</v>
          </cell>
          <cell r="C242" t="str">
            <v>PROFESSIONS LIBERALES</v>
          </cell>
        </row>
        <row r="243">
          <cell r="B243" t="str">
            <v>POUTH VALERIE</v>
          </cell>
          <cell r="C243" t="str">
            <v>PROFESSIONS LIBERALES</v>
          </cell>
        </row>
        <row r="244">
          <cell r="B244" t="str">
            <v>RADIO AURORE</v>
          </cell>
          <cell r="C244" t="str">
            <v>NTIC</v>
          </cell>
        </row>
        <row r="245">
          <cell r="B245" t="str">
            <v>SALE</v>
          </cell>
          <cell r="C245" t="str">
            <v>MINE</v>
          </cell>
        </row>
        <row r="246">
          <cell r="B246" t="str">
            <v>SEPPO SEPPO HUGO</v>
          </cell>
          <cell r="C246" t="str">
            <v>STATION DE SERVICES</v>
          </cell>
        </row>
        <row r="247">
          <cell r="B247" t="str">
            <v>SIBEFFO TAGNE EMILE</v>
          </cell>
          <cell r="C247" t="str">
            <v>pharmacie</v>
          </cell>
        </row>
        <row r="248">
          <cell r="B248" t="str">
            <v>SOC CAM DE TRANSF DE BOIS</v>
          </cell>
          <cell r="C248" t="str">
            <v>INDUSTRIE DE PRODUCTION</v>
          </cell>
        </row>
        <row r="249">
          <cell r="B249" t="str">
            <v>SOCIETE AGROFORESTIERE DE L'EST</v>
          </cell>
          <cell r="C249" t="str">
            <v>FORESTERIE</v>
          </cell>
        </row>
        <row r="250">
          <cell r="B250" t="str">
            <v>SOCIETE ARMOR SARL</v>
          </cell>
          <cell r="C250" t="str">
            <v>autres CG</v>
          </cell>
        </row>
        <row r="251">
          <cell r="B251" t="str">
            <v>SOCIETE BELOKO MINING SARL</v>
          </cell>
          <cell r="C251" t="str">
            <v>MINE</v>
          </cell>
        </row>
        <row r="252">
          <cell r="B252" t="str">
            <v>SOCIETE BEN BENJO SARL</v>
          </cell>
          <cell r="C252" t="str">
            <v>vente bh</v>
          </cell>
        </row>
        <row r="253">
          <cell r="B253" t="str">
            <v>SOCIETE CAMEROUNAISE DE TRANSPORT ET FORESTERIE SARL</v>
          </cell>
          <cell r="C253" t="str">
            <v>FORESTERIE</v>
          </cell>
        </row>
        <row r="254">
          <cell r="B254" t="str">
            <v>SOCIETE CAMEROUNAISE DES BOIS DEBITES SARL</v>
          </cell>
          <cell r="C254" t="str">
            <v>FORESTERIE</v>
          </cell>
        </row>
        <row r="255">
          <cell r="B255" t="str">
            <v>SOCIETE COOP SIMPL DES TRANSP INTER-URBAIN DU CAMEROUN</v>
          </cell>
          <cell r="C255" t="str">
            <v>TRANSPORT</v>
          </cell>
        </row>
        <row r="256">
          <cell r="B256" t="str">
            <v>SOCIETE DE COMMERCIALISATION DES PRODUITS ALIMENTAIRES ET DE TRANS PORT</v>
          </cell>
          <cell r="C256" t="str">
            <v>alimentation</v>
          </cell>
        </row>
        <row r="257">
          <cell r="B257" t="str">
            <v>SOCIETE DE REPRESENTATION ET DE DISTRIBUTION</v>
          </cell>
          <cell r="C257" t="str">
            <v>vente bh</v>
          </cell>
        </row>
        <row r="258">
          <cell r="B258" t="str">
            <v>SOCIETE ETOILE CAMEROUN SARL</v>
          </cell>
          <cell r="C258" t="str">
            <v>autres CG</v>
          </cell>
        </row>
        <row r="259">
          <cell r="B259" t="str">
            <v>SOCIETE GLOBAL MINING SARL</v>
          </cell>
          <cell r="C259" t="str">
            <v>MINE</v>
          </cell>
        </row>
        <row r="260">
          <cell r="B260" t="str">
            <v>SOCIETE IBRAHIM COMPANY SARL</v>
          </cell>
          <cell r="C260" t="str">
            <v>NTIC</v>
          </cell>
        </row>
        <row r="261">
          <cell r="B261" t="str">
            <v>SOCIETE INDUSTRIELLE ET FORESTIERE D'ORIENT CAMEROUN</v>
          </cell>
          <cell r="C261" t="str">
            <v>FORESTERIE</v>
          </cell>
        </row>
        <row r="262">
          <cell r="B262" t="str">
            <v>SOCIETE INTERNATIONALE MINIERE SARL</v>
          </cell>
          <cell r="C262" t="str">
            <v>MINE</v>
          </cell>
        </row>
        <row r="263">
          <cell r="B263" t="str">
            <v>SOCIETE KAGOM ET FILS SARL</v>
          </cell>
          <cell r="C263" t="str">
            <v>autres CG</v>
          </cell>
        </row>
        <row r="264">
          <cell r="B264" t="str">
            <v>SOCIETE KYH DISTRIBUTION SARL</v>
          </cell>
          <cell r="C264" t="str">
            <v>vente bh</v>
          </cell>
        </row>
        <row r="265">
          <cell r="B265" t="str">
            <v>SOCIETE LES BOIS DE DJOUM SARL</v>
          </cell>
          <cell r="C265" t="str">
            <v>FORESTERIE</v>
          </cell>
        </row>
        <row r="266">
          <cell r="B266" t="str">
            <v>SOCIETE MING CHENG TRADE CO.LTD SARL</v>
          </cell>
          <cell r="C266" t="str">
            <v>MINE</v>
          </cell>
        </row>
        <row r="267">
          <cell r="B267" t="str">
            <v>SOCIETE NADA CONSTRUCTIONSARL</v>
          </cell>
          <cell r="C267" t="str">
            <v>AUTRES SERVICES</v>
          </cell>
        </row>
        <row r="268">
          <cell r="B268" t="str">
            <v>SOCIETE NYIMI ET FILS SARL</v>
          </cell>
          <cell r="C268" t="str">
            <v>FORESTERIE</v>
          </cell>
        </row>
        <row r="269">
          <cell r="B269" t="str">
            <v>SOCIETE NZALI SARL</v>
          </cell>
          <cell r="C269" t="str">
            <v>vente bh</v>
          </cell>
        </row>
        <row r="270">
          <cell r="B270" t="str">
            <v>SOCIETE O.M.C. SARL</v>
          </cell>
          <cell r="C270" t="str">
            <v>autres CG</v>
          </cell>
        </row>
        <row r="271">
          <cell r="B271" t="str">
            <v>SOCIETE OVERLINE TRANSPORT &amp; LOGISTICS SARL</v>
          </cell>
          <cell r="C271" t="str">
            <v>TRANSPORT</v>
          </cell>
        </row>
        <row r="272">
          <cell r="B272" t="str">
            <v>SOCIETE PHOENICIA SARL</v>
          </cell>
          <cell r="C272" t="str">
            <v>BOULANGERIE</v>
          </cell>
        </row>
        <row r="273">
          <cell r="B273" t="str">
            <v>SOCIETE PHOENIX CAMP CAM (PC)SARL</v>
          </cell>
          <cell r="C273" t="str">
            <v>MINE</v>
          </cell>
        </row>
        <row r="274">
          <cell r="B274" t="str">
            <v>SOCIETE WARRIORS SARL</v>
          </cell>
          <cell r="C274" t="str">
            <v>autres CG</v>
          </cell>
        </row>
        <row r="275">
          <cell r="B275" t="str">
            <v>SOCIETE YEFOUO MARTIN SARL</v>
          </cell>
          <cell r="C275" t="str">
            <v>BOULANGERIE</v>
          </cell>
        </row>
        <row r="276">
          <cell r="B276" t="str">
            <v>SONKENG TANEKEU</v>
          </cell>
          <cell r="C276" t="str">
            <v>pharmacie</v>
          </cell>
        </row>
        <row r="277">
          <cell r="B277" t="str">
            <v>SONPIE KENE</v>
          </cell>
          <cell r="C277" t="str">
            <v>vente bh</v>
          </cell>
        </row>
        <row r="278">
          <cell r="B278" t="str">
            <v>SOULEMANOU OUMAROU</v>
          </cell>
          <cell r="C278" t="str">
            <v>MINE</v>
          </cell>
        </row>
        <row r="279">
          <cell r="B279" t="str">
            <v>SOUTHLAND MINING CAMEROON</v>
          </cell>
          <cell r="C279" t="str">
            <v>MINE</v>
          </cell>
        </row>
        <row r="280">
          <cell r="B280" t="str">
            <v>SPIDER DISTRIBUTION SARL</v>
          </cell>
          <cell r="C280" t="str">
            <v>vente bh</v>
          </cell>
        </row>
        <row r="281">
          <cell r="B281" t="str">
            <v>STE AFAN BE TAMO MINING SARL</v>
          </cell>
          <cell r="C281" t="str">
            <v>MINE</v>
          </cell>
        </row>
        <row r="282">
          <cell r="B282" t="str">
            <v>STE AFRI-BEST TRADE AND DISTRIBUTION CORP</v>
          </cell>
          <cell r="C282" t="str">
            <v>autres CG</v>
          </cell>
        </row>
        <row r="283">
          <cell r="B283" t="str">
            <v>STE AFRICAINE DE NEGOCE SARL</v>
          </cell>
          <cell r="C283" t="str">
            <v>alimentation</v>
          </cell>
        </row>
        <row r="284">
          <cell r="B284" t="str">
            <v>STE ALIKENK SARL</v>
          </cell>
          <cell r="C284" t="str">
            <v>AUTRES SERVICES</v>
          </cell>
        </row>
        <row r="285">
          <cell r="B285" t="str">
            <v>STE BE NAM MULTISERVICES SARL</v>
          </cell>
          <cell r="C285" t="str">
            <v>FORESTERIE</v>
          </cell>
        </row>
        <row r="286">
          <cell r="B286" t="str">
            <v>STE BILOUNGA MINING COORPORATION SARL</v>
          </cell>
          <cell r="C286" t="str">
            <v>MINE</v>
          </cell>
        </row>
        <row r="287">
          <cell r="B287" t="str">
            <v>STE BRASS DISTRIBUTION SARL</v>
          </cell>
          <cell r="C287" t="str">
            <v>vente bh</v>
          </cell>
        </row>
        <row r="288">
          <cell r="B288" t="str">
            <v>STE CAMEROON TRANSFORMATION WOOD Sarl</v>
          </cell>
          <cell r="C288" t="str">
            <v>FORESTERIE</v>
          </cell>
        </row>
        <row r="289">
          <cell r="B289" t="str">
            <v>STE CARRIERE ORIENT DE BERTOUA SARL</v>
          </cell>
          <cell r="C289" t="str">
            <v>MINE</v>
          </cell>
        </row>
        <row r="290">
          <cell r="B290" t="str">
            <v>STE COMPLEXE INDUSTRIEL ET COMMERCIAL</v>
          </cell>
          <cell r="C290" t="str">
            <v>alimentation</v>
          </cell>
        </row>
        <row r="291">
          <cell r="B291" t="str">
            <v>STE CONCORDIA SARL</v>
          </cell>
          <cell r="C291" t="str">
            <v>vente bh</v>
          </cell>
        </row>
        <row r="292">
          <cell r="B292" t="str">
            <v>STE DABABA REALISAT. BAT ET TRAV PUB</v>
          </cell>
          <cell r="C292" t="str">
            <v>AUTRES SERVICES</v>
          </cell>
        </row>
        <row r="293">
          <cell r="B293" t="str">
            <v>STE DE COMMERCE GENERAL POSHO  LUCIEN</v>
          </cell>
          <cell r="C293" t="str">
            <v>vente bh</v>
          </cell>
        </row>
        <row r="294">
          <cell r="B294" t="str">
            <v>STE DE TRANSFORMATION INDUSTRIELLE DU CAMEROUN</v>
          </cell>
          <cell r="C294" t="str">
            <v>INDUSTRIE DE PRODUCTION</v>
          </cell>
        </row>
        <row r="295">
          <cell r="B295" t="str">
            <v>STE DE TRANSPORT HAMIDOU BOBBO</v>
          </cell>
          <cell r="C295" t="str">
            <v>TRANSPORT</v>
          </cell>
        </row>
        <row r="296">
          <cell r="B296" t="str">
            <v>STE DES ETS FONOMA</v>
          </cell>
          <cell r="C296" t="str">
            <v>FORESTERIE</v>
          </cell>
        </row>
        <row r="297">
          <cell r="B297" t="str">
            <v>STE D'EXPLOIT DES PROD DES CARRIERE</v>
          </cell>
          <cell r="C297" t="str">
            <v>MINE</v>
          </cell>
        </row>
        <row r="298">
          <cell r="B298" t="str">
            <v>STE DISTRIBUTION PRODUITS ALIMENTAIRES DU CAMEROUN</v>
          </cell>
          <cell r="C298" t="str">
            <v>alimentation</v>
          </cell>
        </row>
        <row r="299">
          <cell r="B299" t="str">
            <v>STE ELY-MAN SARL</v>
          </cell>
          <cell r="C299" t="str">
            <v>vente bh</v>
          </cell>
        </row>
        <row r="300">
          <cell r="B300" t="str">
            <v>STE FOREST INDUST AGRIC DE MBETHEN</v>
          </cell>
          <cell r="C300" t="str">
            <v>FORESTERIE</v>
          </cell>
        </row>
        <row r="301">
          <cell r="B301" t="str">
            <v>STE FORESTIERE ET DE REALISATION DU DJA SARL</v>
          </cell>
          <cell r="C301" t="str">
            <v>FORESTERIE</v>
          </cell>
        </row>
        <row r="302">
          <cell r="B302" t="str">
            <v>STE FRIENDS MINING CONSULTING SARL</v>
          </cell>
          <cell r="C302" t="str">
            <v>MINE</v>
          </cell>
        </row>
        <row r="303">
          <cell r="B303" t="str">
            <v>STE GENERALE FORESTIERE ET COMMERCE SARL</v>
          </cell>
          <cell r="C303" t="str">
            <v>FORESTERIE</v>
          </cell>
        </row>
        <row r="304">
          <cell r="B304" t="str">
            <v>STE GLOBAL TRADE COMPANY Sarl</v>
          </cell>
          <cell r="C304" t="str">
            <v>alimentation</v>
          </cell>
        </row>
        <row r="305">
          <cell r="B305" t="str">
            <v>STE JEHOVAH JIREH</v>
          </cell>
          <cell r="C305" t="str">
            <v>AUTRES SERVICES</v>
          </cell>
        </row>
        <row r="306">
          <cell r="B306" t="str">
            <v>STE JOSEPHINE GILBERT MARGUERITE</v>
          </cell>
          <cell r="C306" t="str">
            <v>AUTRES SERVICES</v>
          </cell>
        </row>
        <row r="307">
          <cell r="B307" t="str">
            <v>STE MAXCOM SARL</v>
          </cell>
          <cell r="C307" t="str">
            <v>NTIC</v>
          </cell>
        </row>
        <row r="308">
          <cell r="B308" t="str">
            <v>STE MOLO ET FRERE DISTRIBUTION SARL</v>
          </cell>
          <cell r="C308" t="str">
            <v>vente bh</v>
          </cell>
        </row>
        <row r="309">
          <cell r="B309" t="str">
            <v>STE NDZ DISTRIBUTION SARL</v>
          </cell>
          <cell r="C309" t="str">
            <v>vente bh</v>
          </cell>
        </row>
        <row r="310">
          <cell r="B310" t="str">
            <v>STE RIPPER WOOD SARL</v>
          </cell>
          <cell r="C310" t="str">
            <v>FORESTERIE</v>
          </cell>
        </row>
        <row r="311">
          <cell r="B311" t="str">
            <v>STE SA'ADA DISTRIBUTION SARL</v>
          </cell>
          <cell r="C311" t="str">
            <v>vente bh</v>
          </cell>
        </row>
        <row r="312">
          <cell r="B312" t="str">
            <v>STE VICAM TRADING INTERNATIONAL SARL</v>
          </cell>
          <cell r="C312" t="str">
            <v>FORESTERIE</v>
          </cell>
        </row>
        <row r="313">
          <cell r="B313" t="str">
            <v>TADJIO TIOMELA EPSEE FOPA MARIE THERESE</v>
          </cell>
          <cell r="C313" t="str">
            <v>AUTRES SERVICES</v>
          </cell>
        </row>
        <row r="314">
          <cell r="B314" t="str">
            <v>TALA TAMTO Andre</v>
          </cell>
          <cell r="C314" t="str">
            <v>HERBERGEMENT</v>
          </cell>
        </row>
        <row r="315">
          <cell r="B315" t="str">
            <v>TALIPOUE MANJIDOU</v>
          </cell>
          <cell r="C315" t="str">
            <v>STATION DE SERVICES</v>
          </cell>
        </row>
        <row r="316">
          <cell r="B316" t="str">
            <v>TALLA</v>
          </cell>
          <cell r="C316" t="str">
            <v>autres CG</v>
          </cell>
        </row>
        <row r="317">
          <cell r="B317" t="str">
            <v>TCHADO</v>
          </cell>
          <cell r="C317" t="str">
            <v>BOULANGERIE</v>
          </cell>
        </row>
        <row r="318">
          <cell r="B318" t="str">
            <v>TCHAKOU SANDJO DORINE</v>
          </cell>
          <cell r="C318" t="str">
            <v>BTP</v>
          </cell>
        </row>
        <row r="319">
          <cell r="B319" t="str">
            <v>TCHAMBA Esther</v>
          </cell>
          <cell r="C319" t="str">
            <v>PROFESSIONS LIBERALES</v>
          </cell>
        </row>
        <row r="320">
          <cell r="B320" t="str">
            <v>TCHAPTCHIE BOCHOU</v>
          </cell>
          <cell r="C320" t="str">
            <v>AUTRES SERVICES</v>
          </cell>
        </row>
        <row r="321">
          <cell r="B321" t="str">
            <v>TCHATCHOUA NDJIKI ACHILLE BLAISE</v>
          </cell>
          <cell r="C321" t="str">
            <v>vente bh</v>
          </cell>
        </row>
        <row r="322">
          <cell r="B322" t="str">
            <v>TCHOFFO KAFO MENE</v>
          </cell>
          <cell r="C322" t="str">
            <v>pharmacie</v>
          </cell>
        </row>
        <row r="323">
          <cell r="B323" t="str">
            <v>TCHOUKA Samuel</v>
          </cell>
          <cell r="C323" t="str">
            <v>vente bh</v>
          </cell>
        </row>
        <row r="324">
          <cell r="B324" t="str">
            <v>TCHUYO JEAN ROSTIN</v>
          </cell>
          <cell r="C324" t="str">
            <v>autres CG</v>
          </cell>
        </row>
        <row r="325">
          <cell r="B325" t="str">
            <v>TENANTEU FRANCOIS</v>
          </cell>
          <cell r="C325" t="str">
            <v>AUTRES SERVICES</v>
          </cell>
        </row>
        <row r="326">
          <cell r="B326" t="str">
            <v>TENZONG LOUIS</v>
          </cell>
          <cell r="C326" t="str">
            <v>PROFESSIONS LIBERALES</v>
          </cell>
        </row>
        <row r="327">
          <cell r="B327" t="str">
            <v>TEZEM AUGUSTIN</v>
          </cell>
          <cell r="C327" t="str">
            <v>quincaillerie</v>
          </cell>
        </row>
        <row r="328">
          <cell r="B328" t="str">
            <v>TIZE</v>
          </cell>
          <cell r="C328" t="str">
            <v>AUTRES SERVICES</v>
          </cell>
        </row>
        <row r="329">
          <cell r="B329" t="str">
            <v>TSAGUE Albert</v>
          </cell>
          <cell r="C329" t="str">
            <v>AUTRES SERVICES</v>
          </cell>
        </row>
        <row r="330">
          <cell r="B330" t="str">
            <v>UNIVERSAL BUSINESS GROUP</v>
          </cell>
          <cell r="C330" t="str">
            <v>TRANSPORT</v>
          </cell>
        </row>
        <row r="331">
          <cell r="B331" t="str">
            <v>UNIVERSEL SARL</v>
          </cell>
          <cell r="C331" t="str">
            <v>vente bh</v>
          </cell>
        </row>
        <row r="332">
          <cell r="B332" t="str">
            <v>WACHE</v>
          </cell>
          <cell r="C332" t="str">
            <v>AUTRES SERVICES</v>
          </cell>
        </row>
        <row r="333">
          <cell r="B333" t="str">
            <v>WEMBE FODOP DUCLAIRE LESAGE</v>
          </cell>
          <cell r="C333" t="str">
            <v>vente bh</v>
          </cell>
        </row>
        <row r="334">
          <cell r="B334" t="str">
            <v>WOWE COLBERT</v>
          </cell>
          <cell r="C334" t="str">
            <v>PROFESSIONS LIBERALES</v>
          </cell>
        </row>
        <row r="335">
          <cell r="B335" t="str">
            <v>YAOUBA</v>
          </cell>
          <cell r="C335" t="str">
            <v>MINE</v>
          </cell>
        </row>
        <row r="336">
          <cell r="B336" t="str">
            <v>YAOUBA MOUHAMED</v>
          </cell>
          <cell r="C336" t="str">
            <v>MINE</v>
          </cell>
        </row>
        <row r="337">
          <cell r="B337" t="str">
            <v>YAYA</v>
          </cell>
          <cell r="C337" t="str">
            <v>AUTRES SERVICES</v>
          </cell>
        </row>
        <row r="338">
          <cell r="B338" t="str">
            <v>YAYA YEIYA</v>
          </cell>
          <cell r="C338" t="str">
            <v>MINE</v>
          </cell>
        </row>
        <row r="339">
          <cell r="B339" t="str">
            <v>YMELE ANDRE</v>
          </cell>
          <cell r="C339" t="str">
            <v>quincaillerie</v>
          </cell>
        </row>
        <row r="340">
          <cell r="B340" t="str">
            <v>YONTA JOSEPH</v>
          </cell>
          <cell r="C340" t="str">
            <v>quincaillerie</v>
          </cell>
        </row>
        <row r="341">
          <cell r="B341" t="str">
            <v>YOUBI SIMEON</v>
          </cell>
          <cell r="C341" t="str">
            <v>PROFESSIONS LIBERALES</v>
          </cell>
        </row>
        <row r="342">
          <cell r="B342" t="str">
            <v>YOUHANISSOU</v>
          </cell>
          <cell r="C342" t="str">
            <v>autres CG</v>
          </cell>
        </row>
        <row r="343">
          <cell r="B343" t="str">
            <v>ZANGUE MARTIN</v>
          </cell>
          <cell r="C343" t="str">
            <v>PROFESSIONS LIBERALES</v>
          </cell>
        </row>
        <row r="344">
          <cell r="B344" t="str">
            <v>ZEBAZE JEANNETTE</v>
          </cell>
          <cell r="C344" t="str">
            <v>autres CG</v>
          </cell>
        </row>
        <row r="345">
          <cell r="B345" t="str">
            <v>ZOBA</v>
          </cell>
          <cell r="C345" t="str">
            <v>AUTRES SERVICES</v>
          </cell>
        </row>
        <row r="346">
          <cell r="B346" t="str">
            <v>ZOUHOUR SARL</v>
          </cell>
          <cell r="C346" t="str">
            <v>MINE</v>
          </cell>
        </row>
        <row r="347">
          <cell r="B347" t="str">
            <v>SAIBOU ALIOU</v>
          </cell>
          <cell r="C347" t="str">
            <v>autres CG</v>
          </cell>
        </row>
        <row r="348">
          <cell r="B348" t="str">
            <v>IBRAHIM ISSA</v>
          </cell>
          <cell r="C348" t="str">
            <v>NTIC</v>
          </cell>
        </row>
        <row r="349">
          <cell r="B349" t="str">
            <v>SALI</v>
          </cell>
          <cell r="C349" t="str">
            <v>autres CG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euil1"/>
      <sheetName val="Feuil2"/>
      <sheetName val="Feuil3"/>
    </sheetNames>
    <sheetDataSet>
      <sheetData sheetId="0" refreshError="1">
        <row r="4">
          <cell r="C4" t="str">
            <v>SOYEMA SARL</v>
          </cell>
        </row>
        <row r="5">
          <cell r="C5" t="str">
            <v>MIE DOREE</v>
          </cell>
        </row>
        <row r="6">
          <cell r="C6" t="str">
            <v>PAIN D'OR</v>
          </cell>
        </row>
        <row r="7">
          <cell r="C7" t="str">
            <v>COMPAGNIE DES TABACS</v>
          </cell>
        </row>
        <row r="9">
          <cell r="C9" t="str">
            <v>STE GLOBAL TRADE</v>
          </cell>
        </row>
        <row r="11">
          <cell r="C11" t="str">
            <v>SOANEG</v>
          </cell>
        </row>
        <row r="12">
          <cell r="C12" t="str">
            <v>SPIDER DISTRIBUTION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ointage"/>
      <sheetName val="SUIVI JOURNALIER Avril"/>
      <sheetName val="vs Mars"/>
      <sheetName val="CONTROLES"/>
      <sheetName val="Avril"/>
      <sheetName val="R. AFFECTEES"/>
      <sheetName val="point sur les patentes"/>
      <sheetName val="labo"/>
      <sheetName val="tendances"/>
      <sheetName val="plan d actions"/>
      <sheetName val="Etats des virements"/>
      <sheetName val="Etats des virements2"/>
      <sheetName val="Evaluation"/>
    </sheetNames>
    <sheetDataSet>
      <sheetData sheetId="0"/>
      <sheetData sheetId="1"/>
      <sheetData sheetId="2"/>
      <sheetData sheetId="3"/>
      <sheetData sheetId="4">
        <row r="52">
          <cell r="N52">
            <v>3127890</v>
          </cell>
        </row>
        <row r="53">
          <cell r="N53">
            <v>17687899.09090909</v>
          </cell>
        </row>
        <row r="54">
          <cell r="N54">
            <v>44036589.090909086</v>
          </cell>
        </row>
        <row r="55">
          <cell r="N55">
            <v>89764645.772727266</v>
          </cell>
        </row>
        <row r="56">
          <cell r="N56">
            <v>18417518.27272727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89">
          <cell r="E89">
            <v>15000000</v>
          </cell>
          <cell r="F89">
            <v>18596235</v>
          </cell>
        </row>
        <row r="90">
          <cell r="E90">
            <v>35170000</v>
          </cell>
          <cell r="F90">
            <v>12243835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ointage"/>
      <sheetName val="SUIVI JOURNALIER Avril"/>
      <sheetName val="vs mars"/>
      <sheetName val="CONTROLES"/>
      <sheetName val="AVRIL"/>
      <sheetName val="R. AFFECTEES"/>
      <sheetName val="point sur les patentes"/>
      <sheetName val="labo"/>
      <sheetName val="tendances"/>
      <sheetName val="Plan d actions "/>
      <sheetName val="Etats des virements"/>
      <sheetName val="Etats des virements2"/>
      <sheetName val="Evaluation"/>
      <sheetName val="Feuil1"/>
      <sheetName val="reliquataires"/>
      <sheetName val="suivi des TA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9">
          <cell r="G19">
            <v>29686281</v>
          </cell>
        </row>
        <row r="20">
          <cell r="G20">
            <v>42434576</v>
          </cell>
        </row>
        <row r="21">
          <cell r="G21">
            <v>35536832</v>
          </cell>
        </row>
        <row r="22">
          <cell r="G22">
            <v>138628484</v>
          </cell>
        </row>
        <row r="23">
          <cell r="G23">
            <v>20746883</v>
          </cell>
        </row>
      </sheetData>
      <sheetData sheetId="9">
        <row r="212">
          <cell r="D212">
            <v>0</v>
          </cell>
        </row>
        <row r="213">
          <cell r="D213">
            <v>34250000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javascript:__doPostBack('ctl00$MainContent$TabContainer1$TabPanel1$DataGrid1$ctl07$ctl01','')" TargetMode="External"/><Relationship Id="rId13" Type="http://schemas.openxmlformats.org/officeDocument/2006/relationships/hyperlink" Target="javascript:__doPostBack('ctl00$MainContent$TabContainer1$TabPanel1$DataGrid1$ctl12$ctl01','')" TargetMode="External"/><Relationship Id="rId18" Type="http://schemas.openxmlformats.org/officeDocument/2006/relationships/printerSettings" Target="../printerSettings/printerSettings14.bin"/><Relationship Id="rId3" Type="http://schemas.openxmlformats.org/officeDocument/2006/relationships/hyperlink" Target="javascript:__doPostBack('ctl00$MainContent$TabContainer1$TabPanel1$DataGrid1$ctl02$ctl09','')" TargetMode="External"/><Relationship Id="rId7" Type="http://schemas.openxmlformats.org/officeDocument/2006/relationships/hyperlink" Target="javascript:__doPostBack('ctl00$MainContent$TabContainer1$TabPanel1$DataGrid1$ctl06$ctl01','')" TargetMode="External"/><Relationship Id="rId12" Type="http://schemas.openxmlformats.org/officeDocument/2006/relationships/hyperlink" Target="javascript:__doPostBack('ctl00$MainContent$TabContainer1$TabPanel1$DataGrid1$ctl11$ctl01','')" TargetMode="External"/><Relationship Id="rId17" Type="http://schemas.openxmlformats.org/officeDocument/2006/relationships/hyperlink" Target="javascript:__doPostBack('ctl00$MainContent$TabContainer1$TabPanel1$DataGrid1$ctl16$ctl01','')" TargetMode="External"/><Relationship Id="rId2" Type="http://schemas.openxmlformats.org/officeDocument/2006/relationships/hyperlink" Target="javascript:__doPostBack('ctl00$MainContent$TabContainer1$TabPanel1$DataGrid1$ctl02$ctl03','')" TargetMode="External"/><Relationship Id="rId16" Type="http://schemas.openxmlformats.org/officeDocument/2006/relationships/hyperlink" Target="javascript:__doPostBack('ctl00$MainContent$TabContainer1$TabPanel1$DataGrid1$ctl15$ctl01','')" TargetMode="External"/><Relationship Id="rId1" Type="http://schemas.openxmlformats.org/officeDocument/2006/relationships/hyperlink" Target="javascript:__doPostBack('ctl00$MainContent$TabContainer1$TabPanel1$DataGrid1$ctl02$ctl02','')" TargetMode="External"/><Relationship Id="rId6" Type="http://schemas.openxmlformats.org/officeDocument/2006/relationships/hyperlink" Target="javascript:__doPostBack('ctl00$MainContent$TabContainer1$TabPanel1$DataGrid1$ctl05$ctl01','')" TargetMode="External"/><Relationship Id="rId11" Type="http://schemas.openxmlformats.org/officeDocument/2006/relationships/hyperlink" Target="javascript:__doPostBack('ctl00$MainContent$TabContainer1$TabPanel1$DataGrid1$ctl10$ctl01','')" TargetMode="External"/><Relationship Id="rId5" Type="http://schemas.openxmlformats.org/officeDocument/2006/relationships/hyperlink" Target="javascript:__doPostBack('ctl00$MainContent$TabContainer1$TabPanel1$DataGrid1$ctl04$ctl01','')" TargetMode="External"/><Relationship Id="rId15" Type="http://schemas.openxmlformats.org/officeDocument/2006/relationships/hyperlink" Target="javascript:__doPostBack('ctl00$MainContent$TabContainer1$TabPanel1$DataGrid1$ctl14$ctl01','')" TargetMode="External"/><Relationship Id="rId10" Type="http://schemas.openxmlformats.org/officeDocument/2006/relationships/hyperlink" Target="javascript:__doPostBack('ctl00$MainContent$TabContainer1$TabPanel1$DataGrid1$ctl09$ctl01','')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javascript:__doPostBack('ctl00$MainContent$TabContainer1$TabPanel1$DataGrid1$ctl03$ctl01','')" TargetMode="External"/><Relationship Id="rId9" Type="http://schemas.openxmlformats.org/officeDocument/2006/relationships/hyperlink" Target="javascript:__doPostBack('ctl00$MainContent$TabContainer1$TabPanel1$DataGrid1$ctl08$ctl01','')" TargetMode="External"/><Relationship Id="rId14" Type="http://schemas.openxmlformats.org/officeDocument/2006/relationships/hyperlink" Target="javascript:__doPostBack('ctl00$MainContent$TabContainer1$TabPanel1$DataGrid1$ctl13$ctl01','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euil1"/>
  <dimension ref="A1:M697"/>
  <sheetViews>
    <sheetView workbookViewId="0">
      <pane xSplit="8" ySplit="13" topLeftCell="I374" activePane="bottomRight" state="frozen"/>
      <selection pane="topRight" activeCell="I1" sqref="I1"/>
      <selection pane="bottomLeft" activeCell="A13" sqref="A13"/>
      <selection pane="bottomRight" activeCell="A377" sqref="A377"/>
    </sheetView>
  </sheetViews>
  <sheetFormatPr baseColWidth="10" defaultRowHeight="15"/>
  <cols>
    <col min="1" max="1" width="12.7109375" style="29" bestFit="1" customWidth="1"/>
    <col min="2" max="2" width="13.5703125" style="118" bestFit="1" customWidth="1"/>
    <col min="3" max="3" width="4" bestFit="1" customWidth="1"/>
    <col min="4" max="4" width="12" bestFit="1" customWidth="1"/>
    <col min="6" max="6" width="15" bestFit="1" customWidth="1"/>
    <col min="8" max="8" width="18.42578125" bestFit="1" customWidth="1"/>
    <col min="9" max="9" width="11.42578125" style="29"/>
  </cols>
  <sheetData>
    <row r="1" spans="1:13">
      <c r="A1" s="29" t="s">
        <v>2312</v>
      </c>
      <c r="B1" s="316"/>
    </row>
    <row r="2" spans="1:13">
      <c r="A2" s="29">
        <v>1238277</v>
      </c>
      <c r="B2" s="123" t="s">
        <v>1551</v>
      </c>
      <c r="C2" s="123"/>
      <c r="D2" s="60" t="s">
        <v>1588</v>
      </c>
      <c r="E2" s="33">
        <f>SUM(A:A)</f>
        <v>284748209.07777774</v>
      </c>
      <c r="F2" s="23">
        <f>'SUIVI JOURNALIER AVRIL'!CB344+'point sur les patentes'!AA143+CONTROLES!BX279</f>
        <v>284748209.13993937</v>
      </c>
      <c r="H2" s="52" t="s">
        <v>1551</v>
      </c>
      <c r="I2" s="53">
        <f>SUMIF(B:B,H2,A:A)</f>
        <v>240111842.07777777</v>
      </c>
      <c r="K2" s="1" t="s">
        <v>1588</v>
      </c>
      <c r="L2" s="25">
        <f t="shared" ref="L2:L7" si="0">SUMIF(D:D,K2,A:A)</f>
        <v>50943415.600000001</v>
      </c>
    </row>
    <row r="3" spans="1:13">
      <c r="A3" s="29">
        <v>500000</v>
      </c>
      <c r="B3" s="123" t="s">
        <v>1551</v>
      </c>
      <c r="C3" s="123"/>
      <c r="D3" s="60" t="s">
        <v>1588</v>
      </c>
      <c r="F3" s="734" t="str">
        <f>IF(INT(E2)=INT(F2),"ok","revoir")</f>
        <v>ok</v>
      </c>
      <c r="G3" s="735"/>
      <c r="H3" s="1" t="s">
        <v>2726</v>
      </c>
      <c r="I3" s="25">
        <f>SUMIF(B:B,H3,A:A)</f>
        <v>5678071</v>
      </c>
      <c r="K3" s="1" t="s">
        <v>2727</v>
      </c>
      <c r="L3" s="25">
        <f t="shared" si="0"/>
        <v>221445879.47777781</v>
      </c>
    </row>
    <row r="4" spans="1:13">
      <c r="A4" s="29">
        <v>3000000</v>
      </c>
      <c r="B4" s="123" t="s">
        <v>1551</v>
      </c>
      <c r="C4" s="123"/>
      <c r="D4" s="60" t="s">
        <v>1588</v>
      </c>
      <c r="H4" s="1" t="s">
        <v>3142</v>
      </c>
      <c r="I4" s="25">
        <f>SUMIF(B:B,H4,A:A)</f>
        <v>38958296</v>
      </c>
      <c r="J4" s="59"/>
      <c r="K4" s="1" t="s">
        <v>2728</v>
      </c>
      <c r="L4" s="25">
        <f t="shared" si="0"/>
        <v>3223255</v>
      </c>
      <c r="M4" s="59"/>
    </row>
    <row r="5" spans="1:13">
      <c r="A5" s="29">
        <v>500000</v>
      </c>
      <c r="B5" s="123" t="s">
        <v>1551</v>
      </c>
      <c r="C5" s="123"/>
      <c r="D5" s="60" t="s">
        <v>1588</v>
      </c>
      <c r="F5" s="29">
        <f>F2-E2</f>
        <v>6.2161624431610107E-2</v>
      </c>
      <c r="H5" s="1" t="s">
        <v>2731</v>
      </c>
      <c r="I5" s="25">
        <f>SUMIF(B:B,H5,A:A)</f>
        <v>0</v>
      </c>
      <c r="K5" s="485" t="s">
        <v>2744</v>
      </c>
      <c r="L5" s="25">
        <f t="shared" si="0"/>
        <v>728260</v>
      </c>
    </row>
    <row r="6" spans="1:13">
      <c r="A6" s="29">
        <v>10000000</v>
      </c>
      <c r="B6" s="123" t="s">
        <v>1551</v>
      </c>
      <c r="C6" s="123"/>
      <c r="D6" s="60" t="s">
        <v>1588</v>
      </c>
      <c r="F6" s="29"/>
      <c r="H6" s="258" t="s">
        <v>178</v>
      </c>
      <c r="I6" s="58">
        <f>SUM(I2:I5)</f>
        <v>284748209.07777774</v>
      </c>
      <c r="K6" s="485" t="s">
        <v>2742</v>
      </c>
      <c r="L6" s="25">
        <f t="shared" si="0"/>
        <v>285600</v>
      </c>
    </row>
    <row r="7" spans="1:13">
      <c r="A7" s="29">
        <v>10000000</v>
      </c>
      <c r="B7" s="123" t="s">
        <v>1551</v>
      </c>
      <c r="C7" s="123"/>
      <c r="D7" s="60" t="s">
        <v>1588</v>
      </c>
      <c r="F7" s="29"/>
      <c r="J7" s="59"/>
      <c r="K7" s="485" t="s">
        <v>2743</v>
      </c>
      <c r="L7" s="486">
        <f t="shared" si="0"/>
        <v>85345</v>
      </c>
    </row>
    <row r="8" spans="1:13">
      <c r="A8" s="29">
        <v>3000000</v>
      </c>
      <c r="B8" s="123" t="s">
        <v>1551</v>
      </c>
      <c r="C8" s="123"/>
      <c r="D8" s="60" t="s">
        <v>1588</v>
      </c>
      <c r="F8" s="29"/>
      <c r="J8" s="29"/>
    </row>
    <row r="9" spans="1:13">
      <c r="A9" s="29">
        <v>4666337</v>
      </c>
      <c r="B9" s="123" t="s">
        <v>1551</v>
      </c>
      <c r="C9" s="123"/>
      <c r="D9" s="60" t="s">
        <v>1588</v>
      </c>
      <c r="F9" s="29"/>
      <c r="J9" s="29"/>
      <c r="L9" s="430">
        <f>L2+L3+L4+L5+L6+L7</f>
        <v>276711755.0777778</v>
      </c>
    </row>
    <row r="10" spans="1:13" ht="15.75" thickBot="1">
      <c r="A10" s="29">
        <v>1500000</v>
      </c>
      <c r="B10" s="123" t="s">
        <v>1551</v>
      </c>
      <c r="C10" s="123"/>
      <c r="D10" s="60" t="s">
        <v>1588</v>
      </c>
      <c r="F10" s="29"/>
      <c r="H10">
        <f>H8+H9</f>
        <v>0</v>
      </c>
      <c r="J10" s="29"/>
      <c r="K10" s="59"/>
    </row>
    <row r="11" spans="1:13" ht="15.75" thickBot="1">
      <c r="A11" s="29">
        <v>2410560</v>
      </c>
      <c r="B11" s="123" t="s">
        <v>1551</v>
      </c>
      <c r="C11" s="123"/>
      <c r="D11" s="60" t="s">
        <v>1588</v>
      </c>
      <c r="F11" s="29"/>
      <c r="G11" s="29"/>
      <c r="L11" s="492">
        <f>I2-L9</f>
        <v>-36599913.00000003</v>
      </c>
    </row>
    <row r="12" spans="1:13">
      <c r="A12" s="29">
        <v>500000</v>
      </c>
      <c r="B12" s="123" t="s">
        <v>1551</v>
      </c>
      <c r="C12" s="123"/>
      <c r="D12" s="60" t="s">
        <v>1588</v>
      </c>
      <c r="F12" s="29"/>
      <c r="H12" s="29"/>
      <c r="L12" s="29"/>
    </row>
    <row r="13" spans="1:13">
      <c r="A13" s="29">
        <v>2500000</v>
      </c>
      <c r="B13" s="123" t="s">
        <v>1551</v>
      </c>
      <c r="C13" s="123"/>
      <c r="D13" s="60" t="s">
        <v>1588</v>
      </c>
      <c r="F13" s="29"/>
      <c r="L13" s="29">
        <f>L9+L11</f>
        <v>240111842.07777777</v>
      </c>
    </row>
    <row r="14" spans="1:13">
      <c r="A14" s="29">
        <v>1500000</v>
      </c>
      <c r="B14" s="123" t="s">
        <v>1551</v>
      </c>
      <c r="C14" s="123"/>
      <c r="D14" s="60" t="s">
        <v>1588</v>
      </c>
      <c r="L14" s="29"/>
    </row>
    <row r="15" spans="1:13">
      <c r="A15" s="29">
        <v>1000000</v>
      </c>
      <c r="B15" s="123" t="s">
        <v>1551</v>
      </c>
      <c r="C15" s="123"/>
      <c r="D15" s="60" t="s">
        <v>1588</v>
      </c>
    </row>
    <row r="16" spans="1:13">
      <c r="A16" s="29">
        <v>5000000</v>
      </c>
      <c r="B16" s="123" t="s">
        <v>1551</v>
      </c>
      <c r="C16" s="123"/>
      <c r="D16" s="60" t="s">
        <v>2727</v>
      </c>
    </row>
    <row r="17" spans="1:9">
      <c r="A17" s="29">
        <v>4872438</v>
      </c>
      <c r="B17" s="123" t="s">
        <v>1551</v>
      </c>
      <c r="C17" s="123"/>
      <c r="D17" s="60" t="s">
        <v>2727</v>
      </c>
      <c r="I17" s="60" t="s">
        <v>1558</v>
      </c>
    </row>
    <row r="18" spans="1:9">
      <c r="A18" s="29">
        <v>4872438</v>
      </c>
      <c r="B18" s="123" t="s">
        <v>1551</v>
      </c>
      <c r="C18" s="123"/>
      <c r="D18" s="60" t="s">
        <v>2727</v>
      </c>
      <c r="I18" s="29" t="s">
        <v>1556</v>
      </c>
    </row>
    <row r="19" spans="1:9">
      <c r="A19" s="29">
        <v>200000</v>
      </c>
      <c r="B19" s="123" t="s">
        <v>1551</v>
      </c>
      <c r="C19" s="123"/>
      <c r="D19" s="60" t="s">
        <v>2727</v>
      </c>
      <c r="I19" s="29" t="s">
        <v>1557</v>
      </c>
    </row>
    <row r="20" spans="1:9">
      <c r="A20" s="29">
        <v>3000000</v>
      </c>
      <c r="B20" s="123" t="s">
        <v>1551</v>
      </c>
      <c r="C20" s="123"/>
      <c r="D20" s="60" t="s">
        <v>1588</v>
      </c>
      <c r="I20" s="29" t="s">
        <v>1559</v>
      </c>
    </row>
    <row r="21" spans="1:9">
      <c r="A21" s="29">
        <v>1145302</v>
      </c>
      <c r="B21" s="123" t="s">
        <v>1551</v>
      </c>
      <c r="C21" s="123"/>
      <c r="D21" s="60" t="s">
        <v>1588</v>
      </c>
    </row>
    <row r="22" spans="1:9">
      <c r="A22" s="29">
        <v>181839</v>
      </c>
      <c r="B22" s="123" t="s">
        <v>1551</v>
      </c>
      <c r="C22" s="123"/>
      <c r="D22" s="60" t="s">
        <v>1588</v>
      </c>
    </row>
    <row r="23" spans="1:9">
      <c r="A23" s="29">
        <v>250000</v>
      </c>
      <c r="B23" s="123" t="s">
        <v>1551</v>
      </c>
      <c r="C23" s="123"/>
      <c r="D23" s="60" t="s">
        <v>1588</v>
      </c>
    </row>
    <row r="24" spans="1:9">
      <c r="A24" s="29">
        <v>71626</v>
      </c>
      <c r="B24" s="123" t="s">
        <v>1551</v>
      </c>
      <c r="C24" s="123"/>
      <c r="D24" s="60" t="s">
        <v>1588</v>
      </c>
    </row>
    <row r="25" spans="1:9">
      <c r="A25" s="29">
        <v>36727.599999999999</v>
      </c>
      <c r="B25" s="123" t="s">
        <v>1551</v>
      </c>
      <c r="C25" s="123"/>
      <c r="D25" s="60" t="s">
        <v>1588</v>
      </c>
    </row>
    <row r="26" spans="1:9">
      <c r="A26" s="29">
        <v>1986</v>
      </c>
      <c r="B26" s="123" t="s">
        <v>1551</v>
      </c>
      <c r="C26" s="123"/>
      <c r="D26" s="60" t="s">
        <v>1588</v>
      </c>
    </row>
    <row r="27" spans="1:9">
      <c r="A27" s="29">
        <v>500000</v>
      </c>
      <c r="B27" s="123" t="s">
        <v>1551</v>
      </c>
      <c r="C27" s="123"/>
      <c r="D27" s="60" t="s">
        <v>2727</v>
      </c>
    </row>
    <row r="28" spans="1:9">
      <c r="A28" s="29">
        <v>2200000</v>
      </c>
      <c r="B28" s="123" t="s">
        <v>1551</v>
      </c>
      <c r="C28" s="123"/>
      <c r="D28" s="60" t="s">
        <v>2727</v>
      </c>
    </row>
    <row r="29" spans="1:9">
      <c r="A29" s="29">
        <v>1000000</v>
      </c>
      <c r="B29" s="123" t="s">
        <v>1551</v>
      </c>
      <c r="C29" s="123"/>
      <c r="D29" s="60" t="s">
        <v>2727</v>
      </c>
    </row>
    <row r="30" spans="1:9">
      <c r="A30" s="29">
        <v>1000000</v>
      </c>
      <c r="B30" s="123" t="s">
        <v>1551</v>
      </c>
      <c r="C30" s="123"/>
      <c r="D30" s="60" t="s">
        <v>1588</v>
      </c>
    </row>
    <row r="31" spans="1:9">
      <c r="A31" s="29">
        <v>3835712</v>
      </c>
      <c r="B31" s="123" t="s">
        <v>1551</v>
      </c>
      <c r="C31" s="123"/>
      <c r="D31" s="60" t="s">
        <v>2727</v>
      </c>
    </row>
    <row r="32" spans="1:9">
      <c r="A32" s="29">
        <v>10552987</v>
      </c>
      <c r="B32" s="123" t="s">
        <v>1551</v>
      </c>
      <c r="C32" s="123"/>
      <c r="D32" s="60" t="s">
        <v>2727</v>
      </c>
    </row>
    <row r="33" spans="1:4">
      <c r="A33" s="29">
        <v>541465</v>
      </c>
      <c r="B33" s="123" t="s">
        <v>1551</v>
      </c>
      <c r="C33" s="123"/>
      <c r="D33" s="60" t="s">
        <v>2727</v>
      </c>
    </row>
    <row r="34" spans="1:4">
      <c r="A34" s="29">
        <v>7329259</v>
      </c>
      <c r="B34" s="123" t="s">
        <v>1551</v>
      </c>
      <c r="C34" s="123"/>
      <c r="D34" s="60" t="s">
        <v>2727</v>
      </c>
    </row>
    <row r="35" spans="1:4">
      <c r="A35" s="29">
        <v>7228163</v>
      </c>
      <c r="B35" s="123" t="s">
        <v>1551</v>
      </c>
      <c r="C35" s="123"/>
      <c r="D35" s="60" t="s">
        <v>2727</v>
      </c>
    </row>
    <row r="36" spans="1:4">
      <c r="A36" s="29">
        <v>12589440</v>
      </c>
      <c r="B36" s="123" t="s">
        <v>1551</v>
      </c>
      <c r="C36" s="123"/>
      <c r="D36" s="60" t="s">
        <v>2727</v>
      </c>
    </row>
    <row r="37" spans="1:4">
      <c r="A37" s="29">
        <v>6000000</v>
      </c>
      <c r="B37" s="123" t="s">
        <v>1551</v>
      </c>
      <c r="C37" s="123"/>
      <c r="D37" s="60" t="s">
        <v>2727</v>
      </c>
    </row>
    <row r="38" spans="1:4">
      <c r="A38" s="29">
        <v>1650000</v>
      </c>
      <c r="B38" s="123" t="s">
        <v>1551</v>
      </c>
      <c r="C38" s="123"/>
      <c r="D38" s="60" t="s">
        <v>2727</v>
      </c>
    </row>
    <row r="39" spans="1:4">
      <c r="A39" s="29">
        <v>1100000</v>
      </c>
      <c r="B39" s="123" t="s">
        <v>1551</v>
      </c>
      <c r="C39" s="123"/>
      <c r="D39" s="60" t="s">
        <v>2727</v>
      </c>
    </row>
    <row r="40" spans="1:4">
      <c r="A40" s="29">
        <v>1100000</v>
      </c>
      <c r="B40" s="123" t="s">
        <v>1551</v>
      </c>
      <c r="C40" s="123"/>
      <c r="D40" s="60" t="s">
        <v>2727</v>
      </c>
    </row>
    <row r="41" spans="1:4">
      <c r="A41" s="29">
        <v>1100000</v>
      </c>
      <c r="B41" s="123" t="s">
        <v>1551</v>
      </c>
      <c r="C41" s="123"/>
      <c r="D41" s="60" t="s">
        <v>2727</v>
      </c>
    </row>
    <row r="42" spans="1:4">
      <c r="A42" s="29">
        <v>504323</v>
      </c>
      <c r="B42" s="123" t="s">
        <v>1551</v>
      </c>
      <c r="C42" s="123"/>
      <c r="D42" s="60" t="s">
        <v>2727</v>
      </c>
    </row>
    <row r="43" spans="1:4">
      <c r="A43" s="29">
        <v>345680</v>
      </c>
      <c r="B43" s="123" t="s">
        <v>1551</v>
      </c>
      <c r="C43" s="123"/>
      <c r="D43" s="60" t="s">
        <v>2727</v>
      </c>
    </row>
    <row r="44" spans="1:4">
      <c r="A44" s="29">
        <v>571010</v>
      </c>
      <c r="B44" s="123" t="s">
        <v>1551</v>
      </c>
      <c r="C44" s="123"/>
      <c r="D44" s="60" t="s">
        <v>2727</v>
      </c>
    </row>
    <row r="45" spans="1:4">
      <c r="A45" s="29">
        <v>485506</v>
      </c>
      <c r="B45" s="123" t="s">
        <v>1551</v>
      </c>
      <c r="C45" s="123"/>
      <c r="D45" s="60" t="s">
        <v>2727</v>
      </c>
    </row>
    <row r="46" spans="1:4">
      <c r="A46" s="29">
        <v>555910</v>
      </c>
      <c r="B46" s="123" t="s">
        <v>1551</v>
      </c>
      <c r="C46" s="123"/>
      <c r="D46" s="60" t="s">
        <v>2727</v>
      </c>
    </row>
    <row r="47" spans="1:4">
      <c r="A47" s="29">
        <v>2200000</v>
      </c>
      <c r="B47" s="123" t="s">
        <v>1551</v>
      </c>
      <c r="C47" s="123"/>
      <c r="D47" s="60" t="s">
        <v>2727</v>
      </c>
    </row>
    <row r="48" spans="1:4">
      <c r="A48" s="29">
        <v>150000</v>
      </c>
      <c r="B48" s="123" t="s">
        <v>1551</v>
      </c>
      <c r="C48" s="123"/>
      <c r="D48" s="60" t="s">
        <v>2727</v>
      </c>
    </row>
    <row r="49" spans="1:4">
      <c r="A49" s="29">
        <v>200000</v>
      </c>
      <c r="B49" s="123" t="s">
        <v>1551</v>
      </c>
      <c r="C49" s="123"/>
      <c r="D49" s="60" t="s">
        <v>2727</v>
      </c>
    </row>
    <row r="50" spans="1:4">
      <c r="A50" s="29">
        <v>300000</v>
      </c>
      <c r="B50" s="123" t="s">
        <v>1551</v>
      </c>
      <c r="C50" s="123"/>
      <c r="D50" s="60" t="s">
        <v>2727</v>
      </c>
    </row>
    <row r="51" spans="1:4">
      <c r="A51" s="29">
        <v>250000</v>
      </c>
      <c r="B51" s="123" t="s">
        <v>1551</v>
      </c>
      <c r="C51" s="123"/>
      <c r="D51" s="60" t="s">
        <v>2727</v>
      </c>
    </row>
    <row r="52" spans="1:4">
      <c r="A52" s="29">
        <v>3406264</v>
      </c>
      <c r="B52" s="123" t="s">
        <v>1551</v>
      </c>
      <c r="C52" s="123"/>
      <c r="D52" s="60" t="s">
        <v>2727</v>
      </c>
    </row>
    <row r="53" spans="1:4">
      <c r="A53" s="29">
        <v>2113579</v>
      </c>
      <c r="B53" s="123" t="s">
        <v>1551</v>
      </c>
      <c r="C53" s="123"/>
      <c r="D53" s="60" t="s">
        <v>2727</v>
      </c>
    </row>
    <row r="54" spans="1:4">
      <c r="A54" s="29">
        <v>707617</v>
      </c>
      <c r="B54" s="123" t="s">
        <v>1551</v>
      </c>
      <c r="C54" s="123"/>
      <c r="D54" s="60" t="s">
        <v>2727</v>
      </c>
    </row>
    <row r="55" spans="1:4">
      <c r="A55" s="29">
        <v>440</v>
      </c>
      <c r="B55" s="123" t="s">
        <v>1551</v>
      </c>
      <c r="C55" s="123"/>
      <c r="D55" s="60" t="s">
        <v>2727</v>
      </c>
    </row>
    <row r="56" spans="1:4">
      <c r="A56" s="29">
        <v>254029</v>
      </c>
      <c r="B56" s="123" t="s">
        <v>1551</v>
      </c>
      <c r="C56" s="123"/>
      <c r="D56" s="60" t="s">
        <v>2727</v>
      </c>
    </row>
    <row r="57" spans="1:4">
      <c r="A57" s="29">
        <v>85800</v>
      </c>
      <c r="B57" s="123" t="s">
        <v>1551</v>
      </c>
      <c r="C57" s="123"/>
      <c r="D57" s="60" t="s">
        <v>2727</v>
      </c>
    </row>
    <row r="58" spans="1:4">
      <c r="A58" s="29">
        <v>71318</v>
      </c>
      <c r="B58" s="123" t="s">
        <v>1551</v>
      </c>
      <c r="C58" s="123"/>
      <c r="D58" s="60" t="s">
        <v>2727</v>
      </c>
    </row>
    <row r="59" spans="1:4">
      <c r="A59" s="29">
        <v>1130027</v>
      </c>
      <c r="B59" s="123" t="s">
        <v>1551</v>
      </c>
      <c r="C59" s="123"/>
      <c r="D59" s="60" t="s">
        <v>2727</v>
      </c>
    </row>
    <row r="60" spans="1:4">
      <c r="A60" s="29">
        <v>119295</v>
      </c>
      <c r="B60" s="123" t="s">
        <v>1551</v>
      </c>
      <c r="C60" s="123"/>
      <c r="D60" s="60" t="s">
        <v>2727</v>
      </c>
    </row>
    <row r="61" spans="1:4">
      <c r="A61" s="29">
        <v>84226</v>
      </c>
      <c r="B61" s="123" t="s">
        <v>1551</v>
      </c>
      <c r="C61" s="123"/>
      <c r="D61" s="60" t="s">
        <v>2727</v>
      </c>
    </row>
    <row r="62" spans="1:4">
      <c r="A62" s="29">
        <v>110635</v>
      </c>
      <c r="B62" s="123" t="s">
        <v>1551</v>
      </c>
      <c r="C62" s="123"/>
      <c r="D62" s="60" t="s">
        <v>2727</v>
      </c>
    </row>
    <row r="63" spans="1:4">
      <c r="A63" s="29">
        <v>27000</v>
      </c>
      <c r="B63" s="123" t="s">
        <v>1551</v>
      </c>
      <c r="C63" s="123"/>
      <c r="D63" s="60" t="s">
        <v>2727</v>
      </c>
    </row>
    <row r="64" spans="1:4">
      <c r="A64" s="29">
        <v>139900</v>
      </c>
      <c r="B64" s="123" t="s">
        <v>1551</v>
      </c>
      <c r="C64" s="123"/>
      <c r="D64" s="60" t="s">
        <v>2727</v>
      </c>
    </row>
    <row r="65" spans="1:4">
      <c r="A65" s="29">
        <v>1262373</v>
      </c>
      <c r="B65" s="123" t="s">
        <v>1551</v>
      </c>
      <c r="C65" s="123"/>
      <c r="D65" s="60" t="s">
        <v>2727</v>
      </c>
    </row>
    <row r="66" spans="1:4">
      <c r="A66" s="29">
        <v>103635</v>
      </c>
      <c r="B66" s="123" t="s">
        <v>1551</v>
      </c>
      <c r="C66" s="123"/>
      <c r="D66" s="60" t="s">
        <v>2727</v>
      </c>
    </row>
    <row r="67" spans="1:4">
      <c r="A67" s="29">
        <v>322564</v>
      </c>
      <c r="B67" s="123" t="s">
        <v>1551</v>
      </c>
      <c r="C67" s="123"/>
      <c r="D67" s="60" t="s">
        <v>2727</v>
      </c>
    </row>
    <row r="68" spans="1:4">
      <c r="A68" s="29">
        <v>1098427</v>
      </c>
      <c r="B68" s="123" t="s">
        <v>1551</v>
      </c>
      <c r="C68" s="123"/>
      <c r="D68" s="60" t="s">
        <v>2727</v>
      </c>
    </row>
    <row r="69" spans="1:4">
      <c r="A69" s="29">
        <v>201584</v>
      </c>
      <c r="B69" s="123" t="s">
        <v>1551</v>
      </c>
      <c r="C69" s="123"/>
      <c r="D69" s="60" t="s">
        <v>2727</v>
      </c>
    </row>
    <row r="70" spans="1:4">
      <c r="A70" s="29">
        <v>1291444</v>
      </c>
      <c r="B70" s="123" t="s">
        <v>1551</v>
      </c>
      <c r="C70" s="123"/>
      <c r="D70" s="60" t="s">
        <v>2727</v>
      </c>
    </row>
    <row r="71" spans="1:4">
      <c r="A71" s="29">
        <v>169282</v>
      </c>
      <c r="B71" s="123" t="s">
        <v>1551</v>
      </c>
      <c r="C71" s="123"/>
      <c r="D71" s="60" t="s">
        <v>2727</v>
      </c>
    </row>
    <row r="72" spans="1:4">
      <c r="A72" s="29">
        <v>2987</v>
      </c>
      <c r="B72" s="123" t="s">
        <v>1551</v>
      </c>
      <c r="C72" s="123"/>
      <c r="D72" s="60" t="s">
        <v>2727</v>
      </c>
    </row>
    <row r="73" spans="1:4">
      <c r="A73" s="29">
        <v>1155961</v>
      </c>
      <c r="B73" s="123" t="s">
        <v>1551</v>
      </c>
      <c r="C73" s="123"/>
      <c r="D73" s="60" t="s">
        <v>2727</v>
      </c>
    </row>
    <row r="74" spans="1:4">
      <c r="A74" s="29">
        <v>32326</v>
      </c>
      <c r="B74" s="123" t="s">
        <v>1551</v>
      </c>
      <c r="C74" s="123"/>
      <c r="D74" s="60" t="s">
        <v>2727</v>
      </c>
    </row>
    <row r="75" spans="1:4">
      <c r="A75" s="29">
        <v>3000</v>
      </c>
      <c r="B75" s="123" t="s">
        <v>1551</v>
      </c>
      <c r="C75" s="123"/>
      <c r="D75" s="60" t="s">
        <v>2727</v>
      </c>
    </row>
    <row r="76" spans="1:4">
      <c r="A76" s="29">
        <v>104097</v>
      </c>
      <c r="B76" s="123" t="s">
        <v>1551</v>
      </c>
      <c r="C76" s="123"/>
      <c r="D76" s="60" t="s">
        <v>2727</v>
      </c>
    </row>
    <row r="77" spans="1:4">
      <c r="A77" s="29">
        <v>7480</v>
      </c>
      <c r="B77" s="123" t="s">
        <v>1551</v>
      </c>
      <c r="C77" s="123"/>
      <c r="D77" s="60" t="s">
        <v>2727</v>
      </c>
    </row>
    <row r="78" spans="1:4">
      <c r="A78" s="29">
        <v>2227222</v>
      </c>
      <c r="B78" s="123" t="s">
        <v>1551</v>
      </c>
      <c r="C78" s="123"/>
      <c r="D78" s="60" t="s">
        <v>1588</v>
      </c>
    </row>
    <row r="79" spans="1:4">
      <c r="A79" s="29">
        <v>76639</v>
      </c>
      <c r="B79" s="123" t="s">
        <v>1551</v>
      </c>
      <c r="C79" s="123"/>
      <c r="D79" s="60" t="s">
        <v>2727</v>
      </c>
    </row>
    <row r="80" spans="1:4">
      <c r="A80" s="29">
        <v>76639</v>
      </c>
      <c r="B80" s="123" t="s">
        <v>1551</v>
      </c>
      <c r="C80" s="123"/>
      <c r="D80" s="60" t="s">
        <v>2727</v>
      </c>
    </row>
    <row r="81" spans="1:4">
      <c r="A81" s="29">
        <v>55000</v>
      </c>
      <c r="B81" s="123" t="s">
        <v>1551</v>
      </c>
      <c r="C81" s="123"/>
      <c r="D81" s="60" t="s">
        <v>2727</v>
      </c>
    </row>
    <row r="82" spans="1:4">
      <c r="A82" s="29">
        <v>55000</v>
      </c>
      <c r="B82" s="123" t="s">
        <v>1551</v>
      </c>
      <c r="C82" s="123"/>
      <c r="D82" s="60" t="s">
        <v>2727</v>
      </c>
    </row>
    <row r="83" spans="1:4">
      <c r="A83" s="29">
        <v>726409</v>
      </c>
      <c r="B83" s="123" t="s">
        <v>1551</v>
      </c>
      <c r="C83" s="123"/>
      <c r="D83" s="60" t="s">
        <v>2727</v>
      </c>
    </row>
    <row r="84" spans="1:4">
      <c r="A84" s="29">
        <v>48068</v>
      </c>
      <c r="B84" s="123" t="s">
        <v>1551</v>
      </c>
      <c r="C84" s="123"/>
      <c r="D84" s="60" t="s">
        <v>2727</v>
      </c>
    </row>
    <row r="85" spans="1:4">
      <c r="A85" s="29">
        <v>48068</v>
      </c>
      <c r="B85" s="123" t="s">
        <v>1551</v>
      </c>
      <c r="C85" s="123"/>
      <c r="D85" s="60" t="s">
        <v>2727</v>
      </c>
    </row>
    <row r="86" spans="1:4">
      <c r="A86" s="29">
        <v>48068</v>
      </c>
      <c r="B86" s="123" t="s">
        <v>1551</v>
      </c>
      <c r="C86" s="123"/>
      <c r="D86" s="60" t="s">
        <v>2727</v>
      </c>
    </row>
    <row r="87" spans="1:4">
      <c r="A87" s="29">
        <v>225500</v>
      </c>
      <c r="B87" s="123" t="s">
        <v>1551</v>
      </c>
      <c r="C87" s="123"/>
      <c r="D87" s="60" t="s">
        <v>2727</v>
      </c>
    </row>
    <row r="88" spans="1:4">
      <c r="A88" s="29">
        <v>975472</v>
      </c>
      <c r="B88" s="123" t="s">
        <v>1551</v>
      </c>
      <c r="C88" s="123"/>
      <c r="D88" s="60" t="s">
        <v>2727</v>
      </c>
    </row>
    <row r="89" spans="1:4">
      <c r="A89" s="29">
        <v>181665.7</v>
      </c>
      <c r="B89" s="123" t="s">
        <v>1551</v>
      </c>
      <c r="C89" s="123"/>
      <c r="D89" s="60" t="s">
        <v>2727</v>
      </c>
    </row>
    <row r="90" spans="1:4">
      <c r="A90" s="29">
        <v>181716.7</v>
      </c>
      <c r="B90" s="123" t="s">
        <v>1551</v>
      </c>
      <c r="C90" s="123"/>
      <c r="D90" s="60" t="s">
        <v>2727</v>
      </c>
    </row>
    <row r="91" spans="1:4">
      <c r="A91" s="29">
        <v>6888520.9999999991</v>
      </c>
      <c r="B91" s="123" t="s">
        <v>1551</v>
      </c>
      <c r="C91" s="123"/>
      <c r="D91" s="60" t="s">
        <v>2727</v>
      </c>
    </row>
    <row r="92" spans="1:4">
      <c r="A92" s="29">
        <v>7497233</v>
      </c>
      <c r="B92" s="123" t="s">
        <v>1551</v>
      </c>
      <c r="C92" s="123"/>
      <c r="D92" s="60" t="s">
        <v>2727</v>
      </c>
    </row>
    <row r="93" spans="1:4">
      <c r="A93" s="29">
        <v>8949.1</v>
      </c>
      <c r="B93" s="123" t="s">
        <v>1551</v>
      </c>
      <c r="C93" s="123"/>
      <c r="D93" s="60" t="s">
        <v>2727</v>
      </c>
    </row>
    <row r="94" spans="1:4">
      <c r="A94" s="29">
        <v>226090</v>
      </c>
      <c r="B94" s="123" t="s">
        <v>1551</v>
      </c>
      <c r="C94" s="123"/>
      <c r="D94" s="60" t="s">
        <v>2727</v>
      </c>
    </row>
    <row r="95" spans="1:4">
      <c r="A95" s="29">
        <v>27546</v>
      </c>
      <c r="B95" s="123" t="s">
        <v>1551</v>
      </c>
      <c r="C95" s="123"/>
      <c r="D95" s="60" t="s">
        <v>2727</v>
      </c>
    </row>
    <row r="96" spans="1:4">
      <c r="A96" s="29">
        <f>317000.4-27546</f>
        <v>289454.40000000002</v>
      </c>
      <c r="B96" s="123" t="s">
        <v>1551</v>
      </c>
      <c r="C96" s="123"/>
      <c r="D96" s="60" t="s">
        <v>2727</v>
      </c>
    </row>
    <row r="97" spans="1:4">
      <c r="A97" s="29">
        <v>4000</v>
      </c>
      <c r="B97" s="123" t="s">
        <v>1551</v>
      </c>
      <c r="C97" s="123"/>
      <c r="D97" s="60" t="s">
        <v>2727</v>
      </c>
    </row>
    <row r="98" spans="1:4">
      <c r="A98" s="29">
        <v>6036</v>
      </c>
      <c r="B98" s="123" t="s">
        <v>1551</v>
      </c>
      <c r="C98" s="123"/>
      <c r="D98" s="60" t="s">
        <v>2727</v>
      </c>
    </row>
    <row r="99" spans="1:4">
      <c r="A99" s="29">
        <v>531757</v>
      </c>
      <c r="B99" s="123" t="s">
        <v>1551</v>
      </c>
      <c r="C99" s="123"/>
      <c r="D99" s="60" t="s">
        <v>2727</v>
      </c>
    </row>
    <row r="100" spans="1:4">
      <c r="A100" s="29">
        <v>37126</v>
      </c>
      <c r="B100" s="123" t="s">
        <v>1551</v>
      </c>
      <c r="C100" s="123"/>
      <c r="D100" s="60" t="s">
        <v>2727</v>
      </c>
    </row>
    <row r="101" spans="1:4">
      <c r="A101" s="29">
        <v>7191</v>
      </c>
      <c r="B101" s="123" t="s">
        <v>1551</v>
      </c>
      <c r="C101" s="123"/>
      <c r="D101" s="60" t="s">
        <v>2727</v>
      </c>
    </row>
    <row r="102" spans="1:4">
      <c r="A102" s="29">
        <v>74026</v>
      </c>
      <c r="B102" s="123" t="s">
        <v>1551</v>
      </c>
      <c r="C102" s="123"/>
      <c r="D102" s="60" t="s">
        <v>2727</v>
      </c>
    </row>
    <row r="103" spans="1:4">
      <c r="A103" s="29">
        <v>25889</v>
      </c>
      <c r="B103" s="123" t="s">
        <v>1551</v>
      </c>
      <c r="C103" s="123"/>
      <c r="D103" s="60" t="s">
        <v>2727</v>
      </c>
    </row>
    <row r="104" spans="1:4">
      <c r="A104" s="29">
        <v>3050</v>
      </c>
      <c r="B104" s="123" t="s">
        <v>1551</v>
      </c>
      <c r="C104" s="123"/>
      <c r="D104" s="60" t="s">
        <v>2727</v>
      </c>
    </row>
    <row r="105" spans="1:4">
      <c r="A105" s="29">
        <v>212778</v>
      </c>
      <c r="B105" s="123" t="s">
        <v>1551</v>
      </c>
      <c r="C105" s="123"/>
      <c r="D105" s="60" t="s">
        <v>2727</v>
      </c>
    </row>
    <row r="106" spans="1:4">
      <c r="A106" s="29">
        <v>70900</v>
      </c>
      <c r="B106" s="123" t="s">
        <v>1551</v>
      </c>
      <c r="C106" s="123"/>
      <c r="D106" s="60" t="s">
        <v>2727</v>
      </c>
    </row>
    <row r="107" spans="1:4">
      <c r="A107" s="29">
        <v>31500</v>
      </c>
      <c r="B107" s="123" t="s">
        <v>1551</v>
      </c>
      <c r="C107" s="123"/>
      <c r="D107" s="60" t="s">
        <v>2727</v>
      </c>
    </row>
    <row r="108" spans="1:4">
      <c r="A108" s="29">
        <v>21278</v>
      </c>
      <c r="B108" s="123" t="s">
        <v>1551</v>
      </c>
      <c r="C108" s="123"/>
      <c r="D108" s="60" t="s">
        <v>2727</v>
      </c>
    </row>
    <row r="109" spans="1:4">
      <c r="A109" s="29">
        <v>57950</v>
      </c>
      <c r="B109" s="123" t="s">
        <v>1551</v>
      </c>
      <c r="C109" s="123"/>
      <c r="D109" s="60" t="s">
        <v>2727</v>
      </c>
    </row>
    <row r="110" spans="1:4">
      <c r="A110" s="29">
        <v>212778</v>
      </c>
      <c r="B110" s="123" t="s">
        <v>1551</v>
      </c>
      <c r="C110" s="123"/>
      <c r="D110" s="60" t="s">
        <v>2727</v>
      </c>
    </row>
    <row r="111" spans="1:4">
      <c r="A111" s="29">
        <v>70900</v>
      </c>
      <c r="B111" s="123" t="s">
        <v>1551</v>
      </c>
      <c r="C111" s="123"/>
      <c r="D111" s="60" t="s">
        <v>2727</v>
      </c>
    </row>
    <row r="112" spans="1:4">
      <c r="A112" s="29">
        <v>31500</v>
      </c>
      <c r="B112" s="123" t="s">
        <v>1551</v>
      </c>
      <c r="C112" s="123"/>
      <c r="D112" s="60" t="s">
        <v>2727</v>
      </c>
    </row>
    <row r="113" spans="1:7">
      <c r="A113" s="29">
        <v>21278</v>
      </c>
      <c r="B113" s="123" t="s">
        <v>1551</v>
      </c>
      <c r="C113" s="123"/>
      <c r="D113" s="60" t="s">
        <v>2727</v>
      </c>
    </row>
    <row r="114" spans="1:7">
      <c r="A114" s="29">
        <v>57950</v>
      </c>
      <c r="B114" s="123" t="s">
        <v>1551</v>
      </c>
      <c r="C114" s="123"/>
      <c r="D114" s="60" t="s">
        <v>2727</v>
      </c>
    </row>
    <row r="115" spans="1:7">
      <c r="A115" s="29">
        <v>212778</v>
      </c>
      <c r="B115" s="123" t="s">
        <v>1551</v>
      </c>
      <c r="C115" s="123"/>
      <c r="D115" s="60" t="s">
        <v>2727</v>
      </c>
    </row>
    <row r="116" spans="1:7">
      <c r="A116" s="29">
        <v>70900</v>
      </c>
      <c r="B116" s="123" t="s">
        <v>1551</v>
      </c>
      <c r="C116" s="123"/>
      <c r="D116" s="60" t="s">
        <v>2727</v>
      </c>
    </row>
    <row r="117" spans="1:7">
      <c r="A117" s="29">
        <v>31500</v>
      </c>
      <c r="B117" s="123" t="s">
        <v>1551</v>
      </c>
      <c r="C117" s="123"/>
      <c r="D117" s="60" t="s">
        <v>2727</v>
      </c>
    </row>
    <row r="118" spans="1:7">
      <c r="A118" s="29">
        <v>21278</v>
      </c>
      <c r="B118" s="123" t="s">
        <v>1551</v>
      </c>
      <c r="C118" s="123"/>
      <c r="D118" s="60" t="s">
        <v>2727</v>
      </c>
    </row>
    <row r="119" spans="1:7">
      <c r="A119" s="29">
        <v>57950</v>
      </c>
      <c r="B119" s="123" t="s">
        <v>1551</v>
      </c>
      <c r="C119" s="123"/>
      <c r="D119" s="60" t="s">
        <v>2727</v>
      </c>
    </row>
    <row r="120" spans="1:7">
      <c r="A120" s="29">
        <v>49500</v>
      </c>
      <c r="B120" s="123" t="s">
        <v>1551</v>
      </c>
      <c r="C120" s="123"/>
      <c r="D120" s="60" t="s">
        <v>2727</v>
      </c>
      <c r="G120" s="29"/>
    </row>
    <row r="121" spans="1:7">
      <c r="A121" s="29">
        <v>24750</v>
      </c>
      <c r="B121" s="123" t="s">
        <v>1551</v>
      </c>
      <c r="C121" s="123"/>
      <c r="D121" s="60" t="s">
        <v>2727</v>
      </c>
      <c r="F121" s="29"/>
    </row>
    <row r="122" spans="1:7">
      <c r="A122" s="29">
        <v>33000</v>
      </c>
      <c r="B122" s="123" t="s">
        <v>1551</v>
      </c>
      <c r="C122" s="123"/>
      <c r="D122" s="60" t="s">
        <v>2727</v>
      </c>
    </row>
    <row r="123" spans="1:7">
      <c r="A123" s="29">
        <v>33000</v>
      </c>
      <c r="B123" s="123" t="s">
        <v>1551</v>
      </c>
      <c r="C123" s="123"/>
      <c r="D123" s="60" t="s">
        <v>2727</v>
      </c>
    </row>
    <row r="124" spans="1:7">
      <c r="A124" s="29">
        <v>27500</v>
      </c>
      <c r="B124" s="123" t="s">
        <v>1551</v>
      </c>
      <c r="C124" s="123"/>
      <c r="D124" s="60" t="s">
        <v>2727</v>
      </c>
    </row>
    <row r="125" spans="1:7">
      <c r="A125" s="29">
        <v>27500</v>
      </c>
      <c r="B125" s="123" t="s">
        <v>1551</v>
      </c>
      <c r="C125" s="123"/>
      <c r="D125" s="60" t="s">
        <v>2727</v>
      </c>
    </row>
    <row r="126" spans="1:7">
      <c r="A126" s="29">
        <v>16500</v>
      </c>
      <c r="B126" s="123" t="s">
        <v>1551</v>
      </c>
      <c r="C126" s="123"/>
      <c r="D126" s="60" t="s">
        <v>2727</v>
      </c>
    </row>
    <row r="127" spans="1:7">
      <c r="A127" s="29">
        <v>16500</v>
      </c>
      <c r="B127" s="123" t="s">
        <v>1551</v>
      </c>
      <c r="C127" s="123"/>
      <c r="D127" s="60" t="s">
        <v>2727</v>
      </c>
    </row>
    <row r="128" spans="1:7">
      <c r="A128" s="29">
        <v>16500</v>
      </c>
      <c r="B128" s="123" t="s">
        <v>1551</v>
      </c>
      <c r="C128" s="123"/>
      <c r="D128" s="60" t="s">
        <v>2727</v>
      </c>
    </row>
    <row r="129" spans="1:4">
      <c r="A129" s="29">
        <v>16500</v>
      </c>
      <c r="B129" s="123" t="s">
        <v>1551</v>
      </c>
      <c r="C129" s="123"/>
      <c r="D129" s="60" t="s">
        <v>2727</v>
      </c>
    </row>
    <row r="130" spans="1:4">
      <c r="A130" s="29">
        <v>16500</v>
      </c>
      <c r="B130" s="123" t="s">
        <v>1551</v>
      </c>
      <c r="C130" s="123"/>
      <c r="D130" s="60" t="s">
        <v>2727</v>
      </c>
    </row>
    <row r="131" spans="1:4">
      <c r="A131" s="29">
        <v>16500</v>
      </c>
      <c r="B131" s="123" t="s">
        <v>1551</v>
      </c>
      <c r="C131" s="123"/>
      <c r="D131" s="60" t="s">
        <v>2727</v>
      </c>
    </row>
    <row r="132" spans="1:4">
      <c r="A132" s="29">
        <v>16500</v>
      </c>
      <c r="B132" s="123" t="s">
        <v>1551</v>
      </c>
      <c r="C132" s="123"/>
      <c r="D132" s="60" t="s">
        <v>2727</v>
      </c>
    </row>
    <row r="133" spans="1:4">
      <c r="A133" s="29">
        <v>16500</v>
      </c>
      <c r="B133" s="123" t="s">
        <v>1551</v>
      </c>
      <c r="C133" s="123"/>
      <c r="D133" s="60" t="s">
        <v>2727</v>
      </c>
    </row>
    <row r="134" spans="1:4">
      <c r="A134" s="29">
        <v>16500</v>
      </c>
      <c r="B134" s="123" t="s">
        <v>1551</v>
      </c>
      <c r="C134" s="123"/>
      <c r="D134" s="60" t="s">
        <v>2727</v>
      </c>
    </row>
    <row r="135" spans="1:4">
      <c r="A135" s="29">
        <v>16500</v>
      </c>
      <c r="B135" s="123" t="s">
        <v>1551</v>
      </c>
      <c r="C135" s="123"/>
      <c r="D135" s="60" t="s">
        <v>2727</v>
      </c>
    </row>
    <row r="136" spans="1:4">
      <c r="A136" s="29">
        <v>16500</v>
      </c>
      <c r="B136" s="123" t="s">
        <v>1551</v>
      </c>
      <c r="C136" s="123"/>
      <c r="D136" s="60" t="s">
        <v>2727</v>
      </c>
    </row>
    <row r="137" spans="1:4">
      <c r="A137" s="29">
        <v>16500</v>
      </c>
      <c r="B137" s="123" t="s">
        <v>1551</v>
      </c>
      <c r="C137" s="123"/>
      <c r="D137" s="60" t="s">
        <v>2727</v>
      </c>
    </row>
    <row r="138" spans="1:4">
      <c r="A138" s="29">
        <v>16500</v>
      </c>
      <c r="B138" s="123" t="s">
        <v>1551</v>
      </c>
      <c r="C138" s="123"/>
      <c r="D138" s="60" t="s">
        <v>2727</v>
      </c>
    </row>
    <row r="139" spans="1:4">
      <c r="A139" s="29">
        <v>16500</v>
      </c>
      <c r="B139" s="123" t="s">
        <v>1551</v>
      </c>
      <c r="C139" s="123"/>
      <c r="D139" s="60" t="s">
        <v>2727</v>
      </c>
    </row>
    <row r="140" spans="1:4">
      <c r="A140" s="29">
        <v>16500</v>
      </c>
      <c r="B140" s="123" t="s">
        <v>1551</v>
      </c>
      <c r="C140" s="123"/>
      <c r="D140" s="60" t="s">
        <v>2727</v>
      </c>
    </row>
    <row r="141" spans="1:4">
      <c r="A141" s="29">
        <v>16500</v>
      </c>
      <c r="B141" s="123" t="s">
        <v>1551</v>
      </c>
      <c r="C141" s="123"/>
      <c r="D141" s="60" t="s">
        <v>2727</v>
      </c>
    </row>
    <row r="142" spans="1:4">
      <c r="A142" s="29">
        <v>16500</v>
      </c>
      <c r="B142" s="123" t="s">
        <v>1551</v>
      </c>
      <c r="C142" s="123"/>
      <c r="D142" s="60" t="s">
        <v>2727</v>
      </c>
    </row>
    <row r="143" spans="1:4">
      <c r="A143" s="29">
        <v>16500</v>
      </c>
      <c r="B143" s="123" t="s">
        <v>1551</v>
      </c>
      <c r="C143" s="123"/>
      <c r="D143" s="60" t="s">
        <v>2727</v>
      </c>
    </row>
    <row r="144" spans="1:4">
      <c r="A144" s="29">
        <v>16500</v>
      </c>
      <c r="B144" s="123" t="s">
        <v>1551</v>
      </c>
      <c r="C144" s="123"/>
      <c r="D144" s="60" t="s">
        <v>2727</v>
      </c>
    </row>
    <row r="145" spans="1:4">
      <c r="A145" s="29">
        <v>11000</v>
      </c>
      <c r="B145" s="123" t="s">
        <v>1551</v>
      </c>
      <c r="C145" s="123"/>
      <c r="D145" s="60" t="s">
        <v>2727</v>
      </c>
    </row>
    <row r="146" spans="1:4">
      <c r="A146" s="29">
        <v>11000</v>
      </c>
      <c r="B146" s="123" t="s">
        <v>1551</v>
      </c>
      <c r="C146" s="123"/>
      <c r="D146" s="60" t="s">
        <v>2727</v>
      </c>
    </row>
    <row r="147" spans="1:4">
      <c r="A147" s="29">
        <v>11000</v>
      </c>
      <c r="B147" s="123" t="s">
        <v>1551</v>
      </c>
      <c r="C147" s="123"/>
      <c r="D147" s="60" t="s">
        <v>2727</v>
      </c>
    </row>
    <row r="148" spans="1:4">
      <c r="A148" s="29">
        <v>5000000</v>
      </c>
      <c r="B148" s="123" t="s">
        <v>1551</v>
      </c>
      <c r="C148" s="123"/>
      <c r="D148" s="60" t="s">
        <v>2727</v>
      </c>
    </row>
    <row r="149" spans="1:4">
      <c r="A149" s="29">
        <v>550000</v>
      </c>
      <c r="B149" s="123" t="s">
        <v>1551</v>
      </c>
      <c r="C149" s="123"/>
      <c r="D149" s="60" t="s">
        <v>2727</v>
      </c>
    </row>
    <row r="150" spans="1:4">
      <c r="A150" s="29">
        <v>998701</v>
      </c>
      <c r="B150" s="123" t="s">
        <v>1551</v>
      </c>
      <c r="C150" s="123"/>
      <c r="D150" s="60" t="s">
        <v>2727</v>
      </c>
    </row>
    <row r="151" spans="1:4">
      <c r="A151" s="29">
        <v>988724</v>
      </c>
      <c r="B151" s="123" t="s">
        <v>1551</v>
      </c>
      <c r="C151" s="123"/>
      <c r="D151" s="60" t="s">
        <v>2727</v>
      </c>
    </row>
    <row r="152" spans="1:4">
      <c r="A152" s="29">
        <v>1648832</v>
      </c>
      <c r="B152" s="123" t="s">
        <v>1551</v>
      </c>
      <c r="C152" s="123"/>
      <c r="D152" s="60" t="s">
        <v>2727</v>
      </c>
    </row>
    <row r="153" spans="1:4">
      <c r="A153" s="29">
        <v>466821</v>
      </c>
      <c r="B153" s="123" t="s">
        <v>1551</v>
      </c>
      <c r="C153" s="123"/>
      <c r="D153" s="60" t="s">
        <v>2727</v>
      </c>
    </row>
    <row r="154" spans="1:4">
      <c r="A154" s="29">
        <v>934368</v>
      </c>
      <c r="B154" s="123" t="s">
        <v>1551</v>
      </c>
      <c r="C154" s="123"/>
      <c r="D154" s="60" t="s">
        <v>2727</v>
      </c>
    </row>
    <row r="155" spans="1:4">
      <c r="A155" s="29">
        <v>604912</v>
      </c>
      <c r="B155" s="123" t="s">
        <v>1551</v>
      </c>
      <c r="C155" s="123"/>
      <c r="D155" s="60" t="s">
        <v>2727</v>
      </c>
    </row>
    <row r="156" spans="1:4">
      <c r="A156" s="29">
        <v>63225</v>
      </c>
      <c r="B156" s="123" t="s">
        <v>1551</v>
      </c>
      <c r="C156" s="123"/>
      <c r="D156" s="60" t="s">
        <v>2727</v>
      </c>
    </row>
    <row r="157" spans="1:4">
      <c r="A157" s="29">
        <v>559512</v>
      </c>
      <c r="B157" s="123" t="s">
        <v>1551</v>
      </c>
      <c r="C157" s="123"/>
      <c r="D157" s="60" t="s">
        <v>2727</v>
      </c>
    </row>
    <row r="158" spans="1:4">
      <c r="A158" s="29">
        <v>600625</v>
      </c>
      <c r="B158" s="123" t="s">
        <v>1551</v>
      </c>
      <c r="C158" s="123"/>
      <c r="D158" s="60" t="s">
        <v>2727</v>
      </c>
    </row>
    <row r="159" spans="1:4">
      <c r="A159" s="29">
        <v>87697</v>
      </c>
      <c r="B159" s="123" t="s">
        <v>1551</v>
      </c>
      <c r="C159" s="123"/>
      <c r="D159" s="60" t="s">
        <v>2727</v>
      </c>
    </row>
    <row r="160" spans="1:4">
      <c r="A160" s="29">
        <v>767847</v>
      </c>
      <c r="B160" s="123" t="s">
        <v>1551</v>
      </c>
      <c r="C160" s="123"/>
      <c r="D160" s="60" t="s">
        <v>2727</v>
      </c>
    </row>
    <row r="161" spans="1:6">
      <c r="A161" s="29">
        <v>831243</v>
      </c>
      <c r="B161" s="123" t="s">
        <v>1551</v>
      </c>
      <c r="C161" s="123"/>
      <c r="D161" s="60" t="s">
        <v>2727</v>
      </c>
    </row>
    <row r="162" spans="1:6">
      <c r="A162" s="29">
        <v>126677</v>
      </c>
      <c r="B162" s="123" t="s">
        <v>1551</v>
      </c>
      <c r="C162" s="123"/>
      <c r="D162" s="60" t="s">
        <v>2727</v>
      </c>
    </row>
    <row r="163" spans="1:6">
      <c r="A163" s="29">
        <v>458786</v>
      </c>
      <c r="B163" s="123" t="s">
        <v>1551</v>
      </c>
      <c r="C163" s="123"/>
      <c r="D163" s="60" t="s">
        <v>2727</v>
      </c>
    </row>
    <row r="164" spans="1:6">
      <c r="A164" s="29">
        <v>121994</v>
      </c>
      <c r="B164" s="123" t="s">
        <v>1551</v>
      </c>
      <c r="C164" s="123"/>
      <c r="D164" s="60" t="s">
        <v>2727</v>
      </c>
    </row>
    <row r="165" spans="1:6">
      <c r="A165" s="29">
        <v>999507</v>
      </c>
      <c r="B165" s="123" t="s">
        <v>1551</v>
      </c>
      <c r="C165" s="123"/>
      <c r="D165" s="60" t="s">
        <v>2727</v>
      </c>
    </row>
    <row r="166" spans="1:6">
      <c r="A166" s="29">
        <v>1054446</v>
      </c>
      <c r="B166" s="123" t="s">
        <v>1551</v>
      </c>
      <c r="C166" s="123"/>
      <c r="D166" s="60" t="s">
        <v>2727</v>
      </c>
    </row>
    <row r="167" spans="1:6">
      <c r="A167" s="29">
        <v>20160</v>
      </c>
      <c r="B167" s="123" t="s">
        <v>1551</v>
      </c>
      <c r="C167" s="123"/>
      <c r="D167" s="60" t="s">
        <v>2727</v>
      </c>
    </row>
    <row r="168" spans="1:6">
      <c r="A168" s="29">
        <v>1764899</v>
      </c>
      <c r="B168" s="123" t="s">
        <v>1551</v>
      </c>
      <c r="C168" s="123"/>
      <c r="D168" s="60" t="s">
        <v>2727</v>
      </c>
    </row>
    <row r="169" spans="1:6">
      <c r="A169" s="29">
        <v>449376</v>
      </c>
      <c r="B169" s="123" t="s">
        <v>1551</v>
      </c>
      <c r="C169" s="123"/>
      <c r="D169" s="60" t="s">
        <v>2727</v>
      </c>
    </row>
    <row r="170" spans="1:6">
      <c r="A170" s="29">
        <v>60854</v>
      </c>
      <c r="B170" s="123" t="s">
        <v>1551</v>
      </c>
      <c r="C170" s="123"/>
      <c r="D170" s="60" t="s">
        <v>2727</v>
      </c>
    </row>
    <row r="171" spans="1:6">
      <c r="A171" s="29">
        <v>155927</v>
      </c>
      <c r="B171" s="123" t="s">
        <v>1551</v>
      </c>
      <c r="C171" s="123"/>
      <c r="D171" s="60" t="s">
        <v>2727</v>
      </c>
    </row>
    <row r="172" spans="1:6">
      <c r="A172" s="29">
        <v>97907</v>
      </c>
      <c r="B172" s="123" t="s">
        <v>1551</v>
      </c>
      <c r="C172" s="123"/>
      <c r="D172" s="60" t="s">
        <v>2727</v>
      </c>
    </row>
    <row r="173" spans="1:6">
      <c r="A173" s="29">
        <v>114924</v>
      </c>
      <c r="B173" s="123" t="s">
        <v>1551</v>
      </c>
      <c r="C173" s="123"/>
      <c r="D173" s="60" t="s">
        <v>2727</v>
      </c>
    </row>
    <row r="174" spans="1:6">
      <c r="A174" s="29">
        <v>95935</v>
      </c>
      <c r="B174" s="123" t="s">
        <v>1551</v>
      </c>
      <c r="C174" s="123"/>
      <c r="D174" s="60" t="s">
        <v>2727</v>
      </c>
    </row>
    <row r="175" spans="1:6">
      <c r="A175" s="29">
        <v>13100</v>
      </c>
      <c r="B175" s="123" t="s">
        <v>1551</v>
      </c>
      <c r="C175" s="123"/>
      <c r="D175" s="60" t="s">
        <v>2727</v>
      </c>
      <c r="F175" s="29"/>
    </row>
    <row r="176" spans="1:6">
      <c r="A176" s="29">
        <v>204952</v>
      </c>
      <c r="B176" s="123" t="s">
        <v>1551</v>
      </c>
      <c r="C176" s="123"/>
      <c r="D176" s="60" t="s">
        <v>2727</v>
      </c>
    </row>
    <row r="177" spans="1:4">
      <c r="A177" s="29">
        <v>5488</v>
      </c>
      <c r="B177" s="123" t="s">
        <v>1551</v>
      </c>
      <c r="C177" s="123"/>
      <c r="D177" s="60" t="s">
        <v>2727</v>
      </c>
    </row>
    <row r="178" spans="1:4">
      <c r="A178" s="29">
        <v>424825</v>
      </c>
      <c r="B178" s="123" t="s">
        <v>1551</v>
      </c>
      <c r="C178" s="123"/>
      <c r="D178" s="60" t="s">
        <v>2727</v>
      </c>
    </row>
    <row r="179" spans="1:4">
      <c r="A179" s="29">
        <v>1346156</v>
      </c>
      <c r="B179" s="123" t="s">
        <v>1551</v>
      </c>
      <c r="C179" s="123"/>
      <c r="D179" s="60" t="s">
        <v>2727</v>
      </c>
    </row>
    <row r="180" spans="1:4">
      <c r="A180" s="29">
        <v>393554</v>
      </c>
      <c r="B180" s="123" t="s">
        <v>1551</v>
      </c>
      <c r="C180" s="123"/>
      <c r="D180" s="60" t="s">
        <v>2727</v>
      </c>
    </row>
    <row r="181" spans="1:4">
      <c r="A181" s="29">
        <v>4988931</v>
      </c>
      <c r="B181" s="123" t="s">
        <v>1551</v>
      </c>
      <c r="C181" s="123"/>
      <c r="D181" s="60" t="s">
        <v>2727</v>
      </c>
    </row>
    <row r="182" spans="1:4">
      <c r="A182" s="29">
        <v>381703</v>
      </c>
      <c r="B182" s="123" t="s">
        <v>1551</v>
      </c>
      <c r="C182" s="123"/>
      <c r="D182" s="60" t="s">
        <v>2727</v>
      </c>
    </row>
    <row r="183" spans="1:4">
      <c r="A183" s="29">
        <v>104271</v>
      </c>
      <c r="B183" s="123" t="s">
        <v>1551</v>
      </c>
      <c r="C183" s="123"/>
      <c r="D183" s="60" t="s">
        <v>2727</v>
      </c>
    </row>
    <row r="184" spans="1:4">
      <c r="A184" s="29">
        <v>124934</v>
      </c>
      <c r="B184" s="123" t="s">
        <v>1551</v>
      </c>
      <c r="C184" s="123"/>
      <c r="D184" s="60" t="s">
        <v>2727</v>
      </c>
    </row>
    <row r="185" spans="1:4">
      <c r="A185" s="29">
        <v>104119</v>
      </c>
      <c r="B185" s="123" t="s">
        <v>1551</v>
      </c>
      <c r="C185" s="123"/>
      <c r="D185" s="60" t="s">
        <v>2727</v>
      </c>
    </row>
    <row r="186" spans="1:4">
      <c r="A186" s="29">
        <v>86587</v>
      </c>
      <c r="B186" s="123" t="s">
        <v>1551</v>
      </c>
      <c r="C186" s="123"/>
      <c r="D186" s="60" t="s">
        <v>2727</v>
      </c>
    </row>
    <row r="187" spans="1:4">
      <c r="A187" s="29">
        <v>1088767</v>
      </c>
      <c r="B187" s="123" t="s">
        <v>1551</v>
      </c>
      <c r="C187" s="123"/>
      <c r="D187" s="60" t="s">
        <v>2727</v>
      </c>
    </row>
    <row r="188" spans="1:4">
      <c r="A188" s="29">
        <v>134902</v>
      </c>
      <c r="B188" s="123" t="s">
        <v>1551</v>
      </c>
      <c r="C188" s="123"/>
      <c r="D188" s="60" t="s">
        <v>2727</v>
      </c>
    </row>
    <row r="189" spans="1:4">
      <c r="A189" s="29">
        <v>333645</v>
      </c>
      <c r="B189" s="123" t="s">
        <v>1551</v>
      </c>
      <c r="C189" s="123"/>
      <c r="D189" s="60" t="s">
        <v>2727</v>
      </c>
    </row>
    <row r="190" spans="1:4">
      <c r="A190" s="29">
        <v>121820</v>
      </c>
      <c r="B190" s="123" t="s">
        <v>1551</v>
      </c>
      <c r="C190" s="123"/>
      <c r="D190" s="60" t="s">
        <v>2727</v>
      </c>
    </row>
    <row r="191" spans="1:4">
      <c r="A191" s="29">
        <v>233821</v>
      </c>
      <c r="B191" s="123" t="s">
        <v>1551</v>
      </c>
      <c r="C191" s="123"/>
      <c r="D191" s="60" t="s">
        <v>2727</v>
      </c>
    </row>
    <row r="192" spans="1:4">
      <c r="A192" s="29">
        <v>51389</v>
      </c>
      <c r="B192" s="123" t="s">
        <v>1551</v>
      </c>
      <c r="C192" s="123"/>
      <c r="D192" s="60" t="s">
        <v>2727</v>
      </c>
    </row>
    <row r="193" spans="1:4">
      <c r="A193" s="29">
        <v>92598</v>
      </c>
      <c r="B193" s="123" t="s">
        <v>1551</v>
      </c>
      <c r="C193" s="123"/>
      <c r="D193" s="60" t="s">
        <v>2727</v>
      </c>
    </row>
    <row r="194" spans="1:4">
      <c r="A194" s="29">
        <v>430361</v>
      </c>
      <c r="B194" s="123" t="s">
        <v>1551</v>
      </c>
      <c r="C194" s="123"/>
      <c r="D194" s="60" t="s">
        <v>2727</v>
      </c>
    </row>
    <row r="195" spans="1:4">
      <c r="A195" s="29">
        <v>635518</v>
      </c>
      <c r="B195" s="123" t="s">
        <v>1551</v>
      </c>
      <c r="C195" s="123"/>
      <c r="D195" s="60" t="s">
        <v>2727</v>
      </c>
    </row>
    <row r="196" spans="1:4">
      <c r="A196" s="29">
        <v>34756</v>
      </c>
      <c r="B196" s="123" t="s">
        <v>1551</v>
      </c>
      <c r="C196" s="123"/>
      <c r="D196" s="60" t="s">
        <v>2727</v>
      </c>
    </row>
    <row r="197" spans="1:4">
      <c r="A197" s="29">
        <v>29871</v>
      </c>
      <c r="B197" s="123" t="s">
        <v>1551</v>
      </c>
      <c r="C197" s="123"/>
      <c r="D197" s="60" t="s">
        <v>2727</v>
      </c>
    </row>
    <row r="198" spans="1:4">
      <c r="A198" s="29">
        <v>219151</v>
      </c>
      <c r="B198" s="123" t="s">
        <v>1551</v>
      </c>
      <c r="C198" s="123"/>
      <c r="D198" s="60" t="s">
        <v>2727</v>
      </c>
    </row>
    <row r="199" spans="1:4">
      <c r="A199" s="29">
        <v>602064</v>
      </c>
      <c r="B199" s="123" t="s">
        <v>1551</v>
      </c>
      <c r="C199" s="123"/>
      <c r="D199" s="60" t="s">
        <v>2727</v>
      </c>
    </row>
    <row r="200" spans="1:4">
      <c r="A200" s="29">
        <v>1665700</v>
      </c>
      <c r="B200" s="123" t="s">
        <v>1551</v>
      </c>
      <c r="C200" s="123"/>
      <c r="D200" s="60" t="s">
        <v>2727</v>
      </c>
    </row>
    <row r="201" spans="1:4">
      <c r="A201" s="29">
        <v>13200</v>
      </c>
      <c r="B201" s="123" t="s">
        <v>1551</v>
      </c>
      <c r="C201" s="123"/>
      <c r="D201" s="60" t="s">
        <v>2727</v>
      </c>
    </row>
    <row r="202" spans="1:4">
      <c r="A202" s="29">
        <v>47298</v>
      </c>
      <c r="B202" s="123" t="s">
        <v>1551</v>
      </c>
      <c r="C202" s="123"/>
      <c r="D202" s="60" t="s">
        <v>2727</v>
      </c>
    </row>
    <row r="203" spans="1:4">
      <c r="A203" s="29">
        <v>64381</v>
      </c>
      <c r="B203" s="123" t="s">
        <v>1551</v>
      </c>
      <c r="C203" s="123"/>
      <c r="D203" s="60" t="s">
        <v>2727</v>
      </c>
    </row>
    <row r="204" spans="1:4">
      <c r="A204" s="29">
        <v>34200</v>
      </c>
      <c r="B204" s="123" t="s">
        <v>1551</v>
      </c>
      <c r="C204" s="123"/>
      <c r="D204" s="60" t="s">
        <v>2727</v>
      </c>
    </row>
    <row r="205" spans="1:4">
      <c r="A205" s="29">
        <v>90344</v>
      </c>
      <c r="B205" s="123" t="s">
        <v>1551</v>
      </c>
      <c r="C205" s="123"/>
      <c r="D205" s="60" t="s">
        <v>2727</v>
      </c>
    </row>
    <row r="206" spans="1:4">
      <c r="A206" s="29">
        <v>53472</v>
      </c>
      <c r="B206" s="123" t="s">
        <v>1551</v>
      </c>
      <c r="C206" s="123"/>
      <c r="D206" s="60" t="s">
        <v>2727</v>
      </c>
    </row>
    <row r="207" spans="1:4">
      <c r="A207" s="29">
        <v>61573</v>
      </c>
      <c r="B207" s="123" t="s">
        <v>1551</v>
      </c>
      <c r="C207" s="123"/>
      <c r="D207" s="60" t="s">
        <v>2727</v>
      </c>
    </row>
    <row r="208" spans="1:4">
      <c r="A208" s="29">
        <v>126957</v>
      </c>
      <c r="B208" s="123" t="s">
        <v>1551</v>
      </c>
      <c r="C208" s="123"/>
      <c r="D208" s="60" t="s">
        <v>2727</v>
      </c>
    </row>
    <row r="209" spans="1:10">
      <c r="A209" s="29">
        <v>101902</v>
      </c>
      <c r="B209" s="123" t="s">
        <v>1551</v>
      </c>
      <c r="C209" s="123"/>
      <c r="D209" s="60" t="s">
        <v>2727</v>
      </c>
    </row>
    <row r="210" spans="1:10">
      <c r="A210" s="29">
        <v>2648887</v>
      </c>
      <c r="B210" s="123" t="s">
        <v>1551</v>
      </c>
      <c r="C210" s="123"/>
      <c r="D210" s="60" t="s">
        <v>2727</v>
      </c>
    </row>
    <row r="211" spans="1:10">
      <c r="A211" s="29">
        <v>1408912</v>
      </c>
      <c r="B211" s="123" t="s">
        <v>1551</v>
      </c>
      <c r="C211" s="123"/>
      <c r="D211" s="60" t="s">
        <v>2727</v>
      </c>
      <c r="J211" t="s">
        <v>2807</v>
      </c>
    </row>
    <row r="212" spans="1:10">
      <c r="A212" s="29">
        <v>302944</v>
      </c>
      <c r="B212" s="123" t="s">
        <v>1551</v>
      </c>
      <c r="C212" s="123"/>
      <c r="D212" s="60" t="s">
        <v>2727</v>
      </c>
      <c r="J212" t="s">
        <v>2808</v>
      </c>
    </row>
    <row r="213" spans="1:10">
      <c r="A213" s="29">
        <v>77118</v>
      </c>
      <c r="B213" s="123" t="s">
        <v>1551</v>
      </c>
      <c r="C213" s="123"/>
      <c r="D213" s="60" t="s">
        <v>2727</v>
      </c>
    </row>
    <row r="214" spans="1:10">
      <c r="A214" s="29">
        <v>90730</v>
      </c>
      <c r="B214" s="123" t="s">
        <v>1551</v>
      </c>
      <c r="C214" s="123"/>
      <c r="D214" s="60" t="s">
        <v>2727</v>
      </c>
      <c r="J214" t="s">
        <v>2807</v>
      </c>
    </row>
    <row r="215" spans="1:10">
      <c r="A215" s="29">
        <v>10435</v>
      </c>
      <c r="B215" s="123" t="s">
        <v>1551</v>
      </c>
      <c r="C215" s="123"/>
      <c r="D215" s="60" t="s">
        <v>2727</v>
      </c>
      <c r="J215" t="s">
        <v>2808</v>
      </c>
    </row>
    <row r="216" spans="1:10">
      <c r="A216" s="29">
        <v>420615</v>
      </c>
      <c r="B216" s="123" t="s">
        <v>1551</v>
      </c>
      <c r="C216" s="123"/>
      <c r="D216" s="60" t="s">
        <v>2727</v>
      </c>
    </row>
    <row r="217" spans="1:10">
      <c r="A217" s="29">
        <v>465783</v>
      </c>
      <c r="B217" s="123" t="s">
        <v>1551</v>
      </c>
      <c r="C217" s="123"/>
      <c r="D217" s="60" t="s">
        <v>2727</v>
      </c>
    </row>
    <row r="218" spans="1:10">
      <c r="A218" s="29">
        <v>265150</v>
      </c>
      <c r="B218" s="123" t="s">
        <v>1551</v>
      </c>
      <c r="C218" s="123"/>
      <c r="D218" s="60" t="s">
        <v>2727</v>
      </c>
    </row>
    <row r="219" spans="1:10">
      <c r="A219" s="29">
        <v>86744</v>
      </c>
      <c r="B219" s="123" t="s">
        <v>1551</v>
      </c>
      <c r="C219" s="123"/>
      <c r="D219" s="60" t="s">
        <v>2727</v>
      </c>
    </row>
    <row r="220" spans="1:10">
      <c r="A220" s="29">
        <v>85851</v>
      </c>
      <c r="B220" s="123" t="s">
        <v>1551</v>
      </c>
      <c r="C220" s="123"/>
      <c r="D220" s="60" t="s">
        <v>2727</v>
      </c>
    </row>
    <row r="221" spans="1:10">
      <c r="A221" s="29">
        <v>443339</v>
      </c>
      <c r="B221" s="123" t="s">
        <v>1551</v>
      </c>
      <c r="C221" s="123"/>
      <c r="D221" s="60" t="s">
        <v>1588</v>
      </c>
    </row>
    <row r="222" spans="1:10">
      <c r="A222" s="29">
        <v>63206</v>
      </c>
      <c r="B222" s="123" t="s">
        <v>1551</v>
      </c>
      <c r="C222" s="123"/>
      <c r="D222" s="60" t="s">
        <v>2727</v>
      </c>
    </row>
    <row r="223" spans="1:10">
      <c r="A223" s="29">
        <v>92747</v>
      </c>
      <c r="B223" s="123" t="s">
        <v>1551</v>
      </c>
      <c r="C223" s="123"/>
      <c r="D223" s="60" t="s">
        <v>2727</v>
      </c>
    </row>
    <row r="224" spans="1:10">
      <c r="A224" s="29">
        <v>20475</v>
      </c>
      <c r="B224" s="123" t="s">
        <v>1551</v>
      </c>
      <c r="C224" s="123"/>
      <c r="D224" s="60" t="s">
        <v>2727</v>
      </c>
    </row>
    <row r="225" spans="1:4">
      <c r="A225" s="29">
        <v>5000000</v>
      </c>
      <c r="B225" s="123" t="s">
        <v>1551</v>
      </c>
      <c r="C225" s="123"/>
      <c r="D225" s="60" t="s">
        <v>2727</v>
      </c>
    </row>
    <row r="226" spans="1:4">
      <c r="A226" s="29">
        <v>3000000</v>
      </c>
      <c r="B226" s="123" t="s">
        <v>1551</v>
      </c>
      <c r="C226" s="123"/>
      <c r="D226" s="60" t="s">
        <v>2727</v>
      </c>
    </row>
    <row r="227" spans="1:4">
      <c r="A227" s="29">
        <v>1702530</v>
      </c>
      <c r="B227" s="123" t="s">
        <v>1551</v>
      </c>
      <c r="C227" s="123"/>
      <c r="D227" s="60" t="s">
        <v>2727</v>
      </c>
    </row>
    <row r="228" spans="1:4">
      <c r="A228" s="29">
        <v>5000000</v>
      </c>
      <c r="B228" s="123" t="s">
        <v>1551</v>
      </c>
      <c r="C228" s="123"/>
      <c r="D228" s="60" t="s">
        <v>2727</v>
      </c>
    </row>
    <row r="229" spans="1:4">
      <c r="A229" s="29">
        <v>1763369.7</v>
      </c>
      <c r="B229" s="123" t="s">
        <v>1551</v>
      </c>
      <c r="C229" s="123"/>
      <c r="D229" s="60" t="s">
        <v>2727</v>
      </c>
    </row>
    <row r="230" spans="1:4">
      <c r="A230" s="29">
        <v>427366.5</v>
      </c>
      <c r="B230" s="123" t="s">
        <v>1551</v>
      </c>
      <c r="C230" s="123"/>
      <c r="D230" s="60" t="s">
        <v>2727</v>
      </c>
    </row>
    <row r="231" spans="1:4">
      <c r="A231" s="29">
        <v>205000</v>
      </c>
      <c r="B231" s="123" t="s">
        <v>1551</v>
      </c>
      <c r="C231" s="123"/>
      <c r="D231" s="60" t="s">
        <v>2727</v>
      </c>
    </row>
    <row r="232" spans="1:4">
      <c r="A232" s="29">
        <v>30233</v>
      </c>
      <c r="B232" s="123" t="s">
        <v>1551</v>
      </c>
      <c r="C232" s="123"/>
      <c r="D232" s="60" t="s">
        <v>2727</v>
      </c>
    </row>
    <row r="233" spans="1:4">
      <c r="A233" s="29">
        <v>119048</v>
      </c>
      <c r="B233" s="123" t="s">
        <v>1551</v>
      </c>
      <c r="C233" s="123"/>
      <c r="D233" s="60" t="s">
        <v>2727</v>
      </c>
    </row>
    <row r="234" spans="1:4">
      <c r="A234" s="29">
        <v>176068</v>
      </c>
      <c r="B234" s="123" t="s">
        <v>1551</v>
      </c>
      <c r="C234" s="123"/>
      <c r="D234" s="60" t="s">
        <v>2727</v>
      </c>
    </row>
    <row r="235" spans="1:4">
      <c r="A235" s="29">
        <v>1721170</v>
      </c>
      <c r="B235" s="123" t="s">
        <v>1551</v>
      </c>
      <c r="C235" s="123"/>
      <c r="D235" s="60" t="s">
        <v>2727</v>
      </c>
    </row>
    <row r="236" spans="1:4">
      <c r="A236" s="29">
        <v>57200</v>
      </c>
      <c r="B236" s="123" t="s">
        <v>1551</v>
      </c>
      <c r="C236" s="123"/>
      <c r="D236" s="60" t="s">
        <v>2727</v>
      </c>
    </row>
    <row r="237" spans="1:4">
      <c r="A237" s="29">
        <v>10000</v>
      </c>
      <c r="B237" s="123" t="s">
        <v>1551</v>
      </c>
      <c r="C237" s="123"/>
      <c r="D237" s="60" t="s">
        <v>2727</v>
      </c>
    </row>
    <row r="238" spans="1:4">
      <c r="A238" s="29">
        <v>8000</v>
      </c>
      <c r="B238" s="123" t="s">
        <v>1551</v>
      </c>
      <c r="C238" s="123"/>
      <c r="D238" s="60" t="s">
        <v>2727</v>
      </c>
    </row>
    <row r="239" spans="1:4">
      <c r="A239" s="29">
        <v>67508</v>
      </c>
      <c r="B239" s="123" t="s">
        <v>1551</v>
      </c>
      <c r="C239" s="123"/>
      <c r="D239" s="60" t="s">
        <v>2727</v>
      </c>
    </row>
    <row r="240" spans="1:4">
      <c r="A240" s="29">
        <v>140700</v>
      </c>
      <c r="B240" s="123" t="s">
        <v>1551</v>
      </c>
      <c r="C240" s="123"/>
      <c r="D240" s="60" t="s">
        <v>2727</v>
      </c>
    </row>
    <row r="241" spans="1:4">
      <c r="A241" s="29">
        <v>4000</v>
      </c>
      <c r="B241" s="123" t="s">
        <v>1551</v>
      </c>
      <c r="C241" s="123"/>
      <c r="D241" s="60" t="s">
        <v>2727</v>
      </c>
    </row>
    <row r="242" spans="1:4">
      <c r="A242" s="29">
        <v>1015881.2999999999</v>
      </c>
      <c r="B242" s="123" t="s">
        <v>1551</v>
      </c>
      <c r="C242" s="123"/>
      <c r="D242" s="60" t="s">
        <v>2727</v>
      </c>
    </row>
    <row r="243" spans="1:4">
      <c r="A243" s="29">
        <v>149449.70000000001</v>
      </c>
      <c r="B243" s="123" t="s">
        <v>1551</v>
      </c>
      <c r="C243" s="123"/>
      <c r="D243" s="60" t="s">
        <v>2727</v>
      </c>
    </row>
    <row r="244" spans="1:4">
      <c r="A244" s="29">
        <v>275605</v>
      </c>
      <c r="B244" s="123" t="s">
        <v>1551</v>
      </c>
      <c r="C244" s="123"/>
      <c r="D244" s="60" t="s">
        <v>2727</v>
      </c>
    </row>
    <row r="245" spans="1:4">
      <c r="A245" s="29">
        <v>92650</v>
      </c>
      <c r="B245" s="123" t="s">
        <v>1551</v>
      </c>
      <c r="C245" s="123"/>
      <c r="D245" s="60" t="s">
        <v>2727</v>
      </c>
    </row>
    <row r="246" spans="1:4">
      <c r="A246" s="29">
        <v>843804.27777777775</v>
      </c>
      <c r="B246" s="123" t="s">
        <v>1551</v>
      </c>
      <c r="C246" s="123"/>
      <c r="D246" s="60" t="s">
        <v>2727</v>
      </c>
    </row>
    <row r="247" spans="1:4">
      <c r="A247" s="29">
        <v>4000</v>
      </c>
      <c r="B247" s="123" t="s">
        <v>1551</v>
      </c>
      <c r="C247" s="123"/>
      <c r="D247" s="60" t="s">
        <v>2727</v>
      </c>
    </row>
    <row r="248" spans="1:4">
      <c r="A248" s="29">
        <v>4000</v>
      </c>
      <c r="B248" s="123" t="s">
        <v>1551</v>
      </c>
      <c r="C248" s="123"/>
      <c r="D248" s="60" t="s">
        <v>2727</v>
      </c>
    </row>
    <row r="249" spans="1:4">
      <c r="A249" s="29">
        <v>4000</v>
      </c>
      <c r="B249" s="123" t="s">
        <v>1551</v>
      </c>
      <c r="C249" s="123"/>
      <c r="D249" s="60" t="s">
        <v>2727</v>
      </c>
    </row>
    <row r="250" spans="1:4">
      <c r="A250" s="29">
        <v>23961</v>
      </c>
      <c r="B250" s="123" t="s">
        <v>1551</v>
      </c>
      <c r="C250" s="123"/>
      <c r="D250" s="60" t="s">
        <v>2727</v>
      </c>
    </row>
    <row r="251" spans="1:4">
      <c r="A251" s="29">
        <v>4000</v>
      </c>
      <c r="B251" s="123" t="s">
        <v>1551</v>
      </c>
      <c r="C251" s="123"/>
      <c r="D251" s="60" t="s">
        <v>2727</v>
      </c>
    </row>
    <row r="252" spans="1:4">
      <c r="A252" s="29">
        <v>4000</v>
      </c>
      <c r="B252" s="123" t="s">
        <v>1551</v>
      </c>
      <c r="C252" s="123"/>
      <c r="D252" s="60" t="s">
        <v>2727</v>
      </c>
    </row>
    <row r="253" spans="1:4">
      <c r="A253" s="29">
        <v>4000</v>
      </c>
      <c r="B253" s="123" t="s">
        <v>1551</v>
      </c>
      <c r="C253" s="123"/>
      <c r="D253" s="60" t="s">
        <v>2727</v>
      </c>
    </row>
    <row r="254" spans="1:4">
      <c r="A254" s="29">
        <v>119911</v>
      </c>
      <c r="B254" s="123" t="s">
        <v>1551</v>
      </c>
      <c r="C254" s="123"/>
      <c r="D254" s="60" t="s">
        <v>2727</v>
      </c>
    </row>
    <row r="255" spans="1:4">
      <c r="A255" s="29">
        <v>1244430</v>
      </c>
      <c r="B255" s="123" t="s">
        <v>1551</v>
      </c>
      <c r="C255" s="123"/>
      <c r="D255" s="60" t="s">
        <v>2727</v>
      </c>
    </row>
    <row r="256" spans="1:4">
      <c r="A256" s="29">
        <v>843057</v>
      </c>
      <c r="B256" s="123" t="s">
        <v>1551</v>
      </c>
      <c r="C256" s="123"/>
      <c r="D256" s="60" t="s">
        <v>2727</v>
      </c>
    </row>
    <row r="257" spans="1:4">
      <c r="A257" s="29">
        <v>197750</v>
      </c>
      <c r="B257" s="123" t="s">
        <v>1551</v>
      </c>
      <c r="C257" s="123"/>
      <c r="D257" s="60" t="s">
        <v>2727</v>
      </c>
    </row>
    <row r="258" spans="1:4">
      <c r="A258" s="29">
        <v>750764</v>
      </c>
      <c r="B258" s="123" t="s">
        <v>1551</v>
      </c>
      <c r="C258" s="123"/>
      <c r="D258" s="60" t="s">
        <v>2727</v>
      </c>
    </row>
    <row r="259" spans="1:4">
      <c r="A259" s="29">
        <v>613014</v>
      </c>
      <c r="B259" s="123" t="s">
        <v>1551</v>
      </c>
      <c r="C259" s="123"/>
      <c r="D259" s="60" t="s">
        <v>2727</v>
      </c>
    </row>
    <row r="260" spans="1:4">
      <c r="A260" s="29">
        <v>787993</v>
      </c>
      <c r="B260" s="123" t="s">
        <v>1551</v>
      </c>
      <c r="C260" s="123"/>
      <c r="D260" s="60" t="s">
        <v>2727</v>
      </c>
    </row>
    <row r="261" spans="1:4">
      <c r="A261" s="29">
        <v>22000</v>
      </c>
      <c r="B261" s="123" t="s">
        <v>1551</v>
      </c>
      <c r="C261" s="123"/>
      <c r="D261" s="60" t="s">
        <v>2727</v>
      </c>
    </row>
    <row r="262" spans="1:4">
      <c r="A262" s="29">
        <v>78167</v>
      </c>
      <c r="B262" s="123" t="s">
        <v>1551</v>
      </c>
      <c r="C262" s="123"/>
      <c r="D262" s="60" t="s">
        <v>2727</v>
      </c>
    </row>
    <row r="263" spans="1:4">
      <c r="A263" s="29">
        <v>166001</v>
      </c>
      <c r="B263" s="123" t="s">
        <v>1551</v>
      </c>
      <c r="C263" s="123"/>
      <c r="D263" s="60" t="s">
        <v>2727</v>
      </c>
    </row>
    <row r="264" spans="1:4">
      <c r="A264" s="29">
        <v>490426</v>
      </c>
      <c r="B264" s="123" t="s">
        <v>1551</v>
      </c>
      <c r="C264" s="123"/>
      <c r="D264" s="60" t="s">
        <v>2727</v>
      </c>
    </row>
    <row r="265" spans="1:4">
      <c r="A265" s="29">
        <v>226925</v>
      </c>
      <c r="B265" s="123" t="s">
        <v>1551</v>
      </c>
      <c r="C265" s="123"/>
      <c r="D265" s="60" t="s">
        <v>2727</v>
      </c>
    </row>
    <row r="266" spans="1:4">
      <c r="A266" s="29">
        <v>247595</v>
      </c>
      <c r="B266" s="123" t="s">
        <v>1551</v>
      </c>
      <c r="C266" s="123"/>
      <c r="D266" s="60" t="s">
        <v>2727</v>
      </c>
    </row>
    <row r="267" spans="1:4">
      <c r="A267" s="29">
        <v>68718</v>
      </c>
      <c r="B267" s="123" t="s">
        <v>1551</v>
      </c>
      <c r="C267" s="123"/>
      <c r="D267" s="60" t="s">
        <v>2727</v>
      </c>
    </row>
    <row r="268" spans="1:4">
      <c r="A268" s="29">
        <v>426408</v>
      </c>
      <c r="B268" s="123" t="s">
        <v>1551</v>
      </c>
      <c r="C268" s="123"/>
      <c r="D268" s="60" t="s">
        <v>2727</v>
      </c>
    </row>
    <row r="269" spans="1:4">
      <c r="A269" s="29">
        <v>232316</v>
      </c>
      <c r="B269" s="123" t="s">
        <v>1551</v>
      </c>
      <c r="C269" s="123"/>
      <c r="D269" s="60" t="s">
        <v>2727</v>
      </c>
    </row>
    <row r="270" spans="1:4">
      <c r="A270" s="29">
        <v>285760</v>
      </c>
      <c r="B270" s="123" t="s">
        <v>1551</v>
      </c>
      <c r="C270" s="123"/>
      <c r="D270" s="60" t="s">
        <v>2727</v>
      </c>
    </row>
    <row r="271" spans="1:4">
      <c r="A271" s="29">
        <v>434966</v>
      </c>
      <c r="B271" s="123" t="s">
        <v>1551</v>
      </c>
      <c r="C271" s="123"/>
      <c r="D271" s="60" t="s">
        <v>2727</v>
      </c>
    </row>
    <row r="272" spans="1:4">
      <c r="A272" s="29">
        <v>12209</v>
      </c>
      <c r="B272" s="123" t="s">
        <v>1551</v>
      </c>
      <c r="C272" s="123"/>
      <c r="D272" s="60" t="s">
        <v>2727</v>
      </c>
    </row>
    <row r="273" spans="1:6">
      <c r="A273" s="29">
        <v>624152</v>
      </c>
      <c r="B273" s="123" t="s">
        <v>1551</v>
      </c>
      <c r="C273" s="123"/>
      <c r="D273" s="60" t="s">
        <v>2727</v>
      </c>
    </row>
    <row r="274" spans="1:6">
      <c r="A274" s="29">
        <v>493686</v>
      </c>
      <c r="B274" s="123" t="s">
        <v>1551</v>
      </c>
      <c r="C274" s="123"/>
      <c r="D274" s="60" t="s">
        <v>2727</v>
      </c>
      <c r="F274" s="29"/>
    </row>
    <row r="275" spans="1:6">
      <c r="A275" s="29">
        <v>7514</v>
      </c>
      <c r="B275" s="123" t="s">
        <v>1551</v>
      </c>
      <c r="C275" s="123"/>
      <c r="D275" s="60" t="s">
        <v>2727</v>
      </c>
      <c r="F275" s="29"/>
    </row>
    <row r="276" spans="1:6">
      <c r="A276" s="29">
        <v>33999.300000000003</v>
      </c>
      <c r="B276" s="123" t="s">
        <v>1551</v>
      </c>
      <c r="C276" s="123"/>
      <c r="D276" s="60" t="s">
        <v>2727</v>
      </c>
      <c r="F276" s="29"/>
    </row>
    <row r="277" spans="1:6">
      <c r="A277" s="29">
        <v>64350</v>
      </c>
      <c r="B277" s="123" t="s">
        <v>1551</v>
      </c>
      <c r="C277" s="123"/>
      <c r="D277" s="60" t="s">
        <v>2727</v>
      </c>
      <c r="F277" s="29"/>
    </row>
    <row r="278" spans="1:6">
      <c r="A278" s="29">
        <v>23439</v>
      </c>
      <c r="B278" s="123" t="s">
        <v>1551</v>
      </c>
      <c r="C278" s="123"/>
      <c r="D278" s="60" t="s">
        <v>2727</v>
      </c>
      <c r="F278" s="29"/>
    </row>
    <row r="279" spans="1:6">
      <c r="A279" s="29">
        <v>45885</v>
      </c>
      <c r="B279" s="123" t="s">
        <v>1551</v>
      </c>
      <c r="C279" s="123"/>
      <c r="D279" s="60" t="s">
        <v>2727</v>
      </c>
      <c r="F279" s="29"/>
    </row>
    <row r="280" spans="1:6">
      <c r="A280" s="29">
        <v>269211.2</v>
      </c>
      <c r="B280" s="123" t="s">
        <v>1551</v>
      </c>
      <c r="C280" s="123"/>
      <c r="D280" s="60" t="s">
        <v>2727</v>
      </c>
      <c r="F280" s="29"/>
    </row>
    <row r="281" spans="1:6">
      <c r="A281" s="29">
        <v>174371</v>
      </c>
      <c r="B281" s="123" t="s">
        <v>1551</v>
      </c>
      <c r="C281" s="123"/>
      <c r="D281" s="60" t="s">
        <v>2727</v>
      </c>
      <c r="F281" s="29"/>
    </row>
    <row r="282" spans="1:6">
      <c r="A282" s="29">
        <v>151660</v>
      </c>
      <c r="B282" s="123" t="s">
        <v>1551</v>
      </c>
      <c r="C282" s="123"/>
      <c r="D282" s="60" t="s">
        <v>2727</v>
      </c>
      <c r="F282" s="29"/>
    </row>
    <row r="283" spans="1:6">
      <c r="A283" s="29">
        <v>210378</v>
      </c>
      <c r="B283" s="123" t="s">
        <v>1551</v>
      </c>
      <c r="C283" s="123"/>
      <c r="D283" s="60" t="s">
        <v>2727</v>
      </c>
      <c r="F283" s="29"/>
    </row>
    <row r="284" spans="1:6">
      <c r="A284" s="29">
        <v>3358</v>
      </c>
      <c r="B284" s="123" t="s">
        <v>1551</v>
      </c>
      <c r="C284" s="123"/>
      <c r="D284" s="60" t="s">
        <v>2727</v>
      </c>
      <c r="F284" s="29"/>
    </row>
    <row r="285" spans="1:6">
      <c r="A285" s="29">
        <v>9739</v>
      </c>
      <c r="B285" s="123" t="s">
        <v>1551</v>
      </c>
      <c r="C285" s="123"/>
      <c r="D285" s="60" t="s">
        <v>2727</v>
      </c>
      <c r="F285" s="29"/>
    </row>
    <row r="286" spans="1:6">
      <c r="A286" s="29">
        <v>55558</v>
      </c>
      <c r="B286" s="123" t="s">
        <v>1551</v>
      </c>
      <c r="C286" s="123"/>
      <c r="D286" s="60" t="s">
        <v>2727</v>
      </c>
      <c r="F286" s="29"/>
    </row>
    <row r="287" spans="1:6">
      <c r="A287" s="29">
        <v>17827</v>
      </c>
      <c r="B287" s="123" t="s">
        <v>1551</v>
      </c>
      <c r="C287" s="123"/>
      <c r="D287" s="60" t="s">
        <v>2727</v>
      </c>
      <c r="F287" s="29"/>
    </row>
    <row r="288" spans="1:6">
      <c r="A288" s="29">
        <v>3709</v>
      </c>
      <c r="B288" s="123" t="s">
        <v>1551</v>
      </c>
      <c r="C288" s="123"/>
      <c r="D288" s="60" t="s">
        <v>2727</v>
      </c>
      <c r="F288" s="29"/>
    </row>
    <row r="289" spans="1:6">
      <c r="A289" s="29">
        <v>18863</v>
      </c>
      <c r="B289" s="123" t="s">
        <v>1551</v>
      </c>
      <c r="C289" s="123"/>
      <c r="D289" s="60" t="s">
        <v>2727</v>
      </c>
      <c r="F289" s="29"/>
    </row>
    <row r="290" spans="1:6">
      <c r="A290" s="29">
        <v>154166</v>
      </c>
      <c r="B290" s="123" t="s">
        <v>1551</v>
      </c>
      <c r="C290" s="123"/>
      <c r="D290" s="60" t="s">
        <v>2727</v>
      </c>
      <c r="F290" s="29"/>
    </row>
    <row r="291" spans="1:6">
      <c r="A291" s="29">
        <v>297850</v>
      </c>
      <c r="B291" s="123" t="s">
        <v>1551</v>
      </c>
      <c r="C291" s="123"/>
      <c r="D291" s="60" t="s">
        <v>2727</v>
      </c>
      <c r="F291" s="29"/>
    </row>
    <row r="292" spans="1:6">
      <c r="A292" s="29">
        <v>6225</v>
      </c>
      <c r="B292" s="123" t="s">
        <v>1551</v>
      </c>
      <c r="C292" s="123"/>
      <c r="D292" s="60" t="s">
        <v>2727</v>
      </c>
      <c r="F292" s="29"/>
    </row>
    <row r="293" spans="1:6">
      <c r="A293" s="29">
        <v>35692</v>
      </c>
      <c r="B293" s="123" t="s">
        <v>1551</v>
      </c>
      <c r="C293" s="123"/>
      <c r="D293" s="60" t="s">
        <v>2727</v>
      </c>
      <c r="F293" s="29"/>
    </row>
    <row r="294" spans="1:6">
      <c r="A294" s="29">
        <v>5000</v>
      </c>
      <c r="B294" s="123" t="s">
        <v>1551</v>
      </c>
      <c r="C294" s="123"/>
      <c r="D294" s="60" t="s">
        <v>2743</v>
      </c>
      <c r="F294" s="29"/>
    </row>
    <row r="295" spans="1:6">
      <c r="A295" s="29">
        <v>80345</v>
      </c>
      <c r="B295" s="123" t="s">
        <v>1551</v>
      </c>
      <c r="C295" s="123"/>
      <c r="D295" s="60" t="s">
        <v>2743</v>
      </c>
      <c r="F295" s="29"/>
    </row>
    <row r="296" spans="1:6">
      <c r="A296" s="29">
        <v>18000</v>
      </c>
      <c r="B296" s="123" t="s">
        <v>1551</v>
      </c>
      <c r="C296" s="123"/>
      <c r="D296" s="60" t="s">
        <v>2742</v>
      </c>
      <c r="F296" s="29"/>
    </row>
    <row r="297" spans="1:6">
      <c r="A297" s="29">
        <v>36000</v>
      </c>
      <c r="B297" s="123" t="s">
        <v>1551</v>
      </c>
      <c r="C297" s="123"/>
      <c r="D297" s="60" t="s">
        <v>2742</v>
      </c>
      <c r="F297" s="29"/>
    </row>
    <row r="298" spans="1:6">
      <c r="A298" s="29">
        <v>96000</v>
      </c>
      <c r="B298" s="123" t="s">
        <v>1551</v>
      </c>
      <c r="C298" s="123"/>
      <c r="D298" s="60" t="s">
        <v>2742</v>
      </c>
      <c r="F298" s="29"/>
    </row>
    <row r="299" spans="1:6">
      <c r="A299" s="29">
        <v>15600</v>
      </c>
      <c r="B299" s="123" t="s">
        <v>1551</v>
      </c>
      <c r="C299" s="123"/>
      <c r="D299" s="60" t="s">
        <v>2742</v>
      </c>
      <c r="F299" s="29"/>
    </row>
    <row r="300" spans="1:6">
      <c r="A300" s="29">
        <v>120000</v>
      </c>
      <c r="B300" s="123" t="s">
        <v>1551</v>
      </c>
      <c r="C300" s="123"/>
      <c r="D300" s="60" t="s">
        <v>2742</v>
      </c>
      <c r="F300" s="29"/>
    </row>
    <row r="301" spans="1:6">
      <c r="A301" s="29">
        <v>147047</v>
      </c>
      <c r="B301" s="123" t="s">
        <v>1551</v>
      </c>
      <c r="C301" s="123"/>
      <c r="D301" s="60" t="s">
        <v>2728</v>
      </c>
      <c r="F301" s="29"/>
    </row>
    <row r="302" spans="1:6">
      <c r="A302" s="29">
        <v>1622580</v>
      </c>
      <c r="B302" s="123" t="s">
        <v>1551</v>
      </c>
      <c r="C302" s="123"/>
      <c r="D302" s="60" t="s">
        <v>2728</v>
      </c>
      <c r="F302" s="29"/>
    </row>
    <row r="303" spans="1:6">
      <c r="A303" s="29">
        <v>241560</v>
      </c>
      <c r="B303" s="123" t="s">
        <v>1551</v>
      </c>
      <c r="C303" s="123"/>
      <c r="D303" s="60" t="s">
        <v>2744</v>
      </c>
      <c r="F303" s="29"/>
    </row>
    <row r="304" spans="1:6">
      <c r="A304" s="29">
        <v>141500</v>
      </c>
      <c r="B304" s="123" t="s">
        <v>1551</v>
      </c>
      <c r="C304" s="123"/>
      <c r="D304" s="60" t="s">
        <v>2728</v>
      </c>
      <c r="F304" s="29"/>
    </row>
    <row r="305" spans="1:12">
      <c r="A305" s="29">
        <v>369513</v>
      </c>
      <c r="B305" s="123" t="s">
        <v>1551</v>
      </c>
      <c r="C305" s="123"/>
      <c r="D305" s="60" t="s">
        <v>2728</v>
      </c>
      <c r="F305" s="29"/>
    </row>
    <row r="306" spans="1:12">
      <c r="A306" s="29">
        <v>241560</v>
      </c>
      <c r="B306" s="123" t="s">
        <v>1551</v>
      </c>
      <c r="C306" s="123"/>
      <c r="D306" s="60" t="s">
        <v>2744</v>
      </c>
      <c r="F306" s="29"/>
      <c r="J306">
        <v>285580578</v>
      </c>
    </row>
    <row r="307" spans="1:12">
      <c r="A307" s="29">
        <v>141500</v>
      </c>
      <c r="B307" s="123" t="s">
        <v>1551</v>
      </c>
      <c r="C307" s="123"/>
      <c r="D307" s="60" t="s">
        <v>2728</v>
      </c>
      <c r="F307" s="29"/>
      <c r="J307" s="29">
        <f>J306-L9</f>
        <v>8868822.9222221971</v>
      </c>
    </row>
    <row r="308" spans="1:12">
      <c r="A308" s="29">
        <v>141500</v>
      </c>
      <c r="B308" s="123" t="s">
        <v>1551</v>
      </c>
      <c r="C308" s="123"/>
      <c r="D308" s="60" t="s">
        <v>2728</v>
      </c>
      <c r="F308" s="29"/>
    </row>
    <row r="309" spans="1:12">
      <c r="A309" s="29">
        <v>15624</v>
      </c>
      <c r="B309" s="123" t="s">
        <v>1551</v>
      </c>
      <c r="C309" s="123"/>
      <c r="D309" s="60" t="s">
        <v>2727</v>
      </c>
      <c r="F309" s="29"/>
    </row>
    <row r="310" spans="1:12">
      <c r="A310" s="29">
        <v>4000</v>
      </c>
      <c r="B310" s="123" t="s">
        <v>1551</v>
      </c>
      <c r="C310" s="123"/>
      <c r="D310" s="60" t="s">
        <v>2727</v>
      </c>
      <c r="F310" s="29"/>
    </row>
    <row r="311" spans="1:12">
      <c r="A311" s="29">
        <v>8000</v>
      </c>
      <c r="B311" s="123" t="s">
        <v>1551</v>
      </c>
      <c r="C311" s="123"/>
      <c r="D311" s="60" t="s">
        <v>2727</v>
      </c>
      <c r="F311" s="29"/>
    </row>
    <row r="312" spans="1:12">
      <c r="A312" s="29">
        <v>109537</v>
      </c>
      <c r="B312" s="123" t="s">
        <v>1551</v>
      </c>
      <c r="C312" s="123"/>
      <c r="D312" s="60" t="s">
        <v>2727</v>
      </c>
      <c r="F312" s="29"/>
    </row>
    <row r="313" spans="1:12">
      <c r="A313" s="29">
        <v>23400</v>
      </c>
      <c r="B313" s="123" t="s">
        <v>1551</v>
      </c>
      <c r="C313" s="123"/>
      <c r="D313" s="60" t="s">
        <v>2727</v>
      </c>
      <c r="F313" s="29"/>
    </row>
    <row r="314" spans="1:12">
      <c r="A314" s="29">
        <v>8700</v>
      </c>
      <c r="B314" s="123" t="s">
        <v>1551</v>
      </c>
      <c r="C314" s="123"/>
      <c r="D314" s="60" t="s">
        <v>2727</v>
      </c>
      <c r="F314" s="29"/>
      <c r="L314" s="29">
        <f>I2-J314</f>
        <v>240111842.07777777</v>
      </c>
    </row>
    <row r="315" spans="1:12">
      <c r="A315" s="29">
        <v>11260</v>
      </c>
      <c r="B315" s="123" t="s">
        <v>1551</v>
      </c>
      <c r="C315" s="123"/>
      <c r="D315" s="60" t="s">
        <v>2727</v>
      </c>
      <c r="F315" s="29"/>
    </row>
    <row r="316" spans="1:12">
      <c r="A316" s="29">
        <v>190052</v>
      </c>
      <c r="B316" s="123" t="s">
        <v>1551</v>
      </c>
      <c r="C316" s="123"/>
      <c r="D316" s="60" t="s">
        <v>2727</v>
      </c>
      <c r="F316" s="29"/>
    </row>
    <row r="317" spans="1:12">
      <c r="A317" s="29">
        <v>74042</v>
      </c>
      <c r="B317" s="123" t="s">
        <v>1551</v>
      </c>
      <c r="C317" s="123"/>
      <c r="D317" s="60" t="s">
        <v>2727</v>
      </c>
      <c r="F317" s="29"/>
    </row>
    <row r="318" spans="1:12">
      <c r="A318" s="29">
        <v>63587</v>
      </c>
      <c r="B318" s="123" t="s">
        <v>1551</v>
      </c>
      <c r="C318" s="123"/>
      <c r="D318" s="60" t="s">
        <v>2727</v>
      </c>
      <c r="F318" s="29"/>
    </row>
    <row r="319" spans="1:12">
      <c r="A319" s="29">
        <v>15588</v>
      </c>
      <c r="B319" s="123" t="s">
        <v>1551</v>
      </c>
      <c r="C319" s="123"/>
      <c r="D319" s="60" t="s">
        <v>2727</v>
      </c>
      <c r="F319" s="29"/>
    </row>
    <row r="320" spans="1:12">
      <c r="A320" s="29">
        <v>4999.5</v>
      </c>
      <c r="B320" s="123" t="s">
        <v>1551</v>
      </c>
      <c r="C320" s="123"/>
      <c r="D320" s="60" t="s">
        <v>2727</v>
      </c>
    </row>
    <row r="321" spans="1:4">
      <c r="A321" s="29">
        <v>134801</v>
      </c>
      <c r="B321" s="123" t="s">
        <v>1551</v>
      </c>
      <c r="C321" s="123"/>
      <c r="D321" s="60" t="s">
        <v>2727</v>
      </c>
    </row>
    <row r="322" spans="1:4">
      <c r="A322" s="29">
        <v>48302</v>
      </c>
      <c r="B322" s="123" t="s">
        <v>1551</v>
      </c>
      <c r="C322" s="123"/>
      <c r="D322" s="60" t="s">
        <v>2727</v>
      </c>
    </row>
    <row r="323" spans="1:4">
      <c r="A323" s="29">
        <v>16923</v>
      </c>
      <c r="B323" s="123" t="s">
        <v>1551</v>
      </c>
      <c r="C323" s="123"/>
      <c r="D323" s="60" t="s">
        <v>2727</v>
      </c>
    </row>
    <row r="324" spans="1:4">
      <c r="A324" s="29">
        <v>72932.900000000009</v>
      </c>
      <c r="B324" s="123" t="s">
        <v>1551</v>
      </c>
      <c r="C324" s="123"/>
      <c r="D324" s="60" t="s">
        <v>2727</v>
      </c>
    </row>
    <row r="325" spans="1:4">
      <c r="A325" s="29">
        <v>66151.3</v>
      </c>
      <c r="B325" s="123" t="s">
        <v>1551</v>
      </c>
      <c r="C325" s="123"/>
      <c r="D325" s="60" t="s">
        <v>2727</v>
      </c>
    </row>
    <row r="326" spans="1:4">
      <c r="A326" s="29">
        <v>15000</v>
      </c>
      <c r="B326" s="123" t="s">
        <v>1551</v>
      </c>
      <c r="C326" s="123"/>
      <c r="D326" s="60" t="s">
        <v>2727</v>
      </c>
    </row>
    <row r="327" spans="1:4">
      <c r="A327" s="29">
        <v>8604</v>
      </c>
      <c r="B327" s="123" t="s">
        <v>1551</v>
      </c>
      <c r="C327" s="123"/>
      <c r="D327" s="60" t="s">
        <v>2727</v>
      </c>
    </row>
    <row r="328" spans="1:4">
      <c r="A328" s="29">
        <v>4989</v>
      </c>
      <c r="B328" s="123" t="s">
        <v>1551</v>
      </c>
      <c r="C328" s="123"/>
      <c r="D328" s="60" t="s">
        <v>2727</v>
      </c>
    </row>
    <row r="329" spans="1:4">
      <c r="A329" s="29">
        <v>2540</v>
      </c>
      <c r="B329" s="123" t="s">
        <v>1551</v>
      </c>
      <c r="C329" s="123"/>
      <c r="D329" s="60" t="s">
        <v>2727</v>
      </c>
    </row>
    <row r="330" spans="1:4">
      <c r="A330" s="29">
        <v>17501</v>
      </c>
      <c r="B330" s="123" t="s">
        <v>1551</v>
      </c>
      <c r="C330" s="123"/>
      <c r="D330" s="60" t="s">
        <v>2727</v>
      </c>
    </row>
    <row r="331" spans="1:4">
      <c r="A331" s="29">
        <v>2050</v>
      </c>
      <c r="B331" s="123" t="s">
        <v>1551</v>
      </c>
      <c r="C331" s="123"/>
      <c r="D331" s="60" t="s">
        <v>2727</v>
      </c>
    </row>
    <row r="332" spans="1:4">
      <c r="A332" s="29">
        <v>27467</v>
      </c>
      <c r="B332" s="123" t="s">
        <v>1551</v>
      </c>
      <c r="C332" s="123"/>
      <c r="D332" s="60" t="s">
        <v>2727</v>
      </c>
    </row>
    <row r="333" spans="1:4">
      <c r="A333" s="29">
        <v>9625</v>
      </c>
      <c r="B333" s="123" t="s">
        <v>1551</v>
      </c>
      <c r="C333" s="123"/>
      <c r="D333" s="60" t="s">
        <v>2727</v>
      </c>
    </row>
    <row r="334" spans="1:4">
      <c r="A334" s="29">
        <v>3020</v>
      </c>
      <c r="B334" s="123" t="s">
        <v>1551</v>
      </c>
      <c r="C334" s="123"/>
      <c r="D334" s="60" t="s">
        <v>2727</v>
      </c>
    </row>
    <row r="335" spans="1:4">
      <c r="A335" s="29">
        <v>2820</v>
      </c>
      <c r="B335" s="123" t="s">
        <v>1551</v>
      </c>
      <c r="C335" s="123"/>
      <c r="D335" s="60" t="s">
        <v>2727</v>
      </c>
    </row>
    <row r="336" spans="1:4">
      <c r="A336" s="29">
        <v>2820</v>
      </c>
      <c r="B336" s="123" t="s">
        <v>1551</v>
      </c>
      <c r="C336" s="123"/>
      <c r="D336" s="60" t="s">
        <v>2727</v>
      </c>
    </row>
    <row r="337" spans="1:4">
      <c r="A337" s="29">
        <v>6855</v>
      </c>
      <c r="B337" s="123" t="s">
        <v>1551</v>
      </c>
      <c r="C337" s="123"/>
      <c r="D337" s="60" t="s">
        <v>2727</v>
      </c>
    </row>
    <row r="338" spans="1:4">
      <c r="A338" s="29">
        <v>5714</v>
      </c>
      <c r="B338" s="123" t="s">
        <v>1551</v>
      </c>
      <c r="C338" s="123"/>
      <c r="D338" s="60" t="s">
        <v>2727</v>
      </c>
    </row>
    <row r="339" spans="1:4">
      <c r="A339" s="29">
        <v>47728</v>
      </c>
      <c r="B339" s="123" t="s">
        <v>1551</v>
      </c>
      <c r="C339" s="123"/>
      <c r="D339" s="60" t="s">
        <v>2727</v>
      </c>
    </row>
    <row r="340" spans="1:4">
      <c r="A340" s="29">
        <v>1950</v>
      </c>
      <c r="B340" s="123" t="s">
        <v>1551</v>
      </c>
      <c r="C340" s="123"/>
      <c r="D340" s="60" t="s">
        <v>2727</v>
      </c>
    </row>
    <row r="341" spans="1:4">
      <c r="A341" s="29">
        <v>4918.8999999999996</v>
      </c>
      <c r="B341" s="123" t="s">
        <v>1551</v>
      </c>
      <c r="C341" s="123"/>
      <c r="D341" s="60" t="s">
        <v>2727</v>
      </c>
    </row>
    <row r="342" spans="1:4">
      <c r="A342" s="29">
        <v>4000</v>
      </c>
      <c r="B342" s="123" t="s">
        <v>1551</v>
      </c>
      <c r="C342" s="123"/>
      <c r="D342" s="60" t="s">
        <v>2727</v>
      </c>
    </row>
    <row r="343" spans="1:4">
      <c r="A343" s="29">
        <v>4000</v>
      </c>
      <c r="B343" s="123" t="s">
        <v>1551</v>
      </c>
      <c r="C343" s="123"/>
      <c r="D343" s="60" t="s">
        <v>2727</v>
      </c>
    </row>
    <row r="344" spans="1:4">
      <c r="A344" s="29">
        <v>89841</v>
      </c>
      <c r="B344" s="123" t="s">
        <v>1551</v>
      </c>
      <c r="C344" s="123"/>
      <c r="D344" s="60" t="s">
        <v>2727</v>
      </c>
    </row>
    <row r="345" spans="1:4">
      <c r="A345" s="29">
        <v>4448</v>
      </c>
      <c r="B345" s="123" t="s">
        <v>1551</v>
      </c>
      <c r="C345" s="123"/>
      <c r="D345" s="60" t="s">
        <v>2727</v>
      </c>
    </row>
    <row r="346" spans="1:4">
      <c r="A346" s="29">
        <v>270200</v>
      </c>
      <c r="B346" s="123" t="s">
        <v>1551</v>
      </c>
      <c r="C346" s="123"/>
      <c r="D346" s="60" t="s">
        <v>1588</v>
      </c>
    </row>
    <row r="347" spans="1:4">
      <c r="A347" s="225">
        <v>4202</v>
      </c>
      <c r="B347" s="718" t="s">
        <v>1551</v>
      </c>
      <c r="C347" s="718"/>
      <c r="D347" s="719" t="s">
        <v>2727</v>
      </c>
    </row>
    <row r="348" spans="1:4">
      <c r="A348" s="29">
        <v>141500</v>
      </c>
      <c r="B348" s="123" t="s">
        <v>1551</v>
      </c>
      <c r="C348" s="123"/>
      <c r="D348" s="60" t="s">
        <v>2728</v>
      </c>
    </row>
    <row r="349" spans="1:4">
      <c r="A349" s="29">
        <v>141500</v>
      </c>
      <c r="B349" s="123" t="s">
        <v>1551</v>
      </c>
      <c r="C349" s="123"/>
      <c r="D349" s="60" t="s">
        <v>2728</v>
      </c>
    </row>
    <row r="350" spans="1:4">
      <c r="A350" s="29">
        <v>141500</v>
      </c>
      <c r="B350" s="123" t="s">
        <v>1551</v>
      </c>
      <c r="C350" s="123"/>
      <c r="D350" s="60" t="s">
        <v>2728</v>
      </c>
    </row>
    <row r="351" spans="1:4">
      <c r="A351" s="29">
        <v>235115</v>
      </c>
      <c r="B351" s="123" t="s">
        <v>1551</v>
      </c>
      <c r="C351" s="123"/>
      <c r="D351" s="60" t="s">
        <v>2728</v>
      </c>
    </row>
    <row r="352" spans="1:4">
      <c r="A352" s="29">
        <v>245140</v>
      </c>
      <c r="B352" s="123" t="s">
        <v>1551</v>
      </c>
      <c r="C352" s="123"/>
      <c r="D352" s="60" t="s">
        <v>2744</v>
      </c>
    </row>
    <row r="353" spans="1:5">
      <c r="A353" s="29">
        <v>144000</v>
      </c>
      <c r="B353" s="123" t="s">
        <v>1551</v>
      </c>
      <c r="C353" s="123"/>
      <c r="D353" s="60" t="s">
        <v>2727</v>
      </c>
    </row>
    <row r="354" spans="1:5">
      <c r="A354" s="29">
        <v>130567.99999999999</v>
      </c>
      <c r="B354" s="123" t="s">
        <v>1551</v>
      </c>
      <c r="C354" s="123"/>
      <c r="D354" s="60" t="s">
        <v>2727</v>
      </c>
    </row>
    <row r="355" spans="1:5">
      <c r="A355" s="29">
        <v>113412</v>
      </c>
      <c r="B355" s="123" t="s">
        <v>1551</v>
      </c>
      <c r="C355" s="123"/>
      <c r="D355" s="60" t="s">
        <v>2727</v>
      </c>
    </row>
    <row r="356" spans="1:5">
      <c r="A356" s="29">
        <v>5488</v>
      </c>
      <c r="B356" s="123" t="s">
        <v>1551</v>
      </c>
      <c r="C356" s="123"/>
      <c r="D356" s="60" t="s">
        <v>2727</v>
      </c>
    </row>
    <row r="357" spans="1:5">
      <c r="A357" s="29">
        <v>84001</v>
      </c>
      <c r="B357" s="123" t="s">
        <v>1551</v>
      </c>
      <c r="C357" s="123"/>
      <c r="D357" s="60" t="s">
        <v>2727</v>
      </c>
    </row>
    <row r="358" spans="1:5">
      <c r="A358" s="29">
        <v>9079</v>
      </c>
      <c r="B358" s="123" t="s">
        <v>1551</v>
      </c>
      <c r="C358" s="123"/>
      <c r="D358" s="60" t="s">
        <v>2727</v>
      </c>
    </row>
    <row r="359" spans="1:5">
      <c r="A359" s="29">
        <v>2230</v>
      </c>
      <c r="B359" s="123" t="s">
        <v>1551</v>
      </c>
      <c r="C359" s="123"/>
      <c r="D359" s="60" t="s">
        <v>2727</v>
      </c>
    </row>
    <row r="360" spans="1:5">
      <c r="A360" s="29">
        <v>692477</v>
      </c>
      <c r="B360" s="123" t="s">
        <v>2726</v>
      </c>
      <c r="C360" s="123"/>
      <c r="D360" s="60" t="s">
        <v>2727</v>
      </c>
    </row>
    <row r="361" spans="1:5">
      <c r="A361" s="29">
        <v>35075</v>
      </c>
      <c r="B361" s="123" t="s">
        <v>2726</v>
      </c>
      <c r="C361" s="123"/>
      <c r="D361" s="60" t="s">
        <v>2727</v>
      </c>
    </row>
    <row r="362" spans="1:5">
      <c r="A362" s="29">
        <v>2514658</v>
      </c>
      <c r="B362" s="123" t="s">
        <v>2726</v>
      </c>
      <c r="C362" s="123"/>
      <c r="D362" s="60" t="s">
        <v>2727</v>
      </c>
    </row>
    <row r="363" spans="1:5">
      <c r="A363" s="29">
        <v>159093</v>
      </c>
      <c r="B363" s="123" t="s">
        <v>2726</v>
      </c>
      <c r="C363" s="123"/>
      <c r="D363" s="60" t="s">
        <v>2727</v>
      </c>
    </row>
    <row r="364" spans="1:5">
      <c r="A364" s="33">
        <v>8036454</v>
      </c>
      <c r="B364" s="123" t="s">
        <v>3142</v>
      </c>
      <c r="C364" s="123"/>
      <c r="D364" s="60" t="s">
        <v>3143</v>
      </c>
      <c r="E364" t="s">
        <v>3135</v>
      </c>
    </row>
    <row r="365" spans="1:5">
      <c r="A365" s="33">
        <v>15426085</v>
      </c>
      <c r="B365" s="123" t="s">
        <v>3142</v>
      </c>
      <c r="C365" s="123"/>
      <c r="D365" s="60" t="s">
        <v>2727</v>
      </c>
      <c r="E365" t="s">
        <v>3135</v>
      </c>
    </row>
    <row r="366" spans="1:5">
      <c r="A366" s="29">
        <v>496331</v>
      </c>
      <c r="B366" s="123" t="s">
        <v>3142</v>
      </c>
      <c r="C366" s="123"/>
      <c r="D366" s="60" t="s">
        <v>2727</v>
      </c>
      <c r="E366" t="s">
        <v>3136</v>
      </c>
    </row>
    <row r="367" spans="1:5">
      <c r="A367" s="29">
        <v>1903144</v>
      </c>
      <c r="B367" s="123" t="s">
        <v>3142</v>
      </c>
      <c r="C367" s="123"/>
      <c r="D367" s="60" t="s">
        <v>2727</v>
      </c>
      <c r="E367" t="s">
        <v>3136</v>
      </c>
    </row>
    <row r="368" spans="1:5">
      <c r="A368" s="29">
        <v>2720032</v>
      </c>
      <c r="B368" s="123" t="s">
        <v>3142</v>
      </c>
      <c r="C368" s="123"/>
      <c r="D368" s="60" t="s">
        <v>2727</v>
      </c>
      <c r="E368" t="s">
        <v>3137</v>
      </c>
    </row>
    <row r="369" spans="1:5">
      <c r="A369" s="29">
        <v>8225107</v>
      </c>
      <c r="B369" s="123" t="s">
        <v>3142</v>
      </c>
      <c r="C369" s="123"/>
      <c r="D369" s="60" t="s">
        <v>2727</v>
      </c>
      <c r="E369" t="s">
        <v>3137</v>
      </c>
    </row>
    <row r="370" spans="1:5">
      <c r="A370" s="29">
        <v>300205</v>
      </c>
      <c r="B370" s="123" t="s">
        <v>3142</v>
      </c>
      <c r="C370" s="123"/>
      <c r="D370" s="60" t="s">
        <v>2727</v>
      </c>
      <c r="E370" t="s">
        <v>3138</v>
      </c>
    </row>
    <row r="371" spans="1:5">
      <c r="A371" s="29">
        <v>85773</v>
      </c>
      <c r="B371" s="123" t="s">
        <v>3142</v>
      </c>
      <c r="C371" s="123"/>
      <c r="D371" s="60" t="s">
        <v>2727</v>
      </c>
      <c r="E371" t="s">
        <v>3138</v>
      </c>
    </row>
    <row r="372" spans="1:5">
      <c r="A372" s="29">
        <v>911409</v>
      </c>
      <c r="B372" s="123" t="s">
        <v>2726</v>
      </c>
      <c r="C372" s="123"/>
      <c r="D372" s="60" t="s">
        <v>2727</v>
      </c>
    </row>
    <row r="373" spans="1:5">
      <c r="A373" s="29">
        <v>451446</v>
      </c>
      <c r="B373" s="123" t="s">
        <v>2726</v>
      </c>
      <c r="C373" s="123"/>
      <c r="D373" s="60" t="s">
        <v>2727</v>
      </c>
    </row>
    <row r="374" spans="1:5">
      <c r="A374" s="29">
        <v>913913</v>
      </c>
      <c r="B374" s="123" t="s">
        <v>2726</v>
      </c>
      <c r="C374" s="123"/>
      <c r="D374" s="60" t="s">
        <v>2727</v>
      </c>
    </row>
    <row r="375" spans="1:5">
      <c r="A375" s="29">
        <v>1765165</v>
      </c>
      <c r="B375" s="123" t="s">
        <v>3142</v>
      </c>
      <c r="C375" s="123"/>
      <c r="D375" s="60" t="s">
        <v>2727</v>
      </c>
    </row>
    <row r="376" spans="1:5">
      <c r="A376" s="29">
        <v>12100</v>
      </c>
      <c r="B376" s="123" t="s">
        <v>1551</v>
      </c>
      <c r="C376" s="123"/>
      <c r="D376" s="60" t="s">
        <v>2727</v>
      </c>
    </row>
    <row r="377" spans="1:5">
      <c r="B377" s="123" t="s">
        <v>1551</v>
      </c>
      <c r="C377" s="123"/>
      <c r="D377" s="60" t="s">
        <v>2727</v>
      </c>
    </row>
    <row r="378" spans="1:5">
      <c r="B378" s="123" t="s">
        <v>1551</v>
      </c>
      <c r="C378" s="123"/>
      <c r="D378" s="60" t="s">
        <v>2727</v>
      </c>
    </row>
    <row r="379" spans="1:5">
      <c r="B379" s="123" t="s">
        <v>1551</v>
      </c>
      <c r="C379" s="123"/>
      <c r="D379" s="60" t="s">
        <v>2727</v>
      </c>
    </row>
    <row r="380" spans="1:5">
      <c r="B380" s="123" t="s">
        <v>1551</v>
      </c>
      <c r="C380" s="123"/>
      <c r="D380" s="60" t="s">
        <v>2727</v>
      </c>
    </row>
    <row r="381" spans="1:5">
      <c r="B381" s="123" t="s">
        <v>1551</v>
      </c>
      <c r="C381" s="123"/>
      <c r="D381" s="60" t="s">
        <v>2727</v>
      </c>
    </row>
    <row r="382" spans="1:5">
      <c r="B382" s="123" t="s">
        <v>1551</v>
      </c>
      <c r="C382" s="123"/>
      <c r="D382" s="60" t="s">
        <v>2727</v>
      </c>
    </row>
    <row r="383" spans="1:5">
      <c r="B383" s="123" t="s">
        <v>1551</v>
      </c>
      <c r="C383" s="123"/>
      <c r="D383" s="60" t="s">
        <v>2727</v>
      </c>
    </row>
    <row r="384" spans="1:5">
      <c r="B384" s="123" t="s">
        <v>1551</v>
      </c>
      <c r="C384" s="123"/>
      <c r="D384" s="60" t="s">
        <v>2727</v>
      </c>
    </row>
    <row r="385" spans="2:4">
      <c r="B385" s="123" t="s">
        <v>1551</v>
      </c>
      <c r="C385" s="123"/>
      <c r="D385" s="60" t="s">
        <v>2727</v>
      </c>
    </row>
    <row r="386" spans="2:4">
      <c r="B386" s="123" t="s">
        <v>1551</v>
      </c>
      <c r="C386" s="123"/>
      <c r="D386" s="60" t="s">
        <v>2727</v>
      </c>
    </row>
    <row r="387" spans="2:4">
      <c r="B387" s="123" t="s">
        <v>1551</v>
      </c>
      <c r="C387" s="123"/>
      <c r="D387" s="60" t="s">
        <v>2727</v>
      </c>
    </row>
    <row r="388" spans="2:4">
      <c r="B388" s="123" t="s">
        <v>1551</v>
      </c>
      <c r="C388" s="123"/>
      <c r="D388" s="60" t="s">
        <v>2727</v>
      </c>
    </row>
    <row r="389" spans="2:4">
      <c r="B389" s="123" t="s">
        <v>1551</v>
      </c>
      <c r="C389" s="123"/>
      <c r="D389" s="60" t="s">
        <v>2727</v>
      </c>
    </row>
    <row r="390" spans="2:4">
      <c r="B390" s="123" t="s">
        <v>1551</v>
      </c>
      <c r="C390" s="123"/>
      <c r="D390" s="60" t="s">
        <v>2727</v>
      </c>
    </row>
    <row r="391" spans="2:4">
      <c r="B391" s="123" t="s">
        <v>1551</v>
      </c>
      <c r="C391" s="123"/>
      <c r="D391" s="60" t="s">
        <v>2727</v>
      </c>
    </row>
    <row r="392" spans="2:4">
      <c r="B392" s="123" t="s">
        <v>1551</v>
      </c>
      <c r="C392" s="123"/>
      <c r="D392" s="60" t="s">
        <v>2727</v>
      </c>
    </row>
    <row r="393" spans="2:4">
      <c r="B393" s="123" t="s">
        <v>1551</v>
      </c>
      <c r="C393" s="123"/>
      <c r="D393" s="60" t="s">
        <v>2727</v>
      </c>
    </row>
    <row r="394" spans="2:4">
      <c r="B394" s="123" t="s">
        <v>1551</v>
      </c>
      <c r="C394" s="123"/>
      <c r="D394" s="60" t="s">
        <v>2727</v>
      </c>
    </row>
    <row r="395" spans="2:4">
      <c r="B395" s="123" t="s">
        <v>1551</v>
      </c>
      <c r="C395" s="123"/>
      <c r="D395" s="60" t="s">
        <v>2727</v>
      </c>
    </row>
    <row r="396" spans="2:4">
      <c r="B396" s="123" t="s">
        <v>1551</v>
      </c>
      <c r="C396" s="123"/>
      <c r="D396" s="60" t="s">
        <v>2727</v>
      </c>
    </row>
    <row r="397" spans="2:4">
      <c r="B397" s="123" t="s">
        <v>1551</v>
      </c>
      <c r="C397" s="123"/>
      <c r="D397" s="60" t="s">
        <v>2727</v>
      </c>
    </row>
    <row r="398" spans="2:4">
      <c r="B398" s="123" t="s">
        <v>1551</v>
      </c>
      <c r="C398" s="123"/>
      <c r="D398" s="60" t="s">
        <v>2727</v>
      </c>
    </row>
    <row r="399" spans="2:4">
      <c r="B399" s="123" t="s">
        <v>1551</v>
      </c>
      <c r="C399" s="123"/>
      <c r="D399" s="60" t="s">
        <v>2727</v>
      </c>
    </row>
    <row r="400" spans="2:4">
      <c r="B400" s="123" t="s">
        <v>1551</v>
      </c>
      <c r="C400" s="123"/>
      <c r="D400" s="60" t="s">
        <v>2727</v>
      </c>
    </row>
    <row r="401" spans="2:4">
      <c r="B401" s="123" t="s">
        <v>1551</v>
      </c>
      <c r="C401" s="123"/>
      <c r="D401" s="60" t="s">
        <v>2727</v>
      </c>
    </row>
    <row r="402" spans="2:4">
      <c r="B402" s="123" t="s">
        <v>1551</v>
      </c>
      <c r="C402" s="123"/>
      <c r="D402" s="60" t="s">
        <v>2727</v>
      </c>
    </row>
    <row r="403" spans="2:4">
      <c r="B403" s="123" t="s">
        <v>1551</v>
      </c>
      <c r="C403" s="123"/>
      <c r="D403" s="60" t="s">
        <v>2727</v>
      </c>
    </row>
    <row r="404" spans="2:4">
      <c r="B404" s="123" t="s">
        <v>1551</v>
      </c>
      <c r="C404" s="123"/>
      <c r="D404" s="60" t="s">
        <v>2727</v>
      </c>
    </row>
    <row r="405" spans="2:4">
      <c r="B405" s="123" t="s">
        <v>1551</v>
      </c>
      <c r="C405" s="123"/>
      <c r="D405" s="60" t="s">
        <v>2727</v>
      </c>
    </row>
    <row r="406" spans="2:4">
      <c r="B406" s="123" t="s">
        <v>1551</v>
      </c>
      <c r="C406" s="123"/>
      <c r="D406" s="60" t="s">
        <v>2727</v>
      </c>
    </row>
    <row r="407" spans="2:4">
      <c r="B407" s="123" t="s">
        <v>1551</v>
      </c>
      <c r="C407" s="123"/>
      <c r="D407" s="60" t="s">
        <v>2727</v>
      </c>
    </row>
    <row r="408" spans="2:4">
      <c r="B408" s="123" t="s">
        <v>1551</v>
      </c>
      <c r="C408" s="123"/>
      <c r="D408" s="60" t="s">
        <v>2727</v>
      </c>
    </row>
    <row r="409" spans="2:4">
      <c r="B409" s="123" t="s">
        <v>1551</v>
      </c>
      <c r="C409" s="123"/>
      <c r="D409" s="60" t="s">
        <v>2727</v>
      </c>
    </row>
    <row r="410" spans="2:4">
      <c r="B410" s="123" t="s">
        <v>1551</v>
      </c>
      <c r="C410" s="123"/>
      <c r="D410" s="60" t="s">
        <v>2727</v>
      </c>
    </row>
    <row r="411" spans="2:4">
      <c r="B411" s="123" t="s">
        <v>1551</v>
      </c>
      <c r="C411" s="123"/>
      <c r="D411" s="60" t="s">
        <v>2727</v>
      </c>
    </row>
    <row r="412" spans="2:4">
      <c r="B412" s="123" t="s">
        <v>1551</v>
      </c>
      <c r="C412" s="123"/>
      <c r="D412" s="60" t="s">
        <v>2727</v>
      </c>
    </row>
    <row r="413" spans="2:4">
      <c r="B413" s="123" t="s">
        <v>1551</v>
      </c>
      <c r="C413" s="123"/>
      <c r="D413" s="60" t="s">
        <v>2727</v>
      </c>
    </row>
    <row r="414" spans="2:4">
      <c r="B414" s="123" t="s">
        <v>1551</v>
      </c>
      <c r="C414" s="123"/>
      <c r="D414" s="60" t="s">
        <v>2727</v>
      </c>
    </row>
    <row r="415" spans="2:4">
      <c r="B415" s="123" t="s">
        <v>1551</v>
      </c>
      <c r="C415" s="123"/>
      <c r="D415" s="60" t="s">
        <v>2727</v>
      </c>
    </row>
    <row r="416" spans="2:4">
      <c r="B416" s="123" t="s">
        <v>1551</v>
      </c>
      <c r="C416" s="123"/>
      <c r="D416" s="60" t="s">
        <v>2727</v>
      </c>
    </row>
    <row r="417" spans="2:4">
      <c r="B417" s="123" t="s">
        <v>1551</v>
      </c>
      <c r="C417" s="123"/>
      <c r="D417" s="60" t="s">
        <v>2727</v>
      </c>
    </row>
    <row r="418" spans="2:4">
      <c r="B418" s="123" t="s">
        <v>1551</v>
      </c>
      <c r="C418" s="123"/>
      <c r="D418" s="60" t="s">
        <v>2727</v>
      </c>
    </row>
    <row r="419" spans="2:4">
      <c r="B419" s="123" t="s">
        <v>1551</v>
      </c>
      <c r="C419" s="123"/>
      <c r="D419" s="60" t="s">
        <v>2727</v>
      </c>
    </row>
    <row r="420" spans="2:4">
      <c r="B420" s="123" t="s">
        <v>1551</v>
      </c>
      <c r="C420" s="123"/>
      <c r="D420" s="60" t="s">
        <v>2727</v>
      </c>
    </row>
    <row r="421" spans="2:4">
      <c r="B421" s="123" t="s">
        <v>1551</v>
      </c>
      <c r="C421" s="123"/>
      <c r="D421" s="60" t="s">
        <v>2727</v>
      </c>
    </row>
    <row r="422" spans="2:4">
      <c r="B422" s="123" t="s">
        <v>1551</v>
      </c>
      <c r="C422" s="123"/>
      <c r="D422" s="60" t="s">
        <v>2727</v>
      </c>
    </row>
    <row r="423" spans="2:4">
      <c r="B423" s="123" t="s">
        <v>1551</v>
      </c>
      <c r="C423" s="123"/>
      <c r="D423" s="60" t="s">
        <v>2727</v>
      </c>
    </row>
    <row r="424" spans="2:4">
      <c r="B424" s="123" t="s">
        <v>1551</v>
      </c>
      <c r="C424" s="123"/>
      <c r="D424" s="60" t="s">
        <v>2727</v>
      </c>
    </row>
    <row r="425" spans="2:4">
      <c r="B425" s="123" t="s">
        <v>1551</v>
      </c>
      <c r="C425" s="123"/>
      <c r="D425" s="60" t="s">
        <v>2727</v>
      </c>
    </row>
    <row r="426" spans="2:4">
      <c r="B426" s="123" t="s">
        <v>1551</v>
      </c>
      <c r="C426" s="123"/>
      <c r="D426" s="60" t="s">
        <v>2727</v>
      </c>
    </row>
    <row r="427" spans="2:4">
      <c r="B427" s="123" t="s">
        <v>1551</v>
      </c>
      <c r="C427" s="123"/>
      <c r="D427" s="60" t="s">
        <v>2727</v>
      </c>
    </row>
    <row r="428" spans="2:4">
      <c r="B428" s="123" t="s">
        <v>1551</v>
      </c>
      <c r="C428" s="123"/>
      <c r="D428" s="60" t="s">
        <v>2727</v>
      </c>
    </row>
    <row r="429" spans="2:4">
      <c r="B429" s="123" t="s">
        <v>1551</v>
      </c>
      <c r="C429" s="123"/>
      <c r="D429" s="60" t="s">
        <v>2727</v>
      </c>
    </row>
    <row r="430" spans="2:4">
      <c r="B430" s="123" t="s">
        <v>1551</v>
      </c>
      <c r="C430" s="123"/>
      <c r="D430" s="60" t="s">
        <v>2727</v>
      </c>
    </row>
    <row r="431" spans="2:4">
      <c r="B431" s="123" t="s">
        <v>1551</v>
      </c>
      <c r="C431" s="123"/>
      <c r="D431" s="60" t="s">
        <v>2727</v>
      </c>
    </row>
    <row r="432" spans="2:4">
      <c r="B432" s="123" t="s">
        <v>1551</v>
      </c>
      <c r="C432" s="123"/>
      <c r="D432" s="60" t="s">
        <v>2727</v>
      </c>
    </row>
    <row r="433" spans="2:4">
      <c r="B433" s="123" t="s">
        <v>1551</v>
      </c>
      <c r="C433" s="123"/>
      <c r="D433" s="60" t="s">
        <v>2727</v>
      </c>
    </row>
    <row r="434" spans="2:4">
      <c r="B434" s="123" t="s">
        <v>1551</v>
      </c>
      <c r="C434" s="123"/>
      <c r="D434" s="60" t="s">
        <v>2727</v>
      </c>
    </row>
    <row r="435" spans="2:4">
      <c r="B435" s="123" t="s">
        <v>1551</v>
      </c>
      <c r="C435" s="123"/>
      <c r="D435" s="60" t="s">
        <v>2727</v>
      </c>
    </row>
    <row r="436" spans="2:4">
      <c r="B436" s="123" t="s">
        <v>1551</v>
      </c>
      <c r="C436" s="123"/>
      <c r="D436" s="60" t="s">
        <v>2727</v>
      </c>
    </row>
    <row r="437" spans="2:4">
      <c r="B437" s="123" t="s">
        <v>1551</v>
      </c>
      <c r="C437" s="123"/>
      <c r="D437" s="60" t="s">
        <v>2727</v>
      </c>
    </row>
    <row r="438" spans="2:4">
      <c r="B438" s="123" t="s">
        <v>1551</v>
      </c>
      <c r="C438" s="123"/>
      <c r="D438" s="60" t="s">
        <v>2727</v>
      </c>
    </row>
    <row r="439" spans="2:4">
      <c r="B439" s="123" t="s">
        <v>1551</v>
      </c>
      <c r="C439" s="123"/>
      <c r="D439" s="60" t="s">
        <v>2727</v>
      </c>
    </row>
    <row r="440" spans="2:4">
      <c r="B440" s="123" t="s">
        <v>1551</v>
      </c>
      <c r="C440" s="123"/>
      <c r="D440" s="60" t="s">
        <v>2727</v>
      </c>
    </row>
    <row r="441" spans="2:4">
      <c r="B441" s="123" t="s">
        <v>1551</v>
      </c>
      <c r="C441" s="123"/>
      <c r="D441" s="60" t="s">
        <v>2727</v>
      </c>
    </row>
    <row r="442" spans="2:4">
      <c r="B442" s="123" t="s">
        <v>1551</v>
      </c>
      <c r="C442" s="123"/>
      <c r="D442" s="60" t="s">
        <v>2727</v>
      </c>
    </row>
    <row r="443" spans="2:4">
      <c r="B443" s="123" t="s">
        <v>1551</v>
      </c>
      <c r="C443" s="123"/>
      <c r="D443" s="60" t="s">
        <v>2727</v>
      </c>
    </row>
    <row r="444" spans="2:4">
      <c r="B444" s="123" t="s">
        <v>1551</v>
      </c>
      <c r="C444" s="123"/>
      <c r="D444" s="60" t="s">
        <v>2727</v>
      </c>
    </row>
    <row r="445" spans="2:4">
      <c r="B445" s="123" t="s">
        <v>1551</v>
      </c>
      <c r="C445" s="123"/>
      <c r="D445" s="60" t="s">
        <v>2727</v>
      </c>
    </row>
    <row r="446" spans="2:4">
      <c r="B446" s="123" t="s">
        <v>1551</v>
      </c>
      <c r="C446" s="123"/>
      <c r="D446" s="60" t="s">
        <v>2727</v>
      </c>
    </row>
    <row r="447" spans="2:4">
      <c r="B447" s="123" t="s">
        <v>1551</v>
      </c>
      <c r="C447" s="123"/>
      <c r="D447" s="60" t="s">
        <v>2727</v>
      </c>
    </row>
    <row r="448" spans="2:4">
      <c r="B448" s="123" t="s">
        <v>1551</v>
      </c>
      <c r="C448" s="123"/>
      <c r="D448" s="60" t="s">
        <v>2727</v>
      </c>
    </row>
    <row r="449" spans="2:4">
      <c r="B449" s="123" t="s">
        <v>1551</v>
      </c>
      <c r="C449" s="123"/>
      <c r="D449" s="60" t="s">
        <v>2727</v>
      </c>
    </row>
    <row r="450" spans="2:4">
      <c r="B450" s="123" t="s">
        <v>1551</v>
      </c>
      <c r="C450" s="123"/>
      <c r="D450" s="60" t="s">
        <v>2727</v>
      </c>
    </row>
    <row r="451" spans="2:4">
      <c r="B451" s="123" t="s">
        <v>1551</v>
      </c>
      <c r="C451" s="123"/>
      <c r="D451" s="60" t="s">
        <v>2727</v>
      </c>
    </row>
    <row r="452" spans="2:4">
      <c r="B452" s="123" t="s">
        <v>1551</v>
      </c>
      <c r="C452" s="123"/>
      <c r="D452" s="60" t="s">
        <v>2727</v>
      </c>
    </row>
    <row r="453" spans="2:4">
      <c r="B453" s="123" t="s">
        <v>1551</v>
      </c>
      <c r="C453" s="123"/>
      <c r="D453" s="60" t="s">
        <v>2727</v>
      </c>
    </row>
    <row r="454" spans="2:4">
      <c r="B454" s="123" t="s">
        <v>1551</v>
      </c>
      <c r="C454" s="123"/>
      <c r="D454" s="60" t="s">
        <v>2727</v>
      </c>
    </row>
    <row r="455" spans="2:4">
      <c r="B455" s="123" t="s">
        <v>1551</v>
      </c>
      <c r="C455" s="123"/>
      <c r="D455" s="60" t="s">
        <v>2727</v>
      </c>
    </row>
    <row r="456" spans="2:4">
      <c r="B456" s="123" t="s">
        <v>1551</v>
      </c>
      <c r="C456" s="123"/>
      <c r="D456" s="60" t="s">
        <v>2727</v>
      </c>
    </row>
    <row r="457" spans="2:4">
      <c r="B457" s="123" t="s">
        <v>1551</v>
      </c>
      <c r="C457" s="123"/>
      <c r="D457" s="60" t="s">
        <v>2727</v>
      </c>
    </row>
    <row r="458" spans="2:4">
      <c r="B458" s="123" t="s">
        <v>1551</v>
      </c>
      <c r="C458" s="123"/>
      <c r="D458" s="60" t="s">
        <v>2727</v>
      </c>
    </row>
    <row r="459" spans="2:4">
      <c r="B459" s="123" t="s">
        <v>1551</v>
      </c>
      <c r="C459" s="123"/>
      <c r="D459" s="60" t="s">
        <v>2727</v>
      </c>
    </row>
    <row r="460" spans="2:4">
      <c r="B460" s="123" t="s">
        <v>1551</v>
      </c>
      <c r="C460" s="123"/>
      <c r="D460" s="60" t="s">
        <v>2727</v>
      </c>
    </row>
    <row r="461" spans="2:4">
      <c r="B461" s="123" t="s">
        <v>1551</v>
      </c>
      <c r="C461" s="123"/>
      <c r="D461" s="60" t="s">
        <v>2727</v>
      </c>
    </row>
    <row r="462" spans="2:4">
      <c r="B462" s="123" t="s">
        <v>1551</v>
      </c>
      <c r="C462" s="123"/>
      <c r="D462" s="60" t="s">
        <v>2727</v>
      </c>
    </row>
    <row r="463" spans="2:4">
      <c r="B463" s="123" t="s">
        <v>1551</v>
      </c>
      <c r="C463" s="123"/>
      <c r="D463" s="60" t="s">
        <v>2727</v>
      </c>
    </row>
    <row r="464" spans="2:4">
      <c r="B464" s="123" t="s">
        <v>1551</v>
      </c>
      <c r="C464" s="123"/>
      <c r="D464" s="60" t="s">
        <v>2727</v>
      </c>
    </row>
    <row r="465" spans="2:4">
      <c r="B465" s="123" t="s">
        <v>1551</v>
      </c>
      <c r="C465" s="123"/>
      <c r="D465" s="60" t="s">
        <v>2727</v>
      </c>
    </row>
    <row r="466" spans="2:4">
      <c r="B466" s="123" t="s">
        <v>1551</v>
      </c>
      <c r="C466" s="123"/>
      <c r="D466" s="60" t="s">
        <v>2727</v>
      </c>
    </row>
    <row r="467" spans="2:4">
      <c r="B467" s="123" t="s">
        <v>1551</v>
      </c>
      <c r="C467" s="123"/>
      <c r="D467" s="60" t="s">
        <v>2727</v>
      </c>
    </row>
    <row r="468" spans="2:4">
      <c r="B468" s="123" t="s">
        <v>1551</v>
      </c>
      <c r="C468" s="123"/>
      <c r="D468" s="60" t="s">
        <v>2727</v>
      </c>
    </row>
    <row r="469" spans="2:4">
      <c r="B469" s="123" t="s">
        <v>1551</v>
      </c>
      <c r="C469" s="123"/>
      <c r="D469" s="60" t="s">
        <v>2727</v>
      </c>
    </row>
    <row r="470" spans="2:4">
      <c r="B470" s="123" t="s">
        <v>1551</v>
      </c>
      <c r="C470" s="123"/>
      <c r="D470" s="60" t="s">
        <v>2727</v>
      </c>
    </row>
    <row r="471" spans="2:4">
      <c r="B471" s="123" t="s">
        <v>1551</v>
      </c>
      <c r="C471" s="123"/>
      <c r="D471" s="60" t="s">
        <v>2727</v>
      </c>
    </row>
    <row r="472" spans="2:4">
      <c r="B472" s="123" t="s">
        <v>1551</v>
      </c>
      <c r="C472" s="123"/>
      <c r="D472" s="60" t="s">
        <v>2727</v>
      </c>
    </row>
    <row r="473" spans="2:4">
      <c r="B473" s="123" t="s">
        <v>1551</v>
      </c>
      <c r="C473" s="123"/>
      <c r="D473" s="60" t="s">
        <v>2727</v>
      </c>
    </row>
    <row r="474" spans="2:4">
      <c r="B474" s="123" t="s">
        <v>1551</v>
      </c>
      <c r="C474" s="123"/>
      <c r="D474" s="60" t="s">
        <v>2727</v>
      </c>
    </row>
    <row r="475" spans="2:4">
      <c r="B475" s="123" t="s">
        <v>1551</v>
      </c>
      <c r="C475" s="123"/>
      <c r="D475" s="60" t="s">
        <v>2727</v>
      </c>
    </row>
    <row r="476" spans="2:4">
      <c r="B476" s="123" t="s">
        <v>1551</v>
      </c>
      <c r="C476" s="123"/>
      <c r="D476" s="60" t="s">
        <v>2727</v>
      </c>
    </row>
    <row r="477" spans="2:4">
      <c r="B477" s="123" t="s">
        <v>1551</v>
      </c>
      <c r="C477" s="123"/>
      <c r="D477" s="60" t="s">
        <v>2727</v>
      </c>
    </row>
    <row r="478" spans="2:4">
      <c r="B478" s="123" t="s">
        <v>1551</v>
      </c>
      <c r="C478" s="123"/>
      <c r="D478" s="60" t="s">
        <v>2727</v>
      </c>
    </row>
    <row r="479" spans="2:4">
      <c r="B479" s="123" t="s">
        <v>1551</v>
      </c>
      <c r="C479" s="123"/>
      <c r="D479" s="60" t="s">
        <v>2727</v>
      </c>
    </row>
    <row r="480" spans="2:4">
      <c r="B480" s="123" t="s">
        <v>1551</v>
      </c>
      <c r="C480" s="123"/>
      <c r="D480" s="60" t="s">
        <v>2727</v>
      </c>
    </row>
    <row r="481" spans="2:4">
      <c r="B481" s="123" t="s">
        <v>1551</v>
      </c>
      <c r="C481" s="123"/>
      <c r="D481" s="60" t="s">
        <v>2727</v>
      </c>
    </row>
    <row r="482" spans="2:4">
      <c r="B482" s="123" t="s">
        <v>1551</v>
      </c>
      <c r="C482" s="123"/>
      <c r="D482" s="60" t="s">
        <v>2727</v>
      </c>
    </row>
    <row r="483" spans="2:4">
      <c r="B483" s="123" t="s">
        <v>1551</v>
      </c>
      <c r="C483" s="123"/>
      <c r="D483" s="60" t="s">
        <v>2727</v>
      </c>
    </row>
    <row r="484" spans="2:4">
      <c r="B484" s="123" t="s">
        <v>1551</v>
      </c>
      <c r="C484" s="123"/>
      <c r="D484" s="60" t="s">
        <v>2727</v>
      </c>
    </row>
    <row r="485" spans="2:4">
      <c r="B485" s="123" t="s">
        <v>1551</v>
      </c>
      <c r="C485" s="123"/>
      <c r="D485" s="60" t="s">
        <v>2727</v>
      </c>
    </row>
    <row r="486" spans="2:4">
      <c r="B486" s="123" t="s">
        <v>1551</v>
      </c>
      <c r="C486" s="123"/>
      <c r="D486" s="60" t="s">
        <v>2727</v>
      </c>
    </row>
    <row r="487" spans="2:4">
      <c r="B487" s="123" t="s">
        <v>1551</v>
      </c>
      <c r="C487" s="123"/>
      <c r="D487" s="60" t="s">
        <v>2727</v>
      </c>
    </row>
    <row r="488" spans="2:4">
      <c r="B488" s="123" t="s">
        <v>1551</v>
      </c>
      <c r="C488" s="123"/>
      <c r="D488" s="60" t="s">
        <v>2727</v>
      </c>
    </row>
    <row r="489" spans="2:4">
      <c r="B489" s="123" t="s">
        <v>1551</v>
      </c>
      <c r="C489" s="123"/>
      <c r="D489" s="60" t="s">
        <v>2727</v>
      </c>
    </row>
    <row r="490" spans="2:4">
      <c r="B490" s="123" t="s">
        <v>1551</v>
      </c>
      <c r="C490" s="123"/>
      <c r="D490" s="60" t="s">
        <v>2727</v>
      </c>
    </row>
    <row r="491" spans="2:4">
      <c r="B491" s="123" t="s">
        <v>1551</v>
      </c>
      <c r="C491" s="123"/>
      <c r="D491" s="60" t="s">
        <v>2727</v>
      </c>
    </row>
    <row r="492" spans="2:4">
      <c r="B492" s="123" t="s">
        <v>1551</v>
      </c>
      <c r="C492" s="123"/>
      <c r="D492" s="60" t="s">
        <v>2727</v>
      </c>
    </row>
    <row r="493" spans="2:4">
      <c r="B493" s="123" t="s">
        <v>1551</v>
      </c>
      <c r="C493" s="123"/>
      <c r="D493" s="60" t="s">
        <v>2727</v>
      </c>
    </row>
    <row r="494" spans="2:4">
      <c r="B494" s="123" t="s">
        <v>1551</v>
      </c>
      <c r="C494" s="123"/>
      <c r="D494" s="60" t="s">
        <v>2727</v>
      </c>
    </row>
    <row r="495" spans="2:4">
      <c r="B495" s="123" t="s">
        <v>1551</v>
      </c>
      <c r="C495" s="123"/>
      <c r="D495" s="60" t="s">
        <v>2727</v>
      </c>
    </row>
    <row r="496" spans="2:4">
      <c r="B496" s="123" t="s">
        <v>1551</v>
      </c>
      <c r="C496" s="123"/>
      <c r="D496" s="60" t="s">
        <v>2727</v>
      </c>
    </row>
    <row r="497" spans="2:4">
      <c r="B497" s="123" t="s">
        <v>1551</v>
      </c>
      <c r="C497" s="123"/>
      <c r="D497" s="60" t="s">
        <v>2727</v>
      </c>
    </row>
    <row r="498" spans="2:4">
      <c r="B498" s="123" t="s">
        <v>1551</v>
      </c>
      <c r="C498" s="123"/>
      <c r="D498" s="60" t="s">
        <v>2727</v>
      </c>
    </row>
    <row r="499" spans="2:4">
      <c r="B499" s="123" t="s">
        <v>1551</v>
      </c>
      <c r="C499" s="123"/>
      <c r="D499" s="60" t="s">
        <v>2727</v>
      </c>
    </row>
    <row r="500" spans="2:4">
      <c r="B500" s="123" t="s">
        <v>1551</v>
      </c>
      <c r="C500" s="123"/>
      <c r="D500" s="60" t="s">
        <v>2727</v>
      </c>
    </row>
    <row r="501" spans="2:4">
      <c r="B501" s="123" t="s">
        <v>1551</v>
      </c>
      <c r="C501" s="123"/>
      <c r="D501" s="60" t="s">
        <v>2727</v>
      </c>
    </row>
    <row r="502" spans="2:4">
      <c r="B502" s="123" t="s">
        <v>1551</v>
      </c>
      <c r="C502" s="123"/>
      <c r="D502" s="60" t="s">
        <v>2727</v>
      </c>
    </row>
    <row r="503" spans="2:4">
      <c r="B503" s="123" t="s">
        <v>1551</v>
      </c>
      <c r="C503" s="123"/>
      <c r="D503" s="60" t="s">
        <v>2727</v>
      </c>
    </row>
    <row r="504" spans="2:4">
      <c r="B504" s="123" t="s">
        <v>1551</v>
      </c>
      <c r="C504" s="123"/>
      <c r="D504" s="60" t="s">
        <v>2727</v>
      </c>
    </row>
    <row r="505" spans="2:4">
      <c r="B505" s="123" t="s">
        <v>1551</v>
      </c>
      <c r="C505" s="123"/>
      <c r="D505" s="60" t="s">
        <v>2727</v>
      </c>
    </row>
    <row r="506" spans="2:4">
      <c r="B506" s="123" t="s">
        <v>1551</v>
      </c>
      <c r="C506" s="123"/>
      <c r="D506" s="60" t="s">
        <v>2727</v>
      </c>
    </row>
    <row r="507" spans="2:4">
      <c r="B507" s="123" t="s">
        <v>1551</v>
      </c>
      <c r="C507" s="123"/>
      <c r="D507" s="60" t="s">
        <v>2727</v>
      </c>
    </row>
    <row r="508" spans="2:4">
      <c r="B508" s="123" t="s">
        <v>1551</v>
      </c>
      <c r="C508" s="123"/>
      <c r="D508" s="60" t="s">
        <v>2727</v>
      </c>
    </row>
    <row r="509" spans="2:4">
      <c r="B509" s="123" t="s">
        <v>1551</v>
      </c>
      <c r="C509" s="123"/>
      <c r="D509" s="60" t="s">
        <v>2727</v>
      </c>
    </row>
    <row r="510" spans="2:4">
      <c r="B510" s="123" t="s">
        <v>1551</v>
      </c>
      <c r="C510" s="123"/>
      <c r="D510" s="60" t="s">
        <v>2727</v>
      </c>
    </row>
    <row r="511" spans="2:4">
      <c r="B511" s="123" t="s">
        <v>1551</v>
      </c>
      <c r="C511" s="123"/>
      <c r="D511" s="60" t="s">
        <v>2727</v>
      </c>
    </row>
    <row r="512" spans="2:4">
      <c r="B512" s="123" t="s">
        <v>1551</v>
      </c>
      <c r="C512" s="123"/>
      <c r="D512" s="60" t="s">
        <v>2727</v>
      </c>
    </row>
    <row r="513" spans="2:4">
      <c r="B513" s="123" t="s">
        <v>1551</v>
      </c>
      <c r="C513" s="123"/>
      <c r="D513" s="60" t="s">
        <v>2727</v>
      </c>
    </row>
    <row r="514" spans="2:4">
      <c r="B514" s="123" t="s">
        <v>1551</v>
      </c>
      <c r="C514" s="123"/>
      <c r="D514" s="60" t="s">
        <v>2727</v>
      </c>
    </row>
    <row r="515" spans="2:4">
      <c r="B515" s="123" t="s">
        <v>1551</v>
      </c>
      <c r="C515" s="123"/>
      <c r="D515" s="60" t="s">
        <v>2727</v>
      </c>
    </row>
    <row r="516" spans="2:4">
      <c r="B516" s="123" t="s">
        <v>1551</v>
      </c>
      <c r="C516" s="123"/>
      <c r="D516" s="60" t="s">
        <v>2727</v>
      </c>
    </row>
    <row r="517" spans="2:4">
      <c r="B517" s="123" t="s">
        <v>1551</v>
      </c>
      <c r="C517" s="123"/>
      <c r="D517" s="60" t="s">
        <v>2727</v>
      </c>
    </row>
    <row r="518" spans="2:4">
      <c r="B518" s="123" t="s">
        <v>1551</v>
      </c>
      <c r="C518" s="123"/>
      <c r="D518" s="60" t="s">
        <v>2727</v>
      </c>
    </row>
    <row r="519" spans="2:4">
      <c r="B519" s="123" t="s">
        <v>1551</v>
      </c>
      <c r="C519" s="123"/>
      <c r="D519" s="60" t="s">
        <v>2727</v>
      </c>
    </row>
    <row r="520" spans="2:4">
      <c r="B520" s="123" t="s">
        <v>1551</v>
      </c>
      <c r="C520" s="123"/>
      <c r="D520" s="60" t="s">
        <v>2727</v>
      </c>
    </row>
    <row r="521" spans="2:4">
      <c r="B521" s="123" t="s">
        <v>1551</v>
      </c>
      <c r="C521" s="123"/>
      <c r="D521" s="60" t="s">
        <v>2727</v>
      </c>
    </row>
    <row r="522" spans="2:4">
      <c r="B522" s="123" t="s">
        <v>1551</v>
      </c>
      <c r="C522" s="123"/>
      <c r="D522" s="60" t="s">
        <v>2727</v>
      </c>
    </row>
    <row r="523" spans="2:4">
      <c r="B523" s="123" t="s">
        <v>1551</v>
      </c>
      <c r="C523" s="123"/>
      <c r="D523" s="60" t="s">
        <v>2727</v>
      </c>
    </row>
    <row r="524" spans="2:4">
      <c r="B524" s="123" t="s">
        <v>1551</v>
      </c>
      <c r="C524" s="123"/>
      <c r="D524" s="60" t="s">
        <v>2727</v>
      </c>
    </row>
    <row r="525" spans="2:4">
      <c r="B525" s="123" t="s">
        <v>1551</v>
      </c>
      <c r="C525" s="123"/>
      <c r="D525" s="60" t="s">
        <v>2727</v>
      </c>
    </row>
    <row r="526" spans="2:4">
      <c r="B526" s="123" t="s">
        <v>1551</v>
      </c>
      <c r="C526" s="123"/>
      <c r="D526" s="60" t="s">
        <v>2727</v>
      </c>
    </row>
    <row r="527" spans="2:4">
      <c r="B527" s="123" t="s">
        <v>1551</v>
      </c>
      <c r="C527" s="123"/>
      <c r="D527" s="60" t="s">
        <v>2727</v>
      </c>
    </row>
    <row r="528" spans="2:4">
      <c r="B528" s="123" t="s">
        <v>1551</v>
      </c>
      <c r="C528" s="123"/>
      <c r="D528" s="60" t="s">
        <v>2727</v>
      </c>
    </row>
    <row r="529" spans="2:8">
      <c r="B529" s="123" t="s">
        <v>1551</v>
      </c>
      <c r="C529" s="123"/>
      <c r="D529" s="60" t="s">
        <v>2727</v>
      </c>
    </row>
    <row r="530" spans="2:8">
      <c r="B530" s="123" t="s">
        <v>1551</v>
      </c>
      <c r="C530" s="123"/>
      <c r="D530" s="60" t="s">
        <v>2727</v>
      </c>
    </row>
    <row r="531" spans="2:8">
      <c r="B531" s="123" t="s">
        <v>1551</v>
      </c>
      <c r="C531" s="123"/>
      <c r="D531" s="60" t="s">
        <v>2727</v>
      </c>
    </row>
    <row r="532" spans="2:8">
      <c r="B532" s="123" t="s">
        <v>1551</v>
      </c>
      <c r="C532" s="123"/>
      <c r="D532" s="60" t="s">
        <v>2727</v>
      </c>
    </row>
    <row r="533" spans="2:8">
      <c r="B533" s="123" t="s">
        <v>1551</v>
      </c>
      <c r="C533" s="123"/>
      <c r="D533" s="60" t="s">
        <v>2727</v>
      </c>
    </row>
    <row r="534" spans="2:8">
      <c r="B534" s="123" t="s">
        <v>1551</v>
      </c>
      <c r="C534" s="123"/>
      <c r="D534" s="60" t="s">
        <v>2727</v>
      </c>
    </row>
    <row r="535" spans="2:8">
      <c r="B535" s="123" t="s">
        <v>1551</v>
      </c>
      <c r="C535" s="123"/>
      <c r="D535" s="60" t="s">
        <v>2727</v>
      </c>
    </row>
    <row r="536" spans="2:8">
      <c r="B536" s="123" t="s">
        <v>1551</v>
      </c>
      <c r="C536" s="123"/>
      <c r="D536" s="60" t="s">
        <v>2727</v>
      </c>
    </row>
    <row r="537" spans="2:8">
      <c r="B537" s="123" t="s">
        <v>1551</v>
      </c>
      <c r="C537" s="123"/>
      <c r="D537" s="60" t="s">
        <v>2727</v>
      </c>
    </row>
    <row r="538" spans="2:8">
      <c r="B538" s="123" t="s">
        <v>1551</v>
      </c>
      <c r="C538" s="123"/>
      <c r="D538" s="60" t="s">
        <v>2727</v>
      </c>
    </row>
    <row r="539" spans="2:8">
      <c r="B539" s="123" t="s">
        <v>1551</v>
      </c>
      <c r="C539" s="123"/>
      <c r="D539" s="60" t="s">
        <v>2727</v>
      </c>
    </row>
    <row r="540" spans="2:8">
      <c r="B540" s="123" t="s">
        <v>1551</v>
      </c>
      <c r="C540" s="123"/>
      <c r="D540" s="60" t="s">
        <v>2727</v>
      </c>
    </row>
    <row r="541" spans="2:8">
      <c r="B541" s="123" t="s">
        <v>1551</v>
      </c>
      <c r="C541" s="123"/>
      <c r="D541" s="60" t="s">
        <v>2727</v>
      </c>
    </row>
    <row r="542" spans="2:8">
      <c r="B542" s="123" t="s">
        <v>1551</v>
      </c>
      <c r="C542" s="123"/>
      <c r="D542" s="60" t="s">
        <v>2727</v>
      </c>
    </row>
    <row r="543" spans="2:8">
      <c r="B543" s="123" t="s">
        <v>1551</v>
      </c>
      <c r="C543" s="123"/>
      <c r="D543" s="60" t="s">
        <v>2727</v>
      </c>
      <c r="H543" s="29">
        <f>120184-H12</f>
        <v>120184</v>
      </c>
    </row>
    <row r="544" spans="2:8">
      <c r="B544" s="123" t="s">
        <v>1551</v>
      </c>
      <c r="C544" s="123"/>
      <c r="D544" s="60" t="s">
        <v>2727</v>
      </c>
    </row>
    <row r="545" spans="2:4">
      <c r="B545" s="123" t="s">
        <v>1551</v>
      </c>
      <c r="C545" s="123"/>
      <c r="D545" s="60" t="s">
        <v>2727</v>
      </c>
    </row>
    <row r="546" spans="2:4">
      <c r="B546" s="123" t="s">
        <v>1551</v>
      </c>
      <c r="C546" s="123"/>
      <c r="D546" s="60" t="s">
        <v>2727</v>
      </c>
    </row>
    <row r="547" spans="2:4">
      <c r="B547" s="123" t="s">
        <v>1551</v>
      </c>
      <c r="C547" s="123"/>
      <c r="D547" s="60" t="s">
        <v>2727</v>
      </c>
    </row>
    <row r="548" spans="2:4">
      <c r="B548" s="123" t="s">
        <v>1551</v>
      </c>
      <c r="C548" s="123"/>
      <c r="D548" s="60" t="s">
        <v>2727</v>
      </c>
    </row>
    <row r="549" spans="2:4">
      <c r="B549" s="123" t="s">
        <v>1551</v>
      </c>
      <c r="C549" s="123"/>
      <c r="D549" s="60" t="s">
        <v>2727</v>
      </c>
    </row>
    <row r="550" spans="2:4">
      <c r="B550" s="123" t="s">
        <v>1551</v>
      </c>
      <c r="C550" s="123"/>
      <c r="D550" s="60" t="s">
        <v>2727</v>
      </c>
    </row>
    <row r="551" spans="2:4">
      <c r="B551" s="123" t="s">
        <v>1551</v>
      </c>
      <c r="C551" s="123"/>
      <c r="D551" s="60" t="s">
        <v>2727</v>
      </c>
    </row>
    <row r="552" spans="2:4">
      <c r="B552" s="123" t="s">
        <v>1551</v>
      </c>
      <c r="C552" s="123"/>
      <c r="D552" s="60" t="s">
        <v>2727</v>
      </c>
    </row>
    <row r="553" spans="2:4">
      <c r="B553" s="123" t="s">
        <v>1551</v>
      </c>
      <c r="C553" s="123"/>
      <c r="D553" s="60" t="s">
        <v>2727</v>
      </c>
    </row>
    <row r="554" spans="2:4">
      <c r="B554" s="123" t="s">
        <v>1551</v>
      </c>
      <c r="C554" s="123"/>
      <c r="D554" s="60" t="s">
        <v>2727</v>
      </c>
    </row>
    <row r="555" spans="2:4">
      <c r="B555" s="123" t="s">
        <v>1551</v>
      </c>
      <c r="C555" s="123"/>
      <c r="D555" s="60" t="s">
        <v>2727</v>
      </c>
    </row>
    <row r="556" spans="2:4">
      <c r="B556" s="123" t="s">
        <v>1551</v>
      </c>
      <c r="C556" s="123"/>
      <c r="D556" s="60" t="s">
        <v>2727</v>
      </c>
    </row>
    <row r="557" spans="2:4">
      <c r="B557" s="123" t="s">
        <v>1551</v>
      </c>
      <c r="C557" s="123"/>
      <c r="D557" s="60" t="s">
        <v>2727</v>
      </c>
    </row>
    <row r="558" spans="2:4">
      <c r="B558" s="123" t="s">
        <v>1551</v>
      </c>
      <c r="C558" s="123"/>
      <c r="D558" s="60" t="s">
        <v>2727</v>
      </c>
    </row>
    <row r="559" spans="2:4">
      <c r="B559" s="123" t="s">
        <v>1551</v>
      </c>
      <c r="C559" s="123"/>
      <c r="D559" s="60" t="s">
        <v>2727</v>
      </c>
    </row>
    <row r="560" spans="2:4">
      <c r="B560" s="123" t="s">
        <v>1551</v>
      </c>
      <c r="C560" s="123"/>
      <c r="D560" s="60" t="s">
        <v>2727</v>
      </c>
    </row>
    <row r="561" spans="2:4">
      <c r="B561" s="123" t="s">
        <v>1551</v>
      </c>
      <c r="C561" s="123"/>
      <c r="D561" s="60" t="s">
        <v>2727</v>
      </c>
    </row>
    <row r="562" spans="2:4">
      <c r="B562" s="123" t="s">
        <v>1551</v>
      </c>
      <c r="C562" s="123"/>
      <c r="D562" s="60" t="s">
        <v>2727</v>
      </c>
    </row>
    <row r="563" spans="2:4">
      <c r="B563" s="123" t="s">
        <v>1551</v>
      </c>
      <c r="C563" s="123"/>
      <c r="D563" s="60" t="s">
        <v>2727</v>
      </c>
    </row>
    <row r="564" spans="2:4">
      <c r="B564" s="123" t="s">
        <v>1551</v>
      </c>
      <c r="C564" s="123"/>
      <c r="D564" s="60" t="s">
        <v>2727</v>
      </c>
    </row>
    <row r="565" spans="2:4">
      <c r="B565" s="123" t="s">
        <v>1551</v>
      </c>
      <c r="C565" s="123"/>
      <c r="D565" s="60" t="s">
        <v>2727</v>
      </c>
    </row>
    <row r="566" spans="2:4">
      <c r="B566" s="123" t="s">
        <v>1551</v>
      </c>
      <c r="C566" s="123"/>
      <c r="D566" s="60" t="s">
        <v>2727</v>
      </c>
    </row>
    <row r="567" spans="2:4">
      <c r="B567" s="123" t="s">
        <v>1551</v>
      </c>
      <c r="C567" s="123"/>
      <c r="D567" s="60" t="s">
        <v>2727</v>
      </c>
    </row>
    <row r="568" spans="2:4">
      <c r="B568" s="123" t="s">
        <v>1551</v>
      </c>
      <c r="C568" s="123"/>
      <c r="D568" s="60" t="s">
        <v>2727</v>
      </c>
    </row>
    <row r="569" spans="2:4">
      <c r="B569" s="123" t="s">
        <v>1551</v>
      </c>
      <c r="C569" s="123"/>
      <c r="D569" s="60" t="s">
        <v>2727</v>
      </c>
    </row>
    <row r="570" spans="2:4">
      <c r="B570" s="123" t="s">
        <v>1551</v>
      </c>
      <c r="C570" s="123"/>
      <c r="D570" s="60" t="s">
        <v>2727</v>
      </c>
    </row>
    <row r="571" spans="2:4">
      <c r="B571" s="123" t="s">
        <v>1551</v>
      </c>
      <c r="C571" s="123"/>
      <c r="D571" s="60" t="s">
        <v>2727</v>
      </c>
    </row>
    <row r="572" spans="2:4">
      <c r="B572" s="123" t="s">
        <v>1551</v>
      </c>
      <c r="C572" s="123"/>
      <c r="D572" s="60" t="s">
        <v>2727</v>
      </c>
    </row>
    <row r="573" spans="2:4">
      <c r="B573" s="123" t="s">
        <v>1551</v>
      </c>
      <c r="C573" s="123"/>
      <c r="D573" s="60" t="s">
        <v>2727</v>
      </c>
    </row>
    <row r="574" spans="2:4">
      <c r="B574" s="123" t="s">
        <v>1551</v>
      </c>
      <c r="C574" s="123"/>
      <c r="D574" s="60" t="s">
        <v>2727</v>
      </c>
    </row>
    <row r="575" spans="2:4">
      <c r="B575" s="123" t="s">
        <v>1551</v>
      </c>
      <c r="C575" s="123"/>
      <c r="D575" s="60" t="s">
        <v>2727</v>
      </c>
    </row>
    <row r="576" spans="2:4">
      <c r="B576" s="123" t="s">
        <v>1551</v>
      </c>
      <c r="C576" s="123"/>
      <c r="D576" s="60" t="s">
        <v>2727</v>
      </c>
    </row>
    <row r="577" spans="2:4">
      <c r="B577" s="123" t="s">
        <v>1551</v>
      </c>
      <c r="C577" s="123"/>
      <c r="D577" s="60" t="s">
        <v>2727</v>
      </c>
    </row>
    <row r="578" spans="2:4">
      <c r="B578" s="123" t="s">
        <v>1551</v>
      </c>
      <c r="C578" s="123"/>
      <c r="D578" s="60" t="s">
        <v>2727</v>
      </c>
    </row>
    <row r="579" spans="2:4">
      <c r="B579" s="123" t="s">
        <v>1551</v>
      </c>
      <c r="C579" s="123"/>
      <c r="D579" s="60" t="s">
        <v>2727</v>
      </c>
    </row>
    <row r="580" spans="2:4">
      <c r="B580" s="123" t="s">
        <v>1551</v>
      </c>
      <c r="C580" s="123"/>
      <c r="D580" s="60" t="s">
        <v>2727</v>
      </c>
    </row>
    <row r="581" spans="2:4">
      <c r="B581" s="123" t="s">
        <v>1551</v>
      </c>
      <c r="C581" s="123"/>
      <c r="D581" s="60" t="s">
        <v>2727</v>
      </c>
    </row>
    <row r="582" spans="2:4">
      <c r="B582" s="123" t="s">
        <v>1551</v>
      </c>
      <c r="C582" s="123"/>
      <c r="D582" s="60" t="s">
        <v>2727</v>
      </c>
    </row>
    <row r="583" spans="2:4">
      <c r="B583" s="123" t="s">
        <v>1551</v>
      </c>
      <c r="C583" s="123"/>
      <c r="D583" s="60" t="s">
        <v>2727</v>
      </c>
    </row>
    <row r="584" spans="2:4">
      <c r="B584" s="123" t="s">
        <v>1551</v>
      </c>
      <c r="C584" s="123"/>
      <c r="D584" s="60" t="s">
        <v>2727</v>
      </c>
    </row>
    <row r="585" spans="2:4">
      <c r="B585" s="123" t="s">
        <v>1551</v>
      </c>
      <c r="C585" s="123"/>
      <c r="D585" s="60" t="s">
        <v>2727</v>
      </c>
    </row>
    <row r="586" spans="2:4">
      <c r="B586" s="123" t="s">
        <v>1551</v>
      </c>
      <c r="C586" s="123"/>
      <c r="D586" s="60" t="s">
        <v>2727</v>
      </c>
    </row>
    <row r="587" spans="2:4">
      <c r="B587" s="123" t="s">
        <v>1551</v>
      </c>
      <c r="C587" s="123"/>
      <c r="D587" s="60" t="s">
        <v>2727</v>
      </c>
    </row>
    <row r="588" spans="2:4">
      <c r="B588" s="123" t="s">
        <v>1551</v>
      </c>
      <c r="C588" s="123"/>
      <c r="D588" s="60" t="s">
        <v>2727</v>
      </c>
    </row>
    <row r="589" spans="2:4">
      <c r="B589" s="123" t="s">
        <v>1551</v>
      </c>
      <c r="C589" s="123"/>
      <c r="D589" s="60" t="s">
        <v>2727</v>
      </c>
    </row>
    <row r="590" spans="2:4">
      <c r="B590" s="123" t="s">
        <v>1551</v>
      </c>
      <c r="C590" s="123"/>
      <c r="D590" s="60" t="s">
        <v>2727</v>
      </c>
    </row>
    <row r="591" spans="2:4">
      <c r="B591" s="123" t="s">
        <v>1551</v>
      </c>
      <c r="C591" s="123"/>
      <c r="D591" s="60" t="s">
        <v>2727</v>
      </c>
    </row>
    <row r="592" spans="2:4">
      <c r="B592" s="123" t="s">
        <v>1551</v>
      </c>
      <c r="C592" s="123"/>
      <c r="D592" s="60" t="s">
        <v>2727</v>
      </c>
    </row>
    <row r="593" spans="2:4">
      <c r="B593" s="123" t="s">
        <v>1551</v>
      </c>
      <c r="C593" s="123"/>
      <c r="D593" s="60" t="s">
        <v>2727</v>
      </c>
    </row>
    <row r="594" spans="2:4">
      <c r="B594" s="123" t="s">
        <v>1551</v>
      </c>
      <c r="C594" s="123"/>
      <c r="D594" s="60" t="s">
        <v>2727</v>
      </c>
    </row>
    <row r="595" spans="2:4">
      <c r="B595" s="123" t="s">
        <v>1551</v>
      </c>
      <c r="C595" s="123"/>
      <c r="D595" s="60" t="s">
        <v>2727</v>
      </c>
    </row>
    <row r="596" spans="2:4">
      <c r="B596" s="123" t="s">
        <v>1551</v>
      </c>
      <c r="C596" s="123"/>
      <c r="D596" s="60" t="s">
        <v>2727</v>
      </c>
    </row>
    <row r="597" spans="2:4">
      <c r="B597" s="123" t="s">
        <v>1551</v>
      </c>
      <c r="C597" s="123"/>
      <c r="D597" s="60" t="s">
        <v>2727</v>
      </c>
    </row>
    <row r="598" spans="2:4">
      <c r="B598" s="123" t="s">
        <v>1551</v>
      </c>
      <c r="C598" s="123"/>
      <c r="D598" s="60" t="s">
        <v>2727</v>
      </c>
    </row>
    <row r="599" spans="2:4">
      <c r="B599" s="123" t="s">
        <v>1551</v>
      </c>
      <c r="C599" s="123"/>
      <c r="D599" s="60" t="s">
        <v>2727</v>
      </c>
    </row>
    <row r="600" spans="2:4">
      <c r="B600" s="123" t="s">
        <v>1551</v>
      </c>
      <c r="C600" s="123"/>
      <c r="D600" s="60" t="s">
        <v>2727</v>
      </c>
    </row>
    <row r="601" spans="2:4">
      <c r="B601" s="123" t="s">
        <v>1551</v>
      </c>
      <c r="C601" s="123"/>
      <c r="D601" s="60" t="s">
        <v>2727</v>
      </c>
    </row>
    <row r="602" spans="2:4">
      <c r="B602" s="123" t="s">
        <v>1551</v>
      </c>
      <c r="C602" s="123"/>
      <c r="D602" s="60" t="s">
        <v>2727</v>
      </c>
    </row>
    <row r="603" spans="2:4">
      <c r="B603" s="123" t="s">
        <v>1551</v>
      </c>
      <c r="C603" s="123"/>
      <c r="D603" s="60" t="s">
        <v>2727</v>
      </c>
    </row>
    <row r="604" spans="2:4">
      <c r="B604" s="123" t="s">
        <v>1551</v>
      </c>
      <c r="C604" s="123"/>
      <c r="D604" s="60" t="s">
        <v>2727</v>
      </c>
    </row>
    <row r="605" spans="2:4">
      <c r="B605" s="123" t="s">
        <v>1551</v>
      </c>
      <c r="C605" s="123"/>
      <c r="D605" s="60" t="s">
        <v>2727</v>
      </c>
    </row>
    <row r="606" spans="2:4">
      <c r="B606" s="123" t="s">
        <v>1551</v>
      </c>
      <c r="C606" s="123"/>
      <c r="D606" s="60" t="s">
        <v>2727</v>
      </c>
    </row>
    <row r="607" spans="2:4">
      <c r="B607" s="123" t="s">
        <v>1551</v>
      </c>
      <c r="C607" s="123"/>
      <c r="D607" s="60" t="s">
        <v>2727</v>
      </c>
    </row>
    <row r="608" spans="2:4">
      <c r="B608" s="123" t="s">
        <v>1551</v>
      </c>
      <c r="C608" s="123"/>
      <c r="D608" s="60" t="s">
        <v>2727</v>
      </c>
    </row>
    <row r="609" spans="2:5">
      <c r="B609" s="123" t="s">
        <v>1551</v>
      </c>
      <c r="C609" s="123"/>
      <c r="D609" s="60" t="s">
        <v>2727</v>
      </c>
    </row>
    <row r="610" spans="2:5">
      <c r="B610" s="123" t="s">
        <v>1551</v>
      </c>
      <c r="C610" s="123"/>
      <c r="D610" s="60" t="s">
        <v>2727</v>
      </c>
    </row>
    <row r="611" spans="2:5">
      <c r="B611" s="123" t="s">
        <v>1551</v>
      </c>
      <c r="C611" s="123"/>
      <c r="D611" s="60" t="s">
        <v>2727</v>
      </c>
    </row>
    <row r="612" spans="2:5">
      <c r="B612" s="123" t="s">
        <v>1551</v>
      </c>
      <c r="C612" s="123"/>
      <c r="D612" s="60" t="s">
        <v>2727</v>
      </c>
    </row>
    <row r="613" spans="2:5">
      <c r="B613" s="123" t="s">
        <v>1551</v>
      </c>
      <c r="C613" s="123"/>
      <c r="D613" s="60" t="s">
        <v>2727</v>
      </c>
    </row>
    <row r="614" spans="2:5">
      <c r="B614" s="123" t="s">
        <v>1551</v>
      </c>
      <c r="C614" s="123"/>
      <c r="D614" s="60" t="s">
        <v>2727</v>
      </c>
    </row>
    <row r="615" spans="2:5">
      <c r="B615" s="123" t="s">
        <v>1551</v>
      </c>
      <c r="C615" s="123"/>
      <c r="D615" s="60" t="s">
        <v>2727</v>
      </c>
    </row>
    <row r="616" spans="2:5">
      <c r="B616" s="123" t="s">
        <v>1551</v>
      </c>
      <c r="C616" s="123"/>
      <c r="D616" s="60" t="s">
        <v>2727</v>
      </c>
    </row>
    <row r="617" spans="2:5">
      <c r="B617" s="123" t="s">
        <v>1551</v>
      </c>
      <c r="C617" s="123"/>
      <c r="D617" s="60" t="s">
        <v>2727</v>
      </c>
    </row>
    <row r="618" spans="2:5">
      <c r="B618" s="123" t="s">
        <v>1551</v>
      </c>
      <c r="C618" s="123"/>
      <c r="D618" s="60" t="s">
        <v>2727</v>
      </c>
      <c r="E618" t="s">
        <v>2907</v>
      </c>
    </row>
    <row r="619" spans="2:5">
      <c r="B619" s="123" t="s">
        <v>1551</v>
      </c>
      <c r="C619" s="123"/>
      <c r="D619" s="60" t="s">
        <v>2727</v>
      </c>
      <c r="E619" t="s">
        <v>2907</v>
      </c>
    </row>
    <row r="620" spans="2:5">
      <c r="B620" s="123" t="s">
        <v>1551</v>
      </c>
      <c r="C620" s="123"/>
      <c r="D620" s="60" t="s">
        <v>2727</v>
      </c>
      <c r="E620" t="s">
        <v>2907</v>
      </c>
    </row>
    <row r="621" spans="2:5">
      <c r="B621" s="123" t="s">
        <v>1551</v>
      </c>
      <c r="C621" s="123"/>
      <c r="D621" s="60" t="s">
        <v>2727</v>
      </c>
      <c r="E621" t="s">
        <v>2907</v>
      </c>
    </row>
    <row r="622" spans="2:5">
      <c r="B622" s="123" t="s">
        <v>1551</v>
      </c>
      <c r="C622" s="123"/>
      <c r="D622" s="60" t="s">
        <v>2727</v>
      </c>
      <c r="E622" t="s">
        <v>2907</v>
      </c>
    </row>
    <row r="623" spans="2:5">
      <c r="B623" s="123" t="s">
        <v>1551</v>
      </c>
      <c r="C623" s="123"/>
      <c r="D623" s="60" t="s">
        <v>2727</v>
      </c>
      <c r="E623" t="s">
        <v>2907</v>
      </c>
    </row>
    <row r="624" spans="2:5">
      <c r="B624" s="123" t="s">
        <v>1551</v>
      </c>
      <c r="C624" s="123"/>
      <c r="D624" s="60" t="s">
        <v>2727</v>
      </c>
      <c r="E624" t="s">
        <v>2907</v>
      </c>
    </row>
    <row r="625" spans="2:5">
      <c r="B625" s="123" t="s">
        <v>1551</v>
      </c>
      <c r="C625" s="123"/>
      <c r="D625" s="60" t="s">
        <v>2727</v>
      </c>
      <c r="E625" t="s">
        <v>2907</v>
      </c>
    </row>
    <row r="626" spans="2:5">
      <c r="B626" s="123" t="s">
        <v>1551</v>
      </c>
      <c r="C626" s="123"/>
      <c r="D626" s="60" t="s">
        <v>2727</v>
      </c>
      <c r="E626" t="s">
        <v>2907</v>
      </c>
    </row>
    <row r="627" spans="2:5">
      <c r="B627" s="123" t="s">
        <v>1551</v>
      </c>
      <c r="C627" s="123"/>
      <c r="D627" s="60" t="s">
        <v>2727</v>
      </c>
    </row>
    <row r="628" spans="2:5">
      <c r="B628" s="123" t="s">
        <v>1551</v>
      </c>
      <c r="C628" s="123"/>
      <c r="D628" s="60" t="s">
        <v>2727</v>
      </c>
    </row>
    <row r="629" spans="2:5">
      <c r="B629" s="123" t="s">
        <v>1551</v>
      </c>
      <c r="C629" s="123"/>
      <c r="D629" s="60" t="s">
        <v>2727</v>
      </c>
    </row>
    <row r="630" spans="2:5">
      <c r="B630" s="123" t="s">
        <v>1551</v>
      </c>
      <c r="C630" s="123"/>
      <c r="D630" s="60" t="s">
        <v>2727</v>
      </c>
    </row>
    <row r="631" spans="2:5">
      <c r="B631" s="123" t="s">
        <v>1551</v>
      </c>
      <c r="C631" s="123"/>
      <c r="D631" s="60" t="s">
        <v>2727</v>
      </c>
    </row>
    <row r="632" spans="2:5">
      <c r="B632" s="123" t="s">
        <v>1551</v>
      </c>
      <c r="C632" s="123"/>
      <c r="D632" s="60" t="s">
        <v>2727</v>
      </c>
    </row>
    <row r="633" spans="2:5">
      <c r="B633" s="123" t="s">
        <v>1551</v>
      </c>
      <c r="C633" s="123"/>
      <c r="D633" s="60" t="s">
        <v>2727</v>
      </c>
    </row>
    <row r="634" spans="2:5">
      <c r="B634" s="123" t="s">
        <v>1551</v>
      </c>
      <c r="C634" s="123"/>
      <c r="D634" s="60" t="s">
        <v>2727</v>
      </c>
    </row>
    <row r="635" spans="2:5">
      <c r="B635" s="123" t="s">
        <v>1551</v>
      </c>
      <c r="C635" s="123"/>
      <c r="D635" s="60" t="s">
        <v>2727</v>
      </c>
    </row>
    <row r="636" spans="2:5">
      <c r="B636" s="123" t="s">
        <v>1551</v>
      </c>
      <c r="C636" s="123"/>
      <c r="D636" s="60" t="s">
        <v>2727</v>
      </c>
    </row>
    <row r="637" spans="2:5">
      <c r="B637" s="123" t="s">
        <v>1551</v>
      </c>
      <c r="C637" s="123"/>
      <c r="D637" s="60" t="s">
        <v>2727</v>
      </c>
    </row>
    <row r="638" spans="2:5">
      <c r="B638" s="123" t="s">
        <v>1551</v>
      </c>
      <c r="C638" s="123"/>
      <c r="D638" s="60" t="s">
        <v>2727</v>
      </c>
    </row>
    <row r="639" spans="2:5">
      <c r="B639" s="123" t="s">
        <v>1551</v>
      </c>
      <c r="C639" s="123"/>
      <c r="D639" s="60" t="s">
        <v>2727</v>
      </c>
    </row>
    <row r="640" spans="2:5">
      <c r="B640" s="123" t="s">
        <v>1551</v>
      </c>
      <c r="C640" s="123"/>
      <c r="D640" s="60" t="s">
        <v>2727</v>
      </c>
    </row>
    <row r="641" spans="2:4">
      <c r="B641" s="123" t="s">
        <v>1551</v>
      </c>
      <c r="C641" s="123"/>
      <c r="D641" s="60" t="s">
        <v>2727</v>
      </c>
    </row>
    <row r="642" spans="2:4">
      <c r="B642" s="123" t="s">
        <v>1551</v>
      </c>
      <c r="C642" s="123"/>
      <c r="D642" s="60" t="s">
        <v>2727</v>
      </c>
    </row>
    <row r="643" spans="2:4">
      <c r="B643" s="123" t="s">
        <v>1551</v>
      </c>
      <c r="C643" s="123"/>
      <c r="D643" s="60" t="s">
        <v>2727</v>
      </c>
    </row>
    <row r="644" spans="2:4">
      <c r="B644" s="123" t="s">
        <v>1551</v>
      </c>
      <c r="C644" s="123"/>
      <c r="D644" s="60" t="s">
        <v>2727</v>
      </c>
    </row>
    <row r="645" spans="2:4">
      <c r="B645" s="123" t="s">
        <v>1551</v>
      </c>
      <c r="C645" s="123"/>
      <c r="D645" s="60" t="s">
        <v>2727</v>
      </c>
    </row>
    <row r="646" spans="2:4">
      <c r="B646" s="123" t="s">
        <v>1551</v>
      </c>
      <c r="C646" s="123"/>
      <c r="D646" s="60" t="s">
        <v>2727</v>
      </c>
    </row>
    <row r="647" spans="2:4">
      <c r="B647" s="123"/>
      <c r="C647" s="123"/>
      <c r="D647" s="60" t="s">
        <v>2727</v>
      </c>
    </row>
    <row r="648" spans="2:4">
      <c r="B648" s="123"/>
      <c r="C648" s="123"/>
      <c r="D648" s="60" t="s">
        <v>2727</v>
      </c>
    </row>
    <row r="649" spans="2:4">
      <c r="B649" s="123"/>
      <c r="C649" s="123"/>
      <c r="D649" s="60" t="s">
        <v>2727</v>
      </c>
    </row>
    <row r="650" spans="2:4">
      <c r="B650" s="123"/>
      <c r="C650" s="123"/>
      <c r="D650" s="60"/>
    </row>
    <row r="651" spans="2:4">
      <c r="B651" s="123"/>
      <c r="C651" s="123"/>
      <c r="D651" s="60"/>
    </row>
    <row r="652" spans="2:4">
      <c r="B652" s="123"/>
      <c r="C652" s="123"/>
      <c r="D652" s="60"/>
    </row>
    <row r="653" spans="2:4">
      <c r="B653" s="123"/>
      <c r="C653" s="123"/>
      <c r="D653" s="60"/>
    </row>
    <row r="654" spans="2:4">
      <c r="B654" s="123"/>
      <c r="C654" s="123"/>
      <c r="D654" s="60"/>
    </row>
    <row r="655" spans="2:4">
      <c r="B655" s="123"/>
      <c r="C655" s="123"/>
      <c r="D655" s="60"/>
    </row>
    <row r="656" spans="2:4">
      <c r="B656" s="123"/>
      <c r="C656" s="123"/>
      <c r="D656" s="60"/>
    </row>
    <row r="657" spans="2:4">
      <c r="B657" s="123"/>
      <c r="C657" s="123"/>
      <c r="D657" s="60"/>
    </row>
    <row r="658" spans="2:4">
      <c r="B658" s="123"/>
      <c r="C658" s="123"/>
      <c r="D658" s="60"/>
    </row>
    <row r="659" spans="2:4">
      <c r="B659" s="123"/>
      <c r="C659" s="123"/>
      <c r="D659" s="60"/>
    </row>
    <row r="660" spans="2:4">
      <c r="B660" s="123"/>
      <c r="C660" s="123"/>
      <c r="D660" s="60"/>
    </row>
    <row r="661" spans="2:4">
      <c r="B661" s="123"/>
      <c r="C661" s="123"/>
      <c r="D661" s="60"/>
    </row>
    <row r="662" spans="2:4">
      <c r="B662" s="123"/>
      <c r="C662" s="123"/>
      <c r="D662" s="60"/>
    </row>
    <row r="663" spans="2:4">
      <c r="B663" s="123"/>
      <c r="C663" s="123"/>
      <c r="D663" s="60"/>
    </row>
    <row r="664" spans="2:4">
      <c r="B664" s="123"/>
      <c r="C664" s="123"/>
      <c r="D664" s="60"/>
    </row>
    <row r="665" spans="2:4">
      <c r="B665" s="123"/>
      <c r="C665" s="123"/>
      <c r="D665" s="60"/>
    </row>
    <row r="666" spans="2:4">
      <c r="B666" s="123"/>
      <c r="C666" s="123"/>
      <c r="D666" s="60"/>
    </row>
    <row r="667" spans="2:4">
      <c r="B667" s="123"/>
      <c r="C667" s="123"/>
      <c r="D667" s="60"/>
    </row>
    <row r="668" spans="2:4">
      <c r="B668" s="123"/>
      <c r="C668" s="123"/>
      <c r="D668" s="60"/>
    </row>
    <row r="669" spans="2:4">
      <c r="B669" s="123"/>
      <c r="C669" s="123"/>
      <c r="D669" s="60"/>
    </row>
    <row r="670" spans="2:4">
      <c r="B670" s="123"/>
      <c r="C670" s="123"/>
      <c r="D670" s="60"/>
    </row>
    <row r="671" spans="2:4">
      <c r="B671" s="123"/>
      <c r="C671" s="123"/>
      <c r="D671" s="60"/>
    </row>
    <row r="672" spans="2:4">
      <c r="B672" s="123"/>
      <c r="C672" s="123"/>
      <c r="D672" s="60"/>
    </row>
    <row r="673" spans="2:4">
      <c r="B673" s="123"/>
      <c r="C673" s="123"/>
      <c r="D673" s="60"/>
    </row>
    <row r="674" spans="2:4">
      <c r="B674" s="123"/>
      <c r="C674" s="123"/>
      <c r="D674" s="60"/>
    </row>
    <row r="675" spans="2:4">
      <c r="B675" s="123"/>
      <c r="C675" s="123"/>
      <c r="D675" s="60"/>
    </row>
    <row r="676" spans="2:4">
      <c r="B676" s="123"/>
      <c r="C676" s="123"/>
      <c r="D676" s="60"/>
    </row>
    <row r="677" spans="2:4">
      <c r="B677" s="123"/>
      <c r="C677" s="123"/>
      <c r="D677" s="60"/>
    </row>
    <row r="678" spans="2:4">
      <c r="B678" s="123"/>
      <c r="C678" s="123"/>
      <c r="D678" s="60"/>
    </row>
    <row r="679" spans="2:4">
      <c r="B679" s="123"/>
      <c r="C679" s="123"/>
      <c r="D679" s="60"/>
    </row>
    <row r="680" spans="2:4">
      <c r="B680" s="123"/>
      <c r="C680" s="123"/>
      <c r="D680" s="60"/>
    </row>
    <row r="681" spans="2:4">
      <c r="B681" s="123"/>
      <c r="C681" s="123"/>
      <c r="D681" s="60"/>
    </row>
    <row r="682" spans="2:4">
      <c r="B682" s="123"/>
      <c r="C682" s="123"/>
      <c r="D682" s="60"/>
    </row>
    <row r="683" spans="2:4">
      <c r="B683" s="123"/>
      <c r="C683" s="123"/>
      <c r="D683" s="60"/>
    </row>
    <row r="684" spans="2:4">
      <c r="B684" s="123"/>
      <c r="C684" s="123"/>
      <c r="D684" s="60"/>
    </row>
    <row r="685" spans="2:4">
      <c r="B685" s="123"/>
      <c r="C685" s="123"/>
      <c r="D685" s="60"/>
    </row>
    <row r="686" spans="2:4">
      <c r="B686" s="123"/>
      <c r="C686" s="123"/>
      <c r="D686" s="60"/>
    </row>
    <row r="687" spans="2:4">
      <c r="B687" s="123"/>
      <c r="C687" s="123"/>
      <c r="D687" s="60"/>
    </row>
    <row r="688" spans="2:4">
      <c r="B688" s="123"/>
      <c r="C688" s="123"/>
      <c r="D688" s="60"/>
    </row>
    <row r="689" spans="2:4">
      <c r="B689" s="123"/>
      <c r="C689" s="123"/>
      <c r="D689" s="60"/>
    </row>
    <row r="690" spans="2:4">
      <c r="B690" s="123"/>
      <c r="C690" s="123"/>
      <c r="D690" s="60"/>
    </row>
    <row r="691" spans="2:4">
      <c r="B691" s="123"/>
      <c r="C691" s="123"/>
      <c r="D691" s="60"/>
    </row>
    <row r="692" spans="2:4">
      <c r="B692" s="123"/>
      <c r="C692" s="123"/>
      <c r="D692" s="60"/>
    </row>
    <row r="693" spans="2:4">
      <c r="B693" s="123"/>
      <c r="C693" s="123"/>
      <c r="D693" s="60"/>
    </row>
    <row r="694" spans="2:4">
      <c r="B694" s="123"/>
      <c r="C694" s="123"/>
      <c r="D694" s="60"/>
    </row>
    <row r="695" spans="2:4">
      <c r="B695" s="123"/>
      <c r="C695" s="123"/>
      <c r="D695" s="60"/>
    </row>
    <row r="696" spans="2:4">
      <c r="B696" s="123"/>
      <c r="C696" s="123"/>
      <c r="D696" s="60"/>
    </row>
    <row r="697" spans="2:4">
      <c r="B697" s="123"/>
      <c r="C697" s="123"/>
      <c r="D697" s="60"/>
    </row>
  </sheetData>
  <autoFilter ref="A1:D697"/>
  <mergeCells count="1">
    <mergeCell ref="F3:G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Feuil2"/>
  <dimension ref="A1:CS27462"/>
  <sheetViews>
    <sheetView zoomScale="92" zoomScaleNormal="92" workbookViewId="0">
      <pane xSplit="5" ySplit="13" topLeftCell="F343" activePane="bottomRight" state="frozen"/>
      <selection pane="topRight" activeCell="F1" sqref="F1"/>
      <selection pane="bottomLeft" activeCell="A13" sqref="A13"/>
      <selection pane="bottomRight" activeCell="J344" sqref="J344:K344"/>
    </sheetView>
  </sheetViews>
  <sheetFormatPr baseColWidth="10" defaultRowHeight="15"/>
  <cols>
    <col min="1" max="1" width="55.85546875" style="51" customWidth="1"/>
    <col min="2" max="2" width="17.42578125" style="40" customWidth="1"/>
    <col min="3" max="3" width="11.28515625" style="50" customWidth="1"/>
    <col min="4" max="4" width="11.28515625" style="51" bestFit="1" customWidth="1"/>
    <col min="5" max="7" width="12.85546875" style="51" customWidth="1"/>
    <col min="8" max="9" width="11.28515625" style="51" customWidth="1"/>
    <col min="10" max="15" width="17.140625" style="40" customWidth="1"/>
    <col min="16" max="16" width="12.42578125" style="40" bestFit="1" customWidth="1"/>
    <col min="17" max="20" width="17.140625" style="40" customWidth="1"/>
    <col min="21" max="22" width="14.7109375" style="40" customWidth="1"/>
    <col min="23" max="23" width="18.85546875" style="40" bestFit="1" customWidth="1"/>
    <col min="24" max="24" width="11.5703125" style="40" bestFit="1" customWidth="1"/>
    <col min="25" max="25" width="11.5703125" style="40" customWidth="1"/>
    <col min="26" max="26" width="12.5703125" style="40" customWidth="1"/>
    <col min="27" max="27" width="13.85546875" style="40" bestFit="1" customWidth="1"/>
    <col min="28" max="28" width="11.5703125" style="40" customWidth="1"/>
    <col min="29" max="29" width="12.85546875" style="40" customWidth="1"/>
    <col min="30" max="30" width="14" style="40" customWidth="1"/>
    <col min="31" max="31" width="17.5703125" style="40" bestFit="1" customWidth="1"/>
    <col min="32" max="32" width="12.7109375" style="40" customWidth="1"/>
    <col min="33" max="33" width="12.7109375" style="40" bestFit="1" customWidth="1"/>
    <col min="34" max="34" width="13.42578125" style="40" bestFit="1" customWidth="1"/>
    <col min="35" max="35" width="12.7109375" style="40" bestFit="1" customWidth="1"/>
    <col min="36" max="36" width="13.85546875" style="40" bestFit="1" customWidth="1"/>
    <col min="37" max="38" width="11.5703125" style="40" bestFit="1" customWidth="1"/>
    <col min="39" max="39" width="12.42578125" style="40" bestFit="1" customWidth="1"/>
    <col min="40" max="40" width="13.85546875" style="40" bestFit="1" customWidth="1"/>
    <col min="41" max="41" width="14.85546875" style="40" bestFit="1" customWidth="1"/>
    <col min="42" max="42" width="13.85546875" style="40" bestFit="1" customWidth="1"/>
    <col min="43" max="43" width="13.42578125" style="40" customWidth="1"/>
    <col min="44" max="44" width="14.42578125" style="40" customWidth="1"/>
    <col min="45" max="45" width="13.85546875" style="40" bestFit="1" customWidth="1"/>
    <col min="46" max="46" width="14.42578125" style="40" bestFit="1" customWidth="1"/>
    <col min="47" max="47" width="12.7109375" style="40" bestFit="1" customWidth="1"/>
    <col min="48" max="49" width="11.5703125" style="40" bestFit="1" customWidth="1"/>
    <col min="50" max="50" width="11.5703125" style="40" customWidth="1"/>
    <col min="51" max="51" width="11.5703125" style="40" bestFit="1" customWidth="1"/>
    <col min="52" max="52" width="11.5703125" style="40" customWidth="1"/>
    <col min="53" max="54" width="11.5703125" style="40" bestFit="1" customWidth="1"/>
    <col min="55" max="55" width="11.5703125" style="40" customWidth="1"/>
    <col min="56" max="56" width="11.5703125" style="40" bestFit="1" customWidth="1"/>
    <col min="57" max="57" width="12.7109375" style="40" bestFit="1" customWidth="1"/>
    <col min="58" max="58" width="11.5703125" style="40" bestFit="1" customWidth="1"/>
    <col min="59" max="59" width="12.42578125" style="40" bestFit="1" customWidth="1"/>
    <col min="60" max="60" width="11.5703125" style="40" customWidth="1"/>
    <col min="61" max="63" width="11.5703125" style="40" bestFit="1" customWidth="1"/>
    <col min="64" max="65" width="11.5703125" style="40" customWidth="1"/>
    <col min="66" max="67" width="11.5703125" style="40" bestFit="1" customWidth="1"/>
    <col min="68" max="68" width="11.5703125" style="40" customWidth="1"/>
    <col min="69" max="69" width="11.5703125" style="40" bestFit="1" customWidth="1"/>
    <col min="70" max="70" width="11.5703125" style="40" customWidth="1"/>
    <col min="71" max="71" width="14.42578125" style="40" bestFit="1" customWidth="1"/>
    <col min="72" max="72" width="11.5703125" style="40" bestFit="1" customWidth="1"/>
    <col min="73" max="73" width="12.7109375" style="40" bestFit="1" customWidth="1"/>
    <col min="74" max="74" width="15.42578125" style="40" bestFit="1" customWidth="1"/>
    <col min="75" max="75" width="11.5703125" style="40" customWidth="1"/>
    <col min="76" max="78" width="11.5703125" style="40" bestFit="1" customWidth="1"/>
    <col min="79" max="79" width="13.42578125" style="40" bestFit="1" customWidth="1"/>
    <col min="80" max="80" width="14.85546875" style="40" bestFit="1" customWidth="1"/>
    <col min="81" max="81" width="14.85546875" style="38" bestFit="1" customWidth="1"/>
    <col min="82" max="82" width="14.85546875" style="39" bestFit="1" customWidth="1"/>
    <col min="83" max="83" width="13.42578125" style="61" bestFit="1" customWidth="1"/>
    <col min="84" max="84" width="24.140625" style="238" bestFit="1" customWidth="1"/>
    <col min="85" max="85" width="13.85546875" style="40" bestFit="1" customWidth="1"/>
    <col min="86" max="90" width="11.42578125" style="40"/>
    <col min="91" max="91" width="17.28515625" style="350" bestFit="1" customWidth="1"/>
    <col min="92" max="16384" width="11.42578125" style="40"/>
  </cols>
  <sheetData>
    <row r="1" spans="1:91" s="730" customFormat="1" ht="15.75" thickBot="1">
      <c r="A1" s="724" t="s">
        <v>1441</v>
      </c>
      <c r="B1" s="725" t="s">
        <v>391</v>
      </c>
      <c r="C1" s="726" t="s">
        <v>187</v>
      </c>
      <c r="D1" s="727" t="s">
        <v>188</v>
      </c>
      <c r="E1" s="723" t="s">
        <v>189</v>
      </c>
      <c r="F1" s="727" t="s">
        <v>176</v>
      </c>
      <c r="G1" s="728" t="s">
        <v>2169</v>
      </c>
      <c r="H1" s="727" t="s">
        <v>190</v>
      </c>
      <c r="I1" s="723" t="s">
        <v>191</v>
      </c>
      <c r="J1" s="723" t="s">
        <v>137</v>
      </c>
      <c r="K1" s="723" t="s">
        <v>130</v>
      </c>
      <c r="L1" s="729" t="s">
        <v>176</v>
      </c>
      <c r="M1" s="729" t="s">
        <v>138</v>
      </c>
      <c r="N1" s="729" t="s">
        <v>140</v>
      </c>
      <c r="O1" s="723" t="s">
        <v>141</v>
      </c>
      <c r="P1" s="723" t="s">
        <v>291</v>
      </c>
      <c r="Q1" s="723" t="s">
        <v>130</v>
      </c>
      <c r="R1" s="729" t="s">
        <v>176</v>
      </c>
      <c r="S1" s="729" t="s">
        <v>142</v>
      </c>
      <c r="T1" s="729" t="s">
        <v>144</v>
      </c>
      <c r="U1" s="723" t="s">
        <v>182</v>
      </c>
      <c r="V1" s="723" t="s">
        <v>181</v>
      </c>
      <c r="W1" s="723" t="s">
        <v>129</v>
      </c>
      <c r="X1" s="723" t="s">
        <v>179</v>
      </c>
      <c r="Y1" s="723" t="s">
        <v>180</v>
      </c>
      <c r="Z1" s="723" t="s">
        <v>1589</v>
      </c>
      <c r="AA1" s="723" t="s">
        <v>135</v>
      </c>
      <c r="AB1" s="729" t="s">
        <v>176</v>
      </c>
      <c r="AC1" s="729" t="s">
        <v>131</v>
      </c>
      <c r="AD1" s="729" t="s">
        <v>133</v>
      </c>
      <c r="AE1" s="723" t="s">
        <v>134</v>
      </c>
      <c r="AF1" s="723" t="s">
        <v>2126</v>
      </c>
      <c r="AG1" s="723" t="s">
        <v>136</v>
      </c>
      <c r="AH1" s="723" t="s">
        <v>145</v>
      </c>
      <c r="AI1" s="723" t="s">
        <v>146</v>
      </c>
      <c r="AJ1" s="723" t="s">
        <v>147</v>
      </c>
      <c r="AK1" s="729" t="s">
        <v>148</v>
      </c>
      <c r="AL1" s="729" t="s">
        <v>149</v>
      </c>
      <c r="AM1" s="729" t="s">
        <v>150</v>
      </c>
      <c r="AN1" s="723" t="s">
        <v>151</v>
      </c>
      <c r="AO1" s="723" t="s">
        <v>152</v>
      </c>
      <c r="AP1" s="729" t="s">
        <v>176</v>
      </c>
      <c r="AQ1" s="729" t="s">
        <v>153</v>
      </c>
      <c r="AR1" s="729" t="s">
        <v>154</v>
      </c>
      <c r="AS1" s="723" t="s">
        <v>155</v>
      </c>
      <c r="AT1" s="723" t="s">
        <v>156</v>
      </c>
      <c r="AU1" s="723" t="s">
        <v>183</v>
      </c>
      <c r="AV1" s="723" t="s">
        <v>157</v>
      </c>
      <c r="AW1" s="723" t="s">
        <v>158</v>
      </c>
      <c r="AX1" s="729" t="s">
        <v>2171</v>
      </c>
      <c r="AY1" s="723" t="s">
        <v>159</v>
      </c>
      <c r="AZ1" s="728" t="s">
        <v>2170</v>
      </c>
      <c r="BA1" s="723" t="s">
        <v>160</v>
      </c>
      <c r="BB1" s="723" t="s">
        <v>161</v>
      </c>
      <c r="BC1" s="729" t="s">
        <v>176</v>
      </c>
      <c r="BD1" s="728" t="s">
        <v>2172</v>
      </c>
      <c r="BE1" s="729" t="s">
        <v>229</v>
      </c>
      <c r="BF1" s="729" t="s">
        <v>162</v>
      </c>
      <c r="BG1" s="729" t="s">
        <v>163</v>
      </c>
      <c r="BH1" s="729" t="s">
        <v>266</v>
      </c>
      <c r="BI1" s="729" t="s">
        <v>164</v>
      </c>
      <c r="BJ1" s="729" t="s">
        <v>165</v>
      </c>
      <c r="BK1" s="729" t="s">
        <v>166</v>
      </c>
      <c r="BL1" s="729" t="s">
        <v>213</v>
      </c>
      <c r="BM1" s="729" t="s">
        <v>176</v>
      </c>
      <c r="BN1" s="729" t="s">
        <v>167</v>
      </c>
      <c r="BO1" s="729" t="s">
        <v>168</v>
      </c>
      <c r="BP1" s="729" t="s">
        <v>176</v>
      </c>
      <c r="BQ1" s="729" t="s">
        <v>169</v>
      </c>
      <c r="BR1" s="729" t="s">
        <v>176</v>
      </c>
      <c r="BS1" s="729" t="s">
        <v>267</v>
      </c>
      <c r="BT1" s="729" t="s">
        <v>170</v>
      </c>
      <c r="BU1" s="729" t="s">
        <v>171</v>
      </c>
      <c r="BV1" s="729" t="s">
        <v>172</v>
      </c>
      <c r="BW1" s="729" t="s">
        <v>268</v>
      </c>
      <c r="BX1" s="729" t="s">
        <v>173</v>
      </c>
      <c r="BY1" s="729" t="s">
        <v>174</v>
      </c>
      <c r="BZ1" s="729" t="s">
        <v>175</v>
      </c>
      <c r="CA1" s="729" t="s">
        <v>177</v>
      </c>
      <c r="CB1" s="729" t="s">
        <v>178</v>
      </c>
      <c r="CC1" s="730" t="s">
        <v>403</v>
      </c>
      <c r="CD1" s="730" t="s">
        <v>404</v>
      </c>
      <c r="CE1" s="731"/>
      <c r="CF1" s="732" t="s">
        <v>1606</v>
      </c>
      <c r="CG1" s="730" t="s">
        <v>1994</v>
      </c>
      <c r="CH1" s="730" t="s">
        <v>2293</v>
      </c>
      <c r="CI1" s="730" t="s">
        <v>2292</v>
      </c>
      <c r="CK1" s="730" t="s">
        <v>391</v>
      </c>
      <c r="CL1" s="730" t="s">
        <v>2634</v>
      </c>
      <c r="CM1" s="733" t="s">
        <v>2645</v>
      </c>
    </row>
    <row r="2" spans="1:91">
      <c r="A2" t="s">
        <v>3032</v>
      </c>
      <c r="B2" s="41" t="s">
        <v>3030</v>
      </c>
      <c r="C2" s="660" t="s">
        <v>1436</v>
      </c>
      <c r="D2" s="77"/>
      <c r="E2" s="77"/>
      <c r="F2" s="43"/>
      <c r="G2" s="43"/>
      <c r="H2" s="43"/>
      <c r="I2" s="43"/>
      <c r="J2" s="44">
        <f>5000000/1.1</f>
        <v>4545454.5454545449</v>
      </c>
      <c r="K2" s="44"/>
      <c r="L2" s="45">
        <f t="shared" ref="L2:L62" si="0">(J2+K2)*0.01</f>
        <v>45454.545454545449</v>
      </c>
      <c r="M2" s="45">
        <f t="shared" ref="M2:M62" si="1">(J2+K2)*0.062</f>
        <v>281818.18181818177</v>
      </c>
      <c r="N2" s="45">
        <f t="shared" ref="N2:N62" si="2">(J2+K2)*0.028</f>
        <v>127272.72727272726</v>
      </c>
      <c r="O2" s="45"/>
      <c r="P2" s="45"/>
      <c r="Q2" s="45"/>
      <c r="R2" s="45">
        <f t="shared" ref="R2:R60" si="3">(Q2+O2+P2)*0.01</f>
        <v>0</v>
      </c>
      <c r="S2" s="45">
        <f t="shared" ref="S2:S60" si="4">(O2+Q2+P2)*0.062</f>
        <v>0</v>
      </c>
      <c r="T2" s="45">
        <f t="shared" ref="T2:T62" si="5">(O2+P2+Q2)*0.028</f>
        <v>0</v>
      </c>
      <c r="U2" s="45"/>
      <c r="V2" s="45"/>
      <c r="W2" s="45"/>
      <c r="X2" s="45"/>
      <c r="Y2" s="45"/>
      <c r="Z2" s="45"/>
      <c r="AA2" s="45"/>
      <c r="AB2" s="45">
        <f t="shared" ref="AB2:AB62" si="6">(U2+V2+W2+X2+Y2+Z2)*0.01</f>
        <v>0</v>
      </c>
      <c r="AC2" s="45">
        <f t="shared" ref="AC2:AC62" si="7">(U2+V2+W2+X2+Y2+Z2)*0.062</f>
        <v>0</v>
      </c>
      <c r="AD2" s="45">
        <f t="shared" ref="AD2:AD62" si="8">(U2+V2+W2+X2+Y2+Z2)*0.028</f>
        <v>0</v>
      </c>
      <c r="AE2" s="44"/>
      <c r="AF2" s="44"/>
      <c r="AG2" s="44"/>
      <c r="AH2" s="44"/>
      <c r="AI2" s="44"/>
      <c r="AJ2" s="44"/>
      <c r="AK2" s="44"/>
      <c r="AL2" s="44">
        <f t="shared" ref="AL2:AL62" si="9">+AK2</f>
        <v>0</v>
      </c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>
        <f t="shared" ref="BR2:BR62" si="10">BQ2/9</f>
        <v>0</v>
      </c>
      <c r="BS2" s="312">
        <f t="shared" ref="BS2:BS60" si="11">CH2*0.1</f>
        <v>0</v>
      </c>
      <c r="BT2" s="312">
        <f t="shared" ref="BT2:BT60" si="12">CH2*0.18</f>
        <v>0</v>
      </c>
      <c r="BU2" s="312">
        <f t="shared" ref="BU2:BU60" si="13">CH2*0.18</f>
        <v>0</v>
      </c>
      <c r="BV2" s="312">
        <f t="shared" ref="BV2:BV60" si="14">CH2*0.54</f>
        <v>0</v>
      </c>
      <c r="BW2" s="313">
        <f t="shared" ref="BW2:BW60" si="15">CI2*0.1</f>
        <v>0</v>
      </c>
      <c r="BX2" s="313">
        <f t="shared" ref="BX2:BX60" si="16">CI2*0.18</f>
        <v>0</v>
      </c>
      <c r="BY2" s="313">
        <f t="shared" ref="BY2:BY60" si="17">CI2*0.18</f>
        <v>0</v>
      </c>
      <c r="BZ2" s="313">
        <f t="shared" ref="BZ2:BZ60" si="18">CI2*0.54</f>
        <v>0</v>
      </c>
      <c r="CA2" s="44"/>
      <c r="CB2" s="45">
        <f t="shared" ref="CB2:CB65" si="19">SUM(E2:CA2)</f>
        <v>5000000</v>
      </c>
      <c r="CC2" s="46">
        <f t="shared" ref="CC2:CC65" si="20">E2+H2+I2+K2+P2+Q2+W2+X2+Y2+Z2+AA2+AE2+AG2+AH2+AI2+AJ2+AN2+AO2+AS2+AT2+AU2+AV2+AW2+AY2+BB2</f>
        <v>0</v>
      </c>
      <c r="CD2" s="47">
        <f t="shared" ref="CD2:CD65" si="21">E2+H2+I2+J2+K2+O2+P2+Q2+U2+V2+W2+X2+Y2+Z2+AA2+AE2+AF2+AG2+AH2+AI2+AJ2+AN2+AO2+AT2+AU2+AV2+AW2+AY2+BA2+BB2</f>
        <v>4545454.5454545449</v>
      </c>
      <c r="CE2" s="62"/>
      <c r="CF2" s="237" t="s">
        <v>3031</v>
      </c>
      <c r="CG2" s="106">
        <f t="shared" ref="CG2:CG65" si="22">K2+Q2+X2+Y2+Z2+AF2</f>
        <v>0</v>
      </c>
      <c r="CI2" s="51"/>
      <c r="CJ2" s="51"/>
      <c r="CK2" s="251" t="str">
        <f t="shared" ref="CK2:CK64" si="23">+B2</f>
        <v>AAG/TVA</v>
      </c>
      <c r="CL2" s="323">
        <f t="shared" ref="CL2:CL64" si="24">CE2</f>
        <v>0</v>
      </c>
      <c r="CM2" s="40"/>
    </row>
    <row r="3" spans="1:91" s="51" customFormat="1">
      <c r="A3" s="325" t="s">
        <v>3033</v>
      </c>
      <c r="B3" s="41" t="s">
        <v>3030</v>
      </c>
      <c r="C3" s="660" t="s">
        <v>1436</v>
      </c>
      <c r="D3" s="77"/>
      <c r="E3" s="77"/>
      <c r="F3" s="43"/>
      <c r="G3" s="43"/>
      <c r="H3" s="43"/>
      <c r="I3" s="43"/>
      <c r="J3" s="44">
        <f>4872438/1.1+4872438/1.1</f>
        <v>8858978.1818181816</v>
      </c>
      <c r="K3" s="44"/>
      <c r="L3" s="45">
        <f t="shared" si="0"/>
        <v>88589.781818181815</v>
      </c>
      <c r="M3" s="45">
        <f t="shared" si="1"/>
        <v>549256.64727272722</v>
      </c>
      <c r="N3" s="45">
        <f t="shared" si="2"/>
        <v>248051.3890909091</v>
      </c>
      <c r="O3" s="45"/>
      <c r="P3" s="45"/>
      <c r="Q3" s="45"/>
      <c r="R3" s="45">
        <f t="shared" si="3"/>
        <v>0</v>
      </c>
      <c r="S3" s="45">
        <f t="shared" si="4"/>
        <v>0</v>
      </c>
      <c r="T3" s="45">
        <f t="shared" si="5"/>
        <v>0</v>
      </c>
      <c r="U3" s="45"/>
      <c r="V3" s="45"/>
      <c r="W3" s="45"/>
      <c r="X3" s="45"/>
      <c r="Y3" s="45"/>
      <c r="Z3" s="45"/>
      <c r="AA3" s="45"/>
      <c r="AB3" s="45">
        <f t="shared" si="6"/>
        <v>0</v>
      </c>
      <c r="AC3" s="45">
        <f t="shared" si="7"/>
        <v>0</v>
      </c>
      <c r="AD3" s="45">
        <f t="shared" si="8"/>
        <v>0</v>
      </c>
      <c r="AE3" s="44"/>
      <c r="AF3" s="44"/>
      <c r="AG3" s="44"/>
      <c r="AH3" s="44"/>
      <c r="AI3" s="44"/>
      <c r="AJ3" s="44"/>
      <c r="AK3" s="44"/>
      <c r="AL3" s="44">
        <f t="shared" si="9"/>
        <v>0</v>
      </c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>
        <f t="shared" si="10"/>
        <v>0</v>
      </c>
      <c r="BS3" s="312">
        <f t="shared" si="11"/>
        <v>0</v>
      </c>
      <c r="BT3" s="312">
        <f t="shared" si="12"/>
        <v>0</v>
      </c>
      <c r="BU3" s="312">
        <f t="shared" si="13"/>
        <v>0</v>
      </c>
      <c r="BV3" s="312">
        <f t="shared" si="14"/>
        <v>0</v>
      </c>
      <c r="BW3" s="313">
        <f t="shared" si="15"/>
        <v>0</v>
      </c>
      <c r="BX3" s="313">
        <f t="shared" si="16"/>
        <v>0</v>
      </c>
      <c r="BY3" s="313">
        <f t="shared" si="17"/>
        <v>0</v>
      </c>
      <c r="BZ3" s="313">
        <f t="shared" si="18"/>
        <v>0</v>
      </c>
      <c r="CA3" s="44"/>
      <c r="CB3" s="45">
        <f t="shared" si="19"/>
        <v>9744875.9999999981</v>
      </c>
      <c r="CC3" s="46">
        <f t="shared" si="20"/>
        <v>0</v>
      </c>
      <c r="CD3" s="47">
        <f t="shared" si="21"/>
        <v>8858978.1818181816</v>
      </c>
      <c r="CE3" s="62"/>
      <c r="CF3" s="237" t="s">
        <v>3031</v>
      </c>
      <c r="CG3" s="106">
        <f t="shared" si="22"/>
        <v>0</v>
      </c>
      <c r="CH3" s="40"/>
      <c r="CK3" s="251" t="str">
        <f t="shared" si="23"/>
        <v>AAG/TVA</v>
      </c>
      <c r="CL3" s="323">
        <f t="shared" si="24"/>
        <v>0</v>
      </c>
      <c r="CM3" s="40"/>
    </row>
    <row r="4" spans="1:91" s="497" customFormat="1">
      <c r="A4" s="325" t="s">
        <v>3034</v>
      </c>
      <c r="B4" s="41" t="s">
        <v>3035</v>
      </c>
      <c r="C4" s="660" t="s">
        <v>1436</v>
      </c>
      <c r="D4" s="77"/>
      <c r="E4" s="77"/>
      <c r="F4" s="43"/>
      <c r="G4" s="43"/>
      <c r="H4" s="43"/>
      <c r="I4" s="43"/>
      <c r="J4" s="44">
        <v>200000</v>
      </c>
      <c r="K4" s="44"/>
      <c r="L4" s="45"/>
      <c r="M4" s="45"/>
      <c r="N4" s="45"/>
      <c r="O4" s="45"/>
      <c r="P4" s="45"/>
      <c r="Q4" s="45"/>
      <c r="R4" s="45">
        <f t="shared" si="3"/>
        <v>0</v>
      </c>
      <c r="S4" s="45">
        <f t="shared" si="4"/>
        <v>0</v>
      </c>
      <c r="T4" s="45">
        <f t="shared" si="5"/>
        <v>0</v>
      </c>
      <c r="U4" s="45"/>
      <c r="V4" s="45"/>
      <c r="W4" s="45"/>
      <c r="X4" s="45"/>
      <c r="Y4" s="45"/>
      <c r="Z4" s="45"/>
      <c r="AA4" s="45"/>
      <c r="AB4" s="45">
        <f t="shared" si="6"/>
        <v>0</v>
      </c>
      <c r="AC4" s="45">
        <f t="shared" si="7"/>
        <v>0</v>
      </c>
      <c r="AD4" s="45">
        <f t="shared" si="8"/>
        <v>0</v>
      </c>
      <c r="AE4" s="44"/>
      <c r="AF4" s="44"/>
      <c r="AG4" s="44"/>
      <c r="AH4" s="44"/>
      <c r="AI4" s="44"/>
      <c r="AJ4" s="44"/>
      <c r="AK4" s="44"/>
      <c r="AL4" s="44">
        <f t="shared" si="9"/>
        <v>0</v>
      </c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>
        <f t="shared" si="10"/>
        <v>0</v>
      </c>
      <c r="BS4" s="312">
        <f t="shared" si="11"/>
        <v>0</v>
      </c>
      <c r="BT4" s="312">
        <f t="shared" si="12"/>
        <v>0</v>
      </c>
      <c r="BU4" s="312">
        <f t="shared" si="13"/>
        <v>0</v>
      </c>
      <c r="BV4" s="312">
        <f t="shared" si="14"/>
        <v>0</v>
      </c>
      <c r="BW4" s="313">
        <f t="shared" si="15"/>
        <v>0</v>
      </c>
      <c r="BX4" s="313">
        <f t="shared" si="16"/>
        <v>0</v>
      </c>
      <c r="BY4" s="313">
        <f t="shared" si="17"/>
        <v>0</v>
      </c>
      <c r="BZ4" s="313">
        <f t="shared" si="18"/>
        <v>0</v>
      </c>
      <c r="CA4" s="44"/>
      <c r="CB4" s="45">
        <f t="shared" si="19"/>
        <v>200000</v>
      </c>
      <c r="CC4" s="46">
        <f t="shared" si="20"/>
        <v>0</v>
      </c>
      <c r="CD4" s="47">
        <f t="shared" si="21"/>
        <v>200000</v>
      </c>
      <c r="CE4" s="62"/>
      <c r="CF4" s="237" t="s">
        <v>3031</v>
      </c>
      <c r="CG4" s="106">
        <f t="shared" si="22"/>
        <v>0</v>
      </c>
      <c r="CH4" s="40"/>
      <c r="CI4" s="51"/>
      <c r="CJ4" s="40"/>
      <c r="CK4" s="499" t="str">
        <f t="shared" si="23"/>
        <v>AAG/csp</v>
      </c>
      <c r="CL4" s="500">
        <f t="shared" si="24"/>
        <v>0</v>
      </c>
    </row>
    <row r="5" spans="1:91">
      <c r="A5" s="77" t="s">
        <v>3043</v>
      </c>
      <c r="B5" s="41" t="s">
        <v>3030</v>
      </c>
      <c r="C5" s="660" t="s">
        <v>1436</v>
      </c>
      <c r="D5" s="77"/>
      <c r="E5" s="77"/>
      <c r="F5" s="43"/>
      <c r="G5" s="43"/>
      <c r="H5" s="43"/>
      <c r="I5" s="43"/>
      <c r="J5" s="44">
        <f>2200000/1.1</f>
        <v>1999999.9999999998</v>
      </c>
      <c r="K5" s="44"/>
      <c r="L5" s="45">
        <f t="shared" si="0"/>
        <v>19999.999999999996</v>
      </c>
      <c r="M5" s="45">
        <f t="shared" si="1"/>
        <v>123999.99999999999</v>
      </c>
      <c r="N5" s="45">
        <f t="shared" si="2"/>
        <v>55999.999999999993</v>
      </c>
      <c r="O5" s="45"/>
      <c r="P5" s="45"/>
      <c r="Q5" s="45"/>
      <c r="R5" s="45">
        <f t="shared" si="3"/>
        <v>0</v>
      </c>
      <c r="S5" s="45">
        <f t="shared" si="4"/>
        <v>0</v>
      </c>
      <c r="T5" s="45">
        <f t="shared" si="5"/>
        <v>0</v>
      </c>
      <c r="U5" s="45"/>
      <c r="V5" s="45"/>
      <c r="W5" s="45"/>
      <c r="X5" s="45"/>
      <c r="Y5" s="45"/>
      <c r="Z5" s="45"/>
      <c r="AA5" s="45"/>
      <c r="AB5" s="45">
        <f t="shared" si="6"/>
        <v>0</v>
      </c>
      <c r="AC5" s="45">
        <f t="shared" si="7"/>
        <v>0</v>
      </c>
      <c r="AD5" s="45">
        <f t="shared" si="8"/>
        <v>0</v>
      </c>
      <c r="AE5" s="44"/>
      <c r="AF5" s="44"/>
      <c r="AG5" s="44"/>
      <c r="AH5" s="44"/>
      <c r="AI5" s="44"/>
      <c r="AJ5" s="44"/>
      <c r="AK5" s="44"/>
      <c r="AL5" s="44">
        <f t="shared" si="9"/>
        <v>0</v>
      </c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>
        <f t="shared" si="10"/>
        <v>0</v>
      </c>
      <c r="BS5" s="312">
        <f t="shared" si="11"/>
        <v>0</v>
      </c>
      <c r="BT5" s="312">
        <f t="shared" si="12"/>
        <v>0</v>
      </c>
      <c r="BU5" s="312">
        <f t="shared" si="13"/>
        <v>0</v>
      </c>
      <c r="BV5" s="312">
        <f t="shared" si="14"/>
        <v>0</v>
      </c>
      <c r="BW5" s="313">
        <f t="shared" si="15"/>
        <v>0</v>
      </c>
      <c r="BX5" s="313">
        <f t="shared" si="16"/>
        <v>0</v>
      </c>
      <c r="BY5" s="313">
        <f t="shared" si="17"/>
        <v>0</v>
      </c>
      <c r="BZ5" s="313">
        <f t="shared" si="18"/>
        <v>0</v>
      </c>
      <c r="CA5" s="44"/>
      <c r="CB5" s="45">
        <f t="shared" si="19"/>
        <v>2199999.9999999995</v>
      </c>
      <c r="CC5" s="46">
        <f t="shared" si="20"/>
        <v>0</v>
      </c>
      <c r="CD5" s="47">
        <f t="shared" si="21"/>
        <v>1999999.9999999998</v>
      </c>
      <c r="CE5" s="62"/>
      <c r="CF5" s="237" t="s">
        <v>3031</v>
      </c>
      <c r="CG5" s="106">
        <f t="shared" si="22"/>
        <v>0</v>
      </c>
      <c r="CI5" s="51"/>
      <c r="CK5" s="251" t="str">
        <f t="shared" si="23"/>
        <v>AAG/TVA</v>
      </c>
      <c r="CL5" s="323">
        <f t="shared" si="24"/>
        <v>0</v>
      </c>
      <c r="CM5" s="40"/>
    </row>
    <row r="6" spans="1:91">
      <c r="A6" s="325" t="s">
        <v>3146</v>
      </c>
      <c r="B6" s="41" t="s">
        <v>3035</v>
      </c>
      <c r="C6" s="660" t="s">
        <v>1438</v>
      </c>
      <c r="D6" s="77"/>
      <c r="E6" s="77"/>
      <c r="F6" s="43"/>
      <c r="G6" s="43"/>
      <c r="H6" s="43"/>
      <c r="I6" s="43"/>
      <c r="J6" s="44"/>
      <c r="K6" s="44"/>
      <c r="L6" s="45">
        <f t="shared" si="0"/>
        <v>0</v>
      </c>
      <c r="M6" s="45">
        <f t="shared" si="1"/>
        <v>0</v>
      </c>
      <c r="N6" s="45">
        <f t="shared" si="2"/>
        <v>0</v>
      </c>
      <c r="O6" s="45"/>
      <c r="P6" s="45">
        <v>1000000</v>
      </c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>
        <f t="shared" si="6"/>
        <v>0</v>
      </c>
      <c r="AC6" s="45">
        <f t="shared" si="7"/>
        <v>0</v>
      </c>
      <c r="AD6" s="45">
        <f t="shared" si="8"/>
        <v>0</v>
      </c>
      <c r="AE6" s="44"/>
      <c r="AF6" s="44"/>
      <c r="AG6" s="44"/>
      <c r="AH6" s="44"/>
      <c r="AI6" s="44"/>
      <c r="AJ6" s="44"/>
      <c r="AK6" s="44"/>
      <c r="AL6" s="44">
        <f t="shared" si="9"/>
        <v>0</v>
      </c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>
        <f t="shared" si="10"/>
        <v>0</v>
      </c>
      <c r="BS6" s="312">
        <f t="shared" si="11"/>
        <v>0</v>
      </c>
      <c r="BT6" s="312">
        <f t="shared" si="12"/>
        <v>0</v>
      </c>
      <c r="BU6" s="312">
        <f t="shared" si="13"/>
        <v>0</v>
      </c>
      <c r="BV6" s="312">
        <f t="shared" si="14"/>
        <v>0</v>
      </c>
      <c r="BW6" s="313">
        <f t="shared" si="15"/>
        <v>0</v>
      </c>
      <c r="BX6" s="313">
        <f t="shared" si="16"/>
        <v>0</v>
      </c>
      <c r="BY6" s="313">
        <f t="shared" si="17"/>
        <v>0</v>
      </c>
      <c r="BZ6" s="313">
        <f t="shared" si="18"/>
        <v>0</v>
      </c>
      <c r="CA6" s="44"/>
      <c r="CB6" s="45">
        <f t="shared" si="19"/>
        <v>1000000</v>
      </c>
      <c r="CC6" s="46">
        <f t="shared" si="20"/>
        <v>1000000</v>
      </c>
      <c r="CD6" s="47">
        <f t="shared" si="21"/>
        <v>1000000</v>
      </c>
      <c r="CE6" s="62"/>
      <c r="CF6" s="237" t="s">
        <v>3049</v>
      </c>
      <c r="CG6" s="106">
        <f t="shared" si="22"/>
        <v>0</v>
      </c>
      <c r="CI6" s="51"/>
      <c r="CK6" s="251" t="str">
        <f t="shared" si="23"/>
        <v>AAG/csp</v>
      </c>
      <c r="CL6" s="323">
        <f t="shared" si="24"/>
        <v>0</v>
      </c>
      <c r="CM6" s="40"/>
    </row>
    <row r="7" spans="1:91">
      <c r="A7" s="1" t="s">
        <v>2130</v>
      </c>
      <c r="B7" s="1" t="s">
        <v>2131</v>
      </c>
      <c r="C7" s="1" t="s">
        <v>1436</v>
      </c>
      <c r="D7" s="77"/>
      <c r="E7" s="77"/>
      <c r="F7" s="43"/>
      <c r="G7" s="43"/>
      <c r="H7" s="43"/>
      <c r="I7" s="43"/>
      <c r="J7" s="44"/>
      <c r="K7" s="44">
        <f>10552987/1.1</f>
        <v>9593624.5454545449</v>
      </c>
      <c r="L7" s="45">
        <f t="shared" si="0"/>
        <v>95936.245454545453</v>
      </c>
      <c r="M7" s="45">
        <f t="shared" si="1"/>
        <v>594804.7218181818</v>
      </c>
      <c r="N7" s="45">
        <f t="shared" si="2"/>
        <v>268621.48727272724</v>
      </c>
      <c r="O7" s="45">
        <v>3428820</v>
      </c>
      <c r="P7" s="45"/>
      <c r="Q7" s="45"/>
      <c r="R7" s="45">
        <f t="shared" ref="R7" si="25">(Q7+O7)*0.01</f>
        <v>34288.199999999997</v>
      </c>
      <c r="S7" s="45">
        <f t="shared" ref="S7" si="26">(O7+Q7)*0.062</f>
        <v>212586.84</v>
      </c>
      <c r="T7" s="45">
        <f t="shared" ref="T7" si="27">(O7+P7+Q7)*0.028</f>
        <v>96006.96</v>
      </c>
      <c r="U7" s="45"/>
      <c r="V7" s="45"/>
      <c r="W7" s="45">
        <v>196</v>
      </c>
      <c r="X7" s="45"/>
      <c r="Y7" s="45"/>
      <c r="Z7" s="45"/>
      <c r="AA7" s="45"/>
      <c r="AB7" s="45">
        <f t="shared" si="6"/>
        <v>1.96</v>
      </c>
      <c r="AC7" s="45">
        <f t="shared" si="7"/>
        <v>12.151999999999999</v>
      </c>
      <c r="AD7" s="45">
        <f t="shared" si="8"/>
        <v>5.4880000000000004</v>
      </c>
      <c r="AE7" s="44"/>
      <c r="AF7" s="44"/>
      <c r="AG7" s="44"/>
      <c r="AH7" s="44"/>
      <c r="AI7" s="44"/>
      <c r="AJ7" s="44"/>
      <c r="AK7" s="44"/>
      <c r="AL7" s="44">
        <f t="shared" si="9"/>
        <v>0</v>
      </c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>
        <v>37249</v>
      </c>
      <c r="BF7" s="44">
        <v>23545</v>
      </c>
      <c r="BG7" s="44">
        <v>2250</v>
      </c>
      <c r="BH7" s="44"/>
      <c r="BI7" s="44"/>
      <c r="BJ7" s="44"/>
      <c r="BK7" s="44"/>
      <c r="BL7" s="44"/>
      <c r="BM7" s="44"/>
      <c r="BN7" s="44"/>
      <c r="BO7" s="44"/>
      <c r="BP7" s="44"/>
      <c r="BQ7" s="44">
        <v>600</v>
      </c>
      <c r="BR7" s="44">
        <v>150</v>
      </c>
      <c r="BS7" s="44"/>
      <c r="BT7" s="44"/>
      <c r="BU7" s="44"/>
      <c r="BV7" s="44"/>
      <c r="BW7" s="44"/>
      <c r="BX7" s="44"/>
      <c r="BY7" s="44"/>
      <c r="BZ7" s="44"/>
      <c r="CA7" s="44"/>
      <c r="CB7" s="45">
        <f t="shared" si="19"/>
        <v>14388698.600000001</v>
      </c>
      <c r="CC7" s="46">
        <f t="shared" si="20"/>
        <v>9593820.5454545449</v>
      </c>
      <c r="CD7" s="47">
        <f t="shared" si="21"/>
        <v>13022640.545454545</v>
      </c>
      <c r="CE7" s="62"/>
      <c r="CF7" s="237" t="str">
        <f>VLOOKUP(A7,labo!B:C,2,FALSE)</f>
        <v>FORESTERIE</v>
      </c>
      <c r="CG7" s="106">
        <f t="shared" si="22"/>
        <v>9593624.5454545449</v>
      </c>
      <c r="CI7" s="51"/>
      <c r="CK7" s="251" t="str">
        <f t="shared" si="23"/>
        <v>M121712671185D</v>
      </c>
      <c r="CL7" s="323">
        <f t="shared" si="24"/>
        <v>0</v>
      </c>
      <c r="CM7" s="40"/>
    </row>
    <row r="8" spans="1:91">
      <c r="A8" s="1" t="s">
        <v>3045</v>
      </c>
      <c r="B8" s="1" t="s">
        <v>3046</v>
      </c>
      <c r="C8" s="1" t="s">
        <v>1436</v>
      </c>
      <c r="D8" s="77"/>
      <c r="E8" s="77"/>
      <c r="F8" s="43"/>
      <c r="G8" s="43"/>
      <c r="H8" s="43"/>
      <c r="I8" s="43"/>
      <c r="J8" s="44"/>
      <c r="K8" s="44"/>
      <c r="L8" s="45">
        <v>0</v>
      </c>
      <c r="M8" s="45">
        <v>0</v>
      </c>
      <c r="N8" s="45">
        <v>0</v>
      </c>
      <c r="O8" s="45"/>
      <c r="P8" s="45"/>
      <c r="Q8" s="45"/>
      <c r="R8" s="45">
        <v>0</v>
      </c>
      <c r="S8" s="45">
        <v>0</v>
      </c>
      <c r="T8" s="45">
        <v>0</v>
      </c>
      <c r="U8" s="45"/>
      <c r="V8" s="45"/>
      <c r="W8" s="45"/>
      <c r="X8" s="45"/>
      <c r="Y8" s="45"/>
      <c r="Z8" s="45"/>
      <c r="AA8" s="45"/>
      <c r="AB8" s="45">
        <v>0</v>
      </c>
      <c r="AC8" s="45">
        <v>0</v>
      </c>
      <c r="AD8" s="45">
        <v>0</v>
      </c>
      <c r="AE8" s="44">
        <v>41465</v>
      </c>
      <c r="AF8" s="44"/>
      <c r="AG8" s="44"/>
      <c r="AH8" s="44"/>
      <c r="AI8" s="44"/>
      <c r="AJ8" s="44"/>
      <c r="AK8" s="44"/>
      <c r="AL8" s="44">
        <v>0</v>
      </c>
      <c r="AM8" s="44"/>
      <c r="AN8" s="44">
        <v>500000</v>
      </c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5">
        <f t="shared" si="19"/>
        <v>541465</v>
      </c>
      <c r="CC8" s="46">
        <f t="shared" si="20"/>
        <v>541465</v>
      </c>
      <c r="CD8" s="47">
        <f t="shared" si="21"/>
        <v>541465</v>
      </c>
      <c r="CE8" s="62"/>
      <c r="CF8" s="237" t="s">
        <v>1602</v>
      </c>
      <c r="CG8" s="106">
        <f t="shared" si="22"/>
        <v>0</v>
      </c>
      <c r="CI8" s="51"/>
      <c r="CK8" s="251" t="str">
        <f t="shared" ref="CK8" si="28">+B8</f>
        <v>P057812314131T</v>
      </c>
      <c r="CL8" s="323">
        <f t="shared" ref="CL8" si="29">CE8</f>
        <v>0</v>
      </c>
      <c r="CM8" s="40"/>
    </row>
    <row r="9" spans="1:91">
      <c r="A9" s="661" t="s">
        <v>3047</v>
      </c>
      <c r="B9" s="661" t="s">
        <v>3047</v>
      </c>
      <c r="C9" s="1" t="s">
        <v>1436</v>
      </c>
      <c r="D9" s="77"/>
      <c r="E9" s="77"/>
      <c r="F9" s="43"/>
      <c r="G9" s="43"/>
      <c r="H9" s="43"/>
      <c r="I9" s="43"/>
      <c r="J9" s="44"/>
      <c r="K9" s="44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4"/>
      <c r="AF9" s="44"/>
      <c r="AG9" s="44"/>
      <c r="AH9" s="44"/>
      <c r="AI9" s="44"/>
      <c r="AJ9" s="44"/>
      <c r="AK9" s="44"/>
      <c r="AL9" s="44"/>
      <c r="AM9" s="44"/>
      <c r="AN9" s="44">
        <v>7228163</v>
      </c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5">
        <f t="shared" si="19"/>
        <v>7228163</v>
      </c>
      <c r="CC9" s="46">
        <f t="shared" si="20"/>
        <v>7228163</v>
      </c>
      <c r="CD9" s="47">
        <f t="shared" si="21"/>
        <v>7228163</v>
      </c>
      <c r="CE9" s="62"/>
      <c r="CF9" s="237" t="s">
        <v>1602</v>
      </c>
      <c r="CG9" s="106">
        <f t="shared" si="22"/>
        <v>0</v>
      </c>
      <c r="CI9" s="51"/>
      <c r="CK9" s="251" t="str">
        <f t="shared" ref="CK9" si="30">+B9</f>
        <v>STBC/FC COMMUNE DOUME</v>
      </c>
      <c r="CL9" s="323">
        <f t="shared" ref="CL9" si="31">CE9</f>
        <v>0</v>
      </c>
      <c r="CM9" s="40"/>
    </row>
    <row r="10" spans="1:91">
      <c r="A10" s="661" t="s">
        <v>3048</v>
      </c>
      <c r="B10" s="661" t="s">
        <v>3048</v>
      </c>
      <c r="C10" s="1" t="s">
        <v>1436</v>
      </c>
      <c r="D10" s="77"/>
      <c r="E10" s="77"/>
      <c r="F10" s="43"/>
      <c r="G10" s="43"/>
      <c r="H10" s="43"/>
      <c r="I10" s="43"/>
      <c r="J10" s="44"/>
      <c r="K10" s="44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4"/>
      <c r="AF10" s="44"/>
      <c r="AG10" s="44"/>
      <c r="AH10" s="44"/>
      <c r="AI10" s="44"/>
      <c r="AJ10" s="44"/>
      <c r="AK10" s="44"/>
      <c r="AL10" s="44"/>
      <c r="AM10" s="44"/>
      <c r="AN10" s="44">
        <v>7329259</v>
      </c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5">
        <f t="shared" si="19"/>
        <v>7329259</v>
      </c>
      <c r="CC10" s="46">
        <f t="shared" si="20"/>
        <v>7329259</v>
      </c>
      <c r="CD10" s="47">
        <f t="shared" si="21"/>
        <v>7329259</v>
      </c>
      <c r="CE10" s="62"/>
      <c r="CF10" s="237" t="s">
        <v>1602</v>
      </c>
      <c r="CG10" s="106">
        <f t="shared" si="22"/>
        <v>0</v>
      </c>
      <c r="CI10" s="51"/>
      <c r="CK10" s="251" t="str">
        <f t="shared" ref="CK10" si="32">+B10</f>
        <v>STBC/ FC DOUMAINATNATG</v>
      </c>
      <c r="CL10" s="323">
        <f t="shared" ref="CL10" si="33">CE10</f>
        <v>0</v>
      </c>
      <c r="CM10" s="40"/>
    </row>
    <row r="11" spans="1:91">
      <c r="A11" s="1" t="s">
        <v>3050</v>
      </c>
      <c r="B11" s="41" t="s">
        <v>3030</v>
      </c>
      <c r="C11" s="660" t="s">
        <v>1436</v>
      </c>
      <c r="D11" s="77"/>
      <c r="E11" s="77"/>
      <c r="F11" s="43"/>
      <c r="G11" s="43"/>
      <c r="H11" s="43"/>
      <c r="I11" s="43"/>
      <c r="J11" s="44">
        <f>12589440/1.1</f>
        <v>11444945.454545453</v>
      </c>
      <c r="K11" s="44"/>
      <c r="L11" s="45">
        <f t="shared" si="0"/>
        <v>114449.45454545453</v>
      </c>
      <c r="M11" s="45">
        <f t="shared" si="1"/>
        <v>709586.61818181805</v>
      </c>
      <c r="N11" s="45">
        <f t="shared" si="2"/>
        <v>320458.47272727272</v>
      </c>
      <c r="O11" s="45"/>
      <c r="P11" s="45"/>
      <c r="Q11" s="45"/>
      <c r="R11" s="45">
        <f t="shared" si="3"/>
        <v>0</v>
      </c>
      <c r="S11" s="45">
        <f t="shared" si="4"/>
        <v>0</v>
      </c>
      <c r="T11" s="45">
        <f t="shared" si="5"/>
        <v>0</v>
      </c>
      <c r="U11" s="45"/>
      <c r="V11" s="45"/>
      <c r="W11" s="45"/>
      <c r="X11" s="45"/>
      <c r="Y11" s="45"/>
      <c r="Z11" s="45"/>
      <c r="AA11" s="45"/>
      <c r="AB11" s="45">
        <f t="shared" si="6"/>
        <v>0</v>
      </c>
      <c r="AC11" s="45">
        <f t="shared" si="7"/>
        <v>0</v>
      </c>
      <c r="AD11" s="45">
        <f t="shared" si="8"/>
        <v>0</v>
      </c>
      <c r="AE11" s="44"/>
      <c r="AF11" s="44"/>
      <c r="AG11" s="44"/>
      <c r="AH11" s="44"/>
      <c r="AI11" s="44"/>
      <c r="AJ11" s="44"/>
      <c r="AK11" s="44"/>
      <c r="AL11" s="44">
        <f t="shared" si="9"/>
        <v>0</v>
      </c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>
        <f t="shared" si="10"/>
        <v>0</v>
      </c>
      <c r="BS11" s="312">
        <f t="shared" si="11"/>
        <v>0</v>
      </c>
      <c r="BT11" s="312">
        <f t="shared" si="12"/>
        <v>0</v>
      </c>
      <c r="BU11" s="312">
        <f t="shared" si="13"/>
        <v>0</v>
      </c>
      <c r="BV11" s="312">
        <f t="shared" si="14"/>
        <v>0</v>
      </c>
      <c r="BW11" s="313">
        <f t="shared" si="15"/>
        <v>0</v>
      </c>
      <c r="BX11" s="313">
        <f t="shared" si="16"/>
        <v>0</v>
      </c>
      <c r="BY11" s="313">
        <f t="shared" si="17"/>
        <v>0</v>
      </c>
      <c r="BZ11" s="313">
        <f t="shared" si="18"/>
        <v>0</v>
      </c>
      <c r="CA11" s="44"/>
      <c r="CB11" s="45">
        <f t="shared" si="19"/>
        <v>12589439.999999998</v>
      </c>
      <c r="CC11" s="46">
        <f t="shared" si="20"/>
        <v>0</v>
      </c>
      <c r="CD11" s="47">
        <f t="shared" si="21"/>
        <v>11444945.454545453</v>
      </c>
      <c r="CE11" s="62"/>
      <c r="CF11" s="237" t="s">
        <v>3031</v>
      </c>
      <c r="CG11" s="106">
        <f t="shared" si="22"/>
        <v>0</v>
      </c>
      <c r="CI11" s="51"/>
      <c r="CK11" s="251" t="str">
        <f t="shared" ref="CK11:CK15" si="34">+B11</f>
        <v>AAG/TVA</v>
      </c>
      <c r="CL11" s="323">
        <f t="shared" ref="CL11:CL15" si="35">CE11</f>
        <v>0</v>
      </c>
      <c r="CM11" s="40"/>
    </row>
    <row r="12" spans="1:91">
      <c r="A12" s="1" t="s">
        <v>3051</v>
      </c>
      <c r="B12" s="41" t="e">
        <f>VLOOKUP(A12,'vs mars'!B:D,3,FALSE)</f>
        <v>#N/A</v>
      </c>
      <c r="C12" s="660" t="s">
        <v>1436</v>
      </c>
      <c r="D12" s="77"/>
      <c r="E12" s="77"/>
      <c r="F12" s="43"/>
      <c r="G12" s="43"/>
      <c r="H12" s="43"/>
      <c r="I12" s="43"/>
      <c r="J12" s="44"/>
      <c r="K12" s="44"/>
      <c r="L12" s="45">
        <f t="shared" si="0"/>
        <v>0</v>
      </c>
      <c r="M12" s="45">
        <f t="shared" si="1"/>
        <v>0</v>
      </c>
      <c r="N12" s="45">
        <f t="shared" si="2"/>
        <v>0</v>
      </c>
      <c r="O12" s="45"/>
      <c r="P12" s="45"/>
      <c r="Q12" s="45"/>
      <c r="R12" s="45">
        <f t="shared" si="3"/>
        <v>0</v>
      </c>
      <c r="S12" s="45">
        <f t="shared" si="4"/>
        <v>0</v>
      </c>
      <c r="T12" s="45">
        <f t="shared" si="5"/>
        <v>0</v>
      </c>
      <c r="U12" s="45"/>
      <c r="V12" s="45"/>
      <c r="W12" s="45"/>
      <c r="X12" s="45"/>
      <c r="Y12" s="45"/>
      <c r="Z12" s="45"/>
      <c r="AA12" s="45"/>
      <c r="AB12" s="45">
        <f t="shared" si="6"/>
        <v>0</v>
      </c>
      <c r="AC12" s="45">
        <f t="shared" si="7"/>
        <v>0</v>
      </c>
      <c r="AD12" s="45">
        <f t="shared" si="8"/>
        <v>0</v>
      </c>
      <c r="AE12" s="44"/>
      <c r="AF12" s="44"/>
      <c r="AG12" s="44"/>
      <c r="AH12" s="44">
        <v>6000000</v>
      </c>
      <c r="AI12" s="44"/>
      <c r="AJ12" s="44"/>
      <c r="AK12" s="44"/>
      <c r="AL12" s="44">
        <f t="shared" si="9"/>
        <v>0</v>
      </c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>
        <f t="shared" si="10"/>
        <v>0</v>
      </c>
      <c r="BS12" s="312">
        <f t="shared" si="11"/>
        <v>0</v>
      </c>
      <c r="BT12" s="312">
        <f t="shared" si="12"/>
        <v>0</v>
      </c>
      <c r="BU12" s="312">
        <f t="shared" si="13"/>
        <v>0</v>
      </c>
      <c r="BV12" s="312">
        <f t="shared" si="14"/>
        <v>0</v>
      </c>
      <c r="BW12" s="313">
        <f t="shared" si="15"/>
        <v>0</v>
      </c>
      <c r="BX12" s="313">
        <f t="shared" si="16"/>
        <v>0</v>
      </c>
      <c r="BY12" s="313">
        <f t="shared" si="17"/>
        <v>0</v>
      </c>
      <c r="BZ12" s="313">
        <f t="shared" si="18"/>
        <v>0</v>
      </c>
      <c r="CA12" s="44"/>
      <c r="CB12" s="45">
        <f t="shared" si="19"/>
        <v>6000000</v>
      </c>
      <c r="CC12" s="46">
        <f t="shared" si="20"/>
        <v>6000000</v>
      </c>
      <c r="CD12" s="47">
        <f t="shared" si="21"/>
        <v>6000000</v>
      </c>
      <c r="CE12" s="62"/>
      <c r="CF12" s="237" t="s">
        <v>3031</v>
      </c>
      <c r="CG12" s="106">
        <f t="shared" si="22"/>
        <v>0</v>
      </c>
      <c r="CI12" s="51"/>
      <c r="CK12" s="251" t="e">
        <f t="shared" si="34"/>
        <v>#N/A</v>
      </c>
      <c r="CL12" s="323">
        <f t="shared" si="35"/>
        <v>0</v>
      </c>
      <c r="CM12" s="40"/>
    </row>
    <row r="13" spans="1:91">
      <c r="A13" s="662" t="s">
        <v>3055</v>
      </c>
      <c r="B13" s="41" t="e">
        <f>VLOOKUP(A13,'vs mars'!B:D,3,FALSE)</f>
        <v>#N/A</v>
      </c>
      <c r="C13" s="660" t="s">
        <v>1436</v>
      </c>
      <c r="D13" s="77"/>
      <c r="E13" s="77"/>
      <c r="F13" s="43"/>
      <c r="G13" s="43"/>
      <c r="H13" s="43"/>
      <c r="I13" s="43"/>
      <c r="J13" s="44"/>
      <c r="K13" s="44"/>
      <c r="L13" s="45">
        <f t="shared" si="0"/>
        <v>0</v>
      </c>
      <c r="M13" s="45">
        <f t="shared" si="1"/>
        <v>0</v>
      </c>
      <c r="N13" s="45">
        <f t="shared" si="2"/>
        <v>0</v>
      </c>
      <c r="O13" s="45"/>
      <c r="P13" s="45"/>
      <c r="Q13" s="45"/>
      <c r="R13" s="45">
        <f t="shared" si="3"/>
        <v>0</v>
      </c>
      <c r="S13" s="45">
        <f t="shared" si="4"/>
        <v>0</v>
      </c>
      <c r="T13" s="45">
        <f t="shared" si="5"/>
        <v>0</v>
      </c>
      <c r="U13" s="45"/>
      <c r="V13" s="45"/>
      <c r="W13" s="45"/>
      <c r="X13" s="45"/>
      <c r="Y13" s="45"/>
      <c r="Z13" s="45"/>
      <c r="AA13" s="45"/>
      <c r="AB13" s="45">
        <f t="shared" si="6"/>
        <v>0</v>
      </c>
      <c r="AC13" s="45">
        <f t="shared" si="7"/>
        <v>0</v>
      </c>
      <c r="AD13" s="45">
        <f t="shared" si="8"/>
        <v>0</v>
      </c>
      <c r="AE13" s="44"/>
      <c r="AF13" s="44"/>
      <c r="AG13" s="44"/>
      <c r="AH13" s="44">
        <v>1650000</v>
      </c>
      <c r="AI13" s="44"/>
      <c r="AJ13" s="44"/>
      <c r="AK13" s="44"/>
      <c r="AL13" s="44">
        <f t="shared" si="9"/>
        <v>0</v>
      </c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>
        <f t="shared" si="10"/>
        <v>0</v>
      </c>
      <c r="BS13" s="312">
        <f t="shared" si="11"/>
        <v>0</v>
      </c>
      <c r="BT13" s="312">
        <f t="shared" si="12"/>
        <v>0</v>
      </c>
      <c r="BU13" s="312">
        <f t="shared" si="13"/>
        <v>0</v>
      </c>
      <c r="BV13" s="312">
        <f t="shared" si="14"/>
        <v>0</v>
      </c>
      <c r="BW13" s="313">
        <f t="shared" si="15"/>
        <v>0</v>
      </c>
      <c r="BX13" s="313">
        <f t="shared" si="16"/>
        <v>0</v>
      </c>
      <c r="BY13" s="313">
        <f t="shared" si="17"/>
        <v>0</v>
      </c>
      <c r="BZ13" s="313">
        <f t="shared" si="18"/>
        <v>0</v>
      </c>
      <c r="CA13" s="44"/>
      <c r="CB13" s="45">
        <f t="shared" si="19"/>
        <v>1650000</v>
      </c>
      <c r="CC13" s="46">
        <f t="shared" si="20"/>
        <v>1650000</v>
      </c>
      <c r="CD13" s="47">
        <f t="shared" si="21"/>
        <v>1650000</v>
      </c>
      <c r="CE13" s="62"/>
      <c r="CF13" s="237" t="s">
        <v>3031</v>
      </c>
      <c r="CG13" s="106">
        <f t="shared" si="22"/>
        <v>0</v>
      </c>
      <c r="CI13" s="51"/>
      <c r="CK13" s="251" t="e">
        <f t="shared" si="34"/>
        <v>#N/A</v>
      </c>
      <c r="CL13" s="323">
        <f t="shared" si="35"/>
        <v>0</v>
      </c>
      <c r="CM13" s="40"/>
    </row>
    <row r="14" spans="1:91">
      <c r="A14" s="663" t="s">
        <v>3052</v>
      </c>
      <c r="B14" s="41" t="e">
        <f>VLOOKUP(A14,'vs mars'!B:D,3,FALSE)</f>
        <v>#N/A</v>
      </c>
      <c r="C14" s="660" t="s">
        <v>1436</v>
      </c>
      <c r="D14" s="77"/>
      <c r="E14" s="77"/>
      <c r="F14" s="43"/>
      <c r="G14" s="43"/>
      <c r="H14" s="43"/>
      <c r="I14" s="43"/>
      <c r="J14" s="44"/>
      <c r="K14" s="44"/>
      <c r="L14" s="45">
        <f t="shared" si="0"/>
        <v>0</v>
      </c>
      <c r="M14" s="45">
        <f t="shared" si="1"/>
        <v>0</v>
      </c>
      <c r="N14" s="45">
        <f t="shared" si="2"/>
        <v>0</v>
      </c>
      <c r="O14" s="45"/>
      <c r="P14" s="45"/>
      <c r="Q14" s="45"/>
      <c r="R14" s="45">
        <f t="shared" si="3"/>
        <v>0</v>
      </c>
      <c r="S14" s="45">
        <f t="shared" si="4"/>
        <v>0</v>
      </c>
      <c r="T14" s="45">
        <f t="shared" si="5"/>
        <v>0</v>
      </c>
      <c r="U14" s="45"/>
      <c r="V14" s="45"/>
      <c r="W14" s="45"/>
      <c r="X14" s="45"/>
      <c r="Y14" s="45"/>
      <c r="Z14" s="45"/>
      <c r="AA14" s="45"/>
      <c r="AB14" s="45">
        <f t="shared" si="6"/>
        <v>0</v>
      </c>
      <c r="AC14" s="45">
        <f t="shared" si="7"/>
        <v>0</v>
      </c>
      <c r="AD14" s="45">
        <f t="shared" si="8"/>
        <v>0</v>
      </c>
      <c r="AE14" s="44"/>
      <c r="AF14" s="44"/>
      <c r="AG14" s="44"/>
      <c r="AH14" s="44">
        <v>1000000</v>
      </c>
      <c r="AI14" s="44">
        <v>100000</v>
      </c>
      <c r="AJ14" s="44"/>
      <c r="AK14" s="44"/>
      <c r="AL14" s="44">
        <f t="shared" si="9"/>
        <v>0</v>
      </c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>
        <f t="shared" si="10"/>
        <v>0</v>
      </c>
      <c r="BS14" s="312">
        <f t="shared" si="11"/>
        <v>0</v>
      </c>
      <c r="BT14" s="312">
        <f t="shared" si="12"/>
        <v>0</v>
      </c>
      <c r="BU14" s="312">
        <f t="shared" si="13"/>
        <v>0</v>
      </c>
      <c r="BV14" s="312">
        <f t="shared" si="14"/>
        <v>0</v>
      </c>
      <c r="BW14" s="313">
        <f t="shared" si="15"/>
        <v>0</v>
      </c>
      <c r="BX14" s="313">
        <f t="shared" si="16"/>
        <v>0</v>
      </c>
      <c r="BY14" s="313">
        <f t="shared" si="17"/>
        <v>0</v>
      </c>
      <c r="BZ14" s="313">
        <f t="shared" si="18"/>
        <v>0</v>
      </c>
      <c r="CA14" s="44"/>
      <c r="CB14" s="45">
        <f t="shared" si="19"/>
        <v>1100000</v>
      </c>
      <c r="CC14" s="46">
        <f t="shared" si="20"/>
        <v>1100000</v>
      </c>
      <c r="CD14" s="47">
        <f t="shared" si="21"/>
        <v>1100000</v>
      </c>
      <c r="CE14" s="62"/>
      <c r="CF14" s="237" t="s">
        <v>3031</v>
      </c>
      <c r="CG14" s="106">
        <f t="shared" si="22"/>
        <v>0</v>
      </c>
      <c r="CI14" s="51"/>
      <c r="CK14" s="251" t="e">
        <f t="shared" si="34"/>
        <v>#N/A</v>
      </c>
      <c r="CL14" s="323">
        <f t="shared" si="35"/>
        <v>0</v>
      </c>
      <c r="CM14" s="40"/>
    </row>
    <row r="15" spans="1:91">
      <c r="A15" s="663" t="s">
        <v>3053</v>
      </c>
      <c r="B15" s="41" t="e">
        <f>VLOOKUP(A15,'vs mars'!B:D,3,FALSE)</f>
        <v>#N/A</v>
      </c>
      <c r="C15" s="660" t="s">
        <v>1436</v>
      </c>
      <c r="D15" s="77"/>
      <c r="E15" s="77"/>
      <c r="F15" s="43"/>
      <c r="G15" s="43"/>
      <c r="H15" s="43"/>
      <c r="I15" s="43"/>
      <c r="J15" s="44"/>
      <c r="K15" s="44"/>
      <c r="L15" s="45">
        <f t="shared" si="0"/>
        <v>0</v>
      </c>
      <c r="M15" s="45">
        <f t="shared" si="1"/>
        <v>0</v>
      </c>
      <c r="N15" s="45">
        <f t="shared" si="2"/>
        <v>0</v>
      </c>
      <c r="O15" s="45"/>
      <c r="P15" s="45"/>
      <c r="Q15" s="45"/>
      <c r="R15" s="45">
        <f t="shared" si="3"/>
        <v>0</v>
      </c>
      <c r="S15" s="45">
        <f t="shared" si="4"/>
        <v>0</v>
      </c>
      <c r="T15" s="45">
        <f t="shared" si="5"/>
        <v>0</v>
      </c>
      <c r="U15" s="45"/>
      <c r="V15" s="45"/>
      <c r="W15" s="45"/>
      <c r="X15" s="45"/>
      <c r="Y15" s="45"/>
      <c r="Z15" s="45"/>
      <c r="AA15" s="45"/>
      <c r="AB15" s="45">
        <f t="shared" si="6"/>
        <v>0</v>
      </c>
      <c r="AC15" s="45">
        <f t="shared" si="7"/>
        <v>0</v>
      </c>
      <c r="AD15" s="45">
        <f t="shared" si="8"/>
        <v>0</v>
      </c>
      <c r="AE15" s="44"/>
      <c r="AF15" s="44"/>
      <c r="AG15" s="44"/>
      <c r="AH15" s="44">
        <v>1000000</v>
      </c>
      <c r="AI15" s="44">
        <v>100000</v>
      </c>
      <c r="AJ15" s="44"/>
      <c r="AK15" s="44"/>
      <c r="AL15" s="44">
        <f t="shared" si="9"/>
        <v>0</v>
      </c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>
        <f t="shared" si="10"/>
        <v>0</v>
      </c>
      <c r="BS15" s="312">
        <f t="shared" si="11"/>
        <v>0</v>
      </c>
      <c r="BT15" s="312">
        <f t="shared" si="12"/>
        <v>0</v>
      </c>
      <c r="BU15" s="312">
        <f t="shared" si="13"/>
        <v>0</v>
      </c>
      <c r="BV15" s="312">
        <f t="shared" si="14"/>
        <v>0</v>
      </c>
      <c r="BW15" s="313">
        <f t="shared" si="15"/>
        <v>0</v>
      </c>
      <c r="BX15" s="313">
        <f t="shared" si="16"/>
        <v>0</v>
      </c>
      <c r="BY15" s="313">
        <f t="shared" si="17"/>
        <v>0</v>
      </c>
      <c r="BZ15" s="313">
        <f t="shared" si="18"/>
        <v>0</v>
      </c>
      <c r="CA15" s="44"/>
      <c r="CB15" s="45">
        <f t="shared" si="19"/>
        <v>1100000</v>
      </c>
      <c r="CC15" s="46">
        <f t="shared" si="20"/>
        <v>1100000</v>
      </c>
      <c r="CD15" s="47">
        <f t="shared" si="21"/>
        <v>1100000</v>
      </c>
      <c r="CE15" s="62"/>
      <c r="CF15" s="237" t="s">
        <v>3031</v>
      </c>
      <c r="CG15" s="106">
        <f t="shared" si="22"/>
        <v>0</v>
      </c>
      <c r="CI15" s="51"/>
      <c r="CK15" s="251" t="e">
        <f t="shared" si="34"/>
        <v>#N/A</v>
      </c>
      <c r="CL15" s="323">
        <f t="shared" si="35"/>
        <v>0</v>
      </c>
      <c r="CM15" s="40"/>
    </row>
    <row r="16" spans="1:91">
      <c r="A16" s="663" t="s">
        <v>3054</v>
      </c>
      <c r="B16" s="41" t="e">
        <f>VLOOKUP(A16,'vs mars'!B:D,3,FALSE)</f>
        <v>#N/A</v>
      </c>
      <c r="C16" s="660" t="s">
        <v>1436</v>
      </c>
      <c r="D16" s="77"/>
      <c r="E16" s="77"/>
      <c r="F16" s="43"/>
      <c r="G16" s="43"/>
      <c r="H16" s="43"/>
      <c r="I16" s="43"/>
      <c r="J16" s="44"/>
      <c r="K16" s="44"/>
      <c r="L16" s="45">
        <f t="shared" si="0"/>
        <v>0</v>
      </c>
      <c r="M16" s="45">
        <f t="shared" si="1"/>
        <v>0</v>
      </c>
      <c r="N16" s="45">
        <f t="shared" si="2"/>
        <v>0</v>
      </c>
      <c r="O16" s="45"/>
      <c r="P16" s="45"/>
      <c r="Q16" s="45"/>
      <c r="R16" s="45">
        <f t="shared" si="3"/>
        <v>0</v>
      </c>
      <c r="S16" s="45">
        <f t="shared" si="4"/>
        <v>0</v>
      </c>
      <c r="T16" s="45">
        <f t="shared" si="5"/>
        <v>0</v>
      </c>
      <c r="U16" s="45"/>
      <c r="V16" s="45"/>
      <c r="W16" s="45"/>
      <c r="X16" s="45"/>
      <c r="Y16" s="45"/>
      <c r="Z16" s="45"/>
      <c r="AA16" s="45"/>
      <c r="AB16" s="45">
        <f t="shared" si="6"/>
        <v>0</v>
      </c>
      <c r="AC16" s="45">
        <f t="shared" si="7"/>
        <v>0</v>
      </c>
      <c r="AD16" s="45">
        <f t="shared" si="8"/>
        <v>0</v>
      </c>
      <c r="AE16" s="44"/>
      <c r="AF16" s="44"/>
      <c r="AG16" s="44"/>
      <c r="AH16" s="44">
        <v>1000000</v>
      </c>
      <c r="AI16" s="44">
        <v>100000</v>
      </c>
      <c r="AJ16" s="44"/>
      <c r="AK16" s="44"/>
      <c r="AL16" s="44">
        <f t="shared" si="9"/>
        <v>0</v>
      </c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>
        <f t="shared" si="10"/>
        <v>0</v>
      </c>
      <c r="BS16" s="312">
        <f t="shared" si="11"/>
        <v>0</v>
      </c>
      <c r="BT16" s="312">
        <f t="shared" si="12"/>
        <v>0</v>
      </c>
      <c r="BU16" s="312">
        <f t="shared" si="13"/>
        <v>0</v>
      </c>
      <c r="BV16" s="312">
        <f t="shared" si="14"/>
        <v>0</v>
      </c>
      <c r="BW16" s="313">
        <f t="shared" si="15"/>
        <v>0</v>
      </c>
      <c r="BX16" s="313">
        <f t="shared" si="16"/>
        <v>0</v>
      </c>
      <c r="BY16" s="313">
        <f t="shared" si="17"/>
        <v>0</v>
      </c>
      <c r="BZ16" s="313">
        <f t="shared" si="18"/>
        <v>0</v>
      </c>
      <c r="CA16" s="44"/>
      <c r="CB16" s="45">
        <f t="shared" si="19"/>
        <v>1100000</v>
      </c>
      <c r="CC16" s="46">
        <f t="shared" si="20"/>
        <v>1100000</v>
      </c>
      <c r="CD16" s="47">
        <f t="shared" si="21"/>
        <v>1100000</v>
      </c>
      <c r="CE16" s="62"/>
      <c r="CF16" s="237" t="s">
        <v>3031</v>
      </c>
      <c r="CG16" s="106">
        <f t="shared" si="22"/>
        <v>0</v>
      </c>
      <c r="CI16" s="51"/>
      <c r="CK16" s="251" t="e">
        <f t="shared" si="23"/>
        <v>#N/A</v>
      </c>
      <c r="CL16" s="323">
        <f t="shared" si="24"/>
        <v>0</v>
      </c>
      <c r="CM16" s="40">
        <v>44814906</v>
      </c>
    </row>
    <row r="17" spans="1:91">
      <c r="A17" s="325" t="s">
        <v>790</v>
      </c>
      <c r="B17" s="41" t="str">
        <f>VLOOKUP(A17,'vs mars'!B:D,3,FALSE)</f>
        <v>M111100039153T</v>
      </c>
      <c r="C17" s="42" t="str">
        <f>VLOOKUP(A17,'vs mars'!B:AC,28,FALSE)</f>
        <v>ug4</v>
      </c>
      <c r="D17" s="77"/>
      <c r="E17" s="77"/>
      <c r="F17" s="43"/>
      <c r="G17" s="43"/>
      <c r="H17" s="43"/>
      <c r="I17" s="43"/>
      <c r="J17" s="44"/>
      <c r="K17" s="44"/>
      <c r="L17" s="45">
        <f t="shared" si="0"/>
        <v>0</v>
      </c>
      <c r="M17" s="45">
        <f t="shared" si="1"/>
        <v>0</v>
      </c>
      <c r="N17" s="45">
        <f t="shared" si="2"/>
        <v>0</v>
      </c>
      <c r="O17" s="45"/>
      <c r="P17" s="45"/>
      <c r="Q17" s="45"/>
      <c r="R17" s="45">
        <f t="shared" si="3"/>
        <v>0</v>
      </c>
      <c r="S17" s="45">
        <f t="shared" si="4"/>
        <v>0</v>
      </c>
      <c r="T17" s="45">
        <f t="shared" si="5"/>
        <v>0</v>
      </c>
      <c r="U17" s="45"/>
      <c r="V17" s="45"/>
      <c r="W17" s="45"/>
      <c r="X17" s="45"/>
      <c r="Y17" s="45"/>
      <c r="Z17" s="45"/>
      <c r="AA17" s="45"/>
      <c r="AB17" s="45">
        <f t="shared" si="6"/>
        <v>0</v>
      </c>
      <c r="AC17" s="45">
        <f t="shared" si="7"/>
        <v>0</v>
      </c>
      <c r="AD17" s="45">
        <f t="shared" si="8"/>
        <v>0</v>
      </c>
      <c r="AE17" s="44"/>
      <c r="AF17" s="44"/>
      <c r="AG17" s="44"/>
      <c r="AH17" s="44"/>
      <c r="AI17" s="44"/>
      <c r="AJ17" s="44"/>
      <c r="AK17" s="44"/>
      <c r="AL17" s="44">
        <f t="shared" si="9"/>
        <v>0</v>
      </c>
      <c r="AM17" s="44"/>
      <c r="AN17" s="44">
        <v>2462429</v>
      </c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>
        <f t="shared" si="10"/>
        <v>0</v>
      </c>
      <c r="BS17" s="312">
        <f t="shared" si="11"/>
        <v>0</v>
      </c>
      <c r="BT17" s="312">
        <f t="shared" si="12"/>
        <v>0</v>
      </c>
      <c r="BU17" s="312">
        <f t="shared" si="13"/>
        <v>0</v>
      </c>
      <c r="BV17" s="312">
        <f t="shared" si="14"/>
        <v>0</v>
      </c>
      <c r="BW17" s="313">
        <f t="shared" si="15"/>
        <v>0</v>
      </c>
      <c r="BX17" s="313">
        <f t="shared" si="16"/>
        <v>0</v>
      </c>
      <c r="BY17" s="313">
        <f t="shared" si="17"/>
        <v>0</v>
      </c>
      <c r="BZ17" s="313">
        <f t="shared" si="18"/>
        <v>0</v>
      </c>
      <c r="CA17" s="44"/>
      <c r="CB17" s="45">
        <f t="shared" si="19"/>
        <v>2462429</v>
      </c>
      <c r="CC17" s="46">
        <f t="shared" si="20"/>
        <v>2462429</v>
      </c>
      <c r="CD17" s="47">
        <f t="shared" si="21"/>
        <v>2462429</v>
      </c>
      <c r="CE17" s="62"/>
      <c r="CF17" s="237" t="str">
        <f>VLOOKUP(A17,labo!B:C,2,FALSE)</f>
        <v>FORESTERIE</v>
      </c>
      <c r="CG17" s="106">
        <f t="shared" si="22"/>
        <v>0</v>
      </c>
      <c r="CI17" s="51"/>
      <c r="CK17" s="251" t="str">
        <f t="shared" si="23"/>
        <v>M111100039153T</v>
      </c>
      <c r="CL17" s="323">
        <f t="shared" si="24"/>
        <v>0</v>
      </c>
      <c r="CM17" s="40">
        <v>27701308</v>
      </c>
    </row>
    <row r="18" spans="1:91">
      <c r="A18" s="1" t="s">
        <v>3056</v>
      </c>
      <c r="B18" s="41" t="e">
        <f>VLOOKUP(A18,'vs mars'!B:D,3,FALSE)</f>
        <v>#N/A</v>
      </c>
      <c r="C18" s="660" t="s">
        <v>1436</v>
      </c>
      <c r="D18" s="77"/>
      <c r="E18" s="77"/>
      <c r="F18" s="43"/>
      <c r="G18" s="43"/>
      <c r="H18" s="43"/>
      <c r="I18" s="43"/>
      <c r="J18" s="44"/>
      <c r="K18" s="44"/>
      <c r="L18" s="45">
        <f t="shared" si="0"/>
        <v>0</v>
      </c>
      <c r="M18" s="45">
        <f t="shared" si="1"/>
        <v>0</v>
      </c>
      <c r="N18" s="45">
        <f t="shared" si="2"/>
        <v>0</v>
      </c>
      <c r="O18" s="45"/>
      <c r="P18" s="45"/>
      <c r="Q18" s="45"/>
      <c r="R18" s="45">
        <f t="shared" si="3"/>
        <v>0</v>
      </c>
      <c r="S18" s="45">
        <f t="shared" si="4"/>
        <v>0</v>
      </c>
      <c r="T18" s="45">
        <f t="shared" si="5"/>
        <v>0</v>
      </c>
      <c r="U18" s="45"/>
      <c r="V18" s="45"/>
      <c r="W18" s="45"/>
      <c r="X18" s="45"/>
      <c r="Y18" s="45"/>
      <c r="Z18" s="45"/>
      <c r="AA18" s="45"/>
      <c r="AB18" s="45">
        <f t="shared" si="6"/>
        <v>0</v>
      </c>
      <c r="AC18" s="45">
        <f t="shared" si="7"/>
        <v>0</v>
      </c>
      <c r="AD18" s="45">
        <f t="shared" si="8"/>
        <v>0</v>
      </c>
      <c r="AE18" s="44"/>
      <c r="AF18" s="44"/>
      <c r="AG18" s="44"/>
      <c r="AH18" s="44">
        <v>2000000</v>
      </c>
      <c r="AI18" s="44">
        <v>200000</v>
      </c>
      <c r="AJ18" s="44"/>
      <c r="AK18" s="44"/>
      <c r="AL18" s="44">
        <f t="shared" si="9"/>
        <v>0</v>
      </c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>
        <f t="shared" si="10"/>
        <v>0</v>
      </c>
      <c r="BS18" s="312">
        <f t="shared" si="11"/>
        <v>0</v>
      </c>
      <c r="BT18" s="312">
        <f t="shared" si="12"/>
        <v>0</v>
      </c>
      <c r="BU18" s="312">
        <f t="shared" si="13"/>
        <v>0</v>
      </c>
      <c r="BV18" s="312">
        <f t="shared" si="14"/>
        <v>0</v>
      </c>
      <c r="BW18" s="313">
        <f t="shared" si="15"/>
        <v>0</v>
      </c>
      <c r="BX18" s="313">
        <f t="shared" si="16"/>
        <v>0</v>
      </c>
      <c r="BY18" s="313">
        <f t="shared" si="17"/>
        <v>0</v>
      </c>
      <c r="BZ18" s="313">
        <f t="shared" si="18"/>
        <v>0</v>
      </c>
      <c r="CA18" s="44"/>
      <c r="CB18" s="45">
        <f t="shared" si="19"/>
        <v>2200000</v>
      </c>
      <c r="CC18" s="46">
        <f t="shared" si="20"/>
        <v>2200000</v>
      </c>
      <c r="CD18" s="47">
        <f t="shared" si="21"/>
        <v>2200000</v>
      </c>
      <c r="CE18" s="62"/>
      <c r="CF18" s="237" t="s">
        <v>3031</v>
      </c>
      <c r="CG18" s="106">
        <f t="shared" si="22"/>
        <v>0</v>
      </c>
      <c r="CI18" s="51"/>
      <c r="CK18" s="251" t="e">
        <f t="shared" si="23"/>
        <v>#N/A</v>
      </c>
      <c r="CL18" s="323">
        <f t="shared" si="24"/>
        <v>0</v>
      </c>
      <c r="CM18" s="40">
        <v>24334466</v>
      </c>
    </row>
    <row r="19" spans="1:91">
      <c r="A19" s="361" t="s">
        <v>3057</v>
      </c>
      <c r="B19" s="41" t="e">
        <f>VLOOKUP(A19,'vs mars'!B:D,3,FALSE)</f>
        <v>#N/A</v>
      </c>
      <c r="C19" s="660" t="s">
        <v>1436</v>
      </c>
      <c r="D19" s="77"/>
      <c r="E19" s="77"/>
      <c r="F19" s="43"/>
      <c r="G19" s="43"/>
      <c r="H19" s="43"/>
      <c r="I19" s="43"/>
      <c r="J19" s="44"/>
      <c r="K19" s="44"/>
      <c r="L19" s="45">
        <f t="shared" si="0"/>
        <v>0</v>
      </c>
      <c r="M19" s="45">
        <f t="shared" si="1"/>
        <v>0</v>
      </c>
      <c r="N19" s="45">
        <f t="shared" si="2"/>
        <v>0</v>
      </c>
      <c r="O19" s="45"/>
      <c r="P19" s="45"/>
      <c r="Q19" s="45"/>
      <c r="R19" s="45">
        <f t="shared" si="3"/>
        <v>0</v>
      </c>
      <c r="S19" s="45">
        <f t="shared" si="4"/>
        <v>0</v>
      </c>
      <c r="T19" s="45">
        <f t="shared" si="5"/>
        <v>0</v>
      </c>
      <c r="U19" s="45"/>
      <c r="V19" s="45"/>
      <c r="W19" s="45"/>
      <c r="X19" s="45"/>
      <c r="Y19" s="45"/>
      <c r="Z19" s="45"/>
      <c r="AA19" s="45"/>
      <c r="AB19" s="45">
        <f t="shared" si="6"/>
        <v>0</v>
      </c>
      <c r="AC19" s="45">
        <f t="shared" si="7"/>
        <v>0</v>
      </c>
      <c r="AD19" s="45">
        <f t="shared" si="8"/>
        <v>0</v>
      </c>
      <c r="AE19" s="44"/>
      <c r="AF19" s="44"/>
      <c r="AG19" s="44"/>
      <c r="AH19" s="44"/>
      <c r="AI19" s="44"/>
      <c r="AJ19" s="44"/>
      <c r="AK19" s="44"/>
      <c r="AL19" s="44">
        <f t="shared" si="9"/>
        <v>0</v>
      </c>
      <c r="AM19" s="44"/>
      <c r="AN19" s="44">
        <v>150000</v>
      </c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>
        <f t="shared" si="10"/>
        <v>0</v>
      </c>
      <c r="BS19" s="312">
        <f t="shared" si="11"/>
        <v>0</v>
      </c>
      <c r="BT19" s="312">
        <f t="shared" si="12"/>
        <v>0</v>
      </c>
      <c r="BU19" s="312">
        <f t="shared" si="13"/>
        <v>0</v>
      </c>
      <c r="BV19" s="312">
        <f t="shared" si="14"/>
        <v>0</v>
      </c>
      <c r="BW19" s="313">
        <f t="shared" si="15"/>
        <v>0</v>
      </c>
      <c r="BX19" s="313">
        <f t="shared" si="16"/>
        <v>0</v>
      </c>
      <c r="BY19" s="313">
        <f t="shared" si="17"/>
        <v>0</v>
      </c>
      <c r="BZ19" s="313">
        <f t="shared" si="18"/>
        <v>0</v>
      </c>
      <c r="CA19" s="44"/>
      <c r="CB19" s="45">
        <f t="shared" si="19"/>
        <v>150000</v>
      </c>
      <c r="CC19" s="46">
        <f t="shared" si="20"/>
        <v>150000</v>
      </c>
      <c r="CD19" s="47">
        <f t="shared" si="21"/>
        <v>150000</v>
      </c>
      <c r="CE19" s="62"/>
      <c r="CF19" s="237" t="s">
        <v>1602</v>
      </c>
      <c r="CG19" s="106">
        <f t="shared" si="22"/>
        <v>0</v>
      </c>
      <c r="CI19" s="51"/>
      <c r="CK19" s="251" t="e">
        <f t="shared" si="23"/>
        <v>#N/A</v>
      </c>
      <c r="CL19" s="323">
        <f t="shared" si="24"/>
        <v>0</v>
      </c>
      <c r="CM19" s="40">
        <v>31559245</v>
      </c>
    </row>
    <row r="20" spans="1:91">
      <c r="A20" s="1" t="s">
        <v>3058</v>
      </c>
      <c r="B20" s="41" t="s">
        <v>3060</v>
      </c>
      <c r="C20" s="660" t="s">
        <v>1436</v>
      </c>
      <c r="D20" s="77"/>
      <c r="E20" s="77"/>
      <c r="F20" s="43"/>
      <c r="G20" s="43"/>
      <c r="H20" s="43"/>
      <c r="I20" s="43"/>
      <c r="J20" s="44"/>
      <c r="K20" s="44"/>
      <c r="L20" s="45">
        <f t="shared" si="0"/>
        <v>0</v>
      </c>
      <c r="M20" s="45">
        <f t="shared" si="1"/>
        <v>0</v>
      </c>
      <c r="N20" s="45">
        <f t="shared" si="2"/>
        <v>0</v>
      </c>
      <c r="O20" s="45"/>
      <c r="P20" s="45"/>
      <c r="Q20" s="45"/>
      <c r="R20" s="45">
        <f t="shared" si="3"/>
        <v>0</v>
      </c>
      <c r="S20" s="45">
        <f t="shared" si="4"/>
        <v>0</v>
      </c>
      <c r="T20" s="45">
        <f t="shared" si="5"/>
        <v>0</v>
      </c>
      <c r="U20" s="45"/>
      <c r="V20" s="45"/>
      <c r="W20" s="45"/>
      <c r="X20" s="45"/>
      <c r="Y20" s="45"/>
      <c r="Z20" s="45"/>
      <c r="AA20" s="45"/>
      <c r="AB20" s="45">
        <f t="shared" si="6"/>
        <v>0</v>
      </c>
      <c r="AC20" s="45">
        <f t="shared" si="7"/>
        <v>0</v>
      </c>
      <c r="AD20" s="45">
        <f t="shared" si="8"/>
        <v>0</v>
      </c>
      <c r="AE20" s="44"/>
      <c r="AF20" s="44"/>
      <c r="AG20" s="44"/>
      <c r="AH20" s="44"/>
      <c r="AI20" s="44"/>
      <c r="AJ20" s="44"/>
      <c r="AK20" s="44"/>
      <c r="AL20" s="44">
        <f t="shared" si="9"/>
        <v>0</v>
      </c>
      <c r="AM20" s="44"/>
      <c r="AN20" s="44">
        <v>200000</v>
      </c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>
        <f t="shared" si="10"/>
        <v>0</v>
      </c>
      <c r="BS20" s="312">
        <f t="shared" si="11"/>
        <v>0</v>
      </c>
      <c r="BT20" s="312">
        <f t="shared" si="12"/>
        <v>0</v>
      </c>
      <c r="BU20" s="312">
        <f t="shared" si="13"/>
        <v>0</v>
      </c>
      <c r="BV20" s="312">
        <f t="shared" si="14"/>
        <v>0</v>
      </c>
      <c r="BW20" s="313">
        <f t="shared" si="15"/>
        <v>0</v>
      </c>
      <c r="BX20" s="313">
        <f t="shared" si="16"/>
        <v>0</v>
      </c>
      <c r="BY20" s="313">
        <f t="shared" si="17"/>
        <v>0</v>
      </c>
      <c r="BZ20" s="313">
        <f t="shared" si="18"/>
        <v>0</v>
      </c>
      <c r="CA20" s="44"/>
      <c r="CB20" s="45">
        <f t="shared" si="19"/>
        <v>200000</v>
      </c>
      <c r="CC20" s="46">
        <f t="shared" si="20"/>
        <v>200000</v>
      </c>
      <c r="CD20" s="47">
        <f t="shared" si="21"/>
        <v>200000</v>
      </c>
      <c r="CE20" s="62"/>
      <c r="CF20" s="237" t="s">
        <v>1602</v>
      </c>
      <c r="CG20" s="106">
        <f t="shared" si="22"/>
        <v>0</v>
      </c>
      <c r="CI20" s="51"/>
      <c r="CK20" s="251" t="str">
        <f t="shared" si="23"/>
        <v>reliquataire</v>
      </c>
      <c r="CL20" s="323">
        <f t="shared" si="24"/>
        <v>0</v>
      </c>
      <c r="CM20" s="40"/>
    </row>
    <row r="21" spans="1:91">
      <c r="A21" s="1" t="s">
        <v>3059</v>
      </c>
      <c r="B21" s="41"/>
      <c r="C21" s="660" t="s">
        <v>1436</v>
      </c>
      <c r="D21" s="77"/>
      <c r="E21" s="77"/>
      <c r="F21" s="43"/>
      <c r="G21" s="43"/>
      <c r="H21" s="43"/>
      <c r="I21" s="43"/>
      <c r="J21" s="44"/>
      <c r="K21" s="44"/>
      <c r="L21" s="45">
        <f t="shared" si="0"/>
        <v>0</v>
      </c>
      <c r="M21" s="45">
        <f t="shared" si="1"/>
        <v>0</v>
      </c>
      <c r="N21" s="45">
        <f t="shared" si="2"/>
        <v>0</v>
      </c>
      <c r="O21" s="45"/>
      <c r="P21" s="45"/>
      <c r="Q21" s="45"/>
      <c r="R21" s="45">
        <f t="shared" si="3"/>
        <v>0</v>
      </c>
      <c r="S21" s="45">
        <f t="shared" si="4"/>
        <v>0</v>
      </c>
      <c r="T21" s="45">
        <f t="shared" si="5"/>
        <v>0</v>
      </c>
      <c r="U21" s="45"/>
      <c r="V21" s="45"/>
      <c r="W21" s="45"/>
      <c r="X21" s="45"/>
      <c r="Y21" s="45"/>
      <c r="Z21" s="45"/>
      <c r="AA21" s="45"/>
      <c r="AB21" s="45">
        <f t="shared" si="6"/>
        <v>0</v>
      </c>
      <c r="AC21" s="45">
        <f t="shared" si="7"/>
        <v>0</v>
      </c>
      <c r="AD21" s="45">
        <f t="shared" si="8"/>
        <v>0</v>
      </c>
      <c r="AE21" s="44"/>
      <c r="AF21" s="44"/>
      <c r="AG21" s="44"/>
      <c r="AH21" s="44"/>
      <c r="AI21" s="44"/>
      <c r="AJ21" s="44"/>
      <c r="AK21" s="44"/>
      <c r="AL21" s="44">
        <f t="shared" si="9"/>
        <v>0</v>
      </c>
      <c r="AM21" s="44"/>
      <c r="AN21" s="44">
        <v>300000</v>
      </c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>
        <f t="shared" si="10"/>
        <v>0</v>
      </c>
      <c r="BS21" s="312">
        <f t="shared" si="11"/>
        <v>0</v>
      </c>
      <c r="BT21" s="312">
        <f t="shared" si="12"/>
        <v>0</v>
      </c>
      <c r="BU21" s="312">
        <f t="shared" si="13"/>
        <v>0</v>
      </c>
      <c r="BV21" s="312">
        <f t="shared" si="14"/>
        <v>0</v>
      </c>
      <c r="BW21" s="313">
        <f t="shared" si="15"/>
        <v>0</v>
      </c>
      <c r="BX21" s="313">
        <f t="shared" si="16"/>
        <v>0</v>
      </c>
      <c r="BY21" s="313">
        <f t="shared" si="17"/>
        <v>0</v>
      </c>
      <c r="BZ21" s="313">
        <f t="shared" si="18"/>
        <v>0</v>
      </c>
      <c r="CA21" s="44"/>
      <c r="CB21" s="45">
        <f t="shared" si="19"/>
        <v>300000</v>
      </c>
      <c r="CC21" s="46">
        <f t="shared" si="20"/>
        <v>300000</v>
      </c>
      <c r="CD21" s="47">
        <f t="shared" si="21"/>
        <v>300000</v>
      </c>
      <c r="CE21" s="62"/>
      <c r="CF21" s="237" t="s">
        <v>1602</v>
      </c>
      <c r="CG21" s="106">
        <f t="shared" si="22"/>
        <v>0</v>
      </c>
      <c r="CI21" s="51"/>
      <c r="CK21" s="251">
        <f t="shared" si="23"/>
        <v>0</v>
      </c>
      <c r="CL21" s="323">
        <f t="shared" si="24"/>
        <v>0</v>
      </c>
      <c r="CM21" s="40"/>
    </row>
    <row r="22" spans="1:91">
      <c r="A22" s="1" t="s">
        <v>475</v>
      </c>
      <c r="B22" s="41" t="s">
        <v>477</v>
      </c>
      <c r="C22" s="660" t="s">
        <v>1439</v>
      </c>
      <c r="D22" s="664"/>
      <c r="E22" s="664"/>
      <c r="F22" s="665"/>
      <c r="G22" s="665"/>
      <c r="H22" s="665"/>
      <c r="I22" s="665"/>
      <c r="J22" s="666">
        <v>68250</v>
      </c>
      <c r="K22" s="666"/>
      <c r="L22" s="667">
        <f t="shared" si="0"/>
        <v>682.5</v>
      </c>
      <c r="M22" s="667">
        <f t="shared" si="1"/>
        <v>4231.5</v>
      </c>
      <c r="N22" s="667">
        <f t="shared" si="2"/>
        <v>1911</v>
      </c>
      <c r="O22" s="667">
        <v>61200</v>
      </c>
      <c r="P22" s="667"/>
      <c r="Q22" s="25">
        <f>84226/1.1</f>
        <v>76569.090909090897</v>
      </c>
      <c r="R22" s="667">
        <f t="shared" ref="R22" si="36">(Q22+O22)*0.01</f>
        <v>1377.6909090909089</v>
      </c>
      <c r="S22" s="667">
        <f t="shared" ref="S22" si="37">(O22+Q22)*0.062</f>
        <v>8541.6836363636339</v>
      </c>
      <c r="T22" s="667">
        <f t="shared" si="5"/>
        <v>3857.534545454545</v>
      </c>
      <c r="U22" s="667"/>
      <c r="V22" s="667"/>
      <c r="W22" s="667">
        <v>15038</v>
      </c>
      <c r="X22" s="667"/>
      <c r="Y22" s="667"/>
      <c r="Z22" s="667"/>
      <c r="AA22" s="667"/>
      <c r="AB22" s="667">
        <f t="shared" si="6"/>
        <v>150.38</v>
      </c>
      <c r="AC22" s="667">
        <f t="shared" si="7"/>
        <v>932.35599999999999</v>
      </c>
      <c r="AD22" s="667">
        <f t="shared" si="8"/>
        <v>421.06400000000002</v>
      </c>
      <c r="AE22" s="666">
        <v>44400</v>
      </c>
      <c r="AF22" s="666"/>
      <c r="AG22" s="666"/>
      <c r="AH22" s="666"/>
      <c r="AI22" s="666"/>
      <c r="AJ22" s="666"/>
      <c r="AK22" s="666"/>
      <c r="AL22" s="666">
        <f t="shared" si="9"/>
        <v>0</v>
      </c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>
        <v>24122</v>
      </c>
      <c r="BF22" s="666">
        <v>10870</v>
      </c>
      <c r="BG22" s="666">
        <v>10200</v>
      </c>
      <c r="BH22" s="666"/>
      <c r="BI22" s="666"/>
      <c r="BJ22" s="666"/>
      <c r="BK22" s="666"/>
      <c r="BL22" s="666"/>
      <c r="BM22" s="666"/>
      <c r="BN22" s="666"/>
      <c r="BO22" s="666"/>
      <c r="BP22" s="666"/>
      <c r="BQ22" s="666">
        <v>4950</v>
      </c>
      <c r="BR22" s="666">
        <f t="shared" si="10"/>
        <v>550</v>
      </c>
      <c r="BS22" s="666"/>
      <c r="BT22" s="666"/>
      <c r="BU22" s="666"/>
      <c r="BV22" s="666"/>
      <c r="BW22" s="666"/>
      <c r="BX22" s="666"/>
      <c r="BY22" s="666"/>
      <c r="BZ22" s="666"/>
      <c r="CA22" s="666"/>
      <c r="CB22" s="45">
        <f t="shared" si="19"/>
        <v>338254.8</v>
      </c>
      <c r="CC22" s="46">
        <f t="shared" si="20"/>
        <v>136007.09090909088</v>
      </c>
      <c r="CD22" s="47">
        <f t="shared" si="21"/>
        <v>265457.09090909088</v>
      </c>
      <c r="CE22" s="62"/>
      <c r="CF22" s="237" t="str">
        <f>VLOOKUP(A22,labo!B:C,2,FALSE)</f>
        <v>BOULANGERIE</v>
      </c>
      <c r="CG22" s="106">
        <f t="shared" si="22"/>
        <v>76569.090909090897</v>
      </c>
      <c r="CI22" s="51"/>
      <c r="CK22" s="251" t="str">
        <f t="shared" si="23"/>
        <v>M081200043684G</v>
      </c>
      <c r="CL22" s="323">
        <f t="shared" si="24"/>
        <v>0</v>
      </c>
      <c r="CM22" s="40"/>
    </row>
    <row r="23" spans="1:91">
      <c r="A23" s="1" t="s">
        <v>533</v>
      </c>
      <c r="B23" s="41" t="s">
        <v>535</v>
      </c>
      <c r="C23" s="660" t="s">
        <v>1439</v>
      </c>
      <c r="D23" s="77"/>
      <c r="E23" s="77"/>
      <c r="F23" s="43"/>
      <c r="G23" s="43"/>
      <c r="H23" s="43"/>
      <c r="I23" s="43"/>
      <c r="J23" s="44"/>
      <c r="K23" s="44"/>
      <c r="L23" s="45">
        <v>0</v>
      </c>
      <c r="M23" s="45">
        <v>0</v>
      </c>
      <c r="N23" s="45">
        <v>0</v>
      </c>
      <c r="O23" s="45"/>
      <c r="P23" s="45"/>
      <c r="Q23" s="45"/>
      <c r="R23" s="45">
        <v>0</v>
      </c>
      <c r="S23" s="45">
        <v>0</v>
      </c>
      <c r="T23" s="45">
        <v>0</v>
      </c>
      <c r="U23" s="45"/>
      <c r="V23" s="45">
        <v>0</v>
      </c>
      <c r="W23" s="45">
        <v>1270112</v>
      </c>
      <c r="X23" s="45"/>
      <c r="Y23" s="45"/>
      <c r="Z23" s="45"/>
      <c r="AA23" s="45"/>
      <c r="AB23" s="45">
        <v>12701.12</v>
      </c>
      <c r="AC23" s="45">
        <v>78746.944000000003</v>
      </c>
      <c r="AD23" s="45">
        <v>35563.135999999999</v>
      </c>
      <c r="AE23" s="44">
        <v>224000</v>
      </c>
      <c r="AF23" s="44"/>
      <c r="AG23" s="44"/>
      <c r="AH23" s="44"/>
      <c r="AI23" s="44"/>
      <c r="AJ23" s="44"/>
      <c r="AK23" s="44"/>
      <c r="AL23" s="44">
        <v>0</v>
      </c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>
        <v>223755</v>
      </c>
      <c r="BG23" s="44">
        <v>201950</v>
      </c>
      <c r="BH23" s="44"/>
      <c r="BI23" s="44"/>
      <c r="BJ23" s="44"/>
      <c r="BK23" s="44"/>
      <c r="BL23" s="44"/>
      <c r="BM23" s="44"/>
      <c r="BN23" s="44"/>
      <c r="BO23" s="44"/>
      <c r="BP23" s="44"/>
      <c r="BQ23" s="44">
        <v>60075</v>
      </c>
      <c r="BR23" s="44">
        <v>6675</v>
      </c>
      <c r="BS23" s="312"/>
      <c r="BT23" s="312"/>
      <c r="BU23" s="312"/>
      <c r="BV23" s="312"/>
      <c r="BW23" s="313"/>
      <c r="BX23" s="313"/>
      <c r="BY23" s="313"/>
      <c r="BZ23" s="313"/>
      <c r="CA23" s="44"/>
      <c r="CB23" s="45">
        <f t="shared" si="19"/>
        <v>2113578.2000000002</v>
      </c>
      <c r="CC23" s="46">
        <f t="shared" si="20"/>
        <v>1494112</v>
      </c>
      <c r="CD23" s="47">
        <f t="shared" si="21"/>
        <v>1494112</v>
      </c>
      <c r="CE23" s="62"/>
      <c r="CF23" s="237" t="str">
        <f>VLOOKUP(A23,labo!B:C,2,FALSE)</f>
        <v>INDUSTRIE DE PRODUCTION</v>
      </c>
      <c r="CG23" s="106">
        <f t="shared" si="22"/>
        <v>0</v>
      </c>
      <c r="CI23" s="51"/>
      <c r="CK23" s="251" t="str">
        <f t="shared" si="23"/>
        <v>M121300048250Y</v>
      </c>
      <c r="CL23" s="323">
        <f t="shared" si="24"/>
        <v>0</v>
      </c>
      <c r="CM23" s="40"/>
    </row>
    <row r="24" spans="1:91">
      <c r="A24" s="1" t="s">
        <v>2327</v>
      </c>
      <c r="B24" s="41" t="s">
        <v>2143</v>
      </c>
      <c r="C24" s="660" t="s">
        <v>1439</v>
      </c>
      <c r="D24" s="77"/>
      <c r="E24" s="77"/>
      <c r="F24" s="43"/>
      <c r="G24" s="43"/>
      <c r="H24" s="43"/>
      <c r="I24" s="43"/>
      <c r="J24" s="44">
        <v>76000</v>
      </c>
      <c r="K24" s="44"/>
      <c r="L24" s="45">
        <v>760</v>
      </c>
      <c r="M24" s="45">
        <v>4712</v>
      </c>
      <c r="N24" s="45">
        <v>2128</v>
      </c>
      <c r="O24" s="45">
        <v>2000</v>
      </c>
      <c r="P24" s="45"/>
      <c r="Q24" s="45"/>
      <c r="R24" s="45">
        <v>20</v>
      </c>
      <c r="S24" s="45">
        <v>124</v>
      </c>
      <c r="T24" s="45">
        <v>56</v>
      </c>
      <c r="U24" s="45"/>
      <c r="V24" s="45"/>
      <c r="W24" s="45"/>
      <c r="X24" s="45"/>
      <c r="Y24" s="45"/>
      <c r="Z24" s="45"/>
      <c r="AA24" s="45"/>
      <c r="AB24" s="45">
        <v>0</v>
      </c>
      <c r="AC24" s="45">
        <v>0</v>
      </c>
      <c r="AD24" s="45">
        <v>0</v>
      </c>
      <c r="AE24" s="44">
        <v>0</v>
      </c>
      <c r="AF24" s="44"/>
      <c r="AG24" s="44"/>
      <c r="AH24" s="44"/>
      <c r="AI24" s="44"/>
      <c r="AJ24" s="44"/>
      <c r="AK24" s="44"/>
      <c r="AL24" s="44">
        <v>0</v>
      </c>
      <c r="AM24" s="44"/>
      <c r="AN24" s="44">
        <v>250000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>
        <v>0</v>
      </c>
      <c r="BF24" s="44">
        <v>0</v>
      </c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>
        <v>0</v>
      </c>
      <c r="BS24" s="312"/>
      <c r="BT24" s="312"/>
      <c r="BU24" s="312"/>
      <c r="BV24" s="312"/>
      <c r="BW24" s="313"/>
      <c r="BX24" s="313"/>
      <c r="BY24" s="313"/>
      <c r="BZ24" s="313"/>
      <c r="CA24" s="44"/>
      <c r="CB24" s="45">
        <f t="shared" si="19"/>
        <v>335800</v>
      </c>
      <c r="CC24" s="46">
        <f t="shared" si="20"/>
        <v>250000</v>
      </c>
      <c r="CD24" s="47">
        <f t="shared" si="21"/>
        <v>328000</v>
      </c>
      <c r="CE24" s="62"/>
      <c r="CF24" s="237" t="str">
        <f>VLOOKUP(A24,labo!B:C,2,FALSE)</f>
        <v>INDUSTRIE DE PRODUCTION</v>
      </c>
      <c r="CG24" s="106">
        <f t="shared" si="22"/>
        <v>0</v>
      </c>
      <c r="CI24" s="51"/>
      <c r="CK24" s="251" t="str">
        <f t="shared" si="23"/>
        <v>P027612483174L</v>
      </c>
      <c r="CL24" s="323">
        <f t="shared" si="24"/>
        <v>0</v>
      </c>
      <c r="CM24" s="40"/>
    </row>
    <row r="25" spans="1:91">
      <c r="A25" s="1" t="s">
        <v>362</v>
      </c>
      <c r="B25" s="41" t="s">
        <v>762</v>
      </c>
      <c r="C25" s="660" t="s">
        <v>1439</v>
      </c>
      <c r="D25" s="77"/>
      <c r="E25" s="77"/>
      <c r="F25" s="43"/>
      <c r="G25" s="43"/>
      <c r="H25" s="43"/>
      <c r="I25" s="43"/>
      <c r="J25" s="44">
        <v>687694</v>
      </c>
      <c r="K25" s="44"/>
      <c r="L25" s="45">
        <f t="shared" ref="L25" si="38">(J25+K25)*0.01</f>
        <v>6876.9400000000005</v>
      </c>
      <c r="M25" s="45">
        <f t="shared" ref="M25" si="39">(J25+K25)*0.062</f>
        <v>42637.027999999998</v>
      </c>
      <c r="N25" s="45">
        <f t="shared" ref="N25" si="40">(J25+K25)*0.028</f>
        <v>19255.432000000001</v>
      </c>
      <c r="O25" s="45">
        <v>156187</v>
      </c>
      <c r="P25" s="45"/>
      <c r="Q25" s="45">
        <f>119295/1.1</f>
        <v>108449.99999999999</v>
      </c>
      <c r="R25" s="45">
        <f t="shared" ref="R25" si="41">(Q25+O25)*0.01</f>
        <v>2646.37</v>
      </c>
      <c r="S25" s="45">
        <f t="shared" ref="S25" si="42">(O25+Q25)*0.062</f>
        <v>16407.493999999999</v>
      </c>
      <c r="T25" s="45">
        <f t="shared" ref="T25" si="43">(O25+P25+Q25)*0.028</f>
        <v>7409.8360000000002</v>
      </c>
      <c r="U25" s="45"/>
      <c r="V25" s="45"/>
      <c r="W25" s="45">
        <v>59621</v>
      </c>
      <c r="X25" s="45"/>
      <c r="Y25" s="45"/>
      <c r="Z25" s="45"/>
      <c r="AA25" s="45"/>
      <c r="AB25" s="45">
        <f t="shared" ref="AB25" si="44">(U25+V25+W25+X25+Y25+Z25)*0.01</f>
        <v>596.21</v>
      </c>
      <c r="AC25" s="45">
        <f t="shared" ref="AC25" si="45">(U25+V25+W25+X25+Y25+Z25)*0.062</f>
        <v>3696.502</v>
      </c>
      <c r="AD25" s="45">
        <f t="shared" ref="AD25" si="46">(U25+V25+W25+X25+Y25+Z25)*0.028</f>
        <v>1669.3880000000001</v>
      </c>
      <c r="AE25" s="44">
        <v>27900</v>
      </c>
      <c r="AF25" s="44"/>
      <c r="AG25" s="44"/>
      <c r="AH25" s="44"/>
      <c r="AI25" s="44"/>
      <c r="AJ25" s="44"/>
      <c r="AK25" s="44"/>
      <c r="AL25" s="44">
        <f t="shared" ref="AL25" si="47">+AK25</f>
        <v>0</v>
      </c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>
        <v>0</v>
      </c>
      <c r="AZ25" s="44"/>
      <c r="BA25" s="44"/>
      <c r="BB25" s="44"/>
      <c r="BC25" s="44"/>
      <c r="BD25" s="44"/>
      <c r="BE25" s="44">
        <v>53202</v>
      </c>
      <c r="BF25" s="44">
        <v>17374</v>
      </c>
      <c r="BG25" s="44">
        <v>25700</v>
      </c>
      <c r="BH25" s="44"/>
      <c r="BI25" s="44"/>
      <c r="BJ25" s="44"/>
      <c r="BK25" s="44"/>
      <c r="BL25" s="44"/>
      <c r="BM25" s="44"/>
      <c r="BN25" s="44"/>
      <c r="BO25" s="44"/>
      <c r="BP25" s="44"/>
      <c r="BQ25" s="44">
        <f>12000*0.9</f>
        <v>10800</v>
      </c>
      <c r="BR25" s="44">
        <f t="shared" ref="BR25" si="48">BQ25/9</f>
        <v>1200</v>
      </c>
      <c r="BS25" s="312"/>
      <c r="BT25" s="312"/>
      <c r="BU25" s="312"/>
      <c r="BV25" s="312"/>
      <c r="BW25" s="313"/>
      <c r="BX25" s="313"/>
      <c r="BY25" s="313"/>
      <c r="BZ25" s="313"/>
      <c r="CA25" s="44"/>
      <c r="CB25" s="45">
        <f t="shared" si="19"/>
        <v>1249323.2000000002</v>
      </c>
      <c r="CC25" s="46">
        <f t="shared" si="20"/>
        <v>195971</v>
      </c>
      <c r="CD25" s="47">
        <f t="shared" si="21"/>
        <v>1039852</v>
      </c>
      <c r="CE25" s="62"/>
      <c r="CF25" s="237" t="str">
        <f>VLOOKUP(A25,labo!B:C,2,FALSE)</f>
        <v>BOULANGERIE</v>
      </c>
      <c r="CG25" s="106">
        <f t="shared" si="22"/>
        <v>108449.99999999999</v>
      </c>
      <c r="CI25" s="51"/>
      <c r="CK25" s="251" t="str">
        <f t="shared" si="23"/>
        <v>M031200041045M</v>
      </c>
      <c r="CL25" s="323">
        <f t="shared" si="24"/>
        <v>0</v>
      </c>
      <c r="CM25" s="40"/>
    </row>
    <row r="26" spans="1:91">
      <c r="A26" s="1" t="s">
        <v>317</v>
      </c>
      <c r="B26" s="41" t="s">
        <v>801</v>
      </c>
      <c r="C26" s="660" t="s">
        <v>1439</v>
      </c>
      <c r="D26" s="77"/>
      <c r="E26" s="77"/>
      <c r="F26" s="43"/>
      <c r="G26" s="43"/>
      <c r="H26" s="43"/>
      <c r="I26" s="43"/>
      <c r="J26" s="44">
        <v>195124</v>
      </c>
      <c r="K26" s="44"/>
      <c r="L26" s="45">
        <v>1951.24</v>
      </c>
      <c r="M26" s="45">
        <v>12097.688</v>
      </c>
      <c r="N26" s="45">
        <v>5463.4719999999998</v>
      </c>
      <c r="O26" s="45">
        <v>199811</v>
      </c>
      <c r="P26" s="45"/>
      <c r="Q26" s="45"/>
      <c r="R26" s="45">
        <v>1998.1100000000001</v>
      </c>
      <c r="S26" s="45">
        <v>12388.281999999999</v>
      </c>
      <c r="T26" s="45">
        <v>5594.7080000000005</v>
      </c>
      <c r="U26" s="45"/>
      <c r="V26" s="45"/>
      <c r="W26" s="45">
        <v>99545</v>
      </c>
      <c r="X26" s="45"/>
      <c r="Y26" s="45"/>
      <c r="Z26" s="45"/>
      <c r="AA26" s="45"/>
      <c r="AB26" s="45">
        <v>995.45</v>
      </c>
      <c r="AC26" s="45">
        <v>6171.79</v>
      </c>
      <c r="AD26" s="45">
        <v>2787.26</v>
      </c>
      <c r="AE26" s="44">
        <v>46120</v>
      </c>
      <c r="AF26" s="44"/>
      <c r="AG26" s="44"/>
      <c r="AH26" s="44"/>
      <c r="AI26" s="44"/>
      <c r="AJ26" s="44"/>
      <c r="AK26" s="44"/>
      <c r="AL26" s="44">
        <v>0</v>
      </c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>
        <v>440</v>
      </c>
      <c r="AZ26" s="44"/>
      <c r="BA26" s="44"/>
      <c r="BB26" s="44"/>
      <c r="BC26" s="44"/>
      <c r="BD26" s="44"/>
      <c r="BE26" s="44">
        <v>59620</v>
      </c>
      <c r="BF26" s="44">
        <v>23849</v>
      </c>
      <c r="BG26" s="44">
        <v>27350</v>
      </c>
      <c r="BH26" s="44"/>
      <c r="BI26" s="44"/>
      <c r="BJ26" s="44"/>
      <c r="BK26" s="44"/>
      <c r="BL26" s="44"/>
      <c r="BM26" s="44"/>
      <c r="BN26" s="44"/>
      <c r="BO26" s="44"/>
      <c r="BP26" s="44"/>
      <c r="BQ26" s="44">
        <v>6075</v>
      </c>
      <c r="BR26" s="44">
        <v>675</v>
      </c>
      <c r="BS26" s="312"/>
      <c r="BT26" s="312"/>
      <c r="BU26" s="312"/>
      <c r="BV26" s="312"/>
      <c r="BW26" s="313"/>
      <c r="BX26" s="313"/>
      <c r="BY26" s="313"/>
      <c r="BZ26" s="313"/>
      <c r="CA26" s="44"/>
      <c r="CB26" s="45">
        <f t="shared" si="19"/>
        <v>708057</v>
      </c>
      <c r="CC26" s="46">
        <f t="shared" si="20"/>
        <v>146105</v>
      </c>
      <c r="CD26" s="47">
        <f t="shared" si="21"/>
        <v>541040</v>
      </c>
      <c r="CE26" s="62"/>
      <c r="CF26" s="237" t="str">
        <f>VLOOKUP(A26,labo!B:C,2,FALSE)</f>
        <v>BOULANGERIE</v>
      </c>
      <c r="CG26" s="106">
        <f t="shared" si="22"/>
        <v>0</v>
      </c>
      <c r="CI26" s="51"/>
      <c r="CK26" s="251" t="str">
        <f t="shared" ref="CK26" si="49">+B26</f>
        <v>M121512442736F</v>
      </c>
      <c r="CL26" s="323">
        <f t="shared" ref="CL26" si="50">CE26</f>
        <v>0</v>
      </c>
      <c r="CM26" s="40"/>
    </row>
    <row r="27" spans="1:91">
      <c r="A27" s="1" t="s">
        <v>1917</v>
      </c>
      <c r="B27" s="41" t="s">
        <v>1920</v>
      </c>
      <c r="C27" s="660" t="s">
        <v>1439</v>
      </c>
      <c r="D27" s="77"/>
      <c r="E27" s="77"/>
      <c r="F27" s="43"/>
      <c r="G27" s="43"/>
      <c r="H27" s="43"/>
      <c r="I27" s="43">
        <v>391174</v>
      </c>
      <c r="J27" s="44"/>
      <c r="K27" s="44"/>
      <c r="L27" s="45">
        <v>0</v>
      </c>
      <c r="M27" s="45">
        <v>0</v>
      </c>
      <c r="N27" s="45">
        <v>0</v>
      </c>
      <c r="O27" s="45">
        <v>1402652</v>
      </c>
      <c r="P27" s="45"/>
      <c r="Q27" s="45"/>
      <c r="R27" s="45">
        <v>14026.52</v>
      </c>
      <c r="S27" s="45">
        <v>86964.423999999999</v>
      </c>
      <c r="T27" s="45">
        <v>39274.256000000001</v>
      </c>
      <c r="U27" s="45"/>
      <c r="V27" s="45"/>
      <c r="W27" s="45">
        <v>179305</v>
      </c>
      <c r="X27" s="45"/>
      <c r="Y27" s="45"/>
      <c r="Z27" s="45"/>
      <c r="AA27" s="45"/>
      <c r="AB27" s="45">
        <v>1793.05</v>
      </c>
      <c r="AC27" s="45">
        <v>11116.91</v>
      </c>
      <c r="AD27" s="45">
        <v>5020.54</v>
      </c>
      <c r="AE27" s="44">
        <v>968346</v>
      </c>
      <c r="AF27" s="44"/>
      <c r="AG27" s="44"/>
      <c r="AH27" s="44"/>
      <c r="AI27" s="44"/>
      <c r="AJ27" s="44"/>
      <c r="AK27" s="44"/>
      <c r="AL27" s="44">
        <v>0</v>
      </c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>
        <v>0</v>
      </c>
      <c r="AZ27" s="44"/>
      <c r="BA27" s="44"/>
      <c r="BB27" s="44"/>
      <c r="BC27" s="44"/>
      <c r="BD27" s="44"/>
      <c r="BE27" s="44">
        <v>160173</v>
      </c>
      <c r="BF27" s="44">
        <v>64069</v>
      </c>
      <c r="BG27" s="44">
        <v>65350</v>
      </c>
      <c r="BH27" s="44"/>
      <c r="BI27" s="44"/>
      <c r="BJ27" s="44"/>
      <c r="BK27" s="44"/>
      <c r="BL27" s="44"/>
      <c r="BM27" s="44"/>
      <c r="BN27" s="44"/>
      <c r="BO27" s="44"/>
      <c r="BP27" s="44"/>
      <c r="BQ27" s="44">
        <v>15300</v>
      </c>
      <c r="BR27" s="44">
        <v>1700</v>
      </c>
      <c r="BS27" s="312"/>
      <c r="BT27" s="312"/>
      <c r="BU27" s="312"/>
      <c r="BV27" s="312"/>
      <c r="BW27" s="313"/>
      <c r="BX27" s="313"/>
      <c r="BY27" s="313"/>
      <c r="BZ27" s="313"/>
      <c r="CA27" s="44"/>
      <c r="CB27" s="45">
        <f t="shared" si="19"/>
        <v>3406264.7</v>
      </c>
      <c r="CC27" s="46">
        <f t="shared" si="20"/>
        <v>1538825</v>
      </c>
      <c r="CD27" s="47">
        <f t="shared" si="21"/>
        <v>2941477</v>
      </c>
      <c r="CE27" s="62"/>
      <c r="CF27" s="237" t="str">
        <f>VLOOKUP(A27,labo!B:C,2,FALSE)</f>
        <v>INDUSTRIE DE PRODUCTION</v>
      </c>
      <c r="CG27" s="106">
        <f t="shared" si="22"/>
        <v>0</v>
      </c>
      <c r="CI27" s="51"/>
      <c r="CK27" s="251" t="str">
        <f t="shared" si="23"/>
        <v>M081612567772F</v>
      </c>
      <c r="CL27" s="323">
        <f t="shared" si="24"/>
        <v>0</v>
      </c>
      <c r="CM27" s="40"/>
    </row>
    <row r="28" spans="1:91">
      <c r="A28" s="1" t="s">
        <v>300</v>
      </c>
      <c r="B28" s="41" t="s">
        <v>849</v>
      </c>
      <c r="C28" s="660" t="s">
        <v>1439</v>
      </c>
      <c r="D28" s="77"/>
      <c r="E28" s="77"/>
      <c r="F28" s="43"/>
      <c r="G28" s="43"/>
      <c r="H28" s="43"/>
      <c r="I28" s="43"/>
      <c r="J28" s="44"/>
      <c r="K28" s="44"/>
      <c r="L28" s="45">
        <v>0</v>
      </c>
      <c r="M28" s="45">
        <v>0</v>
      </c>
      <c r="N28" s="45">
        <v>0</v>
      </c>
      <c r="O28" s="45">
        <v>33455</v>
      </c>
      <c r="P28" s="45"/>
      <c r="Q28" s="45"/>
      <c r="R28" s="45">
        <v>334.55</v>
      </c>
      <c r="S28" s="45">
        <v>2074.21</v>
      </c>
      <c r="T28" s="45">
        <v>936.74</v>
      </c>
      <c r="U28" s="45"/>
      <c r="V28" s="45"/>
      <c r="W28" s="45"/>
      <c r="X28" s="45"/>
      <c r="Y28" s="45"/>
      <c r="Z28" s="45"/>
      <c r="AA28" s="45"/>
      <c r="AB28" s="45">
        <v>0</v>
      </c>
      <c r="AC28" s="45">
        <v>0</v>
      </c>
      <c r="AD28" s="45">
        <v>0</v>
      </c>
      <c r="AE28" s="44">
        <v>31233</v>
      </c>
      <c r="AF28" s="44"/>
      <c r="AG28" s="44"/>
      <c r="AH28" s="44"/>
      <c r="AI28" s="44"/>
      <c r="AJ28" s="44"/>
      <c r="AK28" s="44"/>
      <c r="AL28" s="44">
        <v>0</v>
      </c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>
        <v>1984</v>
      </c>
      <c r="BF28" s="44">
        <v>1300</v>
      </c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>
        <v>0</v>
      </c>
      <c r="BS28" s="312"/>
      <c r="BT28" s="312"/>
      <c r="BU28" s="312"/>
      <c r="BV28" s="312"/>
      <c r="BW28" s="313"/>
      <c r="BX28" s="313"/>
      <c r="BY28" s="313"/>
      <c r="BZ28" s="313"/>
      <c r="CA28" s="44"/>
      <c r="CB28" s="45">
        <f t="shared" si="19"/>
        <v>71317.5</v>
      </c>
      <c r="CC28" s="46">
        <f t="shared" si="20"/>
        <v>31233</v>
      </c>
      <c r="CD28" s="47">
        <f t="shared" si="21"/>
        <v>64688</v>
      </c>
      <c r="CE28" s="62"/>
      <c r="CF28" s="237" t="str">
        <f>VLOOKUP(A28,labo!B:C,2,FALSE)</f>
        <v>BOULANGERIE</v>
      </c>
      <c r="CG28" s="106">
        <f t="shared" si="22"/>
        <v>0</v>
      </c>
      <c r="CI28" s="51"/>
      <c r="CK28" s="251" t="str">
        <f t="shared" si="23"/>
        <v>P045400054394P</v>
      </c>
      <c r="CL28" s="323">
        <f t="shared" si="24"/>
        <v>0</v>
      </c>
      <c r="CM28" s="40"/>
    </row>
    <row r="29" spans="1:91">
      <c r="A29" s="1" t="s">
        <v>3064</v>
      </c>
      <c r="B29" s="1" t="s">
        <v>3060</v>
      </c>
      <c r="C29" s="1" t="s">
        <v>1438</v>
      </c>
      <c r="D29" s="77"/>
      <c r="E29" s="77"/>
      <c r="F29" s="43"/>
      <c r="G29" s="43"/>
      <c r="H29" s="43"/>
      <c r="I29" s="43"/>
      <c r="J29" s="77"/>
      <c r="K29" s="44"/>
      <c r="L29" s="45">
        <v>0</v>
      </c>
      <c r="M29" s="45">
        <v>0</v>
      </c>
      <c r="N29" s="45">
        <v>0</v>
      </c>
      <c r="O29" s="45"/>
      <c r="P29" s="45"/>
      <c r="Q29" s="45"/>
      <c r="R29" s="45">
        <v>0</v>
      </c>
      <c r="S29" s="45">
        <v>0</v>
      </c>
      <c r="T29" s="45">
        <v>0</v>
      </c>
      <c r="U29" s="45"/>
      <c r="V29" s="45"/>
      <c r="W29" s="45">
        <v>94634</v>
      </c>
      <c r="X29" s="45"/>
      <c r="Y29" s="45"/>
      <c r="Z29" s="45"/>
      <c r="AA29" s="45"/>
      <c r="AB29" s="45">
        <v>946.34</v>
      </c>
      <c r="AC29" s="45">
        <v>5867.308</v>
      </c>
      <c r="AD29" s="45">
        <v>2649.752</v>
      </c>
      <c r="AE29" s="44"/>
      <c r="AF29" s="44"/>
      <c r="AG29" s="44"/>
      <c r="AH29" s="44"/>
      <c r="AI29" s="44"/>
      <c r="AJ29" s="44"/>
      <c r="AK29" s="44"/>
      <c r="AL29" s="44">
        <v>0</v>
      </c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312"/>
      <c r="BF29" s="312"/>
      <c r="BG29" s="312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>
        <v>0</v>
      </c>
      <c r="BS29" s="44"/>
      <c r="BT29" s="44"/>
      <c r="BU29" s="44"/>
      <c r="BV29" s="44"/>
      <c r="BW29" s="44"/>
      <c r="BX29" s="44"/>
      <c r="BY29" s="44"/>
      <c r="BZ29" s="44"/>
      <c r="CA29" s="44"/>
      <c r="CB29" s="45">
        <f t="shared" si="19"/>
        <v>104097.4</v>
      </c>
      <c r="CC29" s="46">
        <f t="shared" si="20"/>
        <v>94634</v>
      </c>
      <c r="CD29" s="47">
        <f t="shared" si="21"/>
        <v>94634</v>
      </c>
      <c r="CE29" s="62"/>
      <c r="CF29" s="237" t="s">
        <v>1008</v>
      </c>
      <c r="CG29" s="106">
        <f t="shared" si="22"/>
        <v>0</v>
      </c>
      <c r="CI29" s="51"/>
      <c r="CK29" s="251" t="str">
        <f t="shared" si="23"/>
        <v>reliquataire</v>
      </c>
      <c r="CL29" s="323">
        <f t="shared" si="24"/>
        <v>0</v>
      </c>
      <c r="CM29" s="40"/>
    </row>
    <row r="30" spans="1:91">
      <c r="A30" s="668" t="s">
        <v>319</v>
      </c>
      <c r="B30" s="1" t="s">
        <v>512</v>
      </c>
      <c r="C30" s="1" t="s">
        <v>1438</v>
      </c>
      <c r="D30" s="77"/>
      <c r="E30" s="77"/>
      <c r="F30" s="43"/>
      <c r="G30" s="43"/>
      <c r="H30" s="43"/>
      <c r="I30" s="43"/>
      <c r="J30" s="77"/>
      <c r="K30" s="44"/>
      <c r="L30" s="45">
        <v>0</v>
      </c>
      <c r="M30" s="45">
        <v>0</v>
      </c>
      <c r="N30" s="45">
        <v>0</v>
      </c>
      <c r="O30" s="45"/>
      <c r="P30" s="45"/>
      <c r="Q30" s="45"/>
      <c r="R30" s="45">
        <v>0</v>
      </c>
      <c r="S30" s="45">
        <v>0</v>
      </c>
      <c r="T30" s="45">
        <v>0</v>
      </c>
      <c r="U30" s="45"/>
      <c r="V30" s="45"/>
      <c r="W30" s="45">
        <v>194791</v>
      </c>
      <c r="X30" s="45"/>
      <c r="Y30" s="45"/>
      <c r="Z30" s="45"/>
      <c r="AA30" s="45"/>
      <c r="AB30" s="45">
        <v>1947.91</v>
      </c>
      <c r="AC30" s="45">
        <v>12077.041999999999</v>
      </c>
      <c r="AD30" s="45">
        <v>5454.1480000000001</v>
      </c>
      <c r="AE30" s="44"/>
      <c r="AF30" s="44"/>
      <c r="AG30" s="44"/>
      <c r="AH30" s="44"/>
      <c r="AI30" s="44"/>
      <c r="AJ30" s="44"/>
      <c r="AK30" s="44"/>
      <c r="AL30" s="44">
        <v>0</v>
      </c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312"/>
      <c r="BF30" s="312"/>
      <c r="BG30" s="312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>
        <v>0</v>
      </c>
      <c r="BS30" s="44"/>
      <c r="BT30" s="44"/>
      <c r="BU30" s="44"/>
      <c r="BV30" s="44"/>
      <c r="BW30" s="44"/>
      <c r="BX30" s="44"/>
      <c r="BY30" s="44"/>
      <c r="BZ30" s="44"/>
      <c r="CA30" s="44"/>
      <c r="CB30" s="45">
        <f t="shared" si="19"/>
        <v>214270.09999999998</v>
      </c>
      <c r="CC30" s="46">
        <f t="shared" si="20"/>
        <v>194791</v>
      </c>
      <c r="CD30" s="47">
        <f t="shared" si="21"/>
        <v>194791</v>
      </c>
      <c r="CE30" s="62"/>
      <c r="CF30" s="237" t="str">
        <f>VLOOKUP(A30,labo!B:C,2,FALSE)</f>
        <v>CTD</v>
      </c>
      <c r="CG30" s="106">
        <f t="shared" si="22"/>
        <v>0</v>
      </c>
      <c r="CI30" s="51"/>
      <c r="CK30" s="251" t="str">
        <f t="shared" si="23"/>
        <v>M049500019974F</v>
      </c>
      <c r="CL30" s="323">
        <f t="shared" si="24"/>
        <v>0</v>
      </c>
      <c r="CM30" s="40"/>
    </row>
    <row r="31" spans="1:91" s="503" customFormat="1">
      <c r="A31" s="668" t="s">
        <v>352</v>
      </c>
      <c r="B31" s="1" t="s">
        <v>516</v>
      </c>
      <c r="C31" s="1" t="s">
        <v>1438</v>
      </c>
      <c r="D31" s="77"/>
      <c r="E31" s="77"/>
      <c r="F31" s="43"/>
      <c r="G31" s="43"/>
      <c r="H31" s="43"/>
      <c r="I31" s="43"/>
      <c r="J31" s="77">
        <v>1174040</v>
      </c>
      <c r="K31" s="44"/>
      <c r="L31" s="45">
        <v>11740.4</v>
      </c>
      <c r="M31" s="45">
        <v>72790.48</v>
      </c>
      <c r="N31" s="45">
        <v>32873.120000000003</v>
      </c>
      <c r="O31" s="45"/>
      <c r="P31" s="45"/>
      <c r="Q31" s="45"/>
      <c r="R31" s="45">
        <v>0</v>
      </c>
      <c r="S31" s="45">
        <v>0</v>
      </c>
      <c r="T31" s="45">
        <v>0</v>
      </c>
      <c r="U31" s="45"/>
      <c r="V31" s="45"/>
      <c r="W31" s="45">
        <v>153892</v>
      </c>
      <c r="X31" s="45"/>
      <c r="Y31" s="45"/>
      <c r="Z31" s="45"/>
      <c r="AA31" s="45"/>
      <c r="AB31" s="45">
        <v>1538.92</v>
      </c>
      <c r="AC31" s="45">
        <v>9541.3040000000001</v>
      </c>
      <c r="AD31" s="45">
        <v>4308.9759999999997</v>
      </c>
      <c r="AE31" s="44"/>
      <c r="AF31" s="44"/>
      <c r="AG31" s="44"/>
      <c r="AH31" s="44"/>
      <c r="AI31" s="44"/>
      <c r="AJ31" s="44"/>
      <c r="AK31" s="44"/>
      <c r="AL31" s="44">
        <v>0</v>
      </c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312"/>
      <c r="BF31" s="312"/>
      <c r="BG31" s="312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>
        <v>0</v>
      </c>
      <c r="BS31" s="44"/>
      <c r="BT31" s="44"/>
      <c r="BU31" s="44"/>
      <c r="BV31" s="44"/>
      <c r="BW31" s="44"/>
      <c r="BX31" s="44"/>
      <c r="BY31" s="44"/>
      <c r="BZ31" s="44"/>
      <c r="CA31" s="44"/>
      <c r="CB31" s="45">
        <f t="shared" si="19"/>
        <v>1460725.2</v>
      </c>
      <c r="CC31" s="46">
        <f t="shared" si="20"/>
        <v>153892</v>
      </c>
      <c r="CD31" s="47">
        <f t="shared" si="21"/>
        <v>1327932</v>
      </c>
      <c r="CE31" s="62"/>
      <c r="CF31" s="237" t="str">
        <f>VLOOKUP(A31,labo!B:C,2,FALSE)</f>
        <v>CTD</v>
      </c>
      <c r="CG31" s="106">
        <f t="shared" si="22"/>
        <v>0</v>
      </c>
      <c r="CH31" s="40"/>
      <c r="CI31" s="51"/>
      <c r="CJ31" s="40"/>
      <c r="CK31" s="504" t="str">
        <f t="shared" si="23"/>
        <v>M065500019976S</v>
      </c>
      <c r="CL31" s="505">
        <f t="shared" si="24"/>
        <v>0</v>
      </c>
    </row>
    <row r="32" spans="1:91">
      <c r="A32" s="668" t="s">
        <v>3061</v>
      </c>
      <c r="B32" s="1" t="s">
        <v>3068</v>
      </c>
      <c r="C32" s="1" t="s">
        <v>1438</v>
      </c>
      <c r="D32" s="77"/>
      <c r="E32" s="77"/>
      <c r="F32" s="43"/>
      <c r="G32" s="43"/>
      <c r="H32" s="43"/>
      <c r="I32" s="43"/>
      <c r="J32" s="77">
        <v>944593</v>
      </c>
      <c r="K32" s="44"/>
      <c r="L32" s="45">
        <v>9445.93</v>
      </c>
      <c r="M32" s="45">
        <v>58564.765999999996</v>
      </c>
      <c r="N32" s="45">
        <v>26448.603999999999</v>
      </c>
      <c r="O32" s="45">
        <v>53977</v>
      </c>
      <c r="P32" s="45"/>
      <c r="Q32" s="45"/>
      <c r="R32" s="45">
        <v>539.77</v>
      </c>
      <c r="S32" s="45">
        <v>3346.5740000000001</v>
      </c>
      <c r="T32" s="45">
        <v>1511.356</v>
      </c>
      <c r="U32" s="45"/>
      <c r="V32" s="45"/>
      <c r="W32" s="45"/>
      <c r="X32" s="45"/>
      <c r="Y32" s="45"/>
      <c r="Z32" s="45"/>
      <c r="AA32" s="45"/>
      <c r="AB32" s="45">
        <v>0</v>
      </c>
      <c r="AC32" s="45">
        <v>0</v>
      </c>
      <c r="AD32" s="45">
        <v>0</v>
      </c>
      <c r="AE32" s="44"/>
      <c r="AF32" s="44"/>
      <c r="AG32" s="44"/>
      <c r="AH32" s="44"/>
      <c r="AI32" s="44"/>
      <c r="AJ32" s="44"/>
      <c r="AK32" s="44"/>
      <c r="AL32" s="44">
        <v>0</v>
      </c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312"/>
      <c r="BF32" s="312"/>
      <c r="BG32" s="312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>
        <v>0</v>
      </c>
      <c r="BS32" s="44"/>
      <c r="BT32" s="44"/>
      <c r="BU32" s="44"/>
      <c r="BV32" s="44"/>
      <c r="BW32" s="44"/>
      <c r="BX32" s="44"/>
      <c r="BY32" s="44"/>
      <c r="BZ32" s="44"/>
      <c r="CA32" s="44"/>
      <c r="CB32" s="45">
        <f t="shared" si="19"/>
        <v>1098427</v>
      </c>
      <c r="CC32" s="46">
        <f t="shared" si="20"/>
        <v>0</v>
      </c>
      <c r="CD32" s="47">
        <f t="shared" si="21"/>
        <v>998570</v>
      </c>
      <c r="CE32" s="62"/>
      <c r="CF32" s="237" t="s">
        <v>1008</v>
      </c>
      <c r="CG32" s="106">
        <f t="shared" si="22"/>
        <v>0</v>
      </c>
      <c r="CI32" s="51"/>
      <c r="CK32" s="251" t="str">
        <f t="shared" si="23"/>
        <v>royalties</v>
      </c>
      <c r="CL32" s="323">
        <f t="shared" si="24"/>
        <v>0</v>
      </c>
      <c r="CM32" s="40"/>
    </row>
    <row r="33" spans="1:91">
      <c r="A33" s="668" t="s">
        <v>1995</v>
      </c>
      <c r="B33" s="545" t="s">
        <v>1769</v>
      </c>
      <c r="C33" s="545" t="s">
        <v>1438</v>
      </c>
      <c r="D33" s="77"/>
      <c r="E33" s="77"/>
      <c r="F33" s="43"/>
      <c r="G33" s="43"/>
      <c r="H33" s="43"/>
      <c r="I33" s="43"/>
      <c r="J33" s="77">
        <v>104240</v>
      </c>
      <c r="K33" s="44"/>
      <c r="L33" s="45">
        <v>1042.4000000000001</v>
      </c>
      <c r="M33" s="45">
        <v>6462.88</v>
      </c>
      <c r="N33" s="45">
        <v>2918.7200000000003</v>
      </c>
      <c r="O33" s="45">
        <v>39065</v>
      </c>
      <c r="P33" s="45"/>
      <c r="Q33" s="45"/>
      <c r="R33" s="45">
        <v>390.65000000000003</v>
      </c>
      <c r="S33" s="45">
        <v>2422.0300000000002</v>
      </c>
      <c r="T33" s="45">
        <v>1093.82</v>
      </c>
      <c r="U33" s="45"/>
      <c r="V33" s="45"/>
      <c r="W33" s="45">
        <v>149934.72727272726</v>
      </c>
      <c r="X33" s="45"/>
      <c r="Y33" s="45"/>
      <c r="Z33" s="45"/>
      <c r="AA33" s="45"/>
      <c r="AB33" s="45">
        <v>1499.3472727272726</v>
      </c>
      <c r="AC33" s="45">
        <v>9295.95309090909</v>
      </c>
      <c r="AD33" s="45">
        <v>4198.1723636363631</v>
      </c>
      <c r="AE33" s="44"/>
      <c r="AF33" s="44"/>
      <c r="AG33" s="44">
        <v>144000</v>
      </c>
      <c r="AH33" s="44"/>
      <c r="AI33" s="44"/>
      <c r="AJ33" s="44"/>
      <c r="AK33" s="44"/>
      <c r="AL33" s="44">
        <v>0</v>
      </c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312"/>
      <c r="BF33" s="312"/>
      <c r="BG33" s="312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>
        <v>0</v>
      </c>
      <c r="BS33" s="44"/>
      <c r="BT33" s="44"/>
      <c r="BU33" s="44"/>
      <c r="BV33" s="44"/>
      <c r="BW33" s="44"/>
      <c r="BX33" s="44"/>
      <c r="BY33" s="44"/>
      <c r="BZ33" s="44"/>
      <c r="CA33" s="44"/>
      <c r="CB33" s="45">
        <f t="shared" si="19"/>
        <v>466563.70000000007</v>
      </c>
      <c r="CC33" s="46">
        <f t="shared" si="20"/>
        <v>293934.72727272729</v>
      </c>
      <c r="CD33" s="47">
        <f t="shared" si="21"/>
        <v>437239.72727272729</v>
      </c>
      <c r="CE33" s="62"/>
      <c r="CF33" s="237" t="str">
        <f>VLOOKUP(A33,labo!B:C,2,FALSE)</f>
        <v>MICROFINANCE</v>
      </c>
      <c r="CG33" s="106">
        <f t="shared" si="22"/>
        <v>0</v>
      </c>
      <c r="CI33" s="51"/>
      <c r="CK33" s="251" t="str">
        <f t="shared" si="23"/>
        <v>M071100037662N</v>
      </c>
      <c r="CL33" s="323">
        <f t="shared" si="24"/>
        <v>0</v>
      </c>
      <c r="CM33" s="40"/>
    </row>
    <row r="34" spans="1:91">
      <c r="A34" s="668" t="s">
        <v>1514</v>
      </c>
      <c r="B34" s="545" t="s">
        <v>687</v>
      </c>
      <c r="C34" s="545" t="s">
        <v>1438</v>
      </c>
      <c r="D34" s="77"/>
      <c r="E34" s="77"/>
      <c r="F34" s="43"/>
      <c r="G34" s="43"/>
      <c r="H34" s="43"/>
      <c r="I34" s="43"/>
      <c r="J34" s="77">
        <v>749324</v>
      </c>
      <c r="K34" s="44"/>
      <c r="L34" s="45">
        <v>7493.24</v>
      </c>
      <c r="M34" s="45">
        <v>46458.087999999996</v>
      </c>
      <c r="N34" s="45">
        <v>20981.072</v>
      </c>
      <c r="O34" s="45">
        <v>30750</v>
      </c>
      <c r="P34" s="45"/>
      <c r="Q34" s="45"/>
      <c r="R34" s="45">
        <v>307.5</v>
      </c>
      <c r="S34" s="45">
        <v>1906.5</v>
      </c>
      <c r="T34" s="45">
        <v>861</v>
      </c>
      <c r="U34" s="45"/>
      <c r="V34" s="45"/>
      <c r="W34" s="45">
        <v>270799.90909090912</v>
      </c>
      <c r="X34" s="45"/>
      <c r="Y34" s="45"/>
      <c r="Z34" s="45"/>
      <c r="AA34" s="45"/>
      <c r="AB34" s="45">
        <v>2707.9990909090911</v>
      </c>
      <c r="AC34" s="45">
        <v>16789.594363636366</v>
      </c>
      <c r="AD34" s="45">
        <v>7582.3974545454557</v>
      </c>
      <c r="AE34" s="44"/>
      <c r="AF34" s="44"/>
      <c r="AG34" s="44"/>
      <c r="AH34" s="44"/>
      <c r="AI34" s="44"/>
      <c r="AJ34" s="44"/>
      <c r="AK34" s="44"/>
      <c r="AL34" s="44">
        <v>0</v>
      </c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312"/>
      <c r="BF34" s="312"/>
      <c r="BG34" s="312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>
        <v>0</v>
      </c>
      <c r="BS34" s="44"/>
      <c r="BT34" s="44"/>
      <c r="BU34" s="44"/>
      <c r="BV34" s="44"/>
      <c r="BW34" s="44"/>
      <c r="BX34" s="44"/>
      <c r="BY34" s="44"/>
      <c r="BZ34" s="44"/>
      <c r="CA34" s="44"/>
      <c r="CB34" s="45">
        <f t="shared" si="19"/>
        <v>1155961.2999999998</v>
      </c>
      <c r="CC34" s="46">
        <f t="shared" si="20"/>
        <v>270799.90909090912</v>
      </c>
      <c r="CD34" s="47">
        <f t="shared" si="21"/>
        <v>1050873.9090909092</v>
      </c>
      <c r="CE34" s="62"/>
      <c r="CF34" s="237" t="str">
        <f>VLOOKUP(A34,labo!B:C,2,FALSE)</f>
        <v>MICROFINANCE</v>
      </c>
      <c r="CG34" s="106">
        <f t="shared" si="22"/>
        <v>0</v>
      </c>
      <c r="CI34" s="51"/>
      <c r="CK34" s="251" t="str">
        <f t="shared" si="23"/>
        <v>M049100021281K</v>
      </c>
      <c r="CL34" s="323">
        <f t="shared" si="24"/>
        <v>0</v>
      </c>
      <c r="CM34" s="40"/>
    </row>
    <row r="35" spans="1:91">
      <c r="A35" s="325" t="s">
        <v>2343</v>
      </c>
      <c r="B35" s="1" t="s">
        <v>2299</v>
      </c>
      <c r="C35" s="1" t="s">
        <v>1438</v>
      </c>
      <c r="D35" s="77"/>
      <c r="E35" s="77"/>
      <c r="F35" s="43"/>
      <c r="G35" s="43"/>
      <c r="H35" s="43"/>
      <c r="I35" s="43"/>
      <c r="J35" s="77">
        <v>842671</v>
      </c>
      <c r="K35" s="44"/>
      <c r="L35" s="45">
        <v>8426.7100000000009</v>
      </c>
      <c r="M35" s="45">
        <v>52245.601999999999</v>
      </c>
      <c r="N35" s="45">
        <v>23594.788</v>
      </c>
      <c r="O35" s="45">
        <v>113116.90909090909</v>
      </c>
      <c r="P35" s="45"/>
      <c r="Q35" s="45"/>
      <c r="R35" s="45">
        <f t="shared" ref="R35:R42" si="51">(Q35+O35+P35)*0.01</f>
        <v>1131.169090909091</v>
      </c>
      <c r="S35" s="45">
        <f t="shared" ref="S35:S42" si="52">(O35+Q35+P35)*0.062</f>
        <v>7013.2483636363631</v>
      </c>
      <c r="T35" s="45">
        <f t="shared" ref="T35:T42" si="53">(O35+P35+Q35)*0.028</f>
        <v>3167.2734545454546</v>
      </c>
      <c r="U35" s="45"/>
      <c r="V35" s="45"/>
      <c r="W35" s="45">
        <v>191824</v>
      </c>
      <c r="X35" s="45"/>
      <c r="Y35" s="45"/>
      <c r="Z35" s="45"/>
      <c r="AA35" s="45"/>
      <c r="AB35" s="45">
        <v>1918.24</v>
      </c>
      <c r="AC35" s="45">
        <v>11893.088</v>
      </c>
      <c r="AD35" s="45">
        <v>5371.0720000000001</v>
      </c>
      <c r="AE35" s="44"/>
      <c r="AF35" s="44"/>
      <c r="AG35" s="44"/>
      <c r="AH35" s="44"/>
      <c r="AI35" s="44"/>
      <c r="AJ35" s="44"/>
      <c r="AK35" s="44"/>
      <c r="AL35" s="44">
        <v>0</v>
      </c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312"/>
      <c r="BF35" s="312"/>
      <c r="BG35" s="312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>
        <v>0</v>
      </c>
      <c r="BS35" s="44"/>
      <c r="BT35" s="44"/>
      <c r="BU35" s="44"/>
      <c r="BV35" s="44"/>
      <c r="BW35" s="44"/>
      <c r="BX35" s="44"/>
      <c r="BY35" s="44"/>
      <c r="BZ35" s="44"/>
      <c r="CA35" s="44"/>
      <c r="CB35" s="45">
        <f t="shared" si="19"/>
        <v>1262373.0999999996</v>
      </c>
      <c r="CC35" s="46">
        <f t="shared" si="20"/>
        <v>191824</v>
      </c>
      <c r="CD35" s="47">
        <f t="shared" si="21"/>
        <v>1147611.9090909092</v>
      </c>
      <c r="CE35" s="62"/>
      <c r="CF35" s="237" t="str">
        <f>VLOOKUP(A35,labo!B:C,2,FALSE)</f>
        <v>MICROFINANCE</v>
      </c>
      <c r="CG35" s="106">
        <f t="shared" si="22"/>
        <v>0</v>
      </c>
      <c r="CI35" s="51"/>
      <c r="CK35" s="251" t="str">
        <f t="shared" si="23"/>
        <v>M120300019320J</v>
      </c>
      <c r="CL35" s="323">
        <f t="shared" si="24"/>
        <v>0</v>
      </c>
      <c r="CM35" s="40"/>
    </row>
    <row r="36" spans="1:91">
      <c r="A36" s="668" t="s">
        <v>3062</v>
      </c>
      <c r="B36" s="1" t="s">
        <v>1517</v>
      </c>
      <c r="C36" s="1" t="s">
        <v>1438</v>
      </c>
      <c r="D36" s="77"/>
      <c r="E36" s="77"/>
      <c r="F36" s="43"/>
      <c r="G36" s="43"/>
      <c r="H36" s="43"/>
      <c r="I36" s="43"/>
      <c r="J36" s="77">
        <v>129874</v>
      </c>
      <c r="K36" s="44"/>
      <c r="L36" s="45">
        <v>1298.74</v>
      </c>
      <c r="M36" s="45">
        <v>8052.1880000000001</v>
      </c>
      <c r="N36" s="45">
        <v>3636.4720000000002</v>
      </c>
      <c r="O36" s="45">
        <v>14250</v>
      </c>
      <c r="P36" s="45">
        <v>7500</v>
      </c>
      <c r="Q36" s="45"/>
      <c r="R36" s="45">
        <f t="shared" si="51"/>
        <v>217.5</v>
      </c>
      <c r="S36" s="45">
        <f t="shared" si="52"/>
        <v>1348.5</v>
      </c>
      <c r="T36" s="45">
        <f t="shared" si="53"/>
        <v>609</v>
      </c>
      <c r="U36" s="45"/>
      <c r="V36" s="45"/>
      <c r="W36" s="45">
        <v>31634</v>
      </c>
      <c r="X36" s="45"/>
      <c r="Y36" s="45"/>
      <c r="Z36" s="45"/>
      <c r="AA36" s="45"/>
      <c r="AB36" s="45">
        <v>316.34000000000003</v>
      </c>
      <c r="AC36" s="45">
        <v>1961.308</v>
      </c>
      <c r="AD36" s="45">
        <v>885.75200000000007</v>
      </c>
      <c r="AE36" s="44"/>
      <c r="AF36" s="44"/>
      <c r="AG36" s="44"/>
      <c r="AH36" s="44"/>
      <c r="AI36" s="44"/>
      <c r="AJ36" s="44"/>
      <c r="AK36" s="44"/>
      <c r="AL36" s="44">
        <v>0</v>
      </c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312"/>
      <c r="BF36" s="312"/>
      <c r="BG36" s="312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>
        <v>0</v>
      </c>
      <c r="BS36" s="44"/>
      <c r="BT36" s="44"/>
      <c r="BU36" s="44"/>
      <c r="BV36" s="44"/>
      <c r="BW36" s="44"/>
      <c r="BX36" s="44"/>
      <c r="BY36" s="44"/>
      <c r="BZ36" s="44"/>
      <c r="CA36" s="44"/>
      <c r="CB36" s="45">
        <f t="shared" si="19"/>
        <v>201583.8</v>
      </c>
      <c r="CC36" s="46">
        <f t="shared" si="20"/>
        <v>39134</v>
      </c>
      <c r="CD36" s="47">
        <f t="shared" si="21"/>
        <v>183258</v>
      </c>
      <c r="CE36" s="62"/>
      <c r="CF36" s="237" t="str">
        <f>VLOOKUP(A36,labo!B:C,2,FALSE)</f>
        <v>MICROFINANCE</v>
      </c>
      <c r="CG36" s="106">
        <f t="shared" si="22"/>
        <v>0</v>
      </c>
      <c r="CI36" s="51"/>
      <c r="CK36" s="251" t="str">
        <f t="shared" si="23"/>
        <v>M081100038417D</v>
      </c>
      <c r="CL36" s="323">
        <f t="shared" si="24"/>
        <v>0</v>
      </c>
      <c r="CM36" s="40"/>
    </row>
    <row r="37" spans="1:91" s="497" customFormat="1" ht="15.75">
      <c r="A37" s="669" t="s">
        <v>1518</v>
      </c>
      <c r="B37" s="1" t="s">
        <v>1520</v>
      </c>
      <c r="C37" s="1" t="s">
        <v>1438</v>
      </c>
      <c r="D37" s="77"/>
      <c r="E37" s="77"/>
      <c r="F37" s="43"/>
      <c r="G37" s="43"/>
      <c r="H37" s="43"/>
      <c r="I37" s="43"/>
      <c r="J37" s="77"/>
      <c r="K37" s="44"/>
      <c r="L37" s="45">
        <v>0</v>
      </c>
      <c r="M37" s="45">
        <v>0</v>
      </c>
      <c r="N37" s="45">
        <v>0</v>
      </c>
      <c r="O37" s="45"/>
      <c r="P37" s="45"/>
      <c r="Q37" s="45"/>
      <c r="R37" s="45">
        <f t="shared" si="51"/>
        <v>0</v>
      </c>
      <c r="S37" s="45">
        <f t="shared" si="52"/>
        <v>0</v>
      </c>
      <c r="T37" s="45">
        <f t="shared" si="53"/>
        <v>0</v>
      </c>
      <c r="U37" s="45"/>
      <c r="V37" s="45"/>
      <c r="W37" s="45">
        <v>2715.818181818182</v>
      </c>
      <c r="X37" s="45"/>
      <c r="Y37" s="45"/>
      <c r="Z37" s="45"/>
      <c r="AA37" s="45"/>
      <c r="AB37" s="45">
        <v>27.15818181818182</v>
      </c>
      <c r="AC37" s="45">
        <v>168.38072727272728</v>
      </c>
      <c r="AD37" s="45">
        <v>76.042909090909092</v>
      </c>
      <c r="AE37" s="44"/>
      <c r="AF37" s="44"/>
      <c r="AG37" s="44"/>
      <c r="AH37" s="44"/>
      <c r="AI37" s="44"/>
      <c r="AJ37" s="44"/>
      <c r="AK37" s="44"/>
      <c r="AL37" s="44">
        <v>0</v>
      </c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312"/>
      <c r="BF37" s="312"/>
      <c r="BG37" s="312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>
        <v>0</v>
      </c>
      <c r="BS37" s="44"/>
      <c r="BT37" s="44"/>
      <c r="BU37" s="44"/>
      <c r="BV37" s="44"/>
      <c r="BW37" s="44"/>
      <c r="BX37" s="44"/>
      <c r="BY37" s="44"/>
      <c r="BZ37" s="44"/>
      <c r="CA37" s="44"/>
      <c r="CB37" s="45">
        <f t="shared" si="19"/>
        <v>2987.4</v>
      </c>
      <c r="CC37" s="46">
        <f t="shared" si="20"/>
        <v>2715.818181818182</v>
      </c>
      <c r="CD37" s="47">
        <f t="shared" si="21"/>
        <v>2715.818181818182</v>
      </c>
      <c r="CE37" s="62"/>
      <c r="CF37" s="237" t="str">
        <f>VLOOKUP(A37,labo!B:C,2,FALSE)</f>
        <v>MICROFINANCE</v>
      </c>
      <c r="CG37" s="106">
        <f t="shared" si="22"/>
        <v>0</v>
      </c>
      <c r="CH37" s="40"/>
      <c r="CI37" s="51"/>
      <c r="CJ37" s="40"/>
      <c r="CK37" s="499" t="str">
        <f t="shared" si="23"/>
        <v>M010800038625D</v>
      </c>
      <c r="CL37" s="500">
        <f t="shared" si="24"/>
        <v>0</v>
      </c>
    </row>
    <row r="38" spans="1:91" s="497" customFormat="1">
      <c r="A38" s="1" t="s">
        <v>840</v>
      </c>
      <c r="B38" s="1" t="s">
        <v>842</v>
      </c>
      <c r="C38" s="1" t="s">
        <v>1438</v>
      </c>
      <c r="D38" s="77"/>
      <c r="E38" s="77"/>
      <c r="F38" s="43"/>
      <c r="G38" s="43"/>
      <c r="H38" s="43"/>
      <c r="I38" s="43"/>
      <c r="J38" s="77"/>
      <c r="K38" s="44"/>
      <c r="L38" s="45">
        <v>0</v>
      </c>
      <c r="M38" s="45">
        <v>0</v>
      </c>
      <c r="N38" s="45">
        <v>0</v>
      </c>
      <c r="O38" s="45"/>
      <c r="P38" s="45"/>
      <c r="Q38" s="45"/>
      <c r="R38" s="45">
        <f t="shared" si="51"/>
        <v>0</v>
      </c>
      <c r="S38" s="45">
        <f t="shared" si="52"/>
        <v>0</v>
      </c>
      <c r="T38" s="45">
        <f t="shared" si="53"/>
        <v>0</v>
      </c>
      <c r="U38" s="45"/>
      <c r="V38" s="45"/>
      <c r="W38" s="45">
        <v>29387</v>
      </c>
      <c r="X38" s="45"/>
      <c r="Y38" s="45"/>
      <c r="Z38" s="45"/>
      <c r="AA38" s="45"/>
      <c r="AB38" s="45">
        <v>293.87</v>
      </c>
      <c r="AC38" s="45">
        <v>1821.9939999999999</v>
      </c>
      <c r="AD38" s="45">
        <v>822.83600000000001</v>
      </c>
      <c r="AE38" s="44"/>
      <c r="AF38" s="44"/>
      <c r="AG38" s="44"/>
      <c r="AH38" s="44"/>
      <c r="AI38" s="44"/>
      <c r="AJ38" s="44"/>
      <c r="AK38" s="44"/>
      <c r="AL38" s="44">
        <v>0</v>
      </c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312"/>
      <c r="BF38" s="312"/>
      <c r="BG38" s="312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>
        <v>0</v>
      </c>
      <c r="BS38" s="44"/>
      <c r="BT38" s="44"/>
      <c r="BU38" s="44"/>
      <c r="BV38" s="44"/>
      <c r="BW38" s="44"/>
      <c r="BX38" s="44"/>
      <c r="BY38" s="44"/>
      <c r="BZ38" s="44"/>
      <c r="CA38" s="44"/>
      <c r="CB38" s="45">
        <f t="shared" si="19"/>
        <v>32325.699999999997</v>
      </c>
      <c r="CC38" s="46">
        <f t="shared" si="20"/>
        <v>29387</v>
      </c>
      <c r="CD38" s="47">
        <f t="shared" si="21"/>
        <v>29387</v>
      </c>
      <c r="CE38" s="62"/>
      <c r="CF38" s="237" t="str">
        <f>VLOOKUP(A38,labo!B:C,2,FALSE)</f>
        <v>NTIC</v>
      </c>
      <c r="CG38" s="106">
        <f t="shared" si="22"/>
        <v>0</v>
      </c>
      <c r="CH38" s="40"/>
      <c r="CI38" s="51"/>
      <c r="CJ38" s="40"/>
      <c r="CK38" s="499" t="str">
        <f t="shared" si="23"/>
        <v>M011812671574B</v>
      </c>
      <c r="CL38" s="500">
        <f t="shared" si="24"/>
        <v>0</v>
      </c>
    </row>
    <row r="39" spans="1:91">
      <c r="A39" s="309" t="s">
        <v>2648</v>
      </c>
      <c r="B39" s="618" t="s">
        <v>2649</v>
      </c>
      <c r="C39" s="1" t="s">
        <v>1438</v>
      </c>
      <c r="D39" s="77"/>
      <c r="E39" s="77"/>
      <c r="F39" s="43"/>
      <c r="G39" s="43"/>
      <c r="H39" s="43"/>
      <c r="I39" s="43"/>
      <c r="J39" s="77"/>
      <c r="K39" s="44"/>
      <c r="L39" s="45">
        <v>0</v>
      </c>
      <c r="M39" s="45">
        <v>0</v>
      </c>
      <c r="N39" s="45">
        <v>0</v>
      </c>
      <c r="O39" s="45"/>
      <c r="P39" s="45"/>
      <c r="Q39" s="45"/>
      <c r="R39" s="45">
        <f t="shared" si="51"/>
        <v>0</v>
      </c>
      <c r="S39" s="45">
        <f t="shared" si="52"/>
        <v>0</v>
      </c>
      <c r="T39" s="45">
        <f t="shared" si="53"/>
        <v>0</v>
      </c>
      <c r="U39" s="45"/>
      <c r="V39" s="45"/>
      <c r="W39" s="45">
        <v>2727</v>
      </c>
      <c r="X39" s="45"/>
      <c r="Y39" s="45"/>
      <c r="Z39" s="45"/>
      <c r="AA39" s="45"/>
      <c r="AB39" s="45">
        <v>27.27</v>
      </c>
      <c r="AC39" s="45">
        <v>169.07400000000001</v>
      </c>
      <c r="AD39" s="45">
        <v>76.355999999999995</v>
      </c>
      <c r="AE39" s="44"/>
      <c r="AF39" s="44"/>
      <c r="AG39" s="44"/>
      <c r="AH39" s="44"/>
      <c r="AI39" s="44"/>
      <c r="AJ39" s="44"/>
      <c r="AK39" s="44"/>
      <c r="AL39" s="44">
        <v>0</v>
      </c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312"/>
      <c r="BF39" s="312"/>
      <c r="BG39" s="312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>
        <v>0</v>
      </c>
      <c r="BS39" s="44"/>
      <c r="BT39" s="44"/>
      <c r="BU39" s="44"/>
      <c r="BV39" s="44"/>
      <c r="BW39" s="44"/>
      <c r="BX39" s="44"/>
      <c r="BY39" s="44"/>
      <c r="BZ39" s="44"/>
      <c r="CA39" s="44"/>
      <c r="CB39" s="45">
        <f t="shared" si="19"/>
        <v>2999.7</v>
      </c>
      <c r="CC39" s="46">
        <f t="shared" si="20"/>
        <v>2727</v>
      </c>
      <c r="CD39" s="47">
        <f t="shared" si="21"/>
        <v>2727</v>
      </c>
      <c r="CE39" s="62"/>
      <c r="CF39" s="237" t="str">
        <f>VLOOKUP(A39,labo!B:C,2,FALSE)</f>
        <v>NTIC</v>
      </c>
      <c r="CG39" s="106">
        <f t="shared" si="22"/>
        <v>0</v>
      </c>
      <c r="CI39" s="51"/>
      <c r="CK39" s="251" t="str">
        <f t="shared" si="23"/>
        <v>P128700571900W</v>
      </c>
      <c r="CL39" s="323">
        <f t="shared" si="24"/>
        <v>0</v>
      </c>
      <c r="CM39" s="40"/>
    </row>
    <row r="40" spans="1:91" s="497" customFormat="1">
      <c r="A40" s="671" t="s">
        <v>2355</v>
      </c>
      <c r="B40" s="618" t="s">
        <v>2564</v>
      </c>
      <c r="C40" s="1" t="s">
        <v>1438</v>
      </c>
      <c r="D40" s="77"/>
      <c r="E40" s="77"/>
      <c r="F40" s="43"/>
      <c r="G40" s="43"/>
      <c r="H40" s="43"/>
      <c r="I40" s="43"/>
      <c r="J40" s="77">
        <v>4724</v>
      </c>
      <c r="K40" s="44"/>
      <c r="L40" s="45">
        <v>47.24</v>
      </c>
      <c r="M40" s="45">
        <v>292.88799999999998</v>
      </c>
      <c r="N40" s="45">
        <v>132.27199999999999</v>
      </c>
      <c r="O40" s="45">
        <v>24546</v>
      </c>
      <c r="P40" s="45"/>
      <c r="Q40" s="45"/>
      <c r="R40" s="45">
        <f t="shared" si="51"/>
        <v>245.46</v>
      </c>
      <c r="S40" s="45">
        <f t="shared" si="52"/>
        <v>1521.8520000000001</v>
      </c>
      <c r="T40" s="45">
        <f t="shared" si="53"/>
        <v>687.28800000000001</v>
      </c>
      <c r="U40" s="45"/>
      <c r="V40" s="45"/>
      <c r="W40" s="45">
        <v>122457.09090909091</v>
      </c>
      <c r="X40" s="45"/>
      <c r="Y40" s="45"/>
      <c r="Z40" s="45"/>
      <c r="AA40" s="45"/>
      <c r="AB40" s="45">
        <v>1224.5709090909093</v>
      </c>
      <c r="AC40" s="45">
        <v>7592.3396363636366</v>
      </c>
      <c r="AD40" s="45">
        <v>3428.7985454545455</v>
      </c>
      <c r="AE40" s="44"/>
      <c r="AF40" s="44"/>
      <c r="AG40" s="44"/>
      <c r="AH40" s="44"/>
      <c r="AI40" s="44"/>
      <c r="AJ40" s="44"/>
      <c r="AK40" s="44"/>
      <c r="AL40" s="44">
        <v>0</v>
      </c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312"/>
      <c r="BF40" s="312"/>
      <c r="BG40" s="312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>
        <v>0</v>
      </c>
      <c r="BS40" s="44"/>
      <c r="BT40" s="44"/>
      <c r="BU40" s="44"/>
      <c r="BV40" s="44"/>
      <c r="BW40" s="44"/>
      <c r="BX40" s="44"/>
      <c r="BY40" s="44"/>
      <c r="BZ40" s="44"/>
      <c r="CA40" s="44"/>
      <c r="CB40" s="45">
        <f t="shared" si="19"/>
        <v>166899.80000000002</v>
      </c>
      <c r="CC40" s="46">
        <f t="shared" si="20"/>
        <v>122457.09090909091</v>
      </c>
      <c r="CD40" s="47">
        <f t="shared" si="21"/>
        <v>151727.09090909091</v>
      </c>
      <c r="CE40" s="62"/>
      <c r="CF40" s="237" t="str">
        <f>VLOOKUP(A40,labo!B:C,2,FALSE)</f>
        <v>NTIC</v>
      </c>
      <c r="CG40" s="106">
        <f t="shared" si="22"/>
        <v>0</v>
      </c>
      <c r="CH40" s="40"/>
      <c r="CI40" s="51"/>
      <c r="CJ40" s="40"/>
      <c r="CK40" s="499" t="str">
        <f t="shared" si="23"/>
        <v>M011912736294J</v>
      </c>
      <c r="CL40" s="500">
        <f t="shared" si="24"/>
        <v>0</v>
      </c>
    </row>
    <row r="41" spans="1:91" s="497" customFormat="1">
      <c r="A41" s="670" t="s">
        <v>2988</v>
      </c>
      <c r="B41" s="618" t="s">
        <v>3063</v>
      </c>
      <c r="C41" s="1" t="s">
        <v>1438</v>
      </c>
      <c r="D41" s="77"/>
      <c r="E41" s="77"/>
      <c r="F41" s="43"/>
      <c r="G41" s="43"/>
      <c r="H41" s="43"/>
      <c r="I41" s="43"/>
      <c r="J41" s="77"/>
      <c r="K41" s="44"/>
      <c r="L41" s="45">
        <v>0</v>
      </c>
      <c r="M41" s="45">
        <v>0</v>
      </c>
      <c r="N41" s="45">
        <v>0</v>
      </c>
      <c r="O41" s="45"/>
      <c r="P41" s="45"/>
      <c r="Q41" s="45"/>
      <c r="R41" s="45">
        <f t="shared" si="51"/>
        <v>0</v>
      </c>
      <c r="S41" s="45">
        <f t="shared" si="52"/>
        <v>0</v>
      </c>
      <c r="T41" s="45">
        <f t="shared" si="53"/>
        <v>0</v>
      </c>
      <c r="U41" s="45"/>
      <c r="V41" s="45"/>
      <c r="W41" s="45">
        <v>6800</v>
      </c>
      <c r="X41" s="45"/>
      <c r="Y41" s="45"/>
      <c r="Z41" s="45"/>
      <c r="AA41" s="45"/>
      <c r="AB41" s="45">
        <v>68</v>
      </c>
      <c r="AC41" s="45">
        <v>421.6</v>
      </c>
      <c r="AD41" s="45">
        <v>190.4</v>
      </c>
      <c r="AE41" s="44"/>
      <c r="AF41" s="44"/>
      <c r="AG41" s="44"/>
      <c r="AH41" s="44"/>
      <c r="AI41" s="44"/>
      <c r="AJ41" s="44"/>
      <c r="AK41" s="44"/>
      <c r="AL41" s="44">
        <v>0</v>
      </c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312"/>
      <c r="BF41" s="312"/>
      <c r="BG41" s="312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>
        <v>0</v>
      </c>
      <c r="BS41" s="44"/>
      <c r="BT41" s="44"/>
      <c r="BU41" s="44"/>
      <c r="BV41" s="44"/>
      <c r="BW41" s="44"/>
      <c r="BX41" s="44"/>
      <c r="BY41" s="44"/>
      <c r="BZ41" s="44"/>
      <c r="CA41" s="44"/>
      <c r="CB41" s="45">
        <f t="shared" si="19"/>
        <v>7480</v>
      </c>
      <c r="CC41" s="46">
        <f t="shared" si="20"/>
        <v>6800</v>
      </c>
      <c r="CD41" s="47">
        <f t="shared" si="21"/>
        <v>6800</v>
      </c>
      <c r="CE41" s="62"/>
      <c r="CF41" s="237" t="s">
        <v>3066</v>
      </c>
      <c r="CG41" s="106">
        <f t="shared" si="22"/>
        <v>0</v>
      </c>
      <c r="CH41" s="40"/>
      <c r="CI41" s="51"/>
      <c r="CJ41" s="40"/>
      <c r="CK41" s="499" t="str">
        <f t="shared" si="23"/>
        <v>M061612526744D</v>
      </c>
      <c r="CL41" s="500">
        <f t="shared" si="24"/>
        <v>0</v>
      </c>
    </row>
    <row r="42" spans="1:91" customFormat="1">
      <c r="A42" s="668" t="s">
        <v>293</v>
      </c>
      <c r="B42" s="1" t="s">
        <v>760</v>
      </c>
      <c r="C42" s="1" t="s">
        <v>1438</v>
      </c>
      <c r="D42" s="77"/>
      <c r="E42" s="77"/>
      <c r="F42" s="43"/>
      <c r="G42" s="43"/>
      <c r="H42" s="43"/>
      <c r="I42" s="43"/>
      <c r="J42" s="77"/>
      <c r="K42" s="44"/>
      <c r="L42" s="45">
        <f t="shared" ref="L42" si="54">(J42+K42)*0.01</f>
        <v>0</v>
      </c>
      <c r="M42" s="45">
        <f t="shared" ref="M42" si="55">(J42+K42)*0.062</f>
        <v>0</v>
      </c>
      <c r="N42" s="45">
        <f t="shared" ref="N42" si="56">(J42+K42)*0.028</f>
        <v>0</v>
      </c>
      <c r="O42" s="45"/>
      <c r="P42" s="45"/>
      <c r="Q42" s="45"/>
      <c r="R42" s="45">
        <f t="shared" si="51"/>
        <v>0</v>
      </c>
      <c r="S42" s="45">
        <f t="shared" si="52"/>
        <v>0</v>
      </c>
      <c r="T42" s="45">
        <f t="shared" si="53"/>
        <v>0</v>
      </c>
      <c r="U42" s="45"/>
      <c r="V42" s="45"/>
      <c r="W42" s="45">
        <f>8171-39/1.1</f>
        <v>8135.545454545455</v>
      </c>
      <c r="X42" s="45"/>
      <c r="Y42" s="45"/>
      <c r="Z42" s="45"/>
      <c r="AA42" s="45"/>
      <c r="AB42" s="45">
        <f t="shared" ref="AB42" si="57">(U42+V42+W42+X42+Y42+Z42)*0.01</f>
        <v>81.355454545454549</v>
      </c>
      <c r="AC42" s="45">
        <f t="shared" ref="AC42" si="58">(U42+V42+W42+X42+Y42+Z42)*0.062</f>
        <v>504.40381818181822</v>
      </c>
      <c r="AD42" s="45">
        <f t="shared" ref="AD42" si="59">(U42+V42+W42+X42+Y42+Z42)*0.028</f>
        <v>227.79527272727273</v>
      </c>
      <c r="AE42" s="44"/>
      <c r="AF42" s="44"/>
      <c r="AG42" s="44"/>
      <c r="AH42" s="44"/>
      <c r="AI42" s="44"/>
      <c r="AJ42" s="44"/>
      <c r="AK42" s="44"/>
      <c r="AL42" s="44">
        <f t="shared" ref="AL42" si="60">+AK42</f>
        <v>0</v>
      </c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312"/>
      <c r="BF42" s="312"/>
      <c r="BG42" s="312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>
        <f t="shared" ref="BR42" si="61">BQ42/9</f>
        <v>0</v>
      </c>
      <c r="BS42" s="44"/>
      <c r="BT42" s="44"/>
      <c r="BU42" s="44"/>
      <c r="BV42" s="44"/>
      <c r="BW42" s="44"/>
      <c r="BX42" s="44"/>
      <c r="BY42" s="44"/>
      <c r="BZ42" s="44"/>
      <c r="CA42" s="44"/>
      <c r="CB42" s="672">
        <f t="shared" ref="CB42" si="62">SUM(E42:CA42)</f>
        <v>8949.1</v>
      </c>
      <c r="CC42" s="46">
        <f t="shared" si="20"/>
        <v>8135.545454545455</v>
      </c>
      <c r="CD42" s="47">
        <f t="shared" si="21"/>
        <v>8135.545454545455</v>
      </c>
      <c r="CE42" s="62" t="s">
        <v>3070</v>
      </c>
      <c r="CF42" s="237" t="s">
        <v>3049</v>
      </c>
      <c r="CG42" s="106">
        <f t="shared" si="22"/>
        <v>0</v>
      </c>
      <c r="CH42" s="40"/>
      <c r="CI42" s="51"/>
      <c r="CJ42" s="673"/>
      <c r="CK42" s="673"/>
    </row>
    <row r="43" spans="1:91" s="497" customFormat="1">
      <c r="A43" s="325" t="s">
        <v>3065</v>
      </c>
      <c r="B43" s="41" t="s">
        <v>3060</v>
      </c>
      <c r="C43" s="660" t="s">
        <v>1438</v>
      </c>
      <c r="D43" s="77"/>
      <c r="E43" s="77"/>
      <c r="F43" s="43"/>
      <c r="G43" s="43"/>
      <c r="H43" s="43"/>
      <c r="I43" s="43"/>
      <c r="J43" s="44"/>
      <c r="K43" s="44"/>
      <c r="L43" s="45">
        <f t="shared" si="0"/>
        <v>0</v>
      </c>
      <c r="M43" s="45">
        <f t="shared" si="1"/>
        <v>0</v>
      </c>
      <c r="N43" s="45">
        <f t="shared" si="2"/>
        <v>0</v>
      </c>
      <c r="O43" s="45"/>
      <c r="P43" s="45"/>
      <c r="Q43" s="45"/>
      <c r="R43" s="45">
        <f t="shared" si="3"/>
        <v>0</v>
      </c>
      <c r="S43" s="45">
        <f t="shared" si="4"/>
        <v>0</v>
      </c>
      <c r="T43" s="45">
        <f t="shared" si="5"/>
        <v>0</v>
      </c>
      <c r="U43" s="45"/>
      <c r="V43" s="45"/>
      <c r="W43" s="45">
        <f>989687/1.1</f>
        <v>899715.45454545447</v>
      </c>
      <c r="X43" s="45"/>
      <c r="Y43" s="45"/>
      <c r="Z43" s="45"/>
      <c r="AA43" s="45"/>
      <c r="AB43" s="45">
        <f t="shared" si="6"/>
        <v>8997.1545454545449</v>
      </c>
      <c r="AC43" s="45">
        <f t="shared" si="7"/>
        <v>55782.358181818177</v>
      </c>
      <c r="AD43" s="45">
        <f t="shared" si="8"/>
        <v>25192.032727272726</v>
      </c>
      <c r="AE43" s="44"/>
      <c r="AF43" s="44"/>
      <c r="AG43" s="44"/>
      <c r="AH43" s="44"/>
      <c r="AI43" s="44"/>
      <c r="AJ43" s="44"/>
      <c r="AK43" s="44"/>
      <c r="AL43" s="44">
        <f t="shared" si="9"/>
        <v>0</v>
      </c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>
        <f t="shared" si="10"/>
        <v>0</v>
      </c>
      <c r="BS43" s="312">
        <f t="shared" si="11"/>
        <v>0</v>
      </c>
      <c r="BT43" s="312">
        <f t="shared" si="12"/>
        <v>0</v>
      </c>
      <c r="BU43" s="312">
        <f t="shared" si="13"/>
        <v>0</v>
      </c>
      <c r="BV43" s="312">
        <f t="shared" si="14"/>
        <v>0</v>
      </c>
      <c r="BW43" s="313">
        <f t="shared" si="15"/>
        <v>0</v>
      </c>
      <c r="BX43" s="313">
        <f t="shared" si="16"/>
        <v>0</v>
      </c>
      <c r="BY43" s="313">
        <f t="shared" si="17"/>
        <v>0</v>
      </c>
      <c r="BZ43" s="313">
        <f t="shared" si="18"/>
        <v>0</v>
      </c>
      <c r="CA43" s="44"/>
      <c r="CB43" s="45">
        <f t="shared" si="19"/>
        <v>989686.99999999988</v>
      </c>
      <c r="CC43" s="46">
        <f t="shared" si="20"/>
        <v>899715.45454545447</v>
      </c>
      <c r="CD43" s="47">
        <f t="shared" si="21"/>
        <v>899715.45454545447</v>
      </c>
      <c r="CE43" s="62"/>
      <c r="CF43" s="237" t="s">
        <v>1008</v>
      </c>
      <c r="CG43" s="106">
        <f t="shared" si="22"/>
        <v>0</v>
      </c>
      <c r="CH43" s="40"/>
      <c r="CI43" s="51"/>
      <c r="CJ43" s="40"/>
      <c r="CK43" s="499" t="str">
        <f t="shared" si="23"/>
        <v>reliquataire</v>
      </c>
      <c r="CL43" s="500">
        <f t="shared" si="24"/>
        <v>0</v>
      </c>
    </row>
    <row r="44" spans="1:91" s="497" customFormat="1">
      <c r="A44" s="325" t="s">
        <v>486</v>
      </c>
      <c r="B44" s="41" t="str">
        <f>VLOOKUP(A44,'vs mars'!B:D,3,FALSE)</f>
        <v>M049500019972D</v>
      </c>
      <c r="C44" s="42" t="str">
        <f>VLOOKUP(A44,'vs mars'!B:AC,28,FALSE)</f>
        <v>ug3</v>
      </c>
      <c r="D44" s="77"/>
      <c r="E44" s="77"/>
      <c r="F44" s="43"/>
      <c r="G44" s="43"/>
      <c r="H44" s="43"/>
      <c r="I44" s="43"/>
      <c r="J44" s="44"/>
      <c r="K44" s="44"/>
      <c r="L44" s="45">
        <f t="shared" si="0"/>
        <v>0</v>
      </c>
      <c r="M44" s="45">
        <f t="shared" si="1"/>
        <v>0</v>
      </c>
      <c r="N44" s="45">
        <f t="shared" si="2"/>
        <v>0</v>
      </c>
      <c r="O44" s="45"/>
      <c r="P44" s="45"/>
      <c r="Q44" s="45"/>
      <c r="R44" s="45">
        <f t="shared" si="3"/>
        <v>0</v>
      </c>
      <c r="S44" s="45">
        <f t="shared" si="4"/>
        <v>0</v>
      </c>
      <c r="T44" s="45">
        <f t="shared" si="5"/>
        <v>0</v>
      </c>
      <c r="U44" s="45"/>
      <c r="V44" s="45"/>
      <c r="W44" s="45">
        <f>144204/1.1</f>
        <v>131094.54545454544</v>
      </c>
      <c r="X44" s="45"/>
      <c r="Y44" s="45"/>
      <c r="Z44" s="45"/>
      <c r="AA44" s="45"/>
      <c r="AB44" s="45">
        <f t="shared" si="6"/>
        <v>1310.9454545454544</v>
      </c>
      <c r="AC44" s="45">
        <f t="shared" si="7"/>
        <v>8127.8618181818174</v>
      </c>
      <c r="AD44" s="45">
        <f t="shared" si="8"/>
        <v>3670.6472727272726</v>
      </c>
      <c r="AE44" s="44"/>
      <c r="AF44" s="44"/>
      <c r="AG44" s="44"/>
      <c r="AH44" s="44"/>
      <c r="AI44" s="44"/>
      <c r="AJ44" s="44"/>
      <c r="AK44" s="44"/>
      <c r="AL44" s="44">
        <f t="shared" si="9"/>
        <v>0</v>
      </c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>
        <f t="shared" si="10"/>
        <v>0</v>
      </c>
      <c r="BS44" s="312">
        <f t="shared" si="11"/>
        <v>0</v>
      </c>
      <c r="BT44" s="312">
        <f t="shared" si="12"/>
        <v>0</v>
      </c>
      <c r="BU44" s="312">
        <f t="shared" si="13"/>
        <v>0</v>
      </c>
      <c r="BV44" s="312">
        <f t="shared" si="14"/>
        <v>0</v>
      </c>
      <c r="BW44" s="313">
        <f t="shared" si="15"/>
        <v>0</v>
      </c>
      <c r="BX44" s="313">
        <f t="shared" si="16"/>
        <v>0</v>
      </c>
      <c r="BY44" s="313">
        <f t="shared" si="17"/>
        <v>0</v>
      </c>
      <c r="BZ44" s="313">
        <f t="shared" si="18"/>
        <v>0</v>
      </c>
      <c r="CA44" s="44"/>
      <c r="CB44" s="45">
        <f t="shared" si="19"/>
        <v>144204</v>
      </c>
      <c r="CC44" s="46">
        <f t="shared" si="20"/>
        <v>131094.54545454544</v>
      </c>
      <c r="CD44" s="47">
        <f t="shared" si="21"/>
        <v>131094.54545454544</v>
      </c>
      <c r="CE44" s="62"/>
      <c r="CF44" s="237" t="str">
        <f>VLOOKUP(A44,labo!B:C,2,FALSE)</f>
        <v>CTD</v>
      </c>
      <c r="CG44" s="106">
        <f t="shared" si="22"/>
        <v>0</v>
      </c>
      <c r="CH44" s="40"/>
      <c r="CI44" s="51"/>
      <c r="CJ44" s="40"/>
      <c r="CK44" s="499" t="str">
        <f t="shared" si="23"/>
        <v>M049500019972D</v>
      </c>
      <c r="CL44" s="500">
        <f t="shared" si="24"/>
        <v>0</v>
      </c>
    </row>
    <row r="45" spans="1:91" s="497" customFormat="1">
      <c r="A45" s="662" t="s">
        <v>3067</v>
      </c>
      <c r="B45" s="41" t="e">
        <f>VLOOKUP(A45,'vs mars'!B:D,3,FALSE)</f>
        <v>#N/A</v>
      </c>
      <c r="C45" s="660" t="s">
        <v>1438</v>
      </c>
      <c r="D45" s="77"/>
      <c r="E45" s="77"/>
      <c r="F45" s="43"/>
      <c r="G45" s="43"/>
      <c r="H45" s="43"/>
      <c r="I45" s="43"/>
      <c r="J45" s="44"/>
      <c r="K45" s="44"/>
      <c r="L45" s="45">
        <f t="shared" si="0"/>
        <v>0</v>
      </c>
      <c r="M45" s="45">
        <f t="shared" si="1"/>
        <v>0</v>
      </c>
      <c r="N45" s="45">
        <f t="shared" si="2"/>
        <v>0</v>
      </c>
      <c r="O45" s="45"/>
      <c r="P45" s="45"/>
      <c r="Q45" s="45"/>
      <c r="R45" s="45">
        <f t="shared" si="3"/>
        <v>0</v>
      </c>
      <c r="S45" s="45">
        <f t="shared" si="4"/>
        <v>0</v>
      </c>
      <c r="T45" s="45">
        <f t="shared" si="5"/>
        <v>0</v>
      </c>
      <c r="U45" s="45"/>
      <c r="V45" s="25">
        <f>(225500+975472)/1.1</f>
        <v>1091792.7272727273</v>
      </c>
      <c r="W45" s="45"/>
      <c r="X45" s="45"/>
      <c r="Y45" s="45"/>
      <c r="Z45" s="45"/>
      <c r="AA45" s="45"/>
      <c r="AB45" s="45">
        <f t="shared" si="6"/>
        <v>10917.927272727273</v>
      </c>
      <c r="AC45" s="45">
        <f t="shared" si="7"/>
        <v>67691.149090909094</v>
      </c>
      <c r="AD45" s="45">
        <f t="shared" si="8"/>
        <v>30570.196363636365</v>
      </c>
      <c r="AE45" s="44"/>
      <c r="AF45" s="44"/>
      <c r="AG45" s="44"/>
      <c r="AH45" s="44"/>
      <c r="AI45" s="44"/>
      <c r="AJ45" s="44"/>
      <c r="AK45" s="44"/>
      <c r="AL45" s="44">
        <f t="shared" si="9"/>
        <v>0</v>
      </c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>
        <f t="shared" si="10"/>
        <v>0</v>
      </c>
      <c r="BS45" s="312">
        <f t="shared" si="11"/>
        <v>0</v>
      </c>
      <c r="BT45" s="312">
        <f t="shared" si="12"/>
        <v>0</v>
      </c>
      <c r="BU45" s="312">
        <f t="shared" si="13"/>
        <v>0</v>
      </c>
      <c r="BV45" s="312">
        <f t="shared" si="14"/>
        <v>0</v>
      </c>
      <c r="BW45" s="313">
        <f t="shared" si="15"/>
        <v>0</v>
      </c>
      <c r="BX45" s="313">
        <f t="shared" si="16"/>
        <v>0</v>
      </c>
      <c r="BY45" s="313">
        <f t="shared" si="17"/>
        <v>0</v>
      </c>
      <c r="BZ45" s="313">
        <f t="shared" si="18"/>
        <v>0</v>
      </c>
      <c r="CA45" s="44"/>
      <c r="CB45" s="45">
        <f t="shared" si="19"/>
        <v>1200972</v>
      </c>
      <c r="CC45" s="46">
        <f t="shared" si="20"/>
        <v>0</v>
      </c>
      <c r="CD45" s="47">
        <f t="shared" si="21"/>
        <v>1091792.7272727273</v>
      </c>
      <c r="CE45" s="62"/>
      <c r="CF45" s="237" t="s">
        <v>1008</v>
      </c>
      <c r="CG45" s="106">
        <f t="shared" si="22"/>
        <v>0</v>
      </c>
      <c r="CH45" s="40"/>
      <c r="CI45" s="51"/>
      <c r="CJ45" s="40"/>
      <c r="CK45" s="499" t="e">
        <f t="shared" si="23"/>
        <v>#N/A</v>
      </c>
      <c r="CL45" s="500">
        <f t="shared" si="24"/>
        <v>0</v>
      </c>
    </row>
    <row r="46" spans="1:91" s="497" customFormat="1">
      <c r="A46" s="1" t="s">
        <v>3069</v>
      </c>
      <c r="B46" s="1" t="s">
        <v>3060</v>
      </c>
      <c r="C46" s="1" t="s">
        <v>1438</v>
      </c>
      <c r="D46" s="526"/>
      <c r="E46" s="77"/>
      <c r="F46" s="43"/>
      <c r="G46" s="43"/>
      <c r="H46" s="43"/>
      <c r="I46" s="43"/>
      <c r="J46" s="77"/>
      <c r="K46" s="44"/>
      <c r="L46" s="45">
        <f t="shared" si="0"/>
        <v>0</v>
      </c>
      <c r="M46" s="45">
        <f t="shared" si="1"/>
        <v>0</v>
      </c>
      <c r="N46" s="45">
        <f t="shared" si="2"/>
        <v>0</v>
      </c>
      <c r="O46" s="45"/>
      <c r="P46" s="45"/>
      <c r="Q46" s="45"/>
      <c r="R46" s="45">
        <f t="shared" si="3"/>
        <v>0</v>
      </c>
      <c r="S46" s="45">
        <f t="shared" si="4"/>
        <v>0</v>
      </c>
      <c r="T46" s="45">
        <f t="shared" si="5"/>
        <v>0</v>
      </c>
      <c r="U46" s="45"/>
      <c r="V46" s="45"/>
      <c r="W46" s="45">
        <f>95227+4484/1.1</f>
        <v>99303.363636363632</v>
      </c>
      <c r="X46" s="45"/>
      <c r="Y46" s="45"/>
      <c r="Z46" s="45"/>
      <c r="AA46" s="45"/>
      <c r="AB46" s="45">
        <f>(U46+V46+W46+X46+Y46+Z46)*0.01</f>
        <v>993.03363636363633</v>
      </c>
      <c r="AC46" s="45">
        <f t="shared" si="7"/>
        <v>6156.8085454545453</v>
      </c>
      <c r="AD46" s="45">
        <f t="shared" si="8"/>
        <v>2780.4941818181819</v>
      </c>
      <c r="AE46" s="44"/>
      <c r="AF46" s="44"/>
      <c r="AG46" s="44"/>
      <c r="AH46" s="44"/>
      <c r="AI46" s="44"/>
      <c r="AJ46" s="44"/>
      <c r="AK46" s="44"/>
      <c r="AL46" s="44">
        <f t="shared" si="9"/>
        <v>0</v>
      </c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312">
        <v>24732</v>
      </c>
      <c r="BF46" s="312"/>
      <c r="BG46" s="312">
        <v>31200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>
        <v>14851</v>
      </c>
      <c r="BR46" s="44">
        <f t="shared" si="10"/>
        <v>1650.1111111111111</v>
      </c>
      <c r="BS46" s="44"/>
      <c r="BT46" s="44"/>
      <c r="BU46" s="44"/>
      <c r="BV46" s="44"/>
      <c r="BW46" s="44"/>
      <c r="BX46" s="44"/>
      <c r="BY46" s="44"/>
      <c r="BZ46" s="44"/>
      <c r="CA46" s="44"/>
      <c r="CB46" s="45">
        <f t="shared" ref="CB46" si="63">SUM(E46:CA46)</f>
        <v>181666.81111111114</v>
      </c>
      <c r="CC46" s="46">
        <f t="shared" si="20"/>
        <v>99303.363636363632</v>
      </c>
      <c r="CD46" s="47">
        <f t="shared" si="21"/>
        <v>99303.363636363632</v>
      </c>
      <c r="CE46" s="62"/>
      <c r="CF46" s="237" t="s">
        <v>1008</v>
      </c>
      <c r="CG46" s="106">
        <f t="shared" si="22"/>
        <v>0</v>
      </c>
      <c r="CH46" s="40"/>
      <c r="CI46" s="51"/>
      <c r="CJ46" s="40"/>
      <c r="CK46" s="499" t="str">
        <f t="shared" si="23"/>
        <v>reliquataire</v>
      </c>
      <c r="CL46" s="500">
        <f t="shared" si="24"/>
        <v>0</v>
      </c>
    </row>
    <row r="47" spans="1:91" s="497" customFormat="1">
      <c r="A47" s="668" t="s">
        <v>318</v>
      </c>
      <c r="B47" s="1" t="s">
        <v>499</v>
      </c>
      <c r="C47" s="1" t="s">
        <v>1438</v>
      </c>
      <c r="D47" s="526"/>
      <c r="E47" s="77"/>
      <c r="F47" s="43"/>
      <c r="G47" s="43"/>
      <c r="H47" s="43"/>
      <c r="I47" s="43"/>
      <c r="J47" s="77"/>
      <c r="K47" s="44"/>
      <c r="L47" s="45">
        <f t="shared" ref="L47" si="64">(J47+K47)*0.01</f>
        <v>0</v>
      </c>
      <c r="M47" s="45">
        <f t="shared" ref="M47" si="65">(J47+K47)*0.062</f>
        <v>0</v>
      </c>
      <c r="N47" s="45">
        <f t="shared" ref="N47" si="66">(J47+K47)*0.028</f>
        <v>0</v>
      </c>
      <c r="O47" s="45"/>
      <c r="P47" s="45"/>
      <c r="Q47" s="45"/>
      <c r="R47" s="45">
        <f t="shared" ref="R47" si="67">(Q47+O47+P47)*0.01</f>
        <v>0</v>
      </c>
      <c r="S47" s="45">
        <f t="shared" ref="S47" si="68">(O47+Q47+P47)*0.062</f>
        <v>0</v>
      </c>
      <c r="T47" s="45">
        <f t="shared" ref="T47" si="69">(O47+P47+Q47)*0.028</f>
        <v>0</v>
      </c>
      <c r="U47" s="45"/>
      <c r="V47" s="45"/>
      <c r="W47" s="45">
        <f>95227+4484/1.1+51/1.1</f>
        <v>99349.727272727265</v>
      </c>
      <c r="X47" s="45"/>
      <c r="Y47" s="45"/>
      <c r="Z47" s="45"/>
      <c r="AA47" s="45"/>
      <c r="AB47" s="45">
        <f>(U47+V47+W47+X47+Y47+Z47)*0.01</f>
        <v>993.49727272727262</v>
      </c>
      <c r="AC47" s="45">
        <f t="shared" ref="AC47" si="70">(U47+V47+W47+X47+Y47+Z47)*0.062</f>
        <v>6159.6830909090904</v>
      </c>
      <c r="AD47" s="45">
        <f t="shared" ref="AD47" si="71">(U47+V47+W47+X47+Y47+Z47)*0.028</f>
        <v>2781.7923636363635</v>
      </c>
      <c r="AE47" s="44"/>
      <c r="AF47" s="44"/>
      <c r="AG47" s="44"/>
      <c r="AH47" s="44"/>
      <c r="AI47" s="44"/>
      <c r="AJ47" s="44"/>
      <c r="AK47" s="44"/>
      <c r="AL47" s="44">
        <f t="shared" ref="AL47" si="72">+AK47</f>
        <v>0</v>
      </c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312">
        <v>24732</v>
      </c>
      <c r="BF47" s="312"/>
      <c r="BG47" s="312">
        <v>31200</v>
      </c>
      <c r="BH47" s="44"/>
      <c r="BI47" s="44"/>
      <c r="BJ47" s="44"/>
      <c r="BK47" s="44"/>
      <c r="BL47" s="44"/>
      <c r="BM47" s="44"/>
      <c r="BN47" s="44"/>
      <c r="BO47" s="44"/>
      <c r="BP47" s="44"/>
      <c r="BQ47" s="44">
        <v>14850</v>
      </c>
      <c r="BR47" s="44">
        <f t="shared" ref="BR47" si="73">BQ47/9</f>
        <v>1650</v>
      </c>
      <c r="BS47" s="44"/>
      <c r="BT47" s="44"/>
      <c r="BU47" s="44"/>
      <c r="BV47" s="44"/>
      <c r="BW47" s="44"/>
      <c r="BX47" s="44"/>
      <c r="BY47" s="44"/>
      <c r="BZ47" s="44"/>
      <c r="CA47" s="44"/>
      <c r="CB47" s="45">
        <f t="shared" ref="CB47" si="74">SUM(E47:CA47)</f>
        <v>181716.7</v>
      </c>
      <c r="CC47" s="46">
        <f t="shared" ref="CC47" si="75">E47+H47+I47+K47+P47+Q47+W47+X47+Y47+Z47+AA47+AE47+AG47+AH47+AI47+AJ47+AN47+AO47+AS47+AT47+AU47+AV47+AW47+AY47+BB47</f>
        <v>99349.727272727265</v>
      </c>
      <c r="CD47" s="47">
        <f t="shared" ref="CD47" si="76">E47+H47+I47+J47+K47+O47+P47+Q47+U47+V47+W47+X47+Y47+Z47+AA47+AE47+AF47+AG47+AH47+AI47+AJ47+AN47+AO47+AT47+AU47+AV47+AW47+AY47+BA47+BB47</f>
        <v>99349.727272727265</v>
      </c>
      <c r="CE47" s="62"/>
      <c r="CF47" s="237" t="str">
        <f>VLOOKUP(A47,[1]labo!B:C,2,FALSE)</f>
        <v>CTD</v>
      </c>
      <c r="CG47" s="106">
        <f t="shared" ref="CG47" si="77">K47+Q47+X47+Y47+Z47+AF47</f>
        <v>0</v>
      </c>
      <c r="CH47" s="40"/>
      <c r="CI47" s="51"/>
      <c r="CJ47" s="40"/>
      <c r="CK47" s="499" t="str">
        <f t="shared" ref="CK47" si="78">+B47</f>
        <v>M049500019973E</v>
      </c>
      <c r="CL47" s="500">
        <f t="shared" ref="CL47" si="79">CE47</f>
        <v>0</v>
      </c>
    </row>
    <row r="48" spans="1:91" s="497" customFormat="1">
      <c r="A48" s="77" t="s">
        <v>2824</v>
      </c>
      <c r="B48" s="41" t="s">
        <v>3068</v>
      </c>
      <c r="C48" s="660" t="s">
        <v>1438</v>
      </c>
      <c r="D48" s="77"/>
      <c r="E48" s="77"/>
      <c r="F48" s="43"/>
      <c r="G48" s="43"/>
      <c r="H48" s="43"/>
      <c r="I48" s="43"/>
      <c r="J48" s="25">
        <f>6888521/1.1</f>
        <v>6262291.8181818174</v>
      </c>
      <c r="K48" s="44"/>
      <c r="L48" s="45">
        <f t="shared" si="0"/>
        <v>62622.918181818175</v>
      </c>
      <c r="M48" s="45">
        <f t="shared" si="1"/>
        <v>388262.09272727265</v>
      </c>
      <c r="N48" s="45">
        <f t="shared" si="2"/>
        <v>175344.1709090909</v>
      </c>
      <c r="O48" s="45"/>
      <c r="P48" s="45"/>
      <c r="Q48" s="45"/>
      <c r="R48" s="45">
        <f t="shared" si="3"/>
        <v>0</v>
      </c>
      <c r="S48" s="45">
        <f t="shared" si="4"/>
        <v>0</v>
      </c>
      <c r="T48" s="45">
        <f t="shared" si="5"/>
        <v>0</v>
      </c>
      <c r="U48" s="45"/>
      <c r="V48" s="45"/>
      <c r="W48" s="45"/>
      <c r="X48" s="45"/>
      <c r="Y48" s="45"/>
      <c r="Z48" s="45"/>
      <c r="AA48" s="45"/>
      <c r="AB48" s="45">
        <f t="shared" si="6"/>
        <v>0</v>
      </c>
      <c r="AC48" s="45">
        <f t="shared" si="7"/>
        <v>0</v>
      </c>
      <c r="AD48" s="45">
        <f t="shared" si="8"/>
        <v>0</v>
      </c>
      <c r="AE48" s="44"/>
      <c r="AF48" s="44"/>
      <c r="AG48" s="44"/>
      <c r="AH48" s="44"/>
      <c r="AI48" s="44"/>
      <c r="AJ48" s="44"/>
      <c r="AK48" s="44"/>
      <c r="AL48" s="44">
        <f t="shared" si="9"/>
        <v>0</v>
      </c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>
        <f t="shared" si="10"/>
        <v>0</v>
      </c>
      <c r="BS48" s="312">
        <f t="shared" si="11"/>
        <v>0</v>
      </c>
      <c r="BT48" s="312">
        <f t="shared" si="12"/>
        <v>0</v>
      </c>
      <c r="BU48" s="312">
        <f t="shared" si="13"/>
        <v>0</v>
      </c>
      <c r="BV48" s="312">
        <f t="shared" si="14"/>
        <v>0</v>
      </c>
      <c r="BW48" s="313">
        <f t="shared" si="15"/>
        <v>0</v>
      </c>
      <c r="BX48" s="313">
        <f t="shared" si="16"/>
        <v>0</v>
      </c>
      <c r="BY48" s="313">
        <f t="shared" si="17"/>
        <v>0</v>
      </c>
      <c r="BZ48" s="313">
        <f t="shared" si="18"/>
        <v>0</v>
      </c>
      <c r="CA48" s="44"/>
      <c r="CB48" s="45">
        <f t="shared" si="19"/>
        <v>6888520.9999999991</v>
      </c>
      <c r="CC48" s="46">
        <f t="shared" si="20"/>
        <v>0</v>
      </c>
      <c r="CD48" s="47">
        <f t="shared" si="21"/>
        <v>6262291.8181818174</v>
      </c>
      <c r="CE48" s="62"/>
      <c r="CF48" s="237" t="s">
        <v>1008</v>
      </c>
      <c r="CG48" s="106">
        <f t="shared" si="22"/>
        <v>0</v>
      </c>
      <c r="CH48" s="40"/>
      <c r="CI48" s="51"/>
      <c r="CJ48" s="40"/>
      <c r="CK48" s="499" t="str">
        <f t="shared" si="23"/>
        <v>royalties</v>
      </c>
      <c r="CL48" s="500">
        <f t="shared" si="24"/>
        <v>0</v>
      </c>
    </row>
    <row r="49" spans="1:90" s="497" customFormat="1">
      <c r="A49" s="77" t="s">
        <v>2770</v>
      </c>
      <c r="B49" s="41" t="s">
        <v>3068</v>
      </c>
      <c r="C49" s="660" t="s">
        <v>1438</v>
      </c>
      <c r="D49" s="77"/>
      <c r="E49" s="77"/>
      <c r="F49" s="43"/>
      <c r="G49" s="43"/>
      <c r="H49" s="43"/>
      <c r="I49" s="43"/>
      <c r="J49" s="25">
        <f>7497233/1.1</f>
        <v>6815666.3636363633</v>
      </c>
      <c r="K49" s="44"/>
      <c r="L49" s="45">
        <f t="shared" si="0"/>
        <v>68156.663636363635</v>
      </c>
      <c r="M49" s="45">
        <f t="shared" si="1"/>
        <v>422571.31454545452</v>
      </c>
      <c r="N49" s="45">
        <f t="shared" si="2"/>
        <v>190838.65818181817</v>
      </c>
      <c r="O49" s="45"/>
      <c r="P49" s="45"/>
      <c r="Q49" s="45"/>
      <c r="R49" s="45">
        <f t="shared" si="3"/>
        <v>0</v>
      </c>
      <c r="S49" s="45">
        <f t="shared" si="4"/>
        <v>0</v>
      </c>
      <c r="T49" s="45">
        <f t="shared" si="5"/>
        <v>0</v>
      </c>
      <c r="U49" s="45"/>
      <c r="V49" s="45"/>
      <c r="W49" s="45"/>
      <c r="X49" s="45"/>
      <c r="Y49" s="45"/>
      <c r="Z49" s="45"/>
      <c r="AA49" s="45"/>
      <c r="AB49" s="45">
        <f t="shared" si="6"/>
        <v>0</v>
      </c>
      <c r="AC49" s="45">
        <f t="shared" si="7"/>
        <v>0</v>
      </c>
      <c r="AD49" s="45">
        <f t="shared" si="8"/>
        <v>0</v>
      </c>
      <c r="AE49" s="44"/>
      <c r="AF49" s="44"/>
      <c r="AG49" s="44"/>
      <c r="AH49" s="44"/>
      <c r="AI49" s="44"/>
      <c r="AJ49" s="44"/>
      <c r="AK49" s="44"/>
      <c r="AL49" s="44">
        <f t="shared" si="9"/>
        <v>0</v>
      </c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>
        <f t="shared" si="10"/>
        <v>0</v>
      </c>
      <c r="BS49" s="312">
        <f t="shared" si="11"/>
        <v>0</v>
      </c>
      <c r="BT49" s="312">
        <f t="shared" si="12"/>
        <v>0</v>
      </c>
      <c r="BU49" s="312">
        <f t="shared" si="13"/>
        <v>0</v>
      </c>
      <c r="BV49" s="312">
        <f t="shared" si="14"/>
        <v>0</v>
      </c>
      <c r="BW49" s="313">
        <f t="shared" si="15"/>
        <v>0</v>
      </c>
      <c r="BX49" s="313">
        <f t="shared" si="16"/>
        <v>0</v>
      </c>
      <c r="BY49" s="313">
        <f t="shared" si="17"/>
        <v>0</v>
      </c>
      <c r="BZ49" s="313">
        <f t="shared" si="18"/>
        <v>0</v>
      </c>
      <c r="CA49" s="44"/>
      <c r="CB49" s="45">
        <f t="shared" si="19"/>
        <v>7497233</v>
      </c>
      <c r="CC49" s="46">
        <f t="shared" si="20"/>
        <v>0</v>
      </c>
      <c r="CD49" s="47">
        <f t="shared" si="21"/>
        <v>6815666.3636363633</v>
      </c>
      <c r="CE49" s="62"/>
      <c r="CF49" s="237" t="s">
        <v>1008</v>
      </c>
      <c r="CG49" s="106">
        <f t="shared" si="22"/>
        <v>0</v>
      </c>
      <c r="CH49" s="40"/>
      <c r="CI49" s="51"/>
      <c r="CJ49" s="40"/>
      <c r="CK49" s="499" t="str">
        <f t="shared" si="23"/>
        <v>royalties</v>
      </c>
      <c r="CL49" s="500">
        <f t="shared" si="24"/>
        <v>0</v>
      </c>
    </row>
    <row r="50" spans="1:90" s="497" customFormat="1">
      <c r="A50" s="485" t="s">
        <v>371</v>
      </c>
      <c r="B50" s="485" t="s">
        <v>578</v>
      </c>
      <c r="C50" s="485" t="s">
        <v>1436</v>
      </c>
      <c r="D50" s="77"/>
      <c r="E50" s="77"/>
      <c r="F50" s="43"/>
      <c r="G50" s="43">
        <f t="shared" ref="G50:G51" si="80">+E50/4</f>
        <v>0</v>
      </c>
      <c r="H50" s="43"/>
      <c r="I50" s="43"/>
      <c r="J50" s="44">
        <v>100256</v>
      </c>
      <c r="K50" s="44"/>
      <c r="L50" s="45">
        <f t="shared" si="0"/>
        <v>1002.5600000000001</v>
      </c>
      <c r="M50" s="45">
        <f t="shared" si="1"/>
        <v>6215.8720000000003</v>
      </c>
      <c r="N50" s="45">
        <f t="shared" si="2"/>
        <v>2807.1680000000001</v>
      </c>
      <c r="O50" s="45">
        <v>64668</v>
      </c>
      <c r="P50" s="45"/>
      <c r="Q50" s="45"/>
      <c r="R50" s="45">
        <f t="shared" ref="R50:R51" si="81">(Q50+O50)*0.01</f>
        <v>646.68000000000006</v>
      </c>
      <c r="S50" s="45">
        <f t="shared" ref="S50:S51" si="82">(O50+Q50)*0.062</f>
        <v>4009.4160000000002</v>
      </c>
      <c r="T50" s="45">
        <f t="shared" si="5"/>
        <v>1810.704</v>
      </c>
      <c r="U50" s="45"/>
      <c r="V50" s="45"/>
      <c r="W50" s="45">
        <v>11464</v>
      </c>
      <c r="X50" s="45"/>
      <c r="Y50" s="45"/>
      <c r="Z50" s="45"/>
      <c r="AA50" s="45"/>
      <c r="AB50" s="45">
        <f t="shared" si="6"/>
        <v>114.64</v>
      </c>
      <c r="AC50" s="45">
        <f t="shared" si="7"/>
        <v>710.76800000000003</v>
      </c>
      <c r="AD50" s="45">
        <f t="shared" si="8"/>
        <v>320.99200000000002</v>
      </c>
      <c r="AE50" s="44"/>
      <c r="AF50" s="44"/>
      <c r="AG50" s="44"/>
      <c r="AH50" s="44"/>
      <c r="AI50" s="44"/>
      <c r="AJ50" s="44"/>
      <c r="AK50" s="44"/>
      <c r="AL50" s="44">
        <f t="shared" si="9"/>
        <v>0</v>
      </c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>
        <v>16530</v>
      </c>
      <c r="BF50" s="44">
        <v>6733</v>
      </c>
      <c r="BG50" s="44">
        <v>6000</v>
      </c>
      <c r="BH50" s="44"/>
      <c r="BI50" s="44"/>
      <c r="BJ50" s="44"/>
      <c r="BK50" s="44"/>
      <c r="BL50" s="44"/>
      <c r="BM50" s="44"/>
      <c r="BN50" s="44"/>
      <c r="BO50" s="44"/>
      <c r="BP50" s="44"/>
      <c r="BQ50" s="44">
        <v>2500</v>
      </c>
      <c r="BR50" s="44">
        <v>300</v>
      </c>
      <c r="BS50" s="44"/>
      <c r="BT50" s="44"/>
      <c r="BU50" s="44"/>
      <c r="BV50" s="44"/>
      <c r="BW50" s="44"/>
      <c r="BX50" s="44"/>
      <c r="BY50" s="44"/>
      <c r="BZ50" s="44"/>
      <c r="CA50" s="44"/>
      <c r="CB50" s="45">
        <f t="shared" si="19"/>
        <v>226089.80000000002</v>
      </c>
      <c r="CC50" s="46">
        <f t="shared" si="20"/>
        <v>11464</v>
      </c>
      <c r="CD50" s="47">
        <f t="shared" si="21"/>
        <v>176388</v>
      </c>
      <c r="CE50" s="62"/>
      <c r="CF50" s="237" t="str">
        <f>VLOOKUP(A50,labo!B:C,2,FALSE)</f>
        <v>STATION DE SERVICES</v>
      </c>
      <c r="CG50" s="106">
        <f t="shared" si="22"/>
        <v>0</v>
      </c>
      <c r="CH50" s="40"/>
      <c r="CI50" s="51"/>
      <c r="CJ50" s="40"/>
      <c r="CK50" s="499" t="str">
        <f t="shared" si="23"/>
        <v>P077100310459J</v>
      </c>
      <c r="CL50" s="500">
        <f t="shared" si="24"/>
        <v>0</v>
      </c>
    </row>
    <row r="51" spans="1:90" s="497" customFormat="1">
      <c r="A51" s="485" t="s">
        <v>290</v>
      </c>
      <c r="B51" s="485" t="s">
        <v>576</v>
      </c>
      <c r="C51" s="485" t="s">
        <v>1436</v>
      </c>
      <c r="D51" s="77"/>
      <c r="E51" s="77"/>
      <c r="F51" s="43"/>
      <c r="G51" s="43">
        <f t="shared" si="80"/>
        <v>0</v>
      </c>
      <c r="H51" s="43"/>
      <c r="I51" s="43"/>
      <c r="J51" s="44">
        <f>88444+82342</f>
        <v>170786</v>
      </c>
      <c r="K51" s="44">
        <v>25041</v>
      </c>
      <c r="L51" s="45">
        <f t="shared" si="0"/>
        <v>1958.27</v>
      </c>
      <c r="M51" s="45">
        <f t="shared" si="1"/>
        <v>12141.273999999999</v>
      </c>
      <c r="N51" s="45">
        <f t="shared" si="2"/>
        <v>5483.1559999999999</v>
      </c>
      <c r="O51" s="45">
        <f>111804+13023</f>
        <v>124827</v>
      </c>
      <c r="P51" s="45"/>
      <c r="Q51" s="45"/>
      <c r="R51" s="45">
        <f t="shared" si="81"/>
        <v>1248.27</v>
      </c>
      <c r="S51" s="45">
        <f t="shared" si="82"/>
        <v>7739.2740000000003</v>
      </c>
      <c r="T51" s="45">
        <f t="shared" si="5"/>
        <v>3495.1559999999999</v>
      </c>
      <c r="U51" s="45"/>
      <c r="V51" s="45"/>
      <c r="W51" s="45">
        <f>6395+593</f>
        <v>6988</v>
      </c>
      <c r="X51" s="45"/>
      <c r="Y51" s="45"/>
      <c r="Z51" s="45"/>
      <c r="AA51" s="45"/>
      <c r="AB51" s="45">
        <f t="shared" si="6"/>
        <v>69.88</v>
      </c>
      <c r="AC51" s="45">
        <f t="shared" si="7"/>
        <v>433.25599999999997</v>
      </c>
      <c r="AD51" s="45">
        <f t="shared" si="8"/>
        <v>195.66400000000002</v>
      </c>
      <c r="AE51" s="44"/>
      <c r="AF51" s="44"/>
      <c r="AG51" s="44"/>
      <c r="AH51" s="44"/>
      <c r="AI51" s="44"/>
      <c r="AJ51" s="44"/>
      <c r="AK51" s="44"/>
      <c r="AL51" s="44">
        <f t="shared" si="9"/>
        <v>0</v>
      </c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>
        <f>32553+4584+729</f>
        <v>37866</v>
      </c>
      <c r="BF51" s="44">
        <f>14596+3056</f>
        <v>17652</v>
      </c>
      <c r="BG51" s="44">
        <f>10500+750</f>
        <v>11250</v>
      </c>
      <c r="BH51" s="44"/>
      <c r="BI51" s="44"/>
      <c r="BJ51" s="44"/>
      <c r="BK51" s="44"/>
      <c r="BL51" s="44"/>
      <c r="BM51" s="44"/>
      <c r="BN51" s="44"/>
      <c r="BO51" s="44"/>
      <c r="BP51" s="44"/>
      <c r="BQ51" s="44">
        <f>4000+225</f>
        <v>4225</v>
      </c>
      <c r="BR51" s="44">
        <f>500+25</f>
        <v>525</v>
      </c>
      <c r="BS51" s="44"/>
      <c r="BT51" s="44"/>
      <c r="BU51" s="44"/>
      <c r="BV51" s="44"/>
      <c r="BW51" s="44"/>
      <c r="BX51" s="44"/>
      <c r="BY51" s="44"/>
      <c r="BZ51" s="44"/>
      <c r="CA51" s="44"/>
      <c r="CB51" s="45">
        <f t="shared" si="19"/>
        <v>431924.19999999995</v>
      </c>
      <c r="CC51" s="46">
        <f t="shared" si="20"/>
        <v>32029</v>
      </c>
      <c r="CD51" s="47">
        <f t="shared" si="21"/>
        <v>327642</v>
      </c>
      <c r="CE51" s="62"/>
      <c r="CF51" s="237" t="str">
        <f>VLOOKUP(A51,labo!B:C,2,FALSE)</f>
        <v>STATION DE SERVICES</v>
      </c>
      <c r="CG51" s="106">
        <f t="shared" si="22"/>
        <v>25041</v>
      </c>
      <c r="CH51" s="40"/>
      <c r="CI51" s="51"/>
      <c r="CJ51" s="40"/>
      <c r="CK51" s="499" t="str">
        <f t="shared" si="23"/>
        <v>P017000123526F</v>
      </c>
      <c r="CL51" s="500">
        <f t="shared" si="24"/>
        <v>0</v>
      </c>
    </row>
    <row r="52" spans="1:90" s="497" customFormat="1">
      <c r="A52" s="674" t="s">
        <v>666</v>
      </c>
      <c r="B52" s="675" t="s">
        <v>668</v>
      </c>
      <c r="C52" s="77" t="s">
        <v>408</v>
      </c>
      <c r="D52" s="676"/>
      <c r="E52" s="77"/>
      <c r="F52" s="677">
        <v>0</v>
      </c>
      <c r="G52" s="77"/>
      <c r="H52" s="77"/>
      <c r="I52" s="77"/>
      <c r="J52" s="77"/>
      <c r="K52" s="77"/>
      <c r="L52" s="44">
        <v>0</v>
      </c>
      <c r="M52" s="44">
        <v>0</v>
      </c>
      <c r="N52" s="44">
        <v>0</v>
      </c>
      <c r="O52" s="45"/>
      <c r="P52" s="77"/>
      <c r="Q52" s="77"/>
      <c r="R52" s="44">
        <v>0</v>
      </c>
      <c r="S52" s="44">
        <v>0</v>
      </c>
      <c r="T52" s="44">
        <v>0</v>
      </c>
      <c r="U52" s="77"/>
      <c r="V52" s="77"/>
      <c r="W52" s="678">
        <v>537</v>
      </c>
      <c r="X52" s="77"/>
      <c r="Y52" s="77"/>
      <c r="Z52" s="25">
        <v>33750.909090909088</v>
      </c>
      <c r="AA52" s="77"/>
      <c r="AB52" s="44">
        <v>342.87909090909091</v>
      </c>
      <c r="AC52" s="44">
        <v>2125.8503636363635</v>
      </c>
      <c r="AD52" s="44">
        <v>960.06145454545447</v>
      </c>
      <c r="AE52" s="77"/>
      <c r="AF52" s="77"/>
      <c r="AG52" s="678"/>
      <c r="AH52" s="77"/>
      <c r="AI52" s="77"/>
      <c r="AJ52" s="77"/>
      <c r="AK52" s="77"/>
      <c r="AL52" s="679">
        <v>0</v>
      </c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680">
        <v>3550</v>
      </c>
      <c r="BF52" s="680">
        <v>1300</v>
      </c>
      <c r="BG52" s="680">
        <v>1500</v>
      </c>
      <c r="BH52" s="77"/>
      <c r="BI52" s="77"/>
      <c r="BJ52" s="77"/>
      <c r="BK52" s="77"/>
      <c r="BL52" s="77"/>
      <c r="BM52" s="44"/>
      <c r="BN52" s="77"/>
      <c r="BO52" s="77"/>
      <c r="BP52" s="77"/>
      <c r="BQ52" s="678">
        <v>225</v>
      </c>
      <c r="BR52" s="679">
        <v>25</v>
      </c>
      <c r="BS52" s="77"/>
      <c r="BT52" s="77"/>
      <c r="BU52" s="77"/>
      <c r="BV52" s="77"/>
      <c r="BW52" s="77"/>
      <c r="BX52" s="77"/>
      <c r="BY52" s="77"/>
      <c r="BZ52" s="77"/>
      <c r="CA52" s="681"/>
      <c r="CB52" s="45">
        <f t="shared" si="19"/>
        <v>44316.69999999999</v>
      </c>
      <c r="CC52" s="46">
        <f t="shared" si="20"/>
        <v>34287.909090909088</v>
      </c>
      <c r="CD52" s="47">
        <f t="shared" si="21"/>
        <v>34287.909090909088</v>
      </c>
      <c r="CE52" s="62"/>
      <c r="CF52" s="237" t="str">
        <f>VLOOKUP(A52,labo!B:C,2,FALSE)</f>
        <v>PROFESSIONS LIBERALES</v>
      </c>
      <c r="CG52" s="106">
        <f t="shared" si="22"/>
        <v>33750.909090909088</v>
      </c>
      <c r="CH52" s="40"/>
      <c r="CI52" s="51"/>
      <c r="CJ52" s="40"/>
      <c r="CK52" s="499" t="str">
        <f t="shared" si="23"/>
        <v>P016500306628K</v>
      </c>
      <c r="CL52" s="500">
        <f t="shared" si="24"/>
        <v>0</v>
      </c>
    </row>
    <row r="53" spans="1:90" s="497" customFormat="1">
      <c r="A53" s="674" t="s">
        <v>1508</v>
      </c>
      <c r="B53" s="675" t="s">
        <v>1510</v>
      </c>
      <c r="C53" s="77" t="s">
        <v>408</v>
      </c>
      <c r="D53" s="676"/>
      <c r="E53" s="77"/>
      <c r="F53" s="677">
        <v>0</v>
      </c>
      <c r="G53" s="77"/>
      <c r="H53" s="77"/>
      <c r="I53" s="77"/>
      <c r="J53" s="77"/>
      <c r="K53" s="77"/>
      <c r="L53" s="44">
        <v>0</v>
      </c>
      <c r="M53" s="44">
        <v>0</v>
      </c>
      <c r="N53" s="44">
        <v>0</v>
      </c>
      <c r="O53" s="45"/>
      <c r="P53" s="77"/>
      <c r="Q53" s="25">
        <v>483415.45454545453</v>
      </c>
      <c r="R53" s="44">
        <v>4834.1545454545458</v>
      </c>
      <c r="S53" s="44">
        <v>29971.758181818179</v>
      </c>
      <c r="T53" s="44">
        <v>13535.632727272727</v>
      </c>
      <c r="U53" s="77"/>
      <c r="V53" s="77"/>
      <c r="W53" s="678">
        <v>3669.090909090909</v>
      </c>
      <c r="X53" s="77"/>
      <c r="Y53" s="77"/>
      <c r="Z53" s="25"/>
      <c r="AA53" s="77"/>
      <c r="AB53" s="44">
        <v>36.690909090909088</v>
      </c>
      <c r="AC53" s="44">
        <v>227.48363636363635</v>
      </c>
      <c r="AD53" s="44">
        <v>102.73454545454545</v>
      </c>
      <c r="AE53" s="77"/>
      <c r="AF53" s="77"/>
      <c r="AG53" s="678"/>
      <c r="AH53" s="77"/>
      <c r="AI53" s="77"/>
      <c r="AJ53" s="77"/>
      <c r="AK53" s="77"/>
      <c r="AL53" s="679">
        <v>0</v>
      </c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680">
        <v>1200</v>
      </c>
      <c r="BF53" s="680">
        <v>800</v>
      </c>
      <c r="BG53" s="680"/>
      <c r="BH53" s="77"/>
      <c r="BI53" s="77"/>
      <c r="BJ53" s="77"/>
      <c r="BK53" s="77"/>
      <c r="BL53" s="77"/>
      <c r="BM53" s="44"/>
      <c r="BN53" s="77"/>
      <c r="BO53" s="77"/>
      <c r="BP53" s="77"/>
      <c r="BQ53" s="678"/>
      <c r="BR53" s="679">
        <v>0</v>
      </c>
      <c r="BS53" s="77"/>
      <c r="BT53" s="77"/>
      <c r="BU53" s="77"/>
      <c r="BV53" s="77"/>
      <c r="BW53" s="77"/>
      <c r="BX53" s="77"/>
      <c r="BY53" s="77"/>
      <c r="BZ53" s="77"/>
      <c r="CA53" s="681"/>
      <c r="CB53" s="45">
        <f t="shared" si="19"/>
        <v>537793</v>
      </c>
      <c r="CC53" s="46">
        <f t="shared" si="20"/>
        <v>487084.54545454541</v>
      </c>
      <c r="CD53" s="47">
        <f t="shared" si="21"/>
        <v>487084.54545454541</v>
      </c>
      <c r="CE53" s="62"/>
      <c r="CF53" s="237" t="str">
        <f>VLOOKUP(A53,labo!B:C,2,FALSE)</f>
        <v>AUTRES SERVICES</v>
      </c>
      <c r="CG53" s="106">
        <f t="shared" si="22"/>
        <v>483415.45454545453</v>
      </c>
      <c r="CH53" s="40"/>
      <c r="CI53" s="51"/>
      <c r="CJ53" s="40"/>
      <c r="CK53" s="499" t="str">
        <f t="shared" si="23"/>
        <v>P076800054363L</v>
      </c>
      <c r="CL53" s="500">
        <f t="shared" si="24"/>
        <v>0</v>
      </c>
    </row>
    <row r="54" spans="1:90" s="497" customFormat="1">
      <c r="A54" s="674" t="s">
        <v>837</v>
      </c>
      <c r="B54" s="675" t="s">
        <v>838</v>
      </c>
      <c r="C54" s="77" t="s">
        <v>408</v>
      </c>
      <c r="D54" s="676"/>
      <c r="E54" s="77"/>
      <c r="F54" s="677">
        <v>0</v>
      </c>
      <c r="G54" s="77"/>
      <c r="H54" s="77"/>
      <c r="I54" s="77"/>
      <c r="J54" s="77"/>
      <c r="K54" s="77"/>
      <c r="L54" s="44">
        <v>0</v>
      </c>
      <c r="M54" s="44">
        <v>0</v>
      </c>
      <c r="N54" s="44">
        <v>0</v>
      </c>
      <c r="O54" s="45"/>
      <c r="P54" s="77"/>
      <c r="Q54" s="25">
        <v>67296.363636363632</v>
      </c>
      <c r="R54" s="44">
        <v>672.96363636363628</v>
      </c>
      <c r="S54" s="44">
        <v>4172.3745454545451</v>
      </c>
      <c r="T54" s="44">
        <v>1884.2981818181818</v>
      </c>
      <c r="U54" s="77"/>
      <c r="V54" s="77"/>
      <c r="W54" s="678"/>
      <c r="X54" s="77"/>
      <c r="Y54" s="77"/>
      <c r="Z54" s="77"/>
      <c r="AA54" s="77"/>
      <c r="AB54" s="44">
        <v>0</v>
      </c>
      <c r="AC54" s="44">
        <v>0</v>
      </c>
      <c r="AD54" s="44">
        <v>0</v>
      </c>
      <c r="AE54" s="77"/>
      <c r="AF54" s="77"/>
      <c r="AG54" s="678"/>
      <c r="AH54" s="77"/>
      <c r="AI54" s="77"/>
      <c r="AJ54" s="77"/>
      <c r="AK54" s="77"/>
      <c r="AL54" s="679">
        <v>0</v>
      </c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680"/>
      <c r="BF54" s="680"/>
      <c r="BG54" s="680"/>
      <c r="BH54" s="77"/>
      <c r="BI54" s="77"/>
      <c r="BJ54" s="77"/>
      <c r="BK54" s="77"/>
      <c r="BL54" s="77"/>
      <c r="BM54" s="44"/>
      <c r="BN54" s="77"/>
      <c r="BO54" s="77"/>
      <c r="BP54" s="77"/>
      <c r="BQ54" s="77"/>
      <c r="BR54" s="679">
        <v>0</v>
      </c>
      <c r="BS54" s="77"/>
      <c r="BT54" s="77"/>
      <c r="BU54" s="77"/>
      <c r="BV54" s="77"/>
      <c r="BW54" s="77"/>
      <c r="BX54" s="77"/>
      <c r="BY54" s="77"/>
      <c r="BZ54" s="77"/>
      <c r="CA54" s="681"/>
      <c r="CB54" s="45">
        <f t="shared" si="19"/>
        <v>74026</v>
      </c>
      <c r="CC54" s="46">
        <f t="shared" si="20"/>
        <v>67296.363636363632</v>
      </c>
      <c r="CD54" s="47">
        <f t="shared" si="21"/>
        <v>67296.363636363632</v>
      </c>
      <c r="CE54" s="62"/>
      <c r="CF54" s="237" t="str">
        <f>VLOOKUP(A54,labo!B:C,2,FALSE)</f>
        <v>AUTRES SERVICES</v>
      </c>
      <c r="CG54" s="106">
        <f t="shared" si="22"/>
        <v>67296.363636363632</v>
      </c>
      <c r="CH54" s="40"/>
      <c r="CI54" s="51"/>
      <c r="CJ54" s="40"/>
      <c r="CK54" s="499" t="str">
        <f t="shared" si="23"/>
        <v>M031812696809R</v>
      </c>
      <c r="CL54" s="500">
        <f t="shared" si="24"/>
        <v>0</v>
      </c>
    </row>
    <row r="55" spans="1:90" s="497" customFormat="1">
      <c r="A55" s="674" t="s">
        <v>881</v>
      </c>
      <c r="B55" s="675" t="s">
        <v>882</v>
      </c>
      <c r="C55" s="77" t="s">
        <v>408</v>
      </c>
      <c r="D55" s="676"/>
      <c r="E55" s="77"/>
      <c r="F55" s="677">
        <v>0</v>
      </c>
      <c r="G55" s="77"/>
      <c r="H55" s="77"/>
      <c r="I55" s="77"/>
      <c r="J55" s="77"/>
      <c r="K55" s="77"/>
      <c r="L55" s="44">
        <v>0</v>
      </c>
      <c r="M55" s="44">
        <v>0</v>
      </c>
      <c r="N55" s="44">
        <v>0</v>
      </c>
      <c r="O55" s="45"/>
      <c r="P55" s="77"/>
      <c r="Q55" s="25">
        <v>23535.454545454544</v>
      </c>
      <c r="R55" s="44">
        <v>235.35454545454544</v>
      </c>
      <c r="S55" s="44">
        <v>1459.1981818181816</v>
      </c>
      <c r="T55" s="44">
        <v>658.99272727272728</v>
      </c>
      <c r="U55" s="77"/>
      <c r="V55" s="77"/>
      <c r="W55" s="77"/>
      <c r="X55" s="77"/>
      <c r="Y55" s="77"/>
      <c r="Z55" s="77"/>
      <c r="AA55" s="77"/>
      <c r="AB55" s="44">
        <v>0</v>
      </c>
      <c r="AC55" s="44">
        <v>0</v>
      </c>
      <c r="AD55" s="44">
        <v>0</v>
      </c>
      <c r="AE55" s="77"/>
      <c r="AF55" s="77"/>
      <c r="AG55" s="678"/>
      <c r="AH55" s="77"/>
      <c r="AI55" s="77">
        <v>4000</v>
      </c>
      <c r="AJ55" s="77"/>
      <c r="AK55" s="77"/>
      <c r="AL55" s="679">
        <v>0</v>
      </c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678"/>
      <c r="BE55" s="680">
        <v>1500</v>
      </c>
      <c r="BF55" s="680">
        <v>600</v>
      </c>
      <c r="BG55" s="680">
        <v>750</v>
      </c>
      <c r="BH55" s="678"/>
      <c r="BI55" s="678"/>
      <c r="BJ55" s="678"/>
      <c r="BK55" s="678"/>
      <c r="BL55" s="678"/>
      <c r="BM55" s="678"/>
      <c r="BN55" s="678"/>
      <c r="BO55" s="678"/>
      <c r="BP55" s="678"/>
      <c r="BQ55" s="678">
        <v>180</v>
      </c>
      <c r="BR55" s="679">
        <v>20</v>
      </c>
      <c r="BS55" s="678"/>
      <c r="BT55" s="678"/>
      <c r="BU55" s="678"/>
      <c r="BV55" s="678"/>
      <c r="BW55" s="678"/>
      <c r="BX55" s="678"/>
      <c r="BY55" s="678"/>
      <c r="BZ55" s="678"/>
      <c r="CA55" s="682"/>
      <c r="CB55" s="45">
        <f t="shared" si="19"/>
        <v>32939</v>
      </c>
      <c r="CC55" s="46">
        <f t="shared" si="20"/>
        <v>27535.454545454544</v>
      </c>
      <c r="CD55" s="47">
        <f t="shared" si="21"/>
        <v>27535.454545454544</v>
      </c>
      <c r="CE55" s="62"/>
      <c r="CF55" s="237" t="str">
        <f>VLOOKUP(A55,labo!B:C,2,FALSE)</f>
        <v>PROFESSIONS LIBERALES</v>
      </c>
      <c r="CG55" s="106">
        <f t="shared" si="22"/>
        <v>23535.454545454544</v>
      </c>
      <c r="CH55" s="40"/>
      <c r="CI55" s="51"/>
      <c r="CJ55" s="40"/>
      <c r="CK55" s="499" t="str">
        <f t="shared" si="23"/>
        <v>P056312315344F</v>
      </c>
      <c r="CL55" s="500">
        <f t="shared" si="24"/>
        <v>0</v>
      </c>
    </row>
    <row r="56" spans="1:90" s="497" customFormat="1">
      <c r="A56" s="325" t="s">
        <v>3071</v>
      </c>
      <c r="B56" s="41" t="s">
        <v>3060</v>
      </c>
      <c r="C56" s="660" t="s">
        <v>1438</v>
      </c>
      <c r="D56" s="77"/>
      <c r="E56" s="77"/>
      <c r="F56" s="43"/>
      <c r="G56" s="43"/>
      <c r="H56" s="43"/>
      <c r="I56" s="43"/>
      <c r="J56" s="44">
        <f>212778*2</f>
        <v>425556</v>
      </c>
      <c r="K56" s="44"/>
      <c r="L56" s="45">
        <f t="shared" si="0"/>
        <v>4255.5600000000004</v>
      </c>
      <c r="M56" s="45">
        <f t="shared" si="1"/>
        <v>26384.472000000002</v>
      </c>
      <c r="N56" s="45">
        <f t="shared" si="2"/>
        <v>11915.568000000001</v>
      </c>
      <c r="O56" s="45"/>
      <c r="P56" s="45"/>
      <c r="Q56" s="45"/>
      <c r="R56" s="45">
        <f t="shared" si="3"/>
        <v>0</v>
      </c>
      <c r="S56" s="45">
        <f t="shared" si="4"/>
        <v>0</v>
      </c>
      <c r="T56" s="45">
        <f t="shared" si="5"/>
        <v>0</v>
      </c>
      <c r="U56" s="45"/>
      <c r="V56" s="45">
        <f>541750/1.1</f>
        <v>492499.99999999994</v>
      </c>
      <c r="W56" s="44"/>
      <c r="X56" s="45"/>
      <c r="Y56" s="45"/>
      <c r="Z56" s="45"/>
      <c r="AA56" s="45"/>
      <c r="AB56" s="45">
        <f t="shared" si="6"/>
        <v>4924.9999999999991</v>
      </c>
      <c r="AC56" s="45">
        <f t="shared" si="7"/>
        <v>30534.999999999996</v>
      </c>
      <c r="AD56" s="45">
        <f t="shared" si="8"/>
        <v>13789.999999999998</v>
      </c>
      <c r="AE56" s="44"/>
      <c r="AF56" s="44"/>
      <c r="AG56" s="44"/>
      <c r="AH56" s="44"/>
      <c r="AI56" s="44"/>
      <c r="AJ56" s="44"/>
      <c r="AK56" s="44"/>
      <c r="AL56" s="44">
        <f t="shared" si="9"/>
        <v>0</v>
      </c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25">
        <f>57950*2</f>
        <v>115900</v>
      </c>
      <c r="BF56" s="44"/>
      <c r="BG56" s="25">
        <f>2*70900</f>
        <v>141800</v>
      </c>
      <c r="BH56" s="44"/>
      <c r="BI56" s="44"/>
      <c r="BJ56" s="44"/>
      <c r="BK56" s="44"/>
      <c r="BL56" s="44"/>
      <c r="BM56" s="44"/>
      <c r="BN56" s="44"/>
      <c r="BO56" s="44"/>
      <c r="BP56" s="44"/>
      <c r="BQ56" s="25">
        <f>2*31500*0.9</f>
        <v>56700</v>
      </c>
      <c r="BR56" s="44">
        <f t="shared" si="10"/>
        <v>6300</v>
      </c>
      <c r="BS56" s="312">
        <f t="shared" si="11"/>
        <v>0</v>
      </c>
      <c r="BT56" s="312">
        <f t="shared" si="12"/>
        <v>0</v>
      </c>
      <c r="BU56" s="312">
        <f t="shared" si="13"/>
        <v>0</v>
      </c>
      <c r="BV56" s="312">
        <f t="shared" si="14"/>
        <v>0</v>
      </c>
      <c r="BW56" s="313">
        <f t="shared" si="15"/>
        <v>0</v>
      </c>
      <c r="BX56" s="313">
        <f t="shared" si="16"/>
        <v>0</v>
      </c>
      <c r="BY56" s="313">
        <f t="shared" si="17"/>
        <v>0</v>
      </c>
      <c r="BZ56" s="313">
        <f t="shared" si="18"/>
        <v>0</v>
      </c>
      <c r="CA56" s="44"/>
      <c r="CB56" s="45">
        <f t="shared" si="19"/>
        <v>1330561.6000000001</v>
      </c>
      <c r="CC56" s="46">
        <f t="shared" si="20"/>
        <v>0</v>
      </c>
      <c r="CD56" s="47">
        <f t="shared" si="21"/>
        <v>918056</v>
      </c>
      <c r="CE56" s="62"/>
      <c r="CF56" s="237" t="s">
        <v>1008</v>
      </c>
      <c r="CG56" s="106">
        <f t="shared" si="22"/>
        <v>0</v>
      </c>
      <c r="CH56" s="40"/>
      <c r="CI56" s="51"/>
      <c r="CJ56" s="40"/>
      <c r="CK56" s="499" t="str">
        <f t="shared" si="23"/>
        <v>reliquataire</v>
      </c>
      <c r="CL56" s="500">
        <f t="shared" si="24"/>
        <v>0</v>
      </c>
    </row>
    <row r="57" spans="1:90" s="497" customFormat="1">
      <c r="A57" s="325" t="s">
        <v>340</v>
      </c>
      <c r="B57" s="41" t="str">
        <f>VLOOKUP(A57,'vs mars'!B:D,3,FALSE)</f>
        <v>M040712410295T</v>
      </c>
      <c r="C57" s="660" t="s">
        <v>1438</v>
      </c>
      <c r="D57" s="77"/>
      <c r="E57" s="77"/>
      <c r="F57" s="43"/>
      <c r="G57" s="43"/>
      <c r="H57" s="43"/>
      <c r="I57" s="43"/>
      <c r="J57" s="44">
        <f>212778</f>
        <v>212778</v>
      </c>
      <c r="K57" s="44"/>
      <c r="L57" s="45">
        <f t="shared" ref="L57" si="83">(J57+K57)*0.01</f>
        <v>2127.7800000000002</v>
      </c>
      <c r="M57" s="45">
        <f t="shared" ref="M57" si="84">(J57+K57)*0.062</f>
        <v>13192.236000000001</v>
      </c>
      <c r="N57" s="45">
        <f t="shared" ref="N57" si="85">(J57+K57)*0.028</f>
        <v>5957.7840000000006</v>
      </c>
      <c r="O57" s="45"/>
      <c r="P57" s="45"/>
      <c r="Q57" s="45"/>
      <c r="R57" s="45">
        <f t="shared" ref="R57" si="86">(Q57+O57+P57)*0.01</f>
        <v>0</v>
      </c>
      <c r="S57" s="45">
        <f t="shared" ref="S57" si="87">(O57+Q57+P57)*0.062</f>
        <v>0</v>
      </c>
      <c r="T57" s="45">
        <f t="shared" ref="T57" si="88">(O57+P57+Q57)*0.028</f>
        <v>0</v>
      </c>
      <c r="U57" s="45"/>
      <c r="V57" s="45"/>
      <c r="W57" s="45"/>
      <c r="X57" s="45"/>
      <c r="Y57" s="45"/>
      <c r="Z57" s="45"/>
      <c r="AA57" s="45"/>
      <c r="AB57" s="45">
        <f t="shared" ref="AB57" si="89">(U57+V57+W57+X57+Y57+Z57)*0.01</f>
        <v>0</v>
      </c>
      <c r="AC57" s="45">
        <f t="shared" ref="AC57" si="90">(U57+V57+W57+X57+Y57+Z57)*0.062</f>
        <v>0</v>
      </c>
      <c r="AD57" s="45">
        <f t="shared" ref="AD57" si="91">(U57+V57+W57+X57+Y57+Z57)*0.028</f>
        <v>0</v>
      </c>
      <c r="AE57" s="44"/>
      <c r="AF57" s="44"/>
      <c r="AG57" s="44"/>
      <c r="AH57" s="44"/>
      <c r="AI57" s="44"/>
      <c r="AJ57" s="44"/>
      <c r="AK57" s="44"/>
      <c r="AL57" s="44">
        <f t="shared" ref="AL57" si="92">+AK57</f>
        <v>0</v>
      </c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25">
        <f>57950</f>
        <v>57950</v>
      </c>
      <c r="BF57" s="44"/>
      <c r="BG57" s="25">
        <f>70900</f>
        <v>70900</v>
      </c>
      <c r="BH57" s="44"/>
      <c r="BI57" s="44"/>
      <c r="BJ57" s="44"/>
      <c r="BK57" s="44"/>
      <c r="BL57" s="44"/>
      <c r="BM57" s="44"/>
      <c r="BN57" s="44"/>
      <c r="BO57" s="44"/>
      <c r="BP57" s="44"/>
      <c r="BQ57" s="25">
        <f>31500*0.9</f>
        <v>28350</v>
      </c>
      <c r="BR57" s="44">
        <f t="shared" ref="BR57" si="93">BQ57/9</f>
        <v>3150</v>
      </c>
      <c r="BS57" s="312">
        <f t="shared" ref="BS57" si="94">CH57*0.1</f>
        <v>0</v>
      </c>
      <c r="BT57" s="312">
        <f t="shared" ref="BT57" si="95">CH57*0.18</f>
        <v>0</v>
      </c>
      <c r="BU57" s="312">
        <f t="shared" ref="BU57" si="96">CH57*0.18</f>
        <v>0</v>
      </c>
      <c r="BV57" s="312">
        <f t="shared" ref="BV57" si="97">CH57*0.54</f>
        <v>0</v>
      </c>
      <c r="BW57" s="313">
        <f t="shared" ref="BW57" si="98">CI57*0.1</f>
        <v>0</v>
      </c>
      <c r="BX57" s="313">
        <f t="shared" ref="BX57" si="99">CI57*0.18</f>
        <v>0</v>
      </c>
      <c r="BY57" s="313">
        <f t="shared" ref="BY57" si="100">CI57*0.18</f>
        <v>0</v>
      </c>
      <c r="BZ57" s="313">
        <f t="shared" ref="BZ57" si="101">CI57*0.54</f>
        <v>0</v>
      </c>
      <c r="CA57" s="44"/>
      <c r="CB57" s="45">
        <f t="shared" ref="CB57" si="102">SUM(E57:CA57)</f>
        <v>394405.80000000005</v>
      </c>
      <c r="CC57" s="46">
        <f t="shared" ref="CC57" si="103">E57+H57+I57+K57+P57+Q57+W57+X57+Y57+Z57+AA57+AE57+AG57+AH57+AI57+AJ57+AN57+AO57+AS57+AT57+AU57+AV57+AW57+AY57+BB57</f>
        <v>0</v>
      </c>
      <c r="CD57" s="47">
        <f t="shared" ref="CD57" si="104">E57+H57+I57+J57+K57+O57+P57+Q57+U57+V57+W57+X57+Y57+Z57+AA57+AE57+AF57+AG57+AH57+AI57+AJ57+AN57+AO57+AT57+AU57+AV57+AW57+AY57+BA57+BB57</f>
        <v>212778</v>
      </c>
      <c r="CE57" s="62"/>
      <c r="CF57" s="237" t="s">
        <v>1008</v>
      </c>
      <c r="CG57" s="106">
        <f t="shared" ref="CG57" si="105">K57+Q57+X57+Y57+Z57+AF57</f>
        <v>0</v>
      </c>
      <c r="CH57" s="40"/>
      <c r="CI57" s="51"/>
      <c r="CJ57" s="40"/>
      <c r="CK57" s="499" t="str">
        <f t="shared" ref="CK57" si="106">+B57</f>
        <v>M040712410295T</v>
      </c>
      <c r="CL57" s="500">
        <f t="shared" ref="CL57" si="107">CE57</f>
        <v>0</v>
      </c>
    </row>
    <row r="58" spans="1:90" s="497" customFormat="1">
      <c r="A58" s="361" t="s">
        <v>3073</v>
      </c>
      <c r="B58" s="41" t="e">
        <f>VLOOKUP(A58,'vs mars'!B:D,3,FALSE)</f>
        <v>#N/A</v>
      </c>
      <c r="C58" s="660" t="s">
        <v>1436</v>
      </c>
      <c r="D58" s="77"/>
      <c r="E58" s="77"/>
      <c r="F58" s="43"/>
      <c r="G58" s="43"/>
      <c r="H58" s="43"/>
      <c r="I58" s="43"/>
      <c r="J58" s="44"/>
      <c r="K58" s="44"/>
      <c r="L58" s="45">
        <f t="shared" si="0"/>
        <v>0</v>
      </c>
      <c r="M58" s="45">
        <f t="shared" si="1"/>
        <v>0</v>
      </c>
      <c r="N58" s="45">
        <f t="shared" si="2"/>
        <v>0</v>
      </c>
      <c r="O58" s="45"/>
      <c r="P58" s="45"/>
      <c r="Q58" s="45"/>
      <c r="R58" s="45">
        <f t="shared" si="3"/>
        <v>0</v>
      </c>
      <c r="S58" s="45">
        <f t="shared" si="4"/>
        <v>0</v>
      </c>
      <c r="T58" s="45">
        <f t="shared" si="5"/>
        <v>0</v>
      </c>
      <c r="U58" s="45"/>
      <c r="V58" s="45"/>
      <c r="W58" s="45"/>
      <c r="X58" s="45"/>
      <c r="Y58" s="45"/>
      <c r="Z58" s="45"/>
      <c r="AA58" s="45"/>
      <c r="AB58" s="45">
        <f t="shared" si="6"/>
        <v>0</v>
      </c>
      <c r="AC58" s="45">
        <f t="shared" si="7"/>
        <v>0</v>
      </c>
      <c r="AD58" s="45">
        <f t="shared" si="8"/>
        <v>0</v>
      </c>
      <c r="AE58" s="44"/>
      <c r="AF58" s="44"/>
      <c r="AG58" s="44"/>
      <c r="AH58" s="44">
        <v>5000000</v>
      </c>
      <c r="AI58" s="44"/>
      <c r="AJ58" s="44"/>
      <c r="AK58" s="44"/>
      <c r="AL58" s="44">
        <f t="shared" si="9"/>
        <v>0</v>
      </c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>
        <f t="shared" si="10"/>
        <v>0</v>
      </c>
      <c r="BS58" s="312">
        <f t="shared" si="11"/>
        <v>0</v>
      </c>
      <c r="BT58" s="312">
        <f t="shared" si="12"/>
        <v>0</v>
      </c>
      <c r="BU58" s="312">
        <f t="shared" si="13"/>
        <v>0</v>
      </c>
      <c r="BV58" s="312">
        <f t="shared" si="14"/>
        <v>0</v>
      </c>
      <c r="BW58" s="313">
        <f t="shared" si="15"/>
        <v>0</v>
      </c>
      <c r="BX58" s="313">
        <f t="shared" si="16"/>
        <v>0</v>
      </c>
      <c r="BY58" s="313">
        <f t="shared" si="17"/>
        <v>0</v>
      </c>
      <c r="BZ58" s="313">
        <f t="shared" si="18"/>
        <v>0</v>
      </c>
      <c r="CA58" s="44"/>
      <c r="CB58" s="45">
        <f t="shared" si="19"/>
        <v>5000000</v>
      </c>
      <c r="CC58" s="46">
        <f t="shared" si="20"/>
        <v>5000000</v>
      </c>
      <c r="CD58" s="47">
        <f t="shared" si="21"/>
        <v>5000000</v>
      </c>
      <c r="CE58" s="62"/>
      <c r="CF58" s="237" t="s">
        <v>3031</v>
      </c>
      <c r="CG58" s="106">
        <f t="shared" si="22"/>
        <v>0</v>
      </c>
      <c r="CH58" s="40"/>
      <c r="CI58" s="51"/>
      <c r="CJ58" s="40"/>
      <c r="CK58" s="499" t="e">
        <f t="shared" si="23"/>
        <v>#N/A</v>
      </c>
      <c r="CL58" s="500">
        <f t="shared" si="24"/>
        <v>0</v>
      </c>
    </row>
    <row r="59" spans="1:90" s="497" customFormat="1">
      <c r="A59" s="361" t="s">
        <v>3072</v>
      </c>
      <c r="B59" s="41" t="e">
        <f>VLOOKUP(A59,'vs mars'!B:D,3,FALSE)</f>
        <v>#N/A</v>
      </c>
      <c r="C59" s="660" t="s">
        <v>1436</v>
      </c>
      <c r="D59" s="77"/>
      <c r="E59" s="77"/>
      <c r="F59" s="43"/>
      <c r="G59" s="43"/>
      <c r="H59" s="43"/>
      <c r="I59" s="43"/>
      <c r="J59" s="44"/>
      <c r="K59" s="44"/>
      <c r="L59" s="45">
        <f t="shared" si="0"/>
        <v>0</v>
      </c>
      <c r="M59" s="45">
        <f t="shared" si="1"/>
        <v>0</v>
      </c>
      <c r="N59" s="45">
        <f t="shared" si="2"/>
        <v>0</v>
      </c>
      <c r="O59" s="45"/>
      <c r="P59" s="45"/>
      <c r="Q59" s="45"/>
      <c r="R59" s="45">
        <f t="shared" si="3"/>
        <v>0</v>
      </c>
      <c r="S59" s="45">
        <f t="shared" si="4"/>
        <v>0</v>
      </c>
      <c r="T59" s="45">
        <f t="shared" si="5"/>
        <v>0</v>
      </c>
      <c r="U59" s="45"/>
      <c r="V59" s="45"/>
      <c r="W59" s="45"/>
      <c r="X59" s="45"/>
      <c r="Y59" s="45"/>
      <c r="Z59" s="45"/>
      <c r="AA59" s="45"/>
      <c r="AB59" s="45">
        <f t="shared" si="6"/>
        <v>0</v>
      </c>
      <c r="AC59" s="45">
        <f t="shared" si="7"/>
        <v>0</v>
      </c>
      <c r="AD59" s="45">
        <f t="shared" si="8"/>
        <v>0</v>
      </c>
      <c r="AE59" s="44"/>
      <c r="AF59" s="44"/>
      <c r="AG59" s="44"/>
      <c r="AH59" s="44">
        <v>500000</v>
      </c>
      <c r="AI59" s="44">
        <v>50000</v>
      </c>
      <c r="AJ59" s="44"/>
      <c r="AK59" s="44"/>
      <c r="AL59" s="44">
        <f t="shared" si="9"/>
        <v>0</v>
      </c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>
        <f t="shared" si="10"/>
        <v>0</v>
      </c>
      <c r="BS59" s="312">
        <f t="shared" si="11"/>
        <v>0</v>
      </c>
      <c r="BT59" s="312">
        <f t="shared" si="12"/>
        <v>0</v>
      </c>
      <c r="BU59" s="312">
        <f t="shared" si="13"/>
        <v>0</v>
      </c>
      <c r="BV59" s="312">
        <f t="shared" si="14"/>
        <v>0</v>
      </c>
      <c r="BW59" s="313">
        <f t="shared" si="15"/>
        <v>0</v>
      </c>
      <c r="BX59" s="313">
        <f t="shared" si="16"/>
        <v>0</v>
      </c>
      <c r="BY59" s="313">
        <f t="shared" si="17"/>
        <v>0</v>
      </c>
      <c r="BZ59" s="313">
        <f t="shared" si="18"/>
        <v>0</v>
      </c>
      <c r="CA59" s="44"/>
      <c r="CB59" s="45">
        <f t="shared" si="19"/>
        <v>550000</v>
      </c>
      <c r="CC59" s="46">
        <f t="shared" si="20"/>
        <v>550000</v>
      </c>
      <c r="CD59" s="47">
        <f t="shared" si="21"/>
        <v>550000</v>
      </c>
      <c r="CE59" s="62"/>
      <c r="CF59" s="237" t="s">
        <v>3031</v>
      </c>
      <c r="CG59" s="106">
        <f t="shared" si="22"/>
        <v>0</v>
      </c>
      <c r="CH59" s="40"/>
      <c r="CI59" s="51"/>
      <c r="CJ59" s="40"/>
      <c r="CK59" s="499" t="e">
        <f t="shared" si="23"/>
        <v>#N/A</v>
      </c>
      <c r="CL59" s="500">
        <f t="shared" si="24"/>
        <v>0</v>
      </c>
    </row>
    <row r="60" spans="1:90" s="497" customFormat="1">
      <c r="A60" s="77" t="s">
        <v>3074</v>
      </c>
      <c r="B60" s="41" t="s">
        <v>3035</v>
      </c>
      <c r="C60" s="660" t="s">
        <v>1437</v>
      </c>
      <c r="D60" s="77"/>
      <c r="E60" s="77"/>
      <c r="F60" s="43"/>
      <c r="G60" s="43"/>
      <c r="H60" s="43"/>
      <c r="I60" s="43"/>
      <c r="J60" s="44">
        <v>907910</v>
      </c>
      <c r="K60" s="44"/>
      <c r="L60" s="45">
        <f t="shared" si="0"/>
        <v>9079.1</v>
      </c>
      <c r="M60" s="45">
        <f t="shared" si="1"/>
        <v>56290.42</v>
      </c>
      <c r="N60" s="45">
        <f t="shared" si="2"/>
        <v>25421.48</v>
      </c>
      <c r="O60" s="45"/>
      <c r="P60" s="45"/>
      <c r="Q60" s="45"/>
      <c r="R60" s="45">
        <f t="shared" si="3"/>
        <v>0</v>
      </c>
      <c r="S60" s="45">
        <f t="shared" si="4"/>
        <v>0</v>
      </c>
      <c r="T60" s="45">
        <f t="shared" si="5"/>
        <v>0</v>
      </c>
      <c r="U60" s="45"/>
      <c r="V60" s="45"/>
      <c r="W60" s="45"/>
      <c r="X60" s="45"/>
      <c r="Y60" s="45"/>
      <c r="Z60" s="45"/>
      <c r="AA60" s="45"/>
      <c r="AB60" s="45">
        <f t="shared" si="6"/>
        <v>0</v>
      </c>
      <c r="AC60" s="45">
        <f t="shared" si="7"/>
        <v>0</v>
      </c>
      <c r="AD60" s="45">
        <f t="shared" si="8"/>
        <v>0</v>
      </c>
      <c r="AE60" s="44"/>
      <c r="AF60" s="44"/>
      <c r="AG60" s="44"/>
      <c r="AH60" s="44"/>
      <c r="AI60" s="44"/>
      <c r="AJ60" s="44"/>
      <c r="AK60" s="44"/>
      <c r="AL60" s="44">
        <f t="shared" si="9"/>
        <v>0</v>
      </c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>
        <f t="shared" si="10"/>
        <v>0</v>
      </c>
      <c r="BS60" s="312">
        <f t="shared" si="11"/>
        <v>0</v>
      </c>
      <c r="BT60" s="312">
        <f t="shared" si="12"/>
        <v>0</v>
      </c>
      <c r="BU60" s="312">
        <f t="shared" si="13"/>
        <v>0</v>
      </c>
      <c r="BV60" s="312">
        <f t="shared" si="14"/>
        <v>0</v>
      </c>
      <c r="BW60" s="313">
        <f t="shared" si="15"/>
        <v>0</v>
      </c>
      <c r="BX60" s="313">
        <f t="shared" si="16"/>
        <v>0</v>
      </c>
      <c r="BY60" s="313">
        <f t="shared" si="17"/>
        <v>0</v>
      </c>
      <c r="BZ60" s="313">
        <f t="shared" si="18"/>
        <v>0</v>
      </c>
      <c r="CA60" s="44"/>
      <c r="CB60" s="45">
        <f t="shared" si="19"/>
        <v>998701</v>
      </c>
      <c r="CC60" s="46">
        <f t="shared" si="20"/>
        <v>0</v>
      </c>
      <c r="CD60" s="47">
        <f t="shared" si="21"/>
        <v>907910</v>
      </c>
      <c r="CE60" s="62"/>
      <c r="CF60" s="237" t="s">
        <v>1597</v>
      </c>
      <c r="CG60" s="106">
        <f t="shared" si="22"/>
        <v>0</v>
      </c>
      <c r="CH60" s="40"/>
      <c r="CI60" s="51"/>
      <c r="CJ60" s="40"/>
      <c r="CK60" s="499" t="str">
        <f t="shared" si="23"/>
        <v>AAG/csp</v>
      </c>
      <c r="CL60" s="500">
        <f t="shared" si="24"/>
        <v>0</v>
      </c>
    </row>
    <row r="61" spans="1:90" s="497" customFormat="1">
      <c r="A61" s="478" t="s">
        <v>299</v>
      </c>
      <c r="B61" s="479" t="s">
        <v>867</v>
      </c>
      <c r="C61" s="479" t="s">
        <v>1437</v>
      </c>
      <c r="D61" s="683"/>
      <c r="E61" s="683">
        <v>89200</v>
      </c>
      <c r="F61" s="684"/>
      <c r="G61" s="685">
        <f t="shared" ref="G61:G62" si="108">+E61/4</f>
        <v>22300</v>
      </c>
      <c r="H61" s="684"/>
      <c r="I61" s="684"/>
      <c r="J61" s="686">
        <v>953985</v>
      </c>
      <c r="K61" s="686"/>
      <c r="L61" s="685">
        <f t="shared" si="0"/>
        <v>9539.85</v>
      </c>
      <c r="M61" s="685">
        <f t="shared" si="1"/>
        <v>59147.07</v>
      </c>
      <c r="N61" s="685">
        <f t="shared" si="2"/>
        <v>26711.58</v>
      </c>
      <c r="O61" s="685">
        <v>109026</v>
      </c>
      <c r="P61" s="685"/>
      <c r="Q61" s="25">
        <f>988724/1.1</f>
        <v>898839.99999999988</v>
      </c>
      <c r="R61" s="685">
        <f t="shared" ref="R61:R62" si="109">(Q61+O61)*0.01</f>
        <v>10078.66</v>
      </c>
      <c r="S61" s="685">
        <f t="shared" ref="S61:S62" si="110">(O61+Q61)*0.062</f>
        <v>62487.691999999995</v>
      </c>
      <c r="T61" s="685">
        <f t="shared" si="5"/>
        <v>28220.247999999996</v>
      </c>
      <c r="U61" s="685"/>
      <c r="V61" s="685"/>
      <c r="W61" s="685">
        <v>6027</v>
      </c>
      <c r="X61" s="685"/>
      <c r="Y61" s="685"/>
      <c r="Z61" s="685"/>
      <c r="AA61" s="685"/>
      <c r="AB61" s="685">
        <f t="shared" si="6"/>
        <v>60.27</v>
      </c>
      <c r="AC61" s="685">
        <f t="shared" si="7"/>
        <v>373.67399999999998</v>
      </c>
      <c r="AD61" s="685">
        <f t="shared" si="8"/>
        <v>168.756</v>
      </c>
      <c r="AE61" s="686">
        <v>705838</v>
      </c>
      <c r="AF61" s="686"/>
      <c r="AG61" s="686">
        <v>93750</v>
      </c>
      <c r="AH61" s="686"/>
      <c r="AI61" s="686"/>
      <c r="AJ61" s="686"/>
      <c r="AK61" s="686"/>
      <c r="AL61" s="686">
        <f t="shared" si="9"/>
        <v>0</v>
      </c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>
        <v>15324</v>
      </c>
      <c r="BF61" s="686">
        <v>8349</v>
      </c>
      <c r="BG61" s="686">
        <v>3450</v>
      </c>
      <c r="BH61" s="686"/>
      <c r="BI61" s="686"/>
      <c r="BJ61" s="686"/>
      <c r="BK61" s="686"/>
      <c r="BL61" s="686"/>
      <c r="BM61" s="686"/>
      <c r="BN61" s="686"/>
      <c r="BO61" s="686"/>
      <c r="BP61" s="686"/>
      <c r="BQ61" s="686">
        <v>1350</v>
      </c>
      <c r="BR61" s="686">
        <f t="shared" si="10"/>
        <v>150</v>
      </c>
      <c r="BS61" s="686"/>
      <c r="BT61" s="686"/>
      <c r="BU61" s="686"/>
      <c r="BV61" s="686"/>
      <c r="BW61" s="686"/>
      <c r="BX61" s="686"/>
      <c r="BY61" s="686"/>
      <c r="BZ61" s="686"/>
      <c r="CA61" s="686"/>
      <c r="CB61" s="45">
        <f t="shared" si="19"/>
        <v>3104376.8000000003</v>
      </c>
      <c r="CC61" s="46">
        <f t="shared" si="20"/>
        <v>1793655</v>
      </c>
      <c r="CD61" s="47">
        <f t="shared" si="21"/>
        <v>2856666</v>
      </c>
      <c r="CE61" s="62"/>
      <c r="CF61" s="237" t="str">
        <f>VLOOKUP(A61,labo!B:C,2,FALSE)</f>
        <v>vente bh</v>
      </c>
      <c r="CG61" s="106">
        <f t="shared" si="22"/>
        <v>898839.99999999988</v>
      </c>
      <c r="CH61" s="40"/>
      <c r="CI61" s="51"/>
      <c r="CJ61" s="40"/>
      <c r="CK61" s="499" t="str">
        <f t="shared" si="23"/>
        <v>M110300017285C</v>
      </c>
      <c r="CL61" s="500">
        <f t="shared" si="24"/>
        <v>0</v>
      </c>
    </row>
    <row r="62" spans="1:90" s="497" customFormat="1">
      <c r="A62" s="478" t="s">
        <v>1818</v>
      </c>
      <c r="B62" s="479" t="s">
        <v>1819</v>
      </c>
      <c r="C62" s="479" t="s">
        <v>1437</v>
      </c>
      <c r="D62" s="683"/>
      <c r="E62" s="683"/>
      <c r="F62" s="684"/>
      <c r="G62" s="685">
        <f t="shared" si="108"/>
        <v>0</v>
      </c>
      <c r="H62" s="684"/>
      <c r="I62" s="684"/>
      <c r="J62" s="686"/>
      <c r="K62" s="686"/>
      <c r="L62" s="685">
        <f t="shared" si="0"/>
        <v>0</v>
      </c>
      <c r="M62" s="685">
        <f t="shared" si="1"/>
        <v>0</v>
      </c>
      <c r="N62" s="685">
        <f t="shared" si="2"/>
        <v>0</v>
      </c>
      <c r="O62" s="685">
        <v>53237</v>
      </c>
      <c r="P62" s="685"/>
      <c r="Q62" s="25">
        <f>934368/1.1</f>
        <v>849425.45454545447</v>
      </c>
      <c r="R62" s="685">
        <f t="shared" si="109"/>
        <v>9026.6245454545442</v>
      </c>
      <c r="S62" s="685">
        <f t="shared" si="110"/>
        <v>55965.072181818177</v>
      </c>
      <c r="T62" s="685">
        <f t="shared" si="5"/>
        <v>25274.548727272726</v>
      </c>
      <c r="U62" s="685"/>
      <c r="V62" s="685">
        <v>3000</v>
      </c>
      <c r="W62" s="685">
        <v>3181</v>
      </c>
      <c r="X62" s="685"/>
      <c r="Y62" s="685"/>
      <c r="Z62" s="685"/>
      <c r="AA62" s="685"/>
      <c r="AB62" s="685">
        <f t="shared" si="6"/>
        <v>61.81</v>
      </c>
      <c r="AC62" s="685">
        <f t="shared" si="7"/>
        <v>383.22199999999998</v>
      </c>
      <c r="AD62" s="685">
        <f t="shared" si="8"/>
        <v>173.06800000000001</v>
      </c>
      <c r="AE62" s="686">
        <v>503602</v>
      </c>
      <c r="AF62" s="686"/>
      <c r="AG62" s="686">
        <v>9000</v>
      </c>
      <c r="AH62" s="686"/>
      <c r="AI62" s="686"/>
      <c r="AJ62" s="686"/>
      <c r="AK62" s="686"/>
      <c r="AL62" s="686">
        <f t="shared" si="9"/>
        <v>0</v>
      </c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>
        <v>14650</v>
      </c>
      <c r="BF62" s="686">
        <v>8600</v>
      </c>
      <c r="BG62" s="686">
        <v>2700</v>
      </c>
      <c r="BH62" s="686"/>
      <c r="BI62" s="686"/>
      <c r="BJ62" s="686"/>
      <c r="BK62" s="686"/>
      <c r="BL62" s="686"/>
      <c r="BM62" s="686"/>
      <c r="BN62" s="686"/>
      <c r="BO62" s="686"/>
      <c r="BP62" s="686"/>
      <c r="BQ62" s="686">
        <v>900</v>
      </c>
      <c r="BR62" s="686">
        <f t="shared" si="10"/>
        <v>100</v>
      </c>
      <c r="BS62" s="686"/>
      <c r="BT62" s="686"/>
      <c r="BU62" s="686"/>
      <c r="BV62" s="686"/>
      <c r="BW62" s="686"/>
      <c r="BX62" s="686"/>
      <c r="BY62" s="686"/>
      <c r="BZ62" s="686"/>
      <c r="CA62" s="686"/>
      <c r="CB62" s="45">
        <f t="shared" si="19"/>
        <v>1539279.7999999998</v>
      </c>
      <c r="CC62" s="46">
        <f t="shared" si="20"/>
        <v>1365208.4545454546</v>
      </c>
      <c r="CD62" s="47">
        <f t="shared" si="21"/>
        <v>1421445.4545454546</v>
      </c>
      <c r="CE62" s="62"/>
      <c r="CF62" s="237" t="str">
        <f>VLOOKUP(A62,labo!B:C,2,FALSE)</f>
        <v>vente bh</v>
      </c>
      <c r="CG62" s="106">
        <f t="shared" si="22"/>
        <v>849425.45454545447</v>
      </c>
      <c r="CH62" s="40"/>
      <c r="CI62" s="51"/>
      <c r="CJ62" s="40"/>
      <c r="CK62" s="499" t="str">
        <f t="shared" si="23"/>
        <v>M081812717840N</v>
      </c>
      <c r="CL62" s="500">
        <f t="shared" si="24"/>
        <v>0</v>
      </c>
    </row>
    <row r="63" spans="1:90" s="497" customFormat="1">
      <c r="A63" s="479" t="s">
        <v>2132</v>
      </c>
      <c r="B63" s="687" t="s">
        <v>2142</v>
      </c>
      <c r="C63" s="479" t="s">
        <v>1437</v>
      </c>
      <c r="D63" s="683"/>
      <c r="E63" s="683"/>
      <c r="F63" s="684"/>
      <c r="G63" s="685">
        <v>0</v>
      </c>
      <c r="H63" s="684"/>
      <c r="I63" s="684"/>
      <c r="J63" s="686">
        <v>241250</v>
      </c>
      <c r="K63" s="686"/>
      <c r="L63" s="685">
        <v>2412.5</v>
      </c>
      <c r="M63" s="685">
        <v>14957.5</v>
      </c>
      <c r="N63" s="685">
        <v>6755</v>
      </c>
      <c r="O63" s="685">
        <v>44065</v>
      </c>
      <c r="P63" s="685"/>
      <c r="Q63" s="685">
        <v>57477.272727272721</v>
      </c>
      <c r="R63" s="685">
        <v>1015.4227272727272</v>
      </c>
      <c r="S63" s="685">
        <v>6295.6209090909088</v>
      </c>
      <c r="T63" s="685">
        <v>2843.1836363636362</v>
      </c>
      <c r="U63" s="685"/>
      <c r="V63" s="685"/>
      <c r="W63" s="685">
        <v>5786</v>
      </c>
      <c r="X63" s="685"/>
      <c r="Y63" s="685"/>
      <c r="Z63" s="685"/>
      <c r="AA63" s="685"/>
      <c r="AB63" s="685">
        <v>57.86</v>
      </c>
      <c r="AC63" s="685">
        <v>358.73199999999997</v>
      </c>
      <c r="AD63" s="685">
        <v>162.00800000000001</v>
      </c>
      <c r="AE63" s="686">
        <v>209009</v>
      </c>
      <c r="AF63" s="686"/>
      <c r="AG63" s="686"/>
      <c r="AH63" s="686"/>
      <c r="AI63" s="686"/>
      <c r="AJ63" s="686"/>
      <c r="AK63" s="686"/>
      <c r="AL63" s="686">
        <v>0</v>
      </c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>
        <v>14524</v>
      </c>
      <c r="BF63" s="686">
        <v>5818</v>
      </c>
      <c r="BG63" s="686">
        <v>7200</v>
      </c>
      <c r="BH63" s="686"/>
      <c r="BI63" s="686"/>
      <c r="BJ63" s="686"/>
      <c r="BK63" s="686"/>
      <c r="BL63" s="686"/>
      <c r="BM63" s="686"/>
      <c r="BN63" s="686"/>
      <c r="BO63" s="686"/>
      <c r="BP63" s="686"/>
      <c r="BQ63" s="686">
        <v>2475</v>
      </c>
      <c r="BR63" s="686">
        <v>275</v>
      </c>
      <c r="BS63" s="686"/>
      <c r="BT63" s="686"/>
      <c r="BU63" s="686"/>
      <c r="BV63" s="686"/>
      <c r="BW63" s="686"/>
      <c r="BX63" s="686"/>
      <c r="BY63" s="686"/>
      <c r="BZ63" s="686"/>
      <c r="CA63" s="686"/>
      <c r="CB63" s="45">
        <f t="shared" si="19"/>
        <v>622737.1</v>
      </c>
      <c r="CC63" s="46">
        <f t="shared" si="20"/>
        <v>272272.27272727271</v>
      </c>
      <c r="CD63" s="47">
        <f t="shared" si="21"/>
        <v>557587.27272727271</v>
      </c>
      <c r="CE63" s="62"/>
      <c r="CF63" s="237" t="str">
        <f>VLOOKUP(A63,labo!B:C,2,FALSE)</f>
        <v>autres CG</v>
      </c>
      <c r="CG63" s="106">
        <f t="shared" si="22"/>
        <v>57477.272727272721</v>
      </c>
      <c r="CH63" s="40"/>
      <c r="CI63" s="51"/>
      <c r="CJ63" s="40"/>
      <c r="CK63" s="499" t="str">
        <f t="shared" si="23"/>
        <v>M021912749397S</v>
      </c>
      <c r="CL63" s="500">
        <f t="shared" si="24"/>
        <v>0</v>
      </c>
    </row>
    <row r="64" spans="1:90" s="497" customFormat="1">
      <c r="A64" s="688" t="s">
        <v>2325</v>
      </c>
      <c r="B64" s="689" t="s">
        <v>2452</v>
      </c>
      <c r="C64" s="479" t="s">
        <v>1437</v>
      </c>
      <c r="D64" s="683"/>
      <c r="E64" s="683"/>
      <c r="F64" s="684"/>
      <c r="G64" s="685">
        <v>0</v>
      </c>
      <c r="H64" s="684"/>
      <c r="I64" s="684"/>
      <c r="J64" s="686">
        <v>338885</v>
      </c>
      <c r="K64" s="686"/>
      <c r="L64" s="685">
        <v>3388.85</v>
      </c>
      <c r="M64" s="685">
        <v>21010.87</v>
      </c>
      <c r="N64" s="685">
        <v>9488.7800000000007</v>
      </c>
      <c r="O64" s="685">
        <v>197443</v>
      </c>
      <c r="P64" s="685"/>
      <c r="Q64" s="25">
        <v>79724.545454545441</v>
      </c>
      <c r="R64" s="685">
        <v>2771.6754545454542</v>
      </c>
      <c r="S64" s="685">
        <v>17184.387818181815</v>
      </c>
      <c r="T64" s="685">
        <v>7760.691272727272</v>
      </c>
      <c r="U64" s="685"/>
      <c r="V64" s="685"/>
      <c r="W64" s="685">
        <v>2542</v>
      </c>
      <c r="X64" s="685"/>
      <c r="Y64" s="685"/>
      <c r="Z64" s="685"/>
      <c r="AA64" s="685"/>
      <c r="AB64" s="685">
        <v>25.42</v>
      </c>
      <c r="AC64" s="685">
        <v>157.60399999999998</v>
      </c>
      <c r="AD64" s="685">
        <v>71.176000000000002</v>
      </c>
      <c r="AE64" s="686"/>
      <c r="AF64" s="686"/>
      <c r="AG64" s="686"/>
      <c r="AH64" s="686"/>
      <c r="AI64" s="686"/>
      <c r="AJ64" s="686"/>
      <c r="AK64" s="686"/>
      <c r="AL64" s="686">
        <v>0</v>
      </c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>
        <v>4013</v>
      </c>
      <c r="BF64" s="686">
        <v>1605</v>
      </c>
      <c r="BG64" s="686">
        <v>1500</v>
      </c>
      <c r="BH64" s="686"/>
      <c r="BI64" s="686"/>
      <c r="BJ64" s="686"/>
      <c r="BK64" s="686"/>
      <c r="BL64" s="686"/>
      <c r="BM64" s="686"/>
      <c r="BN64" s="686"/>
      <c r="BO64" s="686"/>
      <c r="BP64" s="686"/>
      <c r="BQ64" s="686">
        <v>675</v>
      </c>
      <c r="BR64" s="686">
        <v>75</v>
      </c>
      <c r="BS64" s="686"/>
      <c r="BT64" s="686"/>
      <c r="BU64" s="686"/>
      <c r="BV64" s="686"/>
      <c r="BW64" s="686"/>
      <c r="BX64" s="686"/>
      <c r="BY64" s="686"/>
      <c r="BZ64" s="686"/>
      <c r="CA64" s="686"/>
      <c r="CB64" s="45">
        <f t="shared" si="19"/>
        <v>688321.99999999988</v>
      </c>
      <c r="CC64" s="46">
        <f t="shared" si="20"/>
        <v>82266.545454545441</v>
      </c>
      <c r="CD64" s="47">
        <f t="shared" si="21"/>
        <v>618594.54545454541</v>
      </c>
      <c r="CE64" s="62"/>
      <c r="CF64" s="237" t="str">
        <f>VLOOKUP(A64,labo!B:C,2,FALSE)</f>
        <v>autres CG</v>
      </c>
      <c r="CG64" s="106">
        <f t="shared" si="22"/>
        <v>79724.545454545441</v>
      </c>
      <c r="CH64" s="40"/>
      <c r="CI64" s="51"/>
      <c r="CJ64" s="40"/>
      <c r="CK64" s="499" t="str">
        <f t="shared" si="23"/>
        <v>P117412576278G</v>
      </c>
      <c r="CL64" s="500">
        <f t="shared" si="24"/>
        <v>0</v>
      </c>
    </row>
    <row r="65" spans="1:91" s="497" customFormat="1">
      <c r="A65" s="478" t="s">
        <v>310</v>
      </c>
      <c r="B65" s="479" t="s">
        <v>581</v>
      </c>
      <c r="C65" s="479" t="s">
        <v>1437</v>
      </c>
      <c r="D65" s="683"/>
      <c r="E65" s="683"/>
      <c r="F65" s="684"/>
      <c r="G65" s="685">
        <v>0</v>
      </c>
      <c r="H65" s="684"/>
      <c r="I65" s="684"/>
      <c r="J65" s="686">
        <v>90883</v>
      </c>
      <c r="K65" s="686"/>
      <c r="L65" s="685">
        <v>908.83</v>
      </c>
      <c r="M65" s="685">
        <v>5634.7460000000001</v>
      </c>
      <c r="N65" s="685">
        <v>2544.7240000000002</v>
      </c>
      <c r="O65" s="685">
        <v>15793</v>
      </c>
      <c r="P65" s="685"/>
      <c r="Q65" s="25">
        <v>115160.90909090909</v>
      </c>
      <c r="R65" s="685">
        <v>1309.5390909090909</v>
      </c>
      <c r="S65" s="685">
        <v>8119.1423636363634</v>
      </c>
      <c r="T65" s="685">
        <v>3666.7094545454547</v>
      </c>
      <c r="U65" s="685"/>
      <c r="V65" s="685"/>
      <c r="W65" s="685"/>
      <c r="X65" s="685"/>
      <c r="Y65" s="685"/>
      <c r="Z65" s="685"/>
      <c r="AA65" s="685"/>
      <c r="AB65" s="685">
        <v>0</v>
      </c>
      <c r="AC65" s="685">
        <v>0</v>
      </c>
      <c r="AD65" s="685">
        <v>0</v>
      </c>
      <c r="AE65" s="686"/>
      <c r="AF65" s="686"/>
      <c r="AG65" s="686"/>
      <c r="AH65" s="686"/>
      <c r="AI65" s="686"/>
      <c r="AJ65" s="686"/>
      <c r="AK65" s="686"/>
      <c r="AL65" s="686">
        <v>0</v>
      </c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686"/>
      <c r="BD65" s="686"/>
      <c r="BE65" s="686">
        <v>2790</v>
      </c>
      <c r="BF65" s="686">
        <v>1860</v>
      </c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>
        <v>0</v>
      </c>
      <c r="BS65" s="686"/>
      <c r="BT65" s="686"/>
      <c r="BU65" s="686"/>
      <c r="BV65" s="686"/>
      <c r="BW65" s="686"/>
      <c r="BX65" s="686"/>
      <c r="BY65" s="686"/>
      <c r="BZ65" s="686"/>
      <c r="CA65" s="686"/>
      <c r="CB65" s="45">
        <f t="shared" si="19"/>
        <v>248670.60000000003</v>
      </c>
      <c r="CC65" s="46">
        <f t="shared" si="20"/>
        <v>115160.90909090909</v>
      </c>
      <c r="CD65" s="47">
        <f t="shared" si="21"/>
        <v>221836.90909090909</v>
      </c>
      <c r="CE65" s="62"/>
      <c r="CF65" s="237" t="str">
        <f>VLOOKUP(A65,labo!B:C,2,FALSE)</f>
        <v>autres CG</v>
      </c>
      <c r="CG65" s="106">
        <f t="shared" si="22"/>
        <v>115160.90909090909</v>
      </c>
      <c r="CH65" s="40"/>
      <c r="CI65" s="51"/>
      <c r="CJ65" s="40"/>
      <c r="CK65" s="499" t="str">
        <f t="shared" ref="CK65:CK129" si="111">+B65</f>
        <v>M070900041390F</v>
      </c>
      <c r="CL65" s="500">
        <f t="shared" ref="CL65:CL129" si="112">CE65</f>
        <v>0</v>
      </c>
    </row>
    <row r="66" spans="1:91" s="497" customFormat="1">
      <c r="A66" s="478" t="s">
        <v>298</v>
      </c>
      <c r="B66" s="479" t="s">
        <v>797</v>
      </c>
      <c r="C66" s="479" t="s">
        <v>1437</v>
      </c>
      <c r="D66" s="683"/>
      <c r="E66" s="683"/>
      <c r="F66" s="684"/>
      <c r="G66" s="685">
        <v>0</v>
      </c>
      <c r="H66" s="684"/>
      <c r="I66" s="684"/>
      <c r="J66" s="686">
        <v>189613</v>
      </c>
      <c r="K66" s="686"/>
      <c r="L66" s="685">
        <v>1896.13</v>
      </c>
      <c r="M66" s="685">
        <v>11756.005999999999</v>
      </c>
      <c r="N66" s="685">
        <v>5309.1639999999998</v>
      </c>
      <c r="O66" s="685">
        <v>21670</v>
      </c>
      <c r="P66" s="685"/>
      <c r="Q66" s="25">
        <v>417078.18181818177</v>
      </c>
      <c r="R66" s="685">
        <v>4387.4818181818182</v>
      </c>
      <c r="S66" s="685">
        <v>27202.387272727268</v>
      </c>
      <c r="T66" s="685">
        <v>12284.949090909089</v>
      </c>
      <c r="U66" s="685"/>
      <c r="V66" s="685"/>
      <c r="W66" s="685">
        <v>2413</v>
      </c>
      <c r="X66" s="685"/>
      <c r="Y66" s="685"/>
      <c r="Z66" s="685"/>
      <c r="AA66" s="685"/>
      <c r="AB66" s="685">
        <v>24.13</v>
      </c>
      <c r="AC66" s="685">
        <v>149.60599999999999</v>
      </c>
      <c r="AD66" s="685">
        <v>67.564000000000007</v>
      </c>
      <c r="AE66" s="686">
        <v>187810</v>
      </c>
      <c r="AF66" s="686"/>
      <c r="AG66" s="686"/>
      <c r="AH66" s="686"/>
      <c r="AI66" s="686"/>
      <c r="AJ66" s="686"/>
      <c r="AK66" s="686"/>
      <c r="AL66" s="686">
        <v>0</v>
      </c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>
        <v>15550</v>
      </c>
      <c r="BF66" s="686">
        <v>9700</v>
      </c>
      <c r="BG66" s="686">
        <v>750</v>
      </c>
      <c r="BH66" s="686"/>
      <c r="BI66" s="686"/>
      <c r="BJ66" s="686"/>
      <c r="BK66" s="686"/>
      <c r="BL66" s="686"/>
      <c r="BM66" s="686"/>
      <c r="BN66" s="686"/>
      <c r="BO66" s="686"/>
      <c r="BP66" s="686"/>
      <c r="BQ66" s="686">
        <v>450</v>
      </c>
      <c r="BR66" s="686">
        <v>50</v>
      </c>
      <c r="BS66" s="686"/>
      <c r="BT66" s="686"/>
      <c r="BU66" s="686"/>
      <c r="BV66" s="686"/>
      <c r="BW66" s="686"/>
      <c r="BX66" s="686"/>
      <c r="BY66" s="686"/>
      <c r="BZ66" s="686"/>
      <c r="CA66" s="686"/>
      <c r="CB66" s="45">
        <f t="shared" ref="CB66:CB129" si="113">SUM(E66:CA66)</f>
        <v>908161.6</v>
      </c>
      <c r="CC66" s="46">
        <f t="shared" ref="CC66:CC129" si="114">E66+H66+I66+K66+P66+Q66+W66+X66+Y66+Z66+AA66+AE66+AG66+AH66+AI66+AJ66+AN66+AO66+AS66+AT66+AU66+AV66+AW66+AY66+BB66</f>
        <v>607301.18181818177</v>
      </c>
      <c r="CD66" s="47">
        <f t="shared" ref="CD66:CD129" si="115">E66+H66+I66+J66+K66+O66+P66+Q66+U66+V66+W66+X66+Y66+Z66+AA66+AE66+AF66+AG66+AH66+AI66+AJ66+AN66+AO66+AT66+AU66+AV66+AW66+AY66+BA66+BB66</f>
        <v>818584.18181818177</v>
      </c>
      <c r="CE66" s="62"/>
      <c r="CF66" s="237" t="str">
        <f>VLOOKUP(A66,labo!B:C,2,FALSE)</f>
        <v>vente bh</v>
      </c>
      <c r="CG66" s="106">
        <f t="shared" ref="CG66:CG129" si="116">K66+Q66+X66+Y66+Z66+AF66</f>
        <v>417078.18181818177</v>
      </c>
      <c r="CH66" s="40"/>
      <c r="CI66" s="51"/>
      <c r="CJ66" s="40"/>
      <c r="CK66" s="499" t="str">
        <f t="shared" si="111"/>
        <v>M111612581286R</v>
      </c>
      <c r="CL66" s="500">
        <f t="shared" si="112"/>
        <v>0</v>
      </c>
    </row>
    <row r="67" spans="1:91" s="497" customFormat="1">
      <c r="A67" s="478" t="s">
        <v>811</v>
      </c>
      <c r="B67" s="479" t="s">
        <v>813</v>
      </c>
      <c r="C67" s="479" t="s">
        <v>1437</v>
      </c>
      <c r="D67" s="683"/>
      <c r="E67" s="683"/>
      <c r="F67" s="684"/>
      <c r="G67" s="685">
        <v>0</v>
      </c>
      <c r="H67" s="684"/>
      <c r="I67" s="684"/>
      <c r="J67" s="686">
        <v>637102</v>
      </c>
      <c r="K67" s="686"/>
      <c r="L67" s="685">
        <v>6371.02</v>
      </c>
      <c r="M67" s="685">
        <v>39500.324000000001</v>
      </c>
      <c r="N67" s="685">
        <v>17838.856</v>
      </c>
      <c r="O67" s="685">
        <v>708495</v>
      </c>
      <c r="P67" s="685"/>
      <c r="Q67" s="25">
        <v>18327.272727272724</v>
      </c>
      <c r="R67" s="685">
        <v>7268.2227272727268</v>
      </c>
      <c r="S67" s="685">
        <v>45062.980909090904</v>
      </c>
      <c r="T67" s="685">
        <v>20351.023636363636</v>
      </c>
      <c r="U67" s="685"/>
      <c r="V67" s="685"/>
      <c r="W67" s="685">
        <v>122337</v>
      </c>
      <c r="X67" s="685"/>
      <c r="Y67" s="685"/>
      <c r="Z67" s="685"/>
      <c r="AA67" s="685"/>
      <c r="AB67" s="685">
        <v>1223.3700000000001</v>
      </c>
      <c r="AC67" s="685">
        <v>7584.8940000000002</v>
      </c>
      <c r="AD67" s="685">
        <v>3425.4360000000001</v>
      </c>
      <c r="AE67" s="686"/>
      <c r="AF67" s="686"/>
      <c r="AG67" s="686"/>
      <c r="AH67" s="686"/>
      <c r="AI67" s="686"/>
      <c r="AJ67" s="686"/>
      <c r="AK67" s="686"/>
      <c r="AL67" s="686">
        <v>0</v>
      </c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>
        <v>72087</v>
      </c>
      <c r="BF67" s="686">
        <v>28835</v>
      </c>
      <c r="BG67" s="686">
        <v>37250</v>
      </c>
      <c r="BH67" s="686"/>
      <c r="BI67" s="686"/>
      <c r="BJ67" s="686"/>
      <c r="BK67" s="686"/>
      <c r="BL67" s="686"/>
      <c r="BM67" s="686"/>
      <c r="BN67" s="686"/>
      <c r="BO67" s="686"/>
      <c r="BP67" s="686"/>
      <c r="BQ67" s="686">
        <v>10800</v>
      </c>
      <c r="BR67" s="686">
        <v>1200</v>
      </c>
      <c r="BS67" s="686"/>
      <c r="BT67" s="686"/>
      <c r="BU67" s="686"/>
      <c r="BV67" s="686"/>
      <c r="BW67" s="686"/>
      <c r="BX67" s="686"/>
      <c r="BY67" s="686"/>
      <c r="BZ67" s="686"/>
      <c r="CA67" s="686"/>
      <c r="CB67" s="45">
        <f t="shared" si="113"/>
        <v>1785059.4000000004</v>
      </c>
      <c r="CC67" s="46">
        <f t="shared" si="114"/>
        <v>140664.27272727274</v>
      </c>
      <c r="CD67" s="47">
        <f t="shared" si="115"/>
        <v>1486261.2727272727</v>
      </c>
      <c r="CE67" s="62"/>
      <c r="CF67" s="237" t="str">
        <f>VLOOKUP(A67,labo!B:C,2,FALSE)</f>
        <v>alimentation</v>
      </c>
      <c r="CG67" s="106">
        <f t="shared" si="116"/>
        <v>18327.272727272724</v>
      </c>
      <c r="CH67" s="40"/>
      <c r="CI67" s="51"/>
      <c r="CJ67" s="40"/>
      <c r="CK67" s="499" t="str">
        <f t="shared" si="111"/>
        <v>M011512266501E</v>
      </c>
      <c r="CL67" s="500">
        <f t="shared" si="112"/>
        <v>0</v>
      </c>
    </row>
    <row r="68" spans="1:91" s="503" customFormat="1">
      <c r="A68" s="478" t="s">
        <v>1845</v>
      </c>
      <c r="B68" s="479" t="s">
        <v>1924</v>
      </c>
      <c r="C68" s="479" t="s">
        <v>1437</v>
      </c>
      <c r="D68" s="683"/>
      <c r="E68" s="683"/>
      <c r="F68" s="684"/>
      <c r="G68" s="685">
        <v>0</v>
      </c>
      <c r="H68" s="684"/>
      <c r="I68" s="684"/>
      <c r="J68" s="686"/>
      <c r="K68" s="686"/>
      <c r="L68" s="685">
        <v>0</v>
      </c>
      <c r="M68" s="685">
        <v>0</v>
      </c>
      <c r="N68" s="685">
        <v>0</v>
      </c>
      <c r="O68" s="685">
        <v>97881</v>
      </c>
      <c r="P68" s="685"/>
      <c r="Q68" s="25">
        <v>698042.72727272718</v>
      </c>
      <c r="R68" s="685">
        <v>7959.2372727272723</v>
      </c>
      <c r="S68" s="685">
        <v>49347.271090909082</v>
      </c>
      <c r="T68" s="685">
        <v>22285.864363636363</v>
      </c>
      <c r="U68" s="685"/>
      <c r="V68" s="685">
        <v>3000</v>
      </c>
      <c r="W68" s="685">
        <v>11920</v>
      </c>
      <c r="X68" s="685"/>
      <c r="Y68" s="685"/>
      <c r="Z68" s="685"/>
      <c r="AA68" s="685"/>
      <c r="AB68" s="685">
        <v>149.20000000000002</v>
      </c>
      <c r="AC68" s="685">
        <v>925.04</v>
      </c>
      <c r="AD68" s="685">
        <v>417.76</v>
      </c>
      <c r="AE68" s="686">
        <v>821896</v>
      </c>
      <c r="AF68" s="686"/>
      <c r="AG68" s="686">
        <v>59250</v>
      </c>
      <c r="AH68" s="686"/>
      <c r="AI68" s="686"/>
      <c r="AJ68" s="686"/>
      <c r="AK68" s="686"/>
      <c r="AL68" s="686">
        <v>0</v>
      </c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>
        <v>24823</v>
      </c>
      <c r="BF68" s="686">
        <v>11996</v>
      </c>
      <c r="BG68" s="686">
        <v>8400</v>
      </c>
      <c r="BH68" s="686"/>
      <c r="BI68" s="686"/>
      <c r="BJ68" s="686"/>
      <c r="BK68" s="686"/>
      <c r="BL68" s="686"/>
      <c r="BM68" s="686"/>
      <c r="BN68" s="686"/>
      <c r="BO68" s="686"/>
      <c r="BP68" s="686"/>
      <c r="BQ68" s="686">
        <v>3600</v>
      </c>
      <c r="BR68" s="686">
        <v>400</v>
      </c>
      <c r="BS68" s="686"/>
      <c r="BT68" s="686"/>
      <c r="BU68" s="686"/>
      <c r="BV68" s="686"/>
      <c r="BW68" s="686"/>
      <c r="BX68" s="686"/>
      <c r="BY68" s="686"/>
      <c r="BZ68" s="686"/>
      <c r="CA68" s="686"/>
      <c r="CB68" s="45">
        <f t="shared" si="113"/>
        <v>1822293.0999999999</v>
      </c>
      <c r="CC68" s="46">
        <f t="shared" si="114"/>
        <v>1591108.7272727271</v>
      </c>
      <c r="CD68" s="47">
        <f t="shared" si="115"/>
        <v>1691989.7272727271</v>
      </c>
      <c r="CE68" s="62"/>
      <c r="CF68" s="237" t="str">
        <f>VLOOKUP(A68,labo!B:C,2,FALSE)</f>
        <v>vente bh</v>
      </c>
      <c r="CG68" s="106">
        <f t="shared" si="116"/>
        <v>698042.72727272718</v>
      </c>
      <c r="CH68" s="40"/>
      <c r="CI68" s="51"/>
      <c r="CJ68" s="40"/>
      <c r="CK68" s="504" t="str">
        <f t="shared" si="111"/>
        <v>M081812717832N</v>
      </c>
      <c r="CL68" s="505">
        <f t="shared" si="112"/>
        <v>0</v>
      </c>
    </row>
    <row r="69" spans="1:91" s="497" customFormat="1">
      <c r="A69" s="478" t="s">
        <v>1860</v>
      </c>
      <c r="B69" s="479" t="s">
        <v>1861</v>
      </c>
      <c r="C69" s="479" t="s">
        <v>1437</v>
      </c>
      <c r="D69" s="683"/>
      <c r="E69" s="683"/>
      <c r="F69" s="684"/>
      <c r="G69" s="685">
        <v>0</v>
      </c>
      <c r="H69" s="684"/>
      <c r="I69" s="684"/>
      <c r="J69" s="686"/>
      <c r="K69" s="686"/>
      <c r="L69" s="685">
        <v>0</v>
      </c>
      <c r="M69" s="685">
        <v>0</v>
      </c>
      <c r="N69" s="685">
        <v>0</v>
      </c>
      <c r="O69" s="685">
        <v>100028</v>
      </c>
      <c r="P69" s="685"/>
      <c r="Q69" s="25">
        <v>755675.45454545447</v>
      </c>
      <c r="R69" s="685">
        <v>8557.0345454545441</v>
      </c>
      <c r="S69" s="685">
        <v>53053.614181818179</v>
      </c>
      <c r="T69" s="685">
        <v>23959.696727272727</v>
      </c>
      <c r="U69" s="685"/>
      <c r="V69" s="685">
        <v>3000</v>
      </c>
      <c r="W69" s="685">
        <v>3387</v>
      </c>
      <c r="X69" s="685"/>
      <c r="Y69" s="685"/>
      <c r="Z69" s="685"/>
      <c r="AA69" s="685"/>
      <c r="AB69" s="685">
        <v>63.870000000000005</v>
      </c>
      <c r="AC69" s="685">
        <v>395.99399999999997</v>
      </c>
      <c r="AD69" s="685">
        <v>178.83600000000001</v>
      </c>
      <c r="AE69" s="686">
        <v>848905</v>
      </c>
      <c r="AF69" s="686"/>
      <c r="AG69" s="686"/>
      <c r="AH69" s="686"/>
      <c r="AI69" s="686"/>
      <c r="AJ69" s="686"/>
      <c r="AK69" s="686"/>
      <c r="AL69" s="686">
        <v>0</v>
      </c>
      <c r="AM69" s="686"/>
      <c r="AN69" s="686"/>
      <c r="AO69" s="686"/>
      <c r="AP69" s="686"/>
      <c r="AQ69" s="686"/>
      <c r="AR69" s="686"/>
      <c r="AS69" s="686"/>
      <c r="AT69" s="686"/>
      <c r="AU69" s="686"/>
      <c r="AV69" s="686"/>
      <c r="AW69" s="686"/>
      <c r="AX69" s="686"/>
      <c r="AY69" s="686"/>
      <c r="AZ69" s="686"/>
      <c r="BA69" s="686"/>
      <c r="BB69" s="686"/>
      <c r="BC69" s="686"/>
      <c r="BD69" s="686"/>
      <c r="BE69" s="686">
        <v>18635</v>
      </c>
      <c r="BF69" s="686">
        <v>10410</v>
      </c>
      <c r="BG69" s="686">
        <v>3000</v>
      </c>
      <c r="BH69" s="686"/>
      <c r="BI69" s="686"/>
      <c r="BJ69" s="686"/>
      <c r="BK69" s="686"/>
      <c r="BL69" s="686"/>
      <c r="BM69" s="686"/>
      <c r="BN69" s="686"/>
      <c r="BO69" s="686"/>
      <c r="BP69" s="686"/>
      <c r="BQ69" s="686">
        <v>1350</v>
      </c>
      <c r="BR69" s="686">
        <v>150</v>
      </c>
      <c r="BS69" s="686"/>
      <c r="BT69" s="686"/>
      <c r="BU69" s="686"/>
      <c r="BV69" s="686"/>
      <c r="BW69" s="686"/>
      <c r="BX69" s="686"/>
      <c r="BY69" s="686"/>
      <c r="BZ69" s="686"/>
      <c r="CA69" s="686"/>
      <c r="CB69" s="45">
        <f t="shared" si="113"/>
        <v>1830749.5</v>
      </c>
      <c r="CC69" s="46">
        <f t="shared" si="114"/>
        <v>1607967.4545454546</v>
      </c>
      <c r="CD69" s="47">
        <f t="shared" si="115"/>
        <v>1710995.4545454546</v>
      </c>
      <c r="CE69" s="62"/>
      <c r="CF69" s="237" t="str">
        <f>VLOOKUP(A69,labo!B:C,2,FALSE)</f>
        <v>vente bh</v>
      </c>
      <c r="CG69" s="106">
        <f t="shared" si="116"/>
        <v>755675.45454545447</v>
      </c>
      <c r="CH69" s="40"/>
      <c r="CI69" s="51"/>
      <c r="CJ69" s="40"/>
      <c r="CK69" s="499" t="str">
        <f t="shared" si="111"/>
        <v>M081812717851R</v>
      </c>
      <c r="CL69" s="500">
        <f t="shared" si="112"/>
        <v>0</v>
      </c>
    </row>
    <row r="70" spans="1:91" s="503" customFormat="1">
      <c r="A70" s="479" t="s">
        <v>566</v>
      </c>
      <c r="B70" s="479" t="s">
        <v>568</v>
      </c>
      <c r="C70" s="479" t="s">
        <v>1437</v>
      </c>
      <c r="D70" s="683"/>
      <c r="E70" s="683">
        <v>24400</v>
      </c>
      <c r="F70" s="684"/>
      <c r="G70" s="685">
        <f t="shared" ref="G70" si="117">+E70/4</f>
        <v>6100</v>
      </c>
      <c r="H70" s="684"/>
      <c r="I70" s="684"/>
      <c r="J70" s="686">
        <v>143673</v>
      </c>
      <c r="K70" s="25">
        <f>60854/1.1</f>
        <v>55321.818181818177</v>
      </c>
      <c r="L70" s="685">
        <f t="shared" ref="L70" si="118">(J70+K70)*0.01</f>
        <v>1989.9481818181819</v>
      </c>
      <c r="M70" s="685">
        <f t="shared" ref="M70" si="119">(J70+K70)*0.062</f>
        <v>12337.678727272727</v>
      </c>
      <c r="N70" s="685">
        <f t="shared" ref="N70" si="120">(J70+K70)*0.028</f>
        <v>5571.8549090909091</v>
      </c>
      <c r="O70" s="685">
        <v>28998</v>
      </c>
      <c r="P70" s="685"/>
      <c r="Q70" s="685"/>
      <c r="R70" s="685">
        <f t="shared" ref="R70" si="121">(Q70+O70)*0.01</f>
        <v>289.98</v>
      </c>
      <c r="S70" s="685">
        <f t="shared" ref="S70" si="122">(O70+Q70)*0.062</f>
        <v>1797.876</v>
      </c>
      <c r="T70" s="685">
        <f t="shared" ref="T70" si="123">(O70+P70+Q70)*0.028</f>
        <v>811.94400000000007</v>
      </c>
      <c r="U70" s="685"/>
      <c r="V70" s="685"/>
      <c r="W70" s="685">
        <v>9862</v>
      </c>
      <c r="X70" s="685"/>
      <c r="Y70" s="685"/>
      <c r="Z70" s="685"/>
      <c r="AA70" s="685"/>
      <c r="AB70" s="685">
        <f t="shared" ref="AB70" si="124">(U70+V70+W70+X70+Y70+Z70)*0.01</f>
        <v>98.62</v>
      </c>
      <c r="AC70" s="685">
        <f t="shared" ref="AC70" si="125">(U70+V70+W70+X70+Y70+Z70)*0.062</f>
        <v>611.44399999999996</v>
      </c>
      <c r="AD70" s="685">
        <f t="shared" ref="AD70" si="126">(U70+V70+W70+X70+Y70+Z70)*0.028</f>
        <v>276.13600000000002</v>
      </c>
      <c r="AE70" s="686"/>
      <c r="AF70" s="686"/>
      <c r="AG70" s="686"/>
      <c r="AH70" s="686"/>
      <c r="AI70" s="686"/>
      <c r="AJ70" s="686"/>
      <c r="AK70" s="686"/>
      <c r="AL70" s="686">
        <f t="shared" ref="AL70" si="127">+AK70</f>
        <v>0</v>
      </c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>
        <v>11088</v>
      </c>
      <c r="BF70" s="686">
        <v>4760</v>
      </c>
      <c r="BG70" s="686">
        <v>4200</v>
      </c>
      <c r="BH70" s="686"/>
      <c r="BI70" s="686"/>
      <c r="BJ70" s="686"/>
      <c r="BK70" s="686"/>
      <c r="BL70" s="686"/>
      <c r="BM70" s="686"/>
      <c r="BN70" s="686"/>
      <c r="BO70" s="686"/>
      <c r="BP70" s="686"/>
      <c r="BQ70" s="686">
        <v>2250</v>
      </c>
      <c r="BR70" s="686">
        <f t="shared" ref="BR70" si="128">BQ70/9</f>
        <v>250</v>
      </c>
      <c r="BS70" s="686"/>
      <c r="BT70" s="686"/>
      <c r="BU70" s="686"/>
      <c r="BV70" s="686"/>
      <c r="BW70" s="686"/>
      <c r="BX70" s="686"/>
      <c r="BY70" s="686"/>
      <c r="BZ70" s="686"/>
      <c r="CA70" s="686"/>
      <c r="CB70" s="45">
        <f t="shared" si="113"/>
        <v>314688.3</v>
      </c>
      <c r="CC70" s="46">
        <f t="shared" si="114"/>
        <v>89583.818181818177</v>
      </c>
      <c r="CD70" s="47">
        <f t="shared" si="115"/>
        <v>262254.81818181818</v>
      </c>
      <c r="CE70" s="62"/>
      <c r="CF70" s="237" t="str">
        <f>VLOOKUP(A70,labo!B:C,2,FALSE)</f>
        <v>alimentation</v>
      </c>
      <c r="CG70" s="106">
        <f t="shared" si="116"/>
        <v>55321.818181818177</v>
      </c>
      <c r="CH70" s="40"/>
      <c r="CI70" s="51"/>
      <c r="CJ70" s="40"/>
      <c r="CK70" s="504" t="str">
        <f t="shared" si="111"/>
        <v>M081200043685H</v>
      </c>
      <c r="CL70" s="505">
        <f t="shared" si="112"/>
        <v>0</v>
      </c>
    </row>
    <row r="71" spans="1:91" s="497" customFormat="1">
      <c r="A71" s="478" t="s">
        <v>1579</v>
      </c>
      <c r="B71" s="479" t="s">
        <v>1580</v>
      </c>
      <c r="C71" s="479" t="s">
        <v>1437</v>
      </c>
      <c r="D71" s="683"/>
      <c r="E71" s="683"/>
      <c r="F71" s="684"/>
      <c r="G71" s="685">
        <v>0</v>
      </c>
      <c r="H71" s="684"/>
      <c r="I71" s="684"/>
      <c r="J71" s="686">
        <v>29440</v>
      </c>
      <c r="K71" s="686"/>
      <c r="L71" s="685">
        <v>294.40000000000003</v>
      </c>
      <c r="M71" s="685">
        <v>1825.28</v>
      </c>
      <c r="N71" s="685">
        <v>824.32</v>
      </c>
      <c r="O71" s="685">
        <v>13559</v>
      </c>
      <c r="P71" s="685"/>
      <c r="Q71" s="685"/>
      <c r="R71" s="685">
        <v>135.59</v>
      </c>
      <c r="S71" s="685">
        <v>840.65800000000002</v>
      </c>
      <c r="T71" s="685">
        <v>379.65199999999999</v>
      </c>
      <c r="U71" s="685"/>
      <c r="V71" s="685"/>
      <c r="W71" s="685"/>
      <c r="X71" s="685"/>
      <c r="Y71" s="685"/>
      <c r="Z71" s="685"/>
      <c r="AA71" s="685"/>
      <c r="AB71" s="685">
        <v>0</v>
      </c>
      <c r="AC71" s="685">
        <v>0</v>
      </c>
      <c r="AD71" s="685">
        <v>0</v>
      </c>
      <c r="AE71" s="686"/>
      <c r="AF71" s="686"/>
      <c r="AG71" s="686"/>
      <c r="AH71" s="686"/>
      <c r="AI71" s="686"/>
      <c r="AJ71" s="686"/>
      <c r="AK71" s="686"/>
      <c r="AL71" s="686">
        <v>0</v>
      </c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6"/>
      <c r="BL71" s="686"/>
      <c r="BM71" s="686"/>
      <c r="BN71" s="686"/>
      <c r="BO71" s="686"/>
      <c r="BP71" s="686"/>
      <c r="BQ71" s="686"/>
      <c r="BR71" s="686">
        <v>0</v>
      </c>
      <c r="BS71" s="686"/>
      <c r="BT71" s="686"/>
      <c r="BU71" s="686"/>
      <c r="BV71" s="686"/>
      <c r="BW71" s="686"/>
      <c r="BX71" s="686"/>
      <c r="BY71" s="686"/>
      <c r="BZ71" s="686"/>
      <c r="CA71" s="686"/>
      <c r="CB71" s="45">
        <f t="shared" si="113"/>
        <v>47298.9</v>
      </c>
      <c r="CC71" s="46">
        <f t="shared" si="114"/>
        <v>0</v>
      </c>
      <c r="CD71" s="47">
        <f t="shared" si="115"/>
        <v>42999</v>
      </c>
      <c r="CE71" s="62"/>
      <c r="CF71" s="237" t="str">
        <f>VLOOKUP(A71,labo!B:C,2,FALSE)</f>
        <v>vente bh</v>
      </c>
      <c r="CG71" s="106">
        <f t="shared" si="116"/>
        <v>0</v>
      </c>
      <c r="CH71" s="40"/>
      <c r="CI71" s="51"/>
      <c r="CJ71" s="40"/>
      <c r="CK71" s="499" t="str">
        <f t="shared" si="111"/>
        <v>P088500500083E</v>
      </c>
      <c r="CL71" s="500">
        <f t="shared" si="112"/>
        <v>0</v>
      </c>
    </row>
    <row r="72" spans="1:91" s="497" customFormat="1">
      <c r="A72" s="478" t="s">
        <v>380</v>
      </c>
      <c r="B72" s="479" t="s">
        <v>537</v>
      </c>
      <c r="C72" s="479" t="s">
        <v>1437</v>
      </c>
      <c r="D72" s="683"/>
      <c r="E72" s="683"/>
      <c r="F72" s="684"/>
      <c r="G72" s="685">
        <v>0</v>
      </c>
      <c r="H72" s="684"/>
      <c r="I72" s="684"/>
      <c r="J72" s="686">
        <v>601913</v>
      </c>
      <c r="K72" s="686"/>
      <c r="L72" s="685">
        <v>6019.13</v>
      </c>
      <c r="M72" s="685">
        <v>37318.606</v>
      </c>
      <c r="N72" s="685">
        <v>16853.564000000002</v>
      </c>
      <c r="O72" s="685">
        <v>68790</v>
      </c>
      <c r="P72" s="685"/>
      <c r="Q72" s="685"/>
      <c r="R72" s="685">
        <v>687.9</v>
      </c>
      <c r="S72" s="685">
        <v>4264.9799999999996</v>
      </c>
      <c r="T72" s="685">
        <v>1926.1200000000001</v>
      </c>
      <c r="U72" s="685"/>
      <c r="V72" s="685"/>
      <c r="W72" s="685">
        <v>2085</v>
      </c>
      <c r="X72" s="685"/>
      <c r="Y72" s="685"/>
      <c r="Z72" s="685"/>
      <c r="AA72" s="685"/>
      <c r="AB72" s="685">
        <v>20.85</v>
      </c>
      <c r="AC72" s="685">
        <v>129.27000000000001</v>
      </c>
      <c r="AD72" s="685">
        <v>58.38</v>
      </c>
      <c r="AE72" s="686">
        <v>343950</v>
      </c>
      <c r="AF72" s="686"/>
      <c r="AG72" s="686"/>
      <c r="AH72" s="686"/>
      <c r="AI72" s="686"/>
      <c r="AJ72" s="686"/>
      <c r="AK72" s="686"/>
      <c r="AL72" s="686">
        <v>0</v>
      </c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>
        <v>2500</v>
      </c>
      <c r="BF72" s="686">
        <v>1000</v>
      </c>
      <c r="BG72" s="686">
        <v>750</v>
      </c>
      <c r="BH72" s="686"/>
      <c r="BI72" s="686"/>
      <c r="BJ72" s="686"/>
      <c r="BK72" s="686"/>
      <c r="BL72" s="686"/>
      <c r="BM72" s="686"/>
      <c r="BN72" s="686"/>
      <c r="BO72" s="686"/>
      <c r="BP72" s="686"/>
      <c r="BQ72" s="686">
        <v>450</v>
      </c>
      <c r="BR72" s="686">
        <v>50</v>
      </c>
      <c r="BS72" s="686"/>
      <c r="BT72" s="686"/>
      <c r="BU72" s="686"/>
      <c r="BV72" s="686"/>
      <c r="BW72" s="686"/>
      <c r="BX72" s="686"/>
      <c r="BY72" s="686"/>
      <c r="BZ72" s="686"/>
      <c r="CA72" s="686"/>
      <c r="CB72" s="45">
        <f t="shared" si="113"/>
        <v>1088766.8</v>
      </c>
      <c r="CC72" s="46">
        <f t="shared" si="114"/>
        <v>346035</v>
      </c>
      <c r="CD72" s="47">
        <f t="shared" si="115"/>
        <v>1016738</v>
      </c>
      <c r="CE72" s="62"/>
      <c r="CF72" s="237" t="str">
        <f>VLOOKUP(A72,labo!B:C,2,FALSE)</f>
        <v>autres CG</v>
      </c>
      <c r="CG72" s="106">
        <f t="shared" si="116"/>
        <v>0</v>
      </c>
      <c r="CH72" s="40"/>
      <c r="CI72" s="51"/>
      <c r="CJ72" s="40"/>
      <c r="CK72" s="499" t="str">
        <f t="shared" si="111"/>
        <v>M061512417206T</v>
      </c>
      <c r="CL72" s="500">
        <f t="shared" si="112"/>
        <v>0</v>
      </c>
    </row>
    <row r="73" spans="1:91" s="497" customFormat="1">
      <c r="A73" s="478" t="s">
        <v>2311</v>
      </c>
      <c r="B73" s="479" t="s">
        <v>2288</v>
      </c>
      <c r="C73" s="479" t="s">
        <v>1437</v>
      </c>
      <c r="D73" s="683"/>
      <c r="E73" s="683"/>
      <c r="F73" s="684"/>
      <c r="G73" s="685">
        <v>0</v>
      </c>
      <c r="H73" s="684"/>
      <c r="I73" s="684"/>
      <c r="J73" s="686">
        <v>42602</v>
      </c>
      <c r="K73" s="686"/>
      <c r="L73" s="685">
        <v>426.02</v>
      </c>
      <c r="M73" s="685">
        <v>2641.3240000000001</v>
      </c>
      <c r="N73" s="685">
        <v>1192.856</v>
      </c>
      <c r="O73" s="685">
        <v>105107</v>
      </c>
      <c r="P73" s="685"/>
      <c r="Q73" s="685"/>
      <c r="R73" s="685">
        <v>1051.07</v>
      </c>
      <c r="S73" s="685">
        <v>6516.634</v>
      </c>
      <c r="T73" s="685">
        <v>2942.9960000000001</v>
      </c>
      <c r="U73" s="685"/>
      <c r="V73" s="685"/>
      <c r="W73" s="685">
        <v>4563</v>
      </c>
      <c r="X73" s="685"/>
      <c r="Y73" s="685"/>
      <c r="Z73" s="685"/>
      <c r="AA73" s="685"/>
      <c r="AB73" s="685">
        <v>45.63</v>
      </c>
      <c r="AC73" s="685">
        <v>282.90600000000001</v>
      </c>
      <c r="AD73" s="685">
        <v>127.764</v>
      </c>
      <c r="AE73" s="686">
        <v>397905</v>
      </c>
      <c r="AF73" s="686"/>
      <c r="AG73" s="686">
        <v>19500</v>
      </c>
      <c r="AH73" s="686"/>
      <c r="AI73" s="686"/>
      <c r="AJ73" s="686"/>
      <c r="AK73" s="686"/>
      <c r="AL73" s="686">
        <v>0</v>
      </c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>
        <v>8710</v>
      </c>
      <c r="BF73" s="686">
        <v>4500</v>
      </c>
      <c r="BG73" s="686">
        <v>2700</v>
      </c>
      <c r="BH73" s="686"/>
      <c r="BI73" s="686"/>
      <c r="BJ73" s="686"/>
      <c r="BK73" s="686"/>
      <c r="BL73" s="686"/>
      <c r="BM73" s="686"/>
      <c r="BN73" s="686"/>
      <c r="BO73" s="686"/>
      <c r="BP73" s="686"/>
      <c r="BQ73" s="686">
        <v>1125</v>
      </c>
      <c r="BR73" s="686">
        <v>125</v>
      </c>
      <c r="BS73" s="686"/>
      <c r="BT73" s="686"/>
      <c r="BU73" s="686"/>
      <c r="BV73" s="686"/>
      <c r="BW73" s="686"/>
      <c r="BX73" s="686"/>
      <c r="BY73" s="686"/>
      <c r="BZ73" s="686"/>
      <c r="CA73" s="686"/>
      <c r="CB73" s="45">
        <f t="shared" si="113"/>
        <v>602064.19999999995</v>
      </c>
      <c r="CC73" s="46">
        <f t="shared" si="114"/>
        <v>421968</v>
      </c>
      <c r="CD73" s="47">
        <f t="shared" si="115"/>
        <v>569677</v>
      </c>
      <c r="CE73" s="62"/>
      <c r="CF73" s="237" t="str">
        <f>VLOOKUP(A73,labo!B:C,2,FALSE)</f>
        <v>vente bh</v>
      </c>
      <c r="CG73" s="106">
        <f t="shared" si="116"/>
        <v>0</v>
      </c>
      <c r="CH73" s="40"/>
      <c r="CI73" s="51"/>
      <c r="CJ73" s="40"/>
      <c r="CK73" s="499" t="str">
        <f t="shared" si="111"/>
        <v>M101812725597Q</v>
      </c>
      <c r="CL73" s="500">
        <f t="shared" si="112"/>
        <v>0</v>
      </c>
    </row>
    <row r="74" spans="1:91" s="497" customFormat="1">
      <c r="A74" s="478" t="s">
        <v>2190</v>
      </c>
      <c r="B74" s="479" t="s">
        <v>409</v>
      </c>
      <c r="C74" s="479" t="s">
        <v>1437</v>
      </c>
      <c r="D74" s="683"/>
      <c r="E74" s="683"/>
      <c r="F74" s="684"/>
      <c r="G74" s="685">
        <v>0</v>
      </c>
      <c r="H74" s="684"/>
      <c r="I74" s="684"/>
      <c r="J74" s="686">
        <v>166829</v>
      </c>
      <c r="K74" s="686"/>
      <c r="L74" s="685">
        <v>1668.29</v>
      </c>
      <c r="M74" s="685">
        <v>10343.397999999999</v>
      </c>
      <c r="N74" s="685">
        <v>4671.2120000000004</v>
      </c>
      <c r="O74" s="685">
        <v>108165</v>
      </c>
      <c r="P74" s="685"/>
      <c r="Q74" s="685"/>
      <c r="R74" s="685">
        <v>1081.6500000000001</v>
      </c>
      <c r="S74" s="685">
        <v>6706.23</v>
      </c>
      <c r="T74" s="685">
        <v>3028.62</v>
      </c>
      <c r="U74" s="685"/>
      <c r="V74" s="685">
        <v>22500</v>
      </c>
      <c r="W74" s="685">
        <v>43789</v>
      </c>
      <c r="X74" s="685"/>
      <c r="Y74" s="685"/>
      <c r="Z74" s="685"/>
      <c r="AA74" s="685"/>
      <c r="AB74" s="685">
        <v>662.89</v>
      </c>
      <c r="AC74" s="685">
        <v>4109.9179999999997</v>
      </c>
      <c r="AD74" s="685">
        <v>1856.0920000000001</v>
      </c>
      <c r="AE74" s="686"/>
      <c r="AF74" s="686"/>
      <c r="AG74" s="686"/>
      <c r="AH74" s="686"/>
      <c r="AI74" s="686"/>
      <c r="AJ74" s="686"/>
      <c r="AK74" s="686"/>
      <c r="AL74" s="686">
        <v>0</v>
      </c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>
        <v>25857</v>
      </c>
      <c r="BF74" s="686">
        <v>10345</v>
      </c>
      <c r="BG74" s="686">
        <v>14500</v>
      </c>
      <c r="BH74" s="686"/>
      <c r="BI74" s="686"/>
      <c r="BJ74" s="686"/>
      <c r="BK74" s="686"/>
      <c r="BL74" s="686"/>
      <c r="BM74" s="686"/>
      <c r="BN74" s="686"/>
      <c r="BO74" s="686"/>
      <c r="BP74" s="686"/>
      <c r="BQ74" s="686">
        <v>3825</v>
      </c>
      <c r="BR74" s="686">
        <v>425</v>
      </c>
      <c r="BS74" s="686"/>
      <c r="BT74" s="686"/>
      <c r="BU74" s="686"/>
      <c r="BV74" s="686"/>
      <c r="BW74" s="686"/>
      <c r="BX74" s="686"/>
      <c r="BY74" s="686"/>
      <c r="BZ74" s="686"/>
      <c r="CA74" s="686"/>
      <c r="CB74" s="45">
        <f t="shared" si="113"/>
        <v>430363.30000000005</v>
      </c>
      <c r="CC74" s="46">
        <f t="shared" si="114"/>
        <v>43789</v>
      </c>
      <c r="CD74" s="47">
        <f t="shared" si="115"/>
        <v>341283</v>
      </c>
      <c r="CE74" s="62"/>
      <c r="CF74" s="237" t="str">
        <f>VLOOKUP(A74,labo!B:C,2,FALSE)</f>
        <v>pharmacie</v>
      </c>
      <c r="CG74" s="106">
        <f t="shared" si="116"/>
        <v>0</v>
      </c>
      <c r="CH74" s="40"/>
      <c r="CI74" s="51"/>
      <c r="CJ74" s="40"/>
      <c r="CK74" s="499" t="str">
        <f t="shared" si="111"/>
        <v>P085700198861P</v>
      </c>
      <c r="CL74" s="500">
        <f t="shared" si="112"/>
        <v>0</v>
      </c>
    </row>
    <row r="75" spans="1:91" s="497" customFormat="1">
      <c r="A75" s="478" t="s">
        <v>381</v>
      </c>
      <c r="B75" s="479" t="s">
        <v>585</v>
      </c>
      <c r="C75" s="479" t="s">
        <v>1437</v>
      </c>
      <c r="D75" s="683"/>
      <c r="E75" s="683"/>
      <c r="F75" s="684"/>
      <c r="G75" s="685">
        <v>0</v>
      </c>
      <c r="H75" s="684"/>
      <c r="I75" s="684"/>
      <c r="J75" s="686">
        <v>23770</v>
      </c>
      <c r="K75" s="686"/>
      <c r="L75" s="685">
        <v>237.70000000000002</v>
      </c>
      <c r="M75" s="685">
        <v>1473.74</v>
      </c>
      <c r="N75" s="685">
        <v>665.56000000000006</v>
      </c>
      <c r="O75" s="685">
        <v>84579</v>
      </c>
      <c r="P75" s="685"/>
      <c r="Q75" s="685"/>
      <c r="R75" s="685">
        <v>845.79</v>
      </c>
      <c r="S75" s="685">
        <v>5243.8980000000001</v>
      </c>
      <c r="T75" s="685">
        <v>2368.212</v>
      </c>
      <c r="U75" s="685"/>
      <c r="V75" s="685"/>
      <c r="W75" s="685"/>
      <c r="X75" s="685"/>
      <c r="Y75" s="685"/>
      <c r="Z75" s="685"/>
      <c r="AA75" s="685"/>
      <c r="AB75" s="685">
        <v>0</v>
      </c>
      <c r="AC75" s="685">
        <v>0</v>
      </c>
      <c r="AD75" s="685">
        <v>0</v>
      </c>
      <c r="AE75" s="686"/>
      <c r="AF75" s="686"/>
      <c r="AG75" s="686"/>
      <c r="AH75" s="686"/>
      <c r="AI75" s="686"/>
      <c r="AJ75" s="686"/>
      <c r="AK75" s="686"/>
      <c r="AL75" s="686">
        <v>0</v>
      </c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>
        <v>3450</v>
      </c>
      <c r="BF75" s="686">
        <v>2300</v>
      </c>
      <c r="BG75" s="686"/>
      <c r="BH75" s="686"/>
      <c r="BI75" s="686"/>
      <c r="BJ75" s="686"/>
      <c r="BK75" s="686"/>
      <c r="BL75" s="686"/>
      <c r="BM75" s="686"/>
      <c r="BN75" s="686"/>
      <c r="BO75" s="686"/>
      <c r="BP75" s="686"/>
      <c r="BQ75" s="686"/>
      <c r="BR75" s="686">
        <v>0</v>
      </c>
      <c r="BS75" s="686"/>
      <c r="BT75" s="686"/>
      <c r="BU75" s="686"/>
      <c r="BV75" s="686"/>
      <c r="BW75" s="686"/>
      <c r="BX75" s="686"/>
      <c r="BY75" s="686"/>
      <c r="BZ75" s="686"/>
      <c r="CA75" s="686"/>
      <c r="CB75" s="45">
        <f t="shared" si="113"/>
        <v>124933.9</v>
      </c>
      <c r="CC75" s="46">
        <f t="shared" si="114"/>
        <v>0</v>
      </c>
      <c r="CD75" s="47">
        <f t="shared" si="115"/>
        <v>108349</v>
      </c>
      <c r="CE75" s="62"/>
      <c r="CF75" s="237" t="str">
        <f>VLOOKUP(A75,labo!B:C,2,FALSE)</f>
        <v>pharmacie</v>
      </c>
      <c r="CG75" s="106">
        <f t="shared" si="116"/>
        <v>0</v>
      </c>
      <c r="CH75" s="40"/>
      <c r="CI75" s="51"/>
      <c r="CJ75" s="40"/>
      <c r="CK75" s="499" t="str">
        <f t="shared" si="111"/>
        <v>P058412620331A</v>
      </c>
      <c r="CL75" s="500">
        <f t="shared" si="112"/>
        <v>0</v>
      </c>
    </row>
    <row r="76" spans="1:91" s="497" customFormat="1">
      <c r="A76" s="479" t="s">
        <v>382</v>
      </c>
      <c r="B76" s="479" t="s">
        <v>605</v>
      </c>
      <c r="C76" s="479" t="s">
        <v>1437</v>
      </c>
      <c r="D76" s="683"/>
      <c r="E76" s="683"/>
      <c r="F76" s="684"/>
      <c r="G76" s="685">
        <v>0</v>
      </c>
      <c r="H76" s="684"/>
      <c r="I76" s="684"/>
      <c r="J76" s="686">
        <v>49138</v>
      </c>
      <c r="K76" s="686"/>
      <c r="L76" s="685">
        <v>491.38</v>
      </c>
      <c r="M76" s="685">
        <v>3046.556</v>
      </c>
      <c r="N76" s="685">
        <v>1375.864</v>
      </c>
      <c r="O76" s="685">
        <v>29993</v>
      </c>
      <c r="P76" s="685"/>
      <c r="Q76" s="685"/>
      <c r="R76" s="685">
        <v>299.93</v>
      </c>
      <c r="S76" s="685">
        <v>1859.566</v>
      </c>
      <c r="T76" s="685">
        <v>839.80399999999997</v>
      </c>
      <c r="U76" s="685"/>
      <c r="V76" s="685"/>
      <c r="W76" s="685"/>
      <c r="X76" s="685"/>
      <c r="Y76" s="685"/>
      <c r="Z76" s="685"/>
      <c r="AA76" s="685"/>
      <c r="AB76" s="685">
        <v>0</v>
      </c>
      <c r="AC76" s="685">
        <v>0</v>
      </c>
      <c r="AD76" s="685">
        <v>0</v>
      </c>
      <c r="AE76" s="686"/>
      <c r="AF76" s="686"/>
      <c r="AG76" s="686"/>
      <c r="AH76" s="686"/>
      <c r="AI76" s="686"/>
      <c r="AJ76" s="686"/>
      <c r="AK76" s="686"/>
      <c r="AL76" s="686">
        <v>0</v>
      </c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>
        <v>1650</v>
      </c>
      <c r="BF76" s="686">
        <v>1100</v>
      </c>
      <c r="BG76" s="686">
        <v>550</v>
      </c>
      <c r="BH76" s="686"/>
      <c r="BI76" s="686"/>
      <c r="BJ76" s="686"/>
      <c r="BK76" s="686"/>
      <c r="BL76" s="686"/>
      <c r="BM76" s="686"/>
      <c r="BN76" s="686"/>
      <c r="BO76" s="686"/>
      <c r="BP76" s="686"/>
      <c r="BQ76" s="686"/>
      <c r="BR76" s="686">
        <v>0</v>
      </c>
      <c r="BS76" s="686"/>
      <c r="BT76" s="686"/>
      <c r="BU76" s="686"/>
      <c r="BV76" s="686"/>
      <c r="BW76" s="686"/>
      <c r="BX76" s="686"/>
      <c r="BY76" s="686"/>
      <c r="BZ76" s="686"/>
      <c r="CA76" s="686"/>
      <c r="CB76" s="45">
        <f t="shared" si="113"/>
        <v>90344.099999999991</v>
      </c>
      <c r="CC76" s="46">
        <f t="shared" si="114"/>
        <v>0</v>
      </c>
      <c r="CD76" s="47">
        <f t="shared" si="115"/>
        <v>79131</v>
      </c>
      <c r="CE76" s="62"/>
      <c r="CF76" s="237" t="str">
        <f>VLOOKUP(A76,labo!B:C,2,FALSE)</f>
        <v>quincaillerie</v>
      </c>
      <c r="CG76" s="106">
        <f t="shared" si="116"/>
        <v>0</v>
      </c>
      <c r="CH76" s="40"/>
      <c r="CI76" s="51"/>
      <c r="CJ76" s="40"/>
      <c r="CK76" s="499" t="str">
        <f t="shared" si="111"/>
        <v>P117500208494F</v>
      </c>
      <c r="CL76" s="500">
        <f t="shared" si="112"/>
        <v>0</v>
      </c>
    </row>
    <row r="77" spans="1:91" s="497" customFormat="1">
      <c r="A77" s="478" t="s">
        <v>609</v>
      </c>
      <c r="B77" s="479" t="s">
        <v>611</v>
      </c>
      <c r="C77" s="479" t="s">
        <v>1437</v>
      </c>
      <c r="D77" s="683"/>
      <c r="E77" s="683"/>
      <c r="F77" s="684"/>
      <c r="G77" s="685">
        <v>0</v>
      </c>
      <c r="H77" s="684"/>
      <c r="I77" s="684"/>
      <c r="J77" s="686">
        <v>10449</v>
      </c>
      <c r="K77" s="686"/>
      <c r="L77" s="685">
        <v>104.49000000000001</v>
      </c>
      <c r="M77" s="685">
        <v>647.83799999999997</v>
      </c>
      <c r="N77" s="685">
        <v>292.572</v>
      </c>
      <c r="O77" s="685">
        <v>51790</v>
      </c>
      <c r="P77" s="685"/>
      <c r="Q77" s="685"/>
      <c r="R77" s="685">
        <v>517.9</v>
      </c>
      <c r="S77" s="685">
        <v>3210.98</v>
      </c>
      <c r="T77" s="685">
        <v>1450.1200000000001</v>
      </c>
      <c r="U77" s="685"/>
      <c r="V77" s="685"/>
      <c r="W77" s="685">
        <v>11892</v>
      </c>
      <c r="X77" s="685"/>
      <c r="Y77" s="685"/>
      <c r="Z77" s="685"/>
      <c r="AA77" s="685"/>
      <c r="AB77" s="685">
        <v>118.92</v>
      </c>
      <c r="AC77" s="685">
        <v>737.30399999999997</v>
      </c>
      <c r="AD77" s="685">
        <v>332.976</v>
      </c>
      <c r="AE77" s="686"/>
      <c r="AF77" s="686"/>
      <c r="AG77" s="686"/>
      <c r="AH77" s="686"/>
      <c r="AI77" s="686"/>
      <c r="AJ77" s="686"/>
      <c r="AK77" s="686"/>
      <c r="AL77" s="686">
        <v>0</v>
      </c>
      <c r="AM77" s="686"/>
      <c r="AN77" s="686"/>
      <c r="AO77" s="686"/>
      <c r="AP77" s="686"/>
      <c r="AQ77" s="686"/>
      <c r="AR77" s="686"/>
      <c r="AS77" s="686"/>
      <c r="AT77" s="686"/>
      <c r="AU77" s="686"/>
      <c r="AV77" s="686"/>
      <c r="AW77" s="686"/>
      <c r="AX77" s="686"/>
      <c r="AY77" s="686"/>
      <c r="AZ77" s="686"/>
      <c r="BA77" s="686"/>
      <c r="BB77" s="686"/>
      <c r="BC77" s="686"/>
      <c r="BD77" s="686"/>
      <c r="BE77" s="686">
        <v>11225</v>
      </c>
      <c r="BF77" s="686">
        <v>4650</v>
      </c>
      <c r="BG77" s="686">
        <v>4200</v>
      </c>
      <c r="BH77" s="686"/>
      <c r="BI77" s="686"/>
      <c r="BJ77" s="686"/>
      <c r="BK77" s="686"/>
      <c r="BL77" s="686"/>
      <c r="BM77" s="686"/>
      <c r="BN77" s="686"/>
      <c r="BO77" s="686"/>
      <c r="BP77" s="686"/>
      <c r="BQ77" s="686">
        <v>2250</v>
      </c>
      <c r="BR77" s="686">
        <v>250</v>
      </c>
      <c r="BS77" s="686"/>
      <c r="BT77" s="686"/>
      <c r="BU77" s="686"/>
      <c r="BV77" s="686"/>
      <c r="BW77" s="686"/>
      <c r="BX77" s="686"/>
      <c r="BY77" s="686"/>
      <c r="BZ77" s="686"/>
      <c r="CA77" s="686"/>
      <c r="CB77" s="45">
        <f t="shared" si="113"/>
        <v>104119.09999999999</v>
      </c>
      <c r="CC77" s="46">
        <f t="shared" si="114"/>
        <v>11892</v>
      </c>
      <c r="CD77" s="47">
        <f t="shared" si="115"/>
        <v>74131</v>
      </c>
      <c r="CE77" s="62"/>
      <c r="CF77" s="237" t="str">
        <f>VLOOKUP(A77,labo!B:C,2,FALSE)</f>
        <v>pharmacie</v>
      </c>
      <c r="CG77" s="106">
        <f t="shared" si="116"/>
        <v>0</v>
      </c>
      <c r="CH77" s="40"/>
      <c r="CI77" s="51"/>
      <c r="CJ77" s="40"/>
      <c r="CK77" s="499" t="str">
        <f t="shared" si="111"/>
        <v>P106300199701Z</v>
      </c>
      <c r="CL77" s="500">
        <f t="shared" si="112"/>
        <v>0</v>
      </c>
    </row>
    <row r="78" spans="1:91" s="497" customFormat="1">
      <c r="A78" s="478" t="s">
        <v>2199</v>
      </c>
      <c r="B78" s="479" t="s">
        <v>2213</v>
      </c>
      <c r="C78" s="479" t="s">
        <v>1437</v>
      </c>
      <c r="D78" s="683"/>
      <c r="E78" s="683"/>
      <c r="F78" s="684"/>
      <c r="G78" s="685">
        <v>0</v>
      </c>
      <c r="H78" s="684"/>
      <c r="I78" s="684"/>
      <c r="J78" s="686">
        <v>56700</v>
      </c>
      <c r="K78" s="686"/>
      <c r="L78" s="685">
        <v>567</v>
      </c>
      <c r="M78" s="685">
        <v>3515.4</v>
      </c>
      <c r="N78" s="685">
        <v>1587.6000000000001</v>
      </c>
      <c r="O78" s="685">
        <v>35937</v>
      </c>
      <c r="P78" s="685"/>
      <c r="Q78" s="685"/>
      <c r="R78" s="685">
        <v>359.37</v>
      </c>
      <c r="S78" s="685">
        <v>2228.0940000000001</v>
      </c>
      <c r="T78" s="685">
        <v>1006.236</v>
      </c>
      <c r="U78" s="685"/>
      <c r="V78" s="685"/>
      <c r="W78" s="685"/>
      <c r="X78" s="685"/>
      <c r="Y78" s="685"/>
      <c r="Z78" s="685"/>
      <c r="AA78" s="685"/>
      <c r="AB78" s="685">
        <v>0</v>
      </c>
      <c r="AC78" s="685">
        <v>0</v>
      </c>
      <c r="AD78" s="685">
        <v>0</v>
      </c>
      <c r="AE78" s="686"/>
      <c r="AF78" s="686"/>
      <c r="AG78" s="686">
        <v>1</v>
      </c>
      <c r="AH78" s="686"/>
      <c r="AI78" s="686"/>
      <c r="AJ78" s="686"/>
      <c r="AK78" s="686"/>
      <c r="AL78" s="686">
        <v>0</v>
      </c>
      <c r="AM78" s="686"/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6"/>
      <c r="BL78" s="686"/>
      <c r="BM78" s="686"/>
      <c r="BN78" s="686"/>
      <c r="BO78" s="686"/>
      <c r="BP78" s="686"/>
      <c r="BQ78" s="686"/>
      <c r="BR78" s="686">
        <v>0</v>
      </c>
      <c r="BS78" s="686"/>
      <c r="BT78" s="686"/>
      <c r="BU78" s="686"/>
      <c r="BV78" s="686"/>
      <c r="BW78" s="686"/>
      <c r="BX78" s="686"/>
      <c r="BY78" s="686"/>
      <c r="BZ78" s="686"/>
      <c r="CA78" s="686"/>
      <c r="CB78" s="45">
        <f t="shared" si="113"/>
        <v>101901.7</v>
      </c>
      <c r="CC78" s="46">
        <f t="shared" si="114"/>
        <v>1</v>
      </c>
      <c r="CD78" s="47">
        <f t="shared" si="115"/>
        <v>92638</v>
      </c>
      <c r="CE78" s="62"/>
      <c r="CF78" s="237" t="str">
        <f>VLOOKUP(A78,labo!B:C,2,FALSE)</f>
        <v>vente bh</v>
      </c>
      <c r="CG78" s="106">
        <f t="shared" si="116"/>
        <v>0</v>
      </c>
      <c r="CH78" s="40"/>
      <c r="CI78" s="51"/>
      <c r="CJ78" s="40"/>
      <c r="CK78" s="499" t="str">
        <f t="shared" si="111"/>
        <v>P016011917808A</v>
      </c>
      <c r="CL78" s="500">
        <f t="shared" si="112"/>
        <v>0</v>
      </c>
    </row>
    <row r="79" spans="1:91" s="497" customFormat="1">
      <c r="A79" s="478" t="s">
        <v>302</v>
      </c>
      <c r="B79" s="479" t="s">
        <v>619</v>
      </c>
      <c r="C79" s="479" t="s">
        <v>1437</v>
      </c>
      <c r="D79" s="683"/>
      <c r="E79" s="683"/>
      <c r="F79" s="684"/>
      <c r="G79" s="685">
        <v>0</v>
      </c>
      <c r="H79" s="684"/>
      <c r="I79" s="684"/>
      <c r="J79" s="686">
        <v>318174</v>
      </c>
      <c r="K79" s="686"/>
      <c r="L79" s="685">
        <v>3181.7400000000002</v>
      </c>
      <c r="M79" s="685">
        <v>19726.788</v>
      </c>
      <c r="N79" s="685">
        <v>8908.8719999999994</v>
      </c>
      <c r="O79" s="685">
        <v>172395</v>
      </c>
      <c r="P79" s="685"/>
      <c r="Q79" s="685"/>
      <c r="R79" s="685">
        <v>1723.95</v>
      </c>
      <c r="S79" s="685">
        <v>10688.49</v>
      </c>
      <c r="T79" s="685">
        <v>4827.0600000000004</v>
      </c>
      <c r="U79" s="685"/>
      <c r="V79" s="685"/>
      <c r="W79" s="685">
        <v>8866</v>
      </c>
      <c r="X79" s="685"/>
      <c r="Y79" s="685"/>
      <c r="Z79" s="685"/>
      <c r="AA79" s="685"/>
      <c r="AB79" s="685">
        <v>88.66</v>
      </c>
      <c r="AC79" s="685">
        <v>549.69200000000001</v>
      </c>
      <c r="AD79" s="685">
        <v>248.24800000000002</v>
      </c>
      <c r="AE79" s="686">
        <v>1026611</v>
      </c>
      <c r="AF79" s="686"/>
      <c r="AG79" s="686">
        <v>33750</v>
      </c>
      <c r="AH79" s="686"/>
      <c r="AI79" s="686"/>
      <c r="AJ79" s="686"/>
      <c r="AK79" s="686"/>
      <c r="AL79" s="686">
        <v>0</v>
      </c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>
        <v>28454</v>
      </c>
      <c r="BF79" s="686">
        <v>13856</v>
      </c>
      <c r="BG79" s="686">
        <v>9900</v>
      </c>
      <c r="BH79" s="686"/>
      <c r="BI79" s="686"/>
      <c r="BJ79" s="686"/>
      <c r="BK79" s="686"/>
      <c r="BL79" s="686"/>
      <c r="BM79" s="686"/>
      <c r="BN79" s="686"/>
      <c r="BO79" s="686"/>
      <c r="BP79" s="686"/>
      <c r="BQ79" s="686">
        <v>3375</v>
      </c>
      <c r="BR79" s="686">
        <v>375</v>
      </c>
      <c r="BS79" s="686"/>
      <c r="BT79" s="686"/>
      <c r="BU79" s="686"/>
      <c r="BV79" s="686"/>
      <c r="BW79" s="686"/>
      <c r="BX79" s="686"/>
      <c r="BY79" s="686"/>
      <c r="BZ79" s="686"/>
      <c r="CA79" s="686"/>
      <c r="CB79" s="45">
        <f t="shared" si="113"/>
        <v>1665699.5</v>
      </c>
      <c r="CC79" s="46">
        <f t="shared" si="114"/>
        <v>1069227</v>
      </c>
      <c r="CD79" s="47">
        <f t="shared" si="115"/>
        <v>1559796</v>
      </c>
      <c r="CE79" s="62"/>
      <c r="CF79" s="237" t="str">
        <f>VLOOKUP(A79,labo!B:C,2,FALSE)</f>
        <v>vente bh</v>
      </c>
      <c r="CG79" s="106">
        <f t="shared" si="116"/>
        <v>0</v>
      </c>
      <c r="CH79" s="40"/>
      <c r="CI79" s="51"/>
      <c r="CJ79" s="40"/>
      <c r="CK79" s="499" t="str">
        <f t="shared" si="111"/>
        <v>P127300188772Q</v>
      </c>
      <c r="CL79" s="500">
        <f t="shared" si="112"/>
        <v>0</v>
      </c>
    </row>
    <row r="80" spans="1:91">
      <c r="A80" s="478" t="s">
        <v>1570</v>
      </c>
      <c r="B80" s="479" t="s">
        <v>621</v>
      </c>
      <c r="C80" s="479" t="s">
        <v>1437</v>
      </c>
      <c r="D80" s="683"/>
      <c r="E80" s="683"/>
      <c r="F80" s="684"/>
      <c r="G80" s="685">
        <v>0</v>
      </c>
      <c r="H80" s="684"/>
      <c r="I80" s="684"/>
      <c r="J80" s="686">
        <v>95950</v>
      </c>
      <c r="K80" s="686"/>
      <c r="L80" s="685">
        <v>959.5</v>
      </c>
      <c r="M80" s="685">
        <v>5948.9</v>
      </c>
      <c r="N80" s="685">
        <v>2686.6</v>
      </c>
      <c r="O80" s="685">
        <v>18685</v>
      </c>
      <c r="P80" s="685"/>
      <c r="Q80" s="685"/>
      <c r="R80" s="685">
        <v>186.85</v>
      </c>
      <c r="S80" s="685">
        <v>1158.47</v>
      </c>
      <c r="T80" s="685">
        <v>523.18000000000006</v>
      </c>
      <c r="U80" s="685"/>
      <c r="V80" s="685"/>
      <c r="W80" s="685">
        <v>110</v>
      </c>
      <c r="X80" s="685"/>
      <c r="Y80" s="685"/>
      <c r="Z80" s="685"/>
      <c r="AA80" s="685"/>
      <c r="AB80" s="685">
        <v>1.1000000000000001</v>
      </c>
      <c r="AC80" s="685">
        <v>6.82</v>
      </c>
      <c r="AD80" s="685">
        <v>3.08</v>
      </c>
      <c r="AE80" s="686"/>
      <c r="AF80" s="686"/>
      <c r="AG80" s="686"/>
      <c r="AH80" s="686"/>
      <c r="AI80" s="686"/>
      <c r="AJ80" s="686"/>
      <c r="AK80" s="686"/>
      <c r="AL80" s="686">
        <v>0</v>
      </c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>
        <v>4869</v>
      </c>
      <c r="BF80" s="686">
        <v>2815</v>
      </c>
      <c r="BG80" s="686">
        <v>750</v>
      </c>
      <c r="BH80" s="686"/>
      <c r="BI80" s="686"/>
      <c r="BJ80" s="686"/>
      <c r="BK80" s="686"/>
      <c r="BL80" s="686"/>
      <c r="BM80" s="686"/>
      <c r="BN80" s="686"/>
      <c r="BO80" s="686"/>
      <c r="BP80" s="686"/>
      <c r="BQ80" s="686">
        <v>225</v>
      </c>
      <c r="BR80" s="686">
        <v>25</v>
      </c>
      <c r="BS80" s="686"/>
      <c r="BT80" s="686"/>
      <c r="BU80" s="686"/>
      <c r="BV80" s="686"/>
      <c r="BW80" s="686"/>
      <c r="BX80" s="686"/>
      <c r="BY80" s="686"/>
      <c r="BZ80" s="686"/>
      <c r="CA80" s="686"/>
      <c r="CB80" s="45">
        <f t="shared" si="113"/>
        <v>134903.5</v>
      </c>
      <c r="CC80" s="46">
        <f t="shared" si="114"/>
        <v>110</v>
      </c>
      <c r="CD80" s="47">
        <f t="shared" si="115"/>
        <v>114745</v>
      </c>
      <c r="CE80" s="62"/>
      <c r="CF80" s="237" t="str">
        <f>VLOOKUP(A80,labo!B:C,2,FALSE)</f>
        <v>quincaillerie</v>
      </c>
      <c r="CG80" s="106">
        <f t="shared" si="116"/>
        <v>0</v>
      </c>
      <c r="CI80" s="51"/>
      <c r="CK80" s="251" t="str">
        <f t="shared" si="111"/>
        <v>P086900197018F</v>
      </c>
      <c r="CL80" s="323">
        <f t="shared" si="112"/>
        <v>0</v>
      </c>
      <c r="CM80" s="40"/>
    </row>
    <row r="81" spans="1:95" s="497" customFormat="1">
      <c r="A81" s="479" t="s">
        <v>663</v>
      </c>
      <c r="B81" s="479" t="s">
        <v>665</v>
      </c>
      <c r="C81" s="479" t="s">
        <v>1437</v>
      </c>
      <c r="D81" s="683"/>
      <c r="E81" s="683"/>
      <c r="F81" s="684"/>
      <c r="G81" s="685">
        <v>0</v>
      </c>
      <c r="H81" s="684"/>
      <c r="I81" s="684"/>
      <c r="J81" s="686">
        <v>136318</v>
      </c>
      <c r="K81" s="686"/>
      <c r="L81" s="685">
        <v>1363.18</v>
      </c>
      <c r="M81" s="685">
        <v>8451.7160000000003</v>
      </c>
      <c r="N81" s="685">
        <v>3816.904</v>
      </c>
      <c r="O81" s="685">
        <v>167195</v>
      </c>
      <c r="P81" s="685"/>
      <c r="Q81" s="685"/>
      <c r="R81" s="685">
        <v>1671.95</v>
      </c>
      <c r="S81" s="685">
        <v>10366.09</v>
      </c>
      <c r="T81" s="685">
        <v>4681.46</v>
      </c>
      <c r="U81" s="685"/>
      <c r="V81" s="685"/>
      <c r="W81" s="685">
        <v>20902</v>
      </c>
      <c r="X81" s="685"/>
      <c r="Y81" s="685"/>
      <c r="Z81" s="685"/>
      <c r="AA81" s="685"/>
      <c r="AB81" s="685">
        <v>209.02</v>
      </c>
      <c r="AC81" s="685">
        <v>1295.924</v>
      </c>
      <c r="AD81" s="685">
        <v>585.25599999999997</v>
      </c>
      <c r="AE81" s="686"/>
      <c r="AF81" s="686"/>
      <c r="AG81" s="686">
        <v>11250</v>
      </c>
      <c r="AH81" s="686"/>
      <c r="AI81" s="686"/>
      <c r="AJ81" s="686"/>
      <c r="AK81" s="686"/>
      <c r="AL81" s="686">
        <v>0</v>
      </c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>
        <v>14274</v>
      </c>
      <c r="BF81" s="686">
        <v>5710</v>
      </c>
      <c r="BG81" s="686">
        <v>2313</v>
      </c>
      <c r="BH81" s="686"/>
      <c r="BI81" s="686"/>
      <c r="BJ81" s="686"/>
      <c r="BK81" s="686"/>
      <c r="BL81" s="686"/>
      <c r="BM81" s="686"/>
      <c r="BN81" s="686"/>
      <c r="BO81" s="686"/>
      <c r="BP81" s="686"/>
      <c r="BQ81" s="686">
        <v>2835</v>
      </c>
      <c r="BR81" s="686">
        <v>315</v>
      </c>
      <c r="BS81" s="686"/>
      <c r="BT81" s="686"/>
      <c r="BU81" s="686"/>
      <c r="BV81" s="686"/>
      <c r="BW81" s="686"/>
      <c r="BX81" s="686"/>
      <c r="BY81" s="686"/>
      <c r="BZ81" s="686"/>
      <c r="CA81" s="686"/>
      <c r="CB81" s="45">
        <f t="shared" si="113"/>
        <v>393553.50000000012</v>
      </c>
      <c r="CC81" s="46">
        <f t="shared" si="114"/>
        <v>32152</v>
      </c>
      <c r="CD81" s="47">
        <f t="shared" si="115"/>
        <v>335665</v>
      </c>
      <c r="CE81" s="62"/>
      <c r="CF81" s="237" t="str">
        <f>VLOOKUP(A81,labo!B:C,2,FALSE)</f>
        <v>pharmacie</v>
      </c>
      <c r="CG81" s="106">
        <f t="shared" si="116"/>
        <v>0</v>
      </c>
      <c r="CH81" s="40"/>
      <c r="CI81" s="51"/>
      <c r="CJ81" s="40"/>
      <c r="CK81" s="499" t="str">
        <f>+B81</f>
        <v>P055712104133E</v>
      </c>
      <c r="CL81" s="500">
        <f t="shared" si="112"/>
        <v>0</v>
      </c>
    </row>
    <row r="82" spans="1:95" s="497" customFormat="1">
      <c r="A82" s="479" t="s">
        <v>676</v>
      </c>
      <c r="B82" s="479" t="s">
        <v>678</v>
      </c>
      <c r="C82" s="479" t="s">
        <v>1437</v>
      </c>
      <c r="D82" s="683"/>
      <c r="E82" s="683"/>
      <c r="F82" s="684"/>
      <c r="G82" s="685">
        <v>0</v>
      </c>
      <c r="H82" s="684"/>
      <c r="I82" s="684"/>
      <c r="J82" s="686">
        <v>45960</v>
      </c>
      <c r="K82" s="686"/>
      <c r="L82" s="685">
        <v>459.6</v>
      </c>
      <c r="M82" s="685">
        <v>2849.52</v>
      </c>
      <c r="N82" s="685">
        <v>1286.8800000000001</v>
      </c>
      <c r="O82" s="685">
        <v>38220</v>
      </c>
      <c r="P82" s="685"/>
      <c r="Q82" s="685"/>
      <c r="R82" s="685">
        <v>382.2</v>
      </c>
      <c r="S82" s="685">
        <v>2369.64</v>
      </c>
      <c r="T82" s="685">
        <v>1070.1600000000001</v>
      </c>
      <c r="U82" s="685"/>
      <c r="V82" s="685"/>
      <c r="W82" s="685"/>
      <c r="X82" s="685"/>
      <c r="Y82" s="685"/>
      <c r="Z82" s="685"/>
      <c r="AA82" s="685"/>
      <c r="AB82" s="685">
        <v>0</v>
      </c>
      <c r="AC82" s="685">
        <v>0</v>
      </c>
      <c r="AD82" s="685">
        <v>0</v>
      </c>
      <c r="AE82" s="686"/>
      <c r="AF82" s="686"/>
      <c r="AG82" s="686"/>
      <c r="AH82" s="686"/>
      <c r="AI82" s="686"/>
      <c r="AJ82" s="686"/>
      <c r="AK82" s="686"/>
      <c r="AL82" s="686">
        <v>0</v>
      </c>
      <c r="AM82" s="686"/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6"/>
      <c r="BL82" s="686"/>
      <c r="BM82" s="686"/>
      <c r="BN82" s="686"/>
      <c r="BO82" s="686"/>
      <c r="BP82" s="686"/>
      <c r="BQ82" s="686"/>
      <c r="BR82" s="686">
        <v>0</v>
      </c>
      <c r="BS82" s="686"/>
      <c r="BT82" s="686"/>
      <c r="BU82" s="686"/>
      <c r="BV82" s="686"/>
      <c r="BW82" s="686"/>
      <c r="BX82" s="686"/>
      <c r="BY82" s="686"/>
      <c r="BZ82" s="686"/>
      <c r="CA82" s="686"/>
      <c r="CB82" s="45">
        <f t="shared" si="113"/>
        <v>92598</v>
      </c>
      <c r="CC82" s="46">
        <f t="shared" si="114"/>
        <v>0</v>
      </c>
      <c r="CD82" s="47">
        <f t="shared" si="115"/>
        <v>84180</v>
      </c>
      <c r="CE82" s="62"/>
      <c r="CF82" s="237" t="str">
        <f>VLOOKUP(A82,labo!B:C,2,FALSE)</f>
        <v>vente bh</v>
      </c>
      <c r="CG82" s="106">
        <f t="shared" si="116"/>
        <v>0</v>
      </c>
      <c r="CH82" s="40"/>
      <c r="CI82" s="51"/>
      <c r="CJ82" s="40"/>
      <c r="CK82" s="499" t="str">
        <f t="shared" si="111"/>
        <v>P076600324432B</v>
      </c>
      <c r="CL82" s="500">
        <f t="shared" si="112"/>
        <v>0</v>
      </c>
    </row>
    <row r="83" spans="1:95" s="497" customFormat="1">
      <c r="A83" s="478" t="s">
        <v>2341</v>
      </c>
      <c r="B83" s="479" t="s">
        <v>2511</v>
      </c>
      <c r="C83" s="479" t="s">
        <v>1437</v>
      </c>
      <c r="D83" s="683"/>
      <c r="E83" s="683"/>
      <c r="F83" s="684"/>
      <c r="G83" s="685">
        <v>0</v>
      </c>
      <c r="H83" s="684"/>
      <c r="I83" s="684"/>
      <c r="J83" s="686">
        <v>17500</v>
      </c>
      <c r="K83" s="686"/>
      <c r="L83" s="685">
        <v>175</v>
      </c>
      <c r="M83" s="685">
        <v>1085</v>
      </c>
      <c r="N83" s="685">
        <v>490</v>
      </c>
      <c r="O83" s="685">
        <v>12000</v>
      </c>
      <c r="P83" s="685"/>
      <c r="Q83" s="685"/>
      <c r="R83" s="685">
        <v>120</v>
      </c>
      <c r="S83" s="685">
        <v>744</v>
      </c>
      <c r="T83" s="685">
        <v>336</v>
      </c>
      <c r="U83" s="685"/>
      <c r="V83" s="685"/>
      <c r="W83" s="685"/>
      <c r="X83" s="685"/>
      <c r="Y83" s="685"/>
      <c r="Z83" s="685"/>
      <c r="AA83" s="685"/>
      <c r="AB83" s="685">
        <v>0</v>
      </c>
      <c r="AC83" s="685">
        <v>0</v>
      </c>
      <c r="AD83" s="685">
        <v>0</v>
      </c>
      <c r="AE83" s="686"/>
      <c r="AF83" s="686"/>
      <c r="AG83" s="686"/>
      <c r="AH83" s="686"/>
      <c r="AI83" s="686"/>
      <c r="AJ83" s="686"/>
      <c r="AK83" s="686"/>
      <c r="AL83" s="686">
        <v>0</v>
      </c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>
        <v>1250</v>
      </c>
      <c r="BF83" s="686">
        <v>500</v>
      </c>
      <c r="BG83" s="686"/>
      <c r="BH83" s="686"/>
      <c r="BI83" s="686"/>
      <c r="BJ83" s="686"/>
      <c r="BK83" s="686"/>
      <c r="BL83" s="686"/>
      <c r="BM83" s="686"/>
      <c r="BN83" s="686"/>
      <c r="BO83" s="686"/>
      <c r="BP83" s="686"/>
      <c r="BQ83" s="686"/>
      <c r="BR83" s="686">
        <v>0</v>
      </c>
      <c r="BS83" s="686"/>
      <c r="BT83" s="686"/>
      <c r="BU83" s="686"/>
      <c r="BV83" s="686"/>
      <c r="BW83" s="686"/>
      <c r="BX83" s="686"/>
      <c r="BY83" s="686"/>
      <c r="BZ83" s="686"/>
      <c r="CA83" s="686"/>
      <c r="CB83" s="45">
        <f t="shared" si="113"/>
        <v>34200</v>
      </c>
      <c r="CC83" s="46">
        <f t="shared" si="114"/>
        <v>0</v>
      </c>
      <c r="CD83" s="47">
        <f t="shared" si="115"/>
        <v>29500</v>
      </c>
      <c r="CE83" s="62"/>
      <c r="CF83" s="237" t="str">
        <f>VLOOKUP(A83,labo!B:C,2,FALSE)</f>
        <v>autres CG</v>
      </c>
      <c r="CG83" s="106">
        <f t="shared" si="116"/>
        <v>0</v>
      </c>
      <c r="CH83" s="40"/>
      <c r="CI83" s="51"/>
      <c r="CJ83" s="40"/>
      <c r="CK83" s="499" t="str">
        <f t="shared" si="111"/>
        <v>P017214378780G</v>
      </c>
      <c r="CL83" s="500">
        <f t="shared" si="112"/>
        <v>0</v>
      </c>
    </row>
    <row r="84" spans="1:95" s="497" customFormat="1">
      <c r="A84" s="478" t="s">
        <v>701</v>
      </c>
      <c r="B84" s="479" t="s">
        <v>702</v>
      </c>
      <c r="C84" s="479" t="s">
        <v>1437</v>
      </c>
      <c r="D84" s="683"/>
      <c r="E84" s="683"/>
      <c r="F84" s="684"/>
      <c r="G84" s="685">
        <v>0</v>
      </c>
      <c r="H84" s="684"/>
      <c r="I84" s="684"/>
      <c r="J84" s="686">
        <v>26383</v>
      </c>
      <c r="K84" s="686"/>
      <c r="L84" s="685">
        <v>263.83</v>
      </c>
      <c r="M84" s="685">
        <v>1635.7460000000001</v>
      </c>
      <c r="N84" s="685">
        <v>738.72400000000005</v>
      </c>
      <c r="O84" s="685">
        <v>5213</v>
      </c>
      <c r="P84" s="685"/>
      <c r="Q84" s="685"/>
      <c r="R84" s="685">
        <v>52.13</v>
      </c>
      <c r="S84" s="685">
        <v>323.20600000000002</v>
      </c>
      <c r="T84" s="685">
        <v>145.964</v>
      </c>
      <c r="U84" s="685"/>
      <c r="V84" s="685"/>
      <c r="W84" s="685"/>
      <c r="X84" s="685"/>
      <c r="Y84" s="685"/>
      <c r="Z84" s="685"/>
      <c r="AA84" s="685"/>
      <c r="AB84" s="685">
        <v>0</v>
      </c>
      <c r="AC84" s="685">
        <v>0</v>
      </c>
      <c r="AD84" s="685">
        <v>0</v>
      </c>
      <c r="AE84" s="686"/>
      <c r="AF84" s="686"/>
      <c r="AG84" s="686"/>
      <c r="AH84" s="686"/>
      <c r="AI84" s="686"/>
      <c r="AJ84" s="686"/>
      <c r="AK84" s="686"/>
      <c r="AL84" s="686">
        <v>0</v>
      </c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6"/>
      <c r="BL84" s="686"/>
      <c r="BM84" s="686"/>
      <c r="BN84" s="686"/>
      <c r="BO84" s="686"/>
      <c r="BP84" s="686"/>
      <c r="BQ84" s="686"/>
      <c r="BR84" s="686">
        <v>0</v>
      </c>
      <c r="BS84" s="686"/>
      <c r="BT84" s="686"/>
      <c r="BU84" s="686"/>
      <c r="BV84" s="686"/>
      <c r="BW84" s="686"/>
      <c r="BX84" s="686"/>
      <c r="BY84" s="686"/>
      <c r="BZ84" s="686"/>
      <c r="CA84" s="686"/>
      <c r="CB84" s="45">
        <f t="shared" si="113"/>
        <v>34755.599999999999</v>
      </c>
      <c r="CC84" s="46">
        <f t="shared" si="114"/>
        <v>0</v>
      </c>
      <c r="CD84" s="47">
        <f t="shared" si="115"/>
        <v>31596</v>
      </c>
      <c r="CE84" s="62"/>
      <c r="CF84" s="237" t="str">
        <f>VLOOKUP(A84,labo!B:C,2,FALSE)</f>
        <v>vente bh</v>
      </c>
      <c r="CG84" s="106">
        <f t="shared" si="116"/>
        <v>0</v>
      </c>
      <c r="CH84" s="40"/>
      <c r="CI84" s="51"/>
      <c r="CJ84" s="40"/>
      <c r="CK84" s="499" t="str">
        <f t="shared" si="111"/>
        <v>P128100434597A</v>
      </c>
      <c r="CL84" s="500">
        <f t="shared" si="112"/>
        <v>0</v>
      </c>
    </row>
    <row r="85" spans="1:95" s="497" customFormat="1">
      <c r="A85" s="479" t="s">
        <v>270</v>
      </c>
      <c r="B85" s="479" t="s">
        <v>714</v>
      </c>
      <c r="C85" s="479" t="s">
        <v>1437</v>
      </c>
      <c r="D85" s="683"/>
      <c r="E85" s="683"/>
      <c r="F85" s="684"/>
      <c r="G85" s="685">
        <v>0</v>
      </c>
      <c r="H85" s="684"/>
      <c r="I85" s="684"/>
      <c r="J85" s="686">
        <v>38567</v>
      </c>
      <c r="K85" s="686"/>
      <c r="L85" s="685">
        <v>385.67</v>
      </c>
      <c r="M85" s="685">
        <v>2391.154</v>
      </c>
      <c r="N85" s="685">
        <v>1079.876</v>
      </c>
      <c r="O85" s="685">
        <v>121006</v>
      </c>
      <c r="P85" s="685"/>
      <c r="Q85" s="685"/>
      <c r="R85" s="685">
        <v>1210.06</v>
      </c>
      <c r="S85" s="685">
        <v>7502.3720000000003</v>
      </c>
      <c r="T85" s="685">
        <v>3388.1680000000001</v>
      </c>
      <c r="U85" s="685"/>
      <c r="V85" s="685"/>
      <c r="W85" s="685">
        <v>17604</v>
      </c>
      <c r="X85" s="685"/>
      <c r="Y85" s="685"/>
      <c r="Z85" s="685"/>
      <c r="AA85" s="685"/>
      <c r="AB85" s="685">
        <v>176.04</v>
      </c>
      <c r="AC85" s="685">
        <v>1091.4480000000001</v>
      </c>
      <c r="AD85" s="685">
        <v>492.91200000000003</v>
      </c>
      <c r="AE85" s="686"/>
      <c r="AF85" s="686"/>
      <c r="AG85" s="686">
        <v>112500</v>
      </c>
      <c r="AH85" s="686"/>
      <c r="AI85" s="686"/>
      <c r="AJ85" s="686"/>
      <c r="AK85" s="686"/>
      <c r="AL85" s="686">
        <v>0</v>
      </c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>
        <v>12750</v>
      </c>
      <c r="BF85" s="686">
        <v>5100</v>
      </c>
      <c r="BG85" s="686">
        <v>5400</v>
      </c>
      <c r="BH85" s="686"/>
      <c r="BI85" s="686"/>
      <c r="BJ85" s="686"/>
      <c r="BK85" s="686"/>
      <c r="BL85" s="686"/>
      <c r="BM85" s="686"/>
      <c r="BN85" s="686"/>
      <c r="BO85" s="686"/>
      <c r="BP85" s="686"/>
      <c r="BQ85" s="686">
        <v>2700</v>
      </c>
      <c r="BR85" s="686">
        <v>300</v>
      </c>
      <c r="BS85" s="686"/>
      <c r="BT85" s="686"/>
      <c r="BU85" s="686"/>
      <c r="BV85" s="686"/>
      <c r="BW85" s="686"/>
      <c r="BX85" s="686"/>
      <c r="BY85" s="686"/>
      <c r="BZ85" s="686"/>
      <c r="CA85" s="686"/>
      <c r="CB85" s="45">
        <f t="shared" si="113"/>
        <v>333644.70000000007</v>
      </c>
      <c r="CC85" s="46">
        <f t="shared" si="114"/>
        <v>130104</v>
      </c>
      <c r="CD85" s="47">
        <f t="shared" si="115"/>
        <v>289677</v>
      </c>
      <c r="CE85" s="62"/>
      <c r="CF85" s="237" t="str">
        <f>VLOOKUP(A85,labo!B:C,2,FALSE)</f>
        <v>pharmacie</v>
      </c>
      <c r="CG85" s="106">
        <f t="shared" si="116"/>
        <v>0</v>
      </c>
      <c r="CH85" s="40"/>
      <c r="CI85" s="51"/>
      <c r="CJ85" s="40"/>
      <c r="CK85" s="498"/>
      <c r="CL85" s="498"/>
      <c r="CM85" s="498"/>
      <c r="CN85" s="498"/>
      <c r="CO85" s="498"/>
      <c r="CP85" s="498"/>
      <c r="CQ85" s="498"/>
    </row>
    <row r="86" spans="1:95" s="497" customFormat="1">
      <c r="A86" s="478" t="s">
        <v>2347</v>
      </c>
      <c r="B86" s="687" t="s">
        <v>2040</v>
      </c>
      <c r="C86" s="479" t="s">
        <v>1437</v>
      </c>
      <c r="D86" s="683"/>
      <c r="E86" s="683"/>
      <c r="F86" s="684"/>
      <c r="G86" s="685">
        <v>0</v>
      </c>
      <c r="H86" s="684"/>
      <c r="I86" s="684"/>
      <c r="J86" s="686">
        <v>36932</v>
      </c>
      <c r="K86" s="686"/>
      <c r="L86" s="685">
        <v>369.32</v>
      </c>
      <c r="M86" s="685">
        <v>2289.7840000000001</v>
      </c>
      <c r="N86" s="685">
        <v>1034.096</v>
      </c>
      <c r="O86" s="685">
        <v>19043</v>
      </c>
      <c r="P86" s="685"/>
      <c r="Q86" s="685"/>
      <c r="R86" s="685">
        <v>190.43</v>
      </c>
      <c r="S86" s="685">
        <v>1180.6659999999999</v>
      </c>
      <c r="T86" s="685">
        <v>533.20400000000006</v>
      </c>
      <c r="U86" s="685"/>
      <c r="V86" s="685"/>
      <c r="W86" s="685"/>
      <c r="X86" s="685"/>
      <c r="Y86" s="685"/>
      <c r="Z86" s="685"/>
      <c r="AA86" s="685"/>
      <c r="AB86" s="685">
        <v>0</v>
      </c>
      <c r="AC86" s="685">
        <v>0</v>
      </c>
      <c r="AD86" s="685">
        <v>0</v>
      </c>
      <c r="AE86" s="686"/>
      <c r="AF86" s="686"/>
      <c r="AG86" s="686"/>
      <c r="AH86" s="686"/>
      <c r="AI86" s="686"/>
      <c r="AJ86" s="686"/>
      <c r="AK86" s="686"/>
      <c r="AL86" s="686">
        <v>0</v>
      </c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6"/>
      <c r="BL86" s="686"/>
      <c r="BM86" s="686"/>
      <c r="BN86" s="686"/>
      <c r="BO86" s="686"/>
      <c r="BP86" s="686"/>
      <c r="BQ86" s="686"/>
      <c r="BR86" s="686">
        <v>0</v>
      </c>
      <c r="BS86" s="686"/>
      <c r="BT86" s="686"/>
      <c r="BU86" s="686"/>
      <c r="BV86" s="686"/>
      <c r="BW86" s="686"/>
      <c r="BX86" s="686"/>
      <c r="BY86" s="686"/>
      <c r="BZ86" s="686"/>
      <c r="CA86" s="686"/>
      <c r="CB86" s="45">
        <f t="shared" si="113"/>
        <v>61572.499999999993</v>
      </c>
      <c r="CC86" s="46">
        <f t="shared" si="114"/>
        <v>0</v>
      </c>
      <c r="CD86" s="47">
        <f t="shared" si="115"/>
        <v>55975</v>
      </c>
      <c r="CE86" s="62"/>
      <c r="CF86" s="237" t="str">
        <f>VLOOKUP(A86,labo!B:C,2,FALSE)</f>
        <v>autres CG</v>
      </c>
      <c r="CG86" s="106">
        <f t="shared" si="116"/>
        <v>0</v>
      </c>
      <c r="CH86" s="40"/>
      <c r="CI86" s="51"/>
      <c r="CJ86" s="40"/>
      <c r="CK86" s="499" t="str">
        <f t="shared" si="111"/>
        <v>P017700539451R</v>
      </c>
      <c r="CL86" s="500">
        <f t="shared" si="112"/>
        <v>0</v>
      </c>
    </row>
    <row r="87" spans="1:95" s="497" customFormat="1">
      <c r="A87" s="478" t="s">
        <v>383</v>
      </c>
      <c r="B87" s="479" t="s">
        <v>721</v>
      </c>
      <c r="C87" s="479" t="s">
        <v>1437</v>
      </c>
      <c r="D87" s="683"/>
      <c r="E87" s="683"/>
      <c r="F87" s="684"/>
      <c r="G87" s="685">
        <v>0</v>
      </c>
      <c r="H87" s="684"/>
      <c r="I87" s="684"/>
      <c r="J87" s="686">
        <v>15587</v>
      </c>
      <c r="K87" s="686"/>
      <c r="L87" s="685">
        <v>155.87</v>
      </c>
      <c r="M87" s="685">
        <v>966.39400000000001</v>
      </c>
      <c r="N87" s="685">
        <v>436.43600000000004</v>
      </c>
      <c r="O87" s="685">
        <v>110692</v>
      </c>
      <c r="P87" s="685"/>
      <c r="Q87" s="685"/>
      <c r="R87" s="685">
        <v>1106.92</v>
      </c>
      <c r="S87" s="685">
        <v>6862.9039999999995</v>
      </c>
      <c r="T87" s="685">
        <v>3099.3760000000002</v>
      </c>
      <c r="U87" s="685"/>
      <c r="V87" s="685"/>
      <c r="W87" s="685">
        <v>33220</v>
      </c>
      <c r="X87" s="685"/>
      <c r="Y87" s="685"/>
      <c r="Z87" s="685"/>
      <c r="AA87" s="685"/>
      <c r="AB87" s="685">
        <v>332.2</v>
      </c>
      <c r="AC87" s="685">
        <v>2059.64</v>
      </c>
      <c r="AD87" s="685">
        <v>930.16</v>
      </c>
      <c r="AE87" s="686"/>
      <c r="AF87" s="686"/>
      <c r="AG87" s="686"/>
      <c r="AH87" s="686"/>
      <c r="AI87" s="686"/>
      <c r="AJ87" s="686"/>
      <c r="AK87" s="686"/>
      <c r="AL87" s="686">
        <v>0</v>
      </c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>
        <v>20537</v>
      </c>
      <c r="BF87" s="686">
        <v>8215</v>
      </c>
      <c r="BG87" s="686">
        <v>9950</v>
      </c>
      <c r="BH87" s="686"/>
      <c r="BI87" s="686"/>
      <c r="BJ87" s="686"/>
      <c r="BK87" s="686"/>
      <c r="BL87" s="686"/>
      <c r="BM87" s="686"/>
      <c r="BN87" s="686"/>
      <c r="BO87" s="686"/>
      <c r="BP87" s="686"/>
      <c r="BQ87" s="686">
        <v>4500</v>
      </c>
      <c r="BR87" s="686">
        <v>500</v>
      </c>
      <c r="BS87" s="686"/>
      <c r="BT87" s="686"/>
      <c r="BU87" s="686"/>
      <c r="BV87" s="686"/>
      <c r="BW87" s="686"/>
      <c r="BX87" s="686"/>
      <c r="BY87" s="686"/>
      <c r="BZ87" s="686"/>
      <c r="CA87" s="686"/>
      <c r="CB87" s="45">
        <f t="shared" si="113"/>
        <v>219150.90000000002</v>
      </c>
      <c r="CC87" s="46">
        <f t="shared" si="114"/>
        <v>33220</v>
      </c>
      <c r="CD87" s="47">
        <f t="shared" si="115"/>
        <v>159499</v>
      </c>
      <c r="CE87" s="62"/>
      <c r="CF87" s="237" t="str">
        <f>VLOOKUP(A87,labo!B:C,2,FALSE)</f>
        <v>pharmacie</v>
      </c>
      <c r="CG87" s="106">
        <f t="shared" si="116"/>
        <v>0</v>
      </c>
      <c r="CH87" s="40"/>
      <c r="CI87" s="51"/>
      <c r="CJ87" s="40"/>
      <c r="CK87" s="498" t="str">
        <f t="shared" si="111"/>
        <v>P068612499161R</v>
      </c>
      <c r="CL87" s="498">
        <f t="shared" si="112"/>
        <v>0</v>
      </c>
      <c r="CM87" s="498"/>
      <c r="CN87" s="498"/>
      <c r="CO87" s="498"/>
      <c r="CP87" s="498"/>
      <c r="CQ87" s="498"/>
    </row>
    <row r="88" spans="1:95" s="497" customFormat="1">
      <c r="A88" s="479" t="s">
        <v>294</v>
      </c>
      <c r="B88" s="479" t="s">
        <v>726</v>
      </c>
      <c r="C88" s="479" t="s">
        <v>1437</v>
      </c>
      <c r="D88" s="683"/>
      <c r="E88" s="683"/>
      <c r="F88" s="684"/>
      <c r="G88" s="685">
        <v>0</v>
      </c>
      <c r="H88" s="684"/>
      <c r="I88" s="684"/>
      <c r="J88" s="686">
        <v>188773</v>
      </c>
      <c r="K88" s="686"/>
      <c r="L88" s="685">
        <v>1887.73</v>
      </c>
      <c r="M88" s="685">
        <v>11703.925999999999</v>
      </c>
      <c r="N88" s="685">
        <v>5285.6440000000002</v>
      </c>
      <c r="O88" s="685">
        <v>71236</v>
      </c>
      <c r="P88" s="685"/>
      <c r="Q88" s="685"/>
      <c r="R88" s="685">
        <v>712.36</v>
      </c>
      <c r="S88" s="685">
        <v>4416.6319999999996</v>
      </c>
      <c r="T88" s="685">
        <v>1994.6079999999999</v>
      </c>
      <c r="U88" s="685"/>
      <c r="V88" s="685"/>
      <c r="W88" s="685">
        <v>36758</v>
      </c>
      <c r="X88" s="685"/>
      <c r="Y88" s="685"/>
      <c r="Z88" s="685"/>
      <c r="AA88" s="685"/>
      <c r="AB88" s="685">
        <v>367.58</v>
      </c>
      <c r="AC88" s="685">
        <v>2278.9960000000001</v>
      </c>
      <c r="AD88" s="685">
        <v>1029.2239999999999</v>
      </c>
      <c r="AE88" s="686"/>
      <c r="AF88" s="686"/>
      <c r="AG88" s="686"/>
      <c r="AH88" s="686"/>
      <c r="AI88" s="686"/>
      <c r="AJ88" s="686"/>
      <c r="AK88" s="686"/>
      <c r="AL88" s="686">
        <v>0</v>
      </c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>
        <v>25088</v>
      </c>
      <c r="BF88" s="686">
        <v>10505</v>
      </c>
      <c r="BG88" s="686">
        <v>13166</v>
      </c>
      <c r="BH88" s="686"/>
      <c r="BI88" s="686"/>
      <c r="BJ88" s="686"/>
      <c r="BK88" s="686"/>
      <c r="BL88" s="686"/>
      <c r="BM88" s="686"/>
      <c r="BN88" s="686"/>
      <c r="BO88" s="686"/>
      <c r="BP88" s="686"/>
      <c r="BQ88" s="686">
        <v>5850</v>
      </c>
      <c r="BR88" s="686">
        <v>650</v>
      </c>
      <c r="BS88" s="686"/>
      <c r="BT88" s="686"/>
      <c r="BU88" s="686"/>
      <c r="BV88" s="686"/>
      <c r="BW88" s="686"/>
      <c r="BX88" s="686"/>
      <c r="BY88" s="686"/>
      <c r="BZ88" s="686"/>
      <c r="CA88" s="686"/>
      <c r="CB88" s="45">
        <f t="shared" si="113"/>
        <v>381702.7</v>
      </c>
      <c r="CC88" s="46">
        <f t="shared" si="114"/>
        <v>36758</v>
      </c>
      <c r="CD88" s="47">
        <f t="shared" si="115"/>
        <v>296767</v>
      </c>
      <c r="CE88" s="62"/>
      <c r="CF88" s="237" t="str">
        <f>VLOOKUP(A88,labo!B:C,2,FALSE)</f>
        <v>pharmacie</v>
      </c>
      <c r="CG88" s="106">
        <f t="shared" si="116"/>
        <v>0</v>
      </c>
      <c r="CH88" s="40"/>
      <c r="CI88" s="51"/>
      <c r="CJ88" s="40"/>
      <c r="CK88" s="498" t="str">
        <f t="shared" si="111"/>
        <v>P095800012291D</v>
      </c>
      <c r="CL88" s="498">
        <f t="shared" si="112"/>
        <v>0</v>
      </c>
      <c r="CM88" s="498"/>
      <c r="CN88" s="498"/>
      <c r="CO88" s="498"/>
      <c r="CP88" s="498"/>
      <c r="CQ88" s="498"/>
    </row>
    <row r="89" spans="1:95">
      <c r="A89" s="478" t="s">
        <v>289</v>
      </c>
      <c r="B89" s="479" t="s">
        <v>768</v>
      </c>
      <c r="C89" s="479" t="s">
        <v>1437</v>
      </c>
      <c r="D89" s="683"/>
      <c r="E89" s="683"/>
      <c r="F89" s="684"/>
      <c r="G89" s="685">
        <v>0</v>
      </c>
      <c r="H89" s="684"/>
      <c r="I89" s="684"/>
      <c r="J89" s="686">
        <v>341660</v>
      </c>
      <c r="K89" s="686"/>
      <c r="L89" s="685">
        <v>3416.6</v>
      </c>
      <c r="M89" s="685">
        <v>21182.92</v>
      </c>
      <c r="N89" s="685">
        <v>9566.48</v>
      </c>
      <c r="O89" s="685">
        <v>100265</v>
      </c>
      <c r="P89" s="685"/>
      <c r="Q89" s="685"/>
      <c r="R89" s="685">
        <v>1002.65</v>
      </c>
      <c r="S89" s="685">
        <v>6216.43</v>
      </c>
      <c r="T89" s="685">
        <v>2807.42</v>
      </c>
      <c r="U89" s="685"/>
      <c r="V89" s="685">
        <v>5000</v>
      </c>
      <c r="W89" s="685">
        <v>14994</v>
      </c>
      <c r="X89" s="685"/>
      <c r="Y89" s="685"/>
      <c r="Z89" s="685"/>
      <c r="AA89" s="685"/>
      <c r="AB89" s="685">
        <v>199.94</v>
      </c>
      <c r="AC89" s="685">
        <v>1239.6279999999999</v>
      </c>
      <c r="AD89" s="685">
        <v>559.83199999999999</v>
      </c>
      <c r="AE89" s="686"/>
      <c r="AF89" s="686"/>
      <c r="AG89" s="686">
        <v>72000</v>
      </c>
      <c r="AH89" s="686"/>
      <c r="AI89" s="686"/>
      <c r="AJ89" s="686"/>
      <c r="AK89" s="686"/>
      <c r="AL89" s="686">
        <v>0</v>
      </c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>
        <v>29130</v>
      </c>
      <c r="BF89" s="686">
        <v>14527</v>
      </c>
      <c r="BG89" s="686">
        <v>8400</v>
      </c>
      <c r="BH89" s="686"/>
      <c r="BI89" s="686"/>
      <c r="BJ89" s="686"/>
      <c r="BK89" s="686"/>
      <c r="BL89" s="686"/>
      <c r="BM89" s="686"/>
      <c r="BN89" s="686"/>
      <c r="BO89" s="686"/>
      <c r="BP89" s="686"/>
      <c r="BQ89" s="686">
        <v>3015</v>
      </c>
      <c r="BR89" s="686">
        <v>335</v>
      </c>
      <c r="BS89" s="686"/>
      <c r="BT89" s="686"/>
      <c r="BU89" s="686"/>
      <c r="BV89" s="686"/>
      <c r="BW89" s="686"/>
      <c r="BX89" s="686"/>
      <c r="BY89" s="686"/>
      <c r="BZ89" s="686"/>
      <c r="CA89" s="686"/>
      <c r="CB89" s="45">
        <f t="shared" si="113"/>
        <v>635517.89999999991</v>
      </c>
      <c r="CC89" s="46">
        <f t="shared" si="114"/>
        <v>86994</v>
      </c>
      <c r="CD89" s="47">
        <f t="shared" si="115"/>
        <v>533919</v>
      </c>
      <c r="CE89" s="62"/>
      <c r="CF89" s="237" t="str">
        <f>VLOOKUP(A89,labo!B:C,2,FALSE)</f>
        <v>quincaillerie</v>
      </c>
      <c r="CG89" s="106">
        <f t="shared" si="116"/>
        <v>0</v>
      </c>
      <c r="CI89" s="51"/>
      <c r="CK89" s="251" t="str">
        <f t="shared" si="111"/>
        <v>P087200456767P</v>
      </c>
      <c r="CL89" s="323">
        <f t="shared" si="112"/>
        <v>0</v>
      </c>
      <c r="CM89" s="40"/>
    </row>
    <row r="90" spans="1:95">
      <c r="A90" s="478" t="s">
        <v>274</v>
      </c>
      <c r="B90" s="479" t="s">
        <v>779</v>
      </c>
      <c r="C90" s="479" t="s">
        <v>1437</v>
      </c>
      <c r="D90" s="683"/>
      <c r="E90" s="683"/>
      <c r="F90" s="684"/>
      <c r="G90" s="685">
        <v>0</v>
      </c>
      <c r="H90" s="684"/>
      <c r="I90" s="684"/>
      <c r="J90" s="686">
        <v>42117</v>
      </c>
      <c r="K90" s="686"/>
      <c r="L90" s="685">
        <v>421.17</v>
      </c>
      <c r="M90" s="685">
        <v>2611.2539999999999</v>
      </c>
      <c r="N90" s="685">
        <v>1179.2760000000001</v>
      </c>
      <c r="O90" s="685">
        <v>50558</v>
      </c>
      <c r="P90" s="685"/>
      <c r="Q90" s="685"/>
      <c r="R90" s="685">
        <v>505.58</v>
      </c>
      <c r="S90" s="685">
        <v>3134.596</v>
      </c>
      <c r="T90" s="685">
        <v>1415.624</v>
      </c>
      <c r="U90" s="685"/>
      <c r="V90" s="685"/>
      <c r="W90" s="685">
        <v>3308</v>
      </c>
      <c r="X90" s="685"/>
      <c r="Y90" s="685"/>
      <c r="Z90" s="685"/>
      <c r="AA90" s="685"/>
      <c r="AB90" s="685">
        <v>33.08</v>
      </c>
      <c r="AC90" s="685">
        <v>205.096</v>
      </c>
      <c r="AD90" s="685">
        <v>92.623999999999995</v>
      </c>
      <c r="AE90" s="686"/>
      <c r="AF90" s="686"/>
      <c r="AG90" s="686"/>
      <c r="AH90" s="686"/>
      <c r="AI90" s="686"/>
      <c r="AJ90" s="686"/>
      <c r="AK90" s="686"/>
      <c r="AL90" s="686">
        <v>0</v>
      </c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/>
      <c r="BB90" s="686"/>
      <c r="BC90" s="686"/>
      <c r="BD90" s="686"/>
      <c r="BE90" s="686">
        <v>7685</v>
      </c>
      <c r="BF90" s="686">
        <v>3554</v>
      </c>
      <c r="BG90" s="686">
        <v>3750</v>
      </c>
      <c r="BH90" s="686"/>
      <c r="BI90" s="686"/>
      <c r="BJ90" s="686"/>
      <c r="BK90" s="686"/>
      <c r="BL90" s="686"/>
      <c r="BM90" s="686"/>
      <c r="BN90" s="686"/>
      <c r="BO90" s="686"/>
      <c r="BP90" s="686"/>
      <c r="BQ90" s="686">
        <v>1125</v>
      </c>
      <c r="BR90" s="686">
        <v>125</v>
      </c>
      <c r="BS90" s="686"/>
      <c r="BT90" s="686"/>
      <c r="BU90" s="686"/>
      <c r="BV90" s="686"/>
      <c r="BW90" s="686"/>
      <c r="BX90" s="686"/>
      <c r="BY90" s="686"/>
      <c r="BZ90" s="686"/>
      <c r="CA90" s="686"/>
      <c r="CB90" s="45">
        <f t="shared" si="113"/>
        <v>121820.3</v>
      </c>
      <c r="CC90" s="46">
        <f t="shared" si="114"/>
        <v>3308</v>
      </c>
      <c r="CD90" s="47">
        <f t="shared" si="115"/>
        <v>95983</v>
      </c>
      <c r="CE90" s="62"/>
      <c r="CF90" s="237" t="str">
        <f>VLOOKUP(A90,labo!B:C,2,FALSE)</f>
        <v>pharmacie</v>
      </c>
      <c r="CG90" s="106">
        <f t="shared" si="116"/>
        <v>0</v>
      </c>
      <c r="CI90" s="51"/>
      <c r="CK90" s="251" t="str">
        <f t="shared" si="111"/>
        <v>P056500391104Z</v>
      </c>
      <c r="CL90" s="323">
        <f t="shared" si="112"/>
        <v>0</v>
      </c>
      <c r="CM90" s="40"/>
    </row>
    <row r="91" spans="1:95">
      <c r="A91" s="478" t="s">
        <v>2259</v>
      </c>
      <c r="B91" s="479" t="s">
        <v>2260</v>
      </c>
      <c r="C91" s="479" t="s">
        <v>1437</v>
      </c>
      <c r="D91" s="683"/>
      <c r="E91" s="683"/>
      <c r="F91" s="684"/>
      <c r="G91" s="685">
        <v>0</v>
      </c>
      <c r="H91" s="684"/>
      <c r="I91" s="684"/>
      <c r="J91" s="686">
        <v>486460</v>
      </c>
      <c r="K91" s="686"/>
      <c r="L91" s="685">
        <v>4864.6000000000004</v>
      </c>
      <c r="M91" s="685">
        <v>30160.52</v>
      </c>
      <c r="N91" s="685">
        <v>13620.880000000001</v>
      </c>
      <c r="O91" s="685">
        <v>389168</v>
      </c>
      <c r="P91" s="685"/>
      <c r="Q91" s="685"/>
      <c r="R91" s="685">
        <v>3891.6800000000003</v>
      </c>
      <c r="S91" s="685">
        <v>24128.416000000001</v>
      </c>
      <c r="T91" s="685">
        <v>10896.704</v>
      </c>
      <c r="U91" s="685"/>
      <c r="V91" s="685"/>
      <c r="W91" s="685">
        <v>9420</v>
      </c>
      <c r="X91" s="685"/>
      <c r="Y91" s="685"/>
      <c r="Z91" s="685"/>
      <c r="AA91" s="685"/>
      <c r="AB91" s="685">
        <v>94.2</v>
      </c>
      <c r="AC91" s="685">
        <v>584.04</v>
      </c>
      <c r="AD91" s="685">
        <v>263.76</v>
      </c>
      <c r="AE91" s="686">
        <v>1635159</v>
      </c>
      <c r="AF91" s="686"/>
      <c r="AG91" s="686"/>
      <c r="AH91" s="686"/>
      <c r="AI91" s="686"/>
      <c r="AJ91" s="686"/>
      <c r="AK91" s="686"/>
      <c r="AL91" s="686">
        <v>0</v>
      </c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>
        <v>22125</v>
      </c>
      <c r="BF91" s="686">
        <v>9050</v>
      </c>
      <c r="BG91" s="686">
        <v>8250</v>
      </c>
      <c r="BH91" s="686"/>
      <c r="BI91" s="686"/>
      <c r="BJ91" s="686"/>
      <c r="BK91" s="686"/>
      <c r="BL91" s="686"/>
      <c r="BM91" s="686"/>
      <c r="BN91" s="686"/>
      <c r="BO91" s="686"/>
      <c r="BP91" s="686"/>
      <c r="BQ91" s="686">
        <v>675</v>
      </c>
      <c r="BR91" s="686">
        <v>75</v>
      </c>
      <c r="BS91" s="686"/>
      <c r="BT91" s="686"/>
      <c r="BU91" s="686"/>
      <c r="BV91" s="686"/>
      <c r="BW91" s="686"/>
      <c r="BX91" s="686"/>
      <c r="BY91" s="686"/>
      <c r="BZ91" s="686"/>
      <c r="CA91" s="686"/>
      <c r="CB91" s="45">
        <f t="shared" si="113"/>
        <v>2648886.7999999998</v>
      </c>
      <c r="CC91" s="46">
        <f t="shared" si="114"/>
        <v>1644579</v>
      </c>
      <c r="CD91" s="47">
        <f t="shared" si="115"/>
        <v>2520207</v>
      </c>
      <c r="CE91" s="62"/>
      <c r="CF91" s="237" t="str">
        <f>VLOOKUP(A91,labo!B:C,2,FALSE)</f>
        <v>vente bh</v>
      </c>
      <c r="CG91" s="106">
        <f t="shared" si="116"/>
        <v>0</v>
      </c>
      <c r="CI91" s="51"/>
      <c r="CK91" s="251" t="str">
        <f t="shared" si="111"/>
        <v>M031912751769M</v>
      </c>
      <c r="CL91" s="323">
        <f t="shared" si="112"/>
        <v>0</v>
      </c>
      <c r="CM91" s="40"/>
    </row>
    <row r="92" spans="1:95">
      <c r="A92" s="479" t="s">
        <v>2358</v>
      </c>
      <c r="B92" s="479" t="s">
        <v>2576</v>
      </c>
      <c r="C92" s="479" t="s">
        <v>1437</v>
      </c>
      <c r="D92" s="683"/>
      <c r="E92" s="683"/>
      <c r="F92" s="684"/>
      <c r="G92" s="685">
        <v>0</v>
      </c>
      <c r="H92" s="684"/>
      <c r="I92" s="684"/>
      <c r="J92" s="686">
        <v>189423</v>
      </c>
      <c r="K92" s="686"/>
      <c r="L92" s="685">
        <v>1894.23</v>
      </c>
      <c r="M92" s="685">
        <v>11744.226000000001</v>
      </c>
      <c r="N92" s="685">
        <v>5303.8440000000001</v>
      </c>
      <c r="O92" s="685">
        <v>93252</v>
      </c>
      <c r="P92" s="685"/>
      <c r="Q92" s="685"/>
      <c r="R92" s="685">
        <v>932.52</v>
      </c>
      <c r="S92" s="685">
        <v>5781.6239999999998</v>
      </c>
      <c r="T92" s="685">
        <v>2611.056</v>
      </c>
      <c r="U92" s="685"/>
      <c r="V92" s="685"/>
      <c r="W92" s="685">
        <v>1512</v>
      </c>
      <c r="X92" s="685"/>
      <c r="Y92" s="685"/>
      <c r="Z92" s="685"/>
      <c r="AA92" s="685"/>
      <c r="AB92" s="685">
        <v>15.120000000000001</v>
      </c>
      <c r="AC92" s="685">
        <v>93.744</v>
      </c>
      <c r="AD92" s="685">
        <v>42.335999999999999</v>
      </c>
      <c r="AE92" s="686">
        <v>93252</v>
      </c>
      <c r="AF92" s="686"/>
      <c r="AG92" s="686"/>
      <c r="AH92" s="686"/>
      <c r="AI92" s="686"/>
      <c r="AJ92" s="686"/>
      <c r="AK92" s="686"/>
      <c r="AL92" s="686">
        <v>0</v>
      </c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>
        <v>10124</v>
      </c>
      <c r="BF92" s="686">
        <v>3758</v>
      </c>
      <c r="BG92" s="686">
        <v>3758</v>
      </c>
      <c r="BH92" s="686"/>
      <c r="BI92" s="686"/>
      <c r="BJ92" s="686"/>
      <c r="BK92" s="686"/>
      <c r="BL92" s="686"/>
      <c r="BM92" s="686"/>
      <c r="BN92" s="686"/>
      <c r="BO92" s="686"/>
      <c r="BP92" s="686"/>
      <c r="BQ92" s="686">
        <v>1195</v>
      </c>
      <c r="BR92" s="686">
        <v>132.77777777777777</v>
      </c>
      <c r="BS92" s="686"/>
      <c r="BT92" s="686"/>
      <c r="BU92" s="686"/>
      <c r="BV92" s="686"/>
      <c r="BW92" s="686"/>
      <c r="BX92" s="686"/>
      <c r="BY92" s="686"/>
      <c r="BZ92" s="686"/>
      <c r="CA92" s="686"/>
      <c r="CB92" s="45">
        <f t="shared" si="113"/>
        <v>424825.47777777782</v>
      </c>
      <c r="CC92" s="46">
        <f t="shared" si="114"/>
        <v>94764</v>
      </c>
      <c r="CD92" s="47">
        <f t="shared" si="115"/>
        <v>377439</v>
      </c>
      <c r="CE92" s="62"/>
      <c r="CF92" s="237" t="str">
        <f>VLOOKUP(A92,labo!B:C,2,FALSE)</f>
        <v>autres CG</v>
      </c>
      <c r="CG92" s="106">
        <f t="shared" si="116"/>
        <v>0</v>
      </c>
      <c r="CI92" s="51"/>
      <c r="CK92" s="251"/>
      <c r="CL92" s="323"/>
      <c r="CM92" s="40"/>
    </row>
    <row r="93" spans="1:95">
      <c r="A93" s="478" t="s">
        <v>2361</v>
      </c>
      <c r="B93" s="687" t="s">
        <v>2094</v>
      </c>
      <c r="C93" s="479" t="s">
        <v>1437</v>
      </c>
      <c r="D93" s="683"/>
      <c r="E93" s="683"/>
      <c r="F93" s="684"/>
      <c r="G93" s="685">
        <v>0</v>
      </c>
      <c r="H93" s="684"/>
      <c r="I93" s="684"/>
      <c r="J93" s="686">
        <v>34798</v>
      </c>
      <c r="K93" s="686"/>
      <c r="L93" s="685">
        <v>347.98</v>
      </c>
      <c r="M93" s="685">
        <v>2157.4760000000001</v>
      </c>
      <c r="N93" s="685">
        <v>974.34400000000005</v>
      </c>
      <c r="O93" s="685">
        <v>13812</v>
      </c>
      <c r="P93" s="685"/>
      <c r="Q93" s="685"/>
      <c r="R93" s="685">
        <v>138.12</v>
      </c>
      <c r="S93" s="685">
        <v>856.34399999999994</v>
      </c>
      <c r="T93" s="685">
        <v>386.73599999999999</v>
      </c>
      <c r="U93" s="685"/>
      <c r="V93" s="685"/>
      <c r="W93" s="685"/>
      <c r="X93" s="685"/>
      <c r="Y93" s="685"/>
      <c r="Z93" s="685"/>
      <c r="AA93" s="685"/>
      <c r="AB93" s="685">
        <v>0</v>
      </c>
      <c r="AC93" s="685">
        <v>0</v>
      </c>
      <c r="AD93" s="685">
        <v>0</v>
      </c>
      <c r="AE93" s="686"/>
      <c r="AF93" s="686"/>
      <c r="AG93" s="686"/>
      <c r="AH93" s="686"/>
      <c r="AI93" s="686"/>
      <c r="AJ93" s="686"/>
      <c r="AK93" s="686"/>
      <c r="AL93" s="686">
        <v>0</v>
      </c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6"/>
      <c r="BL93" s="686"/>
      <c r="BM93" s="686"/>
      <c r="BN93" s="686"/>
      <c r="BO93" s="686"/>
      <c r="BP93" s="686"/>
      <c r="BQ93" s="686"/>
      <c r="BR93" s="686">
        <v>0</v>
      </c>
      <c r="BS93" s="686"/>
      <c r="BT93" s="686"/>
      <c r="BU93" s="686"/>
      <c r="BV93" s="686"/>
      <c r="BW93" s="686"/>
      <c r="BX93" s="686"/>
      <c r="BY93" s="686"/>
      <c r="BZ93" s="686"/>
      <c r="CA93" s="686"/>
      <c r="CB93" s="45">
        <f t="shared" si="113"/>
        <v>53471</v>
      </c>
      <c r="CC93" s="46">
        <f t="shared" si="114"/>
        <v>0</v>
      </c>
      <c r="CD93" s="47">
        <f t="shared" si="115"/>
        <v>48610</v>
      </c>
      <c r="CE93" s="62"/>
      <c r="CF93" s="237" t="str">
        <f>VLOOKUP(A93,labo!B:C,2,FALSE)</f>
        <v>vente bh</v>
      </c>
      <c r="CG93" s="106">
        <f t="shared" si="116"/>
        <v>0</v>
      </c>
      <c r="CI93" s="51"/>
      <c r="CK93" s="251"/>
      <c r="CL93" s="323"/>
      <c r="CM93" s="40"/>
    </row>
    <row r="94" spans="1:95">
      <c r="A94" s="479" t="s">
        <v>283</v>
      </c>
      <c r="B94" s="479" t="s">
        <v>809</v>
      </c>
      <c r="C94" s="479" t="s">
        <v>1437</v>
      </c>
      <c r="D94" s="683"/>
      <c r="E94" s="683"/>
      <c r="F94" s="684"/>
      <c r="G94" s="685">
        <v>0</v>
      </c>
      <c r="H94" s="684"/>
      <c r="I94" s="684"/>
      <c r="J94" s="686">
        <v>2425184</v>
      </c>
      <c r="K94" s="686"/>
      <c r="L94" s="685">
        <v>24251.84</v>
      </c>
      <c r="M94" s="685">
        <v>150361.408</v>
      </c>
      <c r="N94" s="685">
        <v>67905.152000000002</v>
      </c>
      <c r="O94" s="685">
        <v>343232</v>
      </c>
      <c r="P94" s="685"/>
      <c r="Q94" s="685"/>
      <c r="R94" s="685">
        <v>3432.32</v>
      </c>
      <c r="S94" s="685">
        <v>21280.383999999998</v>
      </c>
      <c r="T94" s="685">
        <v>9610.496000000001</v>
      </c>
      <c r="U94" s="685"/>
      <c r="V94" s="685">
        <v>185386</v>
      </c>
      <c r="W94" s="685">
        <v>186079</v>
      </c>
      <c r="X94" s="685"/>
      <c r="Y94" s="685"/>
      <c r="Z94" s="685"/>
      <c r="AA94" s="685"/>
      <c r="AB94" s="685">
        <v>3714.65</v>
      </c>
      <c r="AC94" s="685">
        <v>23030.829999999998</v>
      </c>
      <c r="AD94" s="685">
        <v>10401.02</v>
      </c>
      <c r="AE94" s="686">
        <v>1350512</v>
      </c>
      <c r="AF94" s="686"/>
      <c r="AG94" s="686"/>
      <c r="AH94" s="686"/>
      <c r="AI94" s="686"/>
      <c r="AJ94" s="686"/>
      <c r="AK94" s="686"/>
      <c r="AL94" s="686">
        <v>0</v>
      </c>
      <c r="AM94" s="686"/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/>
      <c r="BB94" s="686"/>
      <c r="BC94" s="686"/>
      <c r="BD94" s="686"/>
      <c r="BE94" s="686">
        <v>89679</v>
      </c>
      <c r="BF94" s="686">
        <v>37471</v>
      </c>
      <c r="BG94" s="686">
        <v>43400</v>
      </c>
      <c r="BH94" s="686"/>
      <c r="BI94" s="686"/>
      <c r="BJ94" s="686"/>
      <c r="BK94" s="686"/>
      <c r="BL94" s="686"/>
      <c r="BM94" s="686"/>
      <c r="BN94" s="686"/>
      <c r="BO94" s="686"/>
      <c r="BP94" s="686"/>
      <c r="BQ94" s="686">
        <v>12600</v>
      </c>
      <c r="BR94" s="686">
        <v>1400</v>
      </c>
      <c r="BS94" s="686"/>
      <c r="BT94" s="686"/>
      <c r="BU94" s="686"/>
      <c r="BV94" s="686"/>
      <c r="BW94" s="686"/>
      <c r="BX94" s="686"/>
      <c r="BY94" s="686"/>
      <c r="BZ94" s="686"/>
      <c r="CA94" s="686"/>
      <c r="CB94" s="45">
        <f t="shared" si="113"/>
        <v>4988931.0999999996</v>
      </c>
      <c r="CC94" s="46">
        <f t="shared" si="114"/>
        <v>1536591</v>
      </c>
      <c r="CD94" s="47">
        <f t="shared" si="115"/>
        <v>4490393</v>
      </c>
      <c r="CE94" s="62"/>
      <c r="CF94" s="237" t="str">
        <f>VLOOKUP(A94,labo!B:C,2,FALSE)</f>
        <v>vente bh</v>
      </c>
      <c r="CG94" s="106">
        <f t="shared" si="116"/>
        <v>0</v>
      </c>
      <c r="CI94" s="51"/>
      <c r="CK94" s="251"/>
      <c r="CL94" s="323"/>
      <c r="CM94" s="40"/>
    </row>
    <row r="95" spans="1:95" s="503" customFormat="1">
      <c r="A95" s="479" t="s">
        <v>833</v>
      </c>
      <c r="B95" s="479" t="s">
        <v>835</v>
      </c>
      <c r="C95" s="479" t="s">
        <v>1437</v>
      </c>
      <c r="D95" s="683"/>
      <c r="E95" s="683"/>
      <c r="F95" s="684"/>
      <c r="G95" s="685">
        <v>0</v>
      </c>
      <c r="H95" s="684"/>
      <c r="I95" s="684"/>
      <c r="J95" s="686">
        <v>639194</v>
      </c>
      <c r="K95" s="686"/>
      <c r="L95" s="685">
        <v>6391.9400000000005</v>
      </c>
      <c r="M95" s="685">
        <v>39630.027999999998</v>
      </c>
      <c r="N95" s="685">
        <v>17897.432000000001</v>
      </c>
      <c r="O95" s="685">
        <v>200801</v>
      </c>
      <c r="P95" s="685"/>
      <c r="Q95" s="685"/>
      <c r="R95" s="685">
        <v>2008.01</v>
      </c>
      <c r="S95" s="685">
        <v>12449.662</v>
      </c>
      <c r="T95" s="685">
        <v>5622.4279999999999</v>
      </c>
      <c r="U95" s="685"/>
      <c r="V95" s="685"/>
      <c r="W95" s="685">
        <v>11471</v>
      </c>
      <c r="X95" s="685"/>
      <c r="Y95" s="685"/>
      <c r="Z95" s="685"/>
      <c r="AA95" s="685"/>
      <c r="AB95" s="685">
        <v>114.71000000000001</v>
      </c>
      <c r="AC95" s="685">
        <v>711.202</v>
      </c>
      <c r="AD95" s="685">
        <v>321.18799999999999</v>
      </c>
      <c r="AE95" s="686">
        <v>384506</v>
      </c>
      <c r="AF95" s="686"/>
      <c r="AG95" s="686"/>
      <c r="AH95" s="686"/>
      <c r="AI95" s="686"/>
      <c r="AJ95" s="686"/>
      <c r="AK95" s="686"/>
      <c r="AL95" s="686">
        <v>0</v>
      </c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>
        <v>12224</v>
      </c>
      <c r="BF95" s="686">
        <v>5853</v>
      </c>
      <c r="BG95" s="686">
        <v>5250</v>
      </c>
      <c r="BH95" s="686"/>
      <c r="BI95" s="686"/>
      <c r="BJ95" s="686"/>
      <c r="BK95" s="686"/>
      <c r="BL95" s="686"/>
      <c r="BM95" s="686"/>
      <c r="BN95" s="686"/>
      <c r="BO95" s="686"/>
      <c r="BP95" s="686"/>
      <c r="BQ95" s="686">
        <v>1539</v>
      </c>
      <c r="BR95" s="686">
        <v>171</v>
      </c>
      <c r="BS95" s="686"/>
      <c r="BT95" s="686"/>
      <c r="BU95" s="686"/>
      <c r="BV95" s="686"/>
      <c r="BW95" s="686"/>
      <c r="BX95" s="686"/>
      <c r="BY95" s="686"/>
      <c r="BZ95" s="686"/>
      <c r="CA95" s="686"/>
      <c r="CB95" s="45">
        <f t="shared" si="113"/>
        <v>1346155.6</v>
      </c>
      <c r="CC95" s="46">
        <f t="shared" si="114"/>
        <v>395977</v>
      </c>
      <c r="CD95" s="47">
        <f t="shared" si="115"/>
        <v>1235972</v>
      </c>
      <c r="CE95" s="62"/>
      <c r="CF95" s="237" t="str">
        <f>VLOOKUP(A95,labo!B:C,2,FALSE)</f>
        <v>alimentation</v>
      </c>
      <c r="CG95" s="106">
        <f t="shared" si="116"/>
        <v>0</v>
      </c>
      <c r="CH95" s="40"/>
      <c r="CI95" s="51"/>
      <c r="CJ95" s="40"/>
      <c r="CK95" s="504" t="str">
        <f t="shared" si="111"/>
        <v>M121412261490W</v>
      </c>
      <c r="CL95" s="505">
        <f t="shared" si="112"/>
        <v>0</v>
      </c>
    </row>
    <row r="96" spans="1:95" s="503" customFormat="1">
      <c r="A96" s="479" t="s">
        <v>855</v>
      </c>
      <c r="B96" s="479" t="s">
        <v>856</v>
      </c>
      <c r="C96" s="479" t="s">
        <v>1437</v>
      </c>
      <c r="D96" s="683"/>
      <c r="E96" s="683">
        <v>8000</v>
      </c>
      <c r="F96" s="684"/>
      <c r="G96" s="685">
        <v>2000</v>
      </c>
      <c r="H96" s="684"/>
      <c r="I96" s="684"/>
      <c r="J96" s="686"/>
      <c r="K96" s="686"/>
      <c r="L96" s="685">
        <v>0</v>
      </c>
      <c r="M96" s="685">
        <v>0</v>
      </c>
      <c r="N96" s="685">
        <v>0</v>
      </c>
      <c r="O96" s="685">
        <v>1577</v>
      </c>
      <c r="P96" s="685"/>
      <c r="Q96" s="685"/>
      <c r="R96" s="685">
        <v>15.77</v>
      </c>
      <c r="S96" s="685">
        <v>97.774000000000001</v>
      </c>
      <c r="T96" s="685">
        <v>44.155999999999999</v>
      </c>
      <c r="U96" s="685"/>
      <c r="V96" s="685"/>
      <c r="W96" s="685"/>
      <c r="X96" s="685"/>
      <c r="Y96" s="685"/>
      <c r="Z96" s="685"/>
      <c r="AA96" s="685"/>
      <c r="AB96" s="685">
        <v>0</v>
      </c>
      <c r="AC96" s="685">
        <v>0</v>
      </c>
      <c r="AD96" s="685">
        <v>0</v>
      </c>
      <c r="AE96" s="686"/>
      <c r="AF96" s="686"/>
      <c r="AG96" s="686"/>
      <c r="AH96" s="686"/>
      <c r="AI96" s="686"/>
      <c r="AJ96" s="686"/>
      <c r="AK96" s="686"/>
      <c r="AL96" s="686">
        <v>0</v>
      </c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>
        <v>975</v>
      </c>
      <c r="BF96" s="686">
        <v>390</v>
      </c>
      <c r="BG96" s="686"/>
      <c r="BH96" s="686"/>
      <c r="BI96" s="686"/>
      <c r="BJ96" s="686"/>
      <c r="BK96" s="686"/>
      <c r="BL96" s="686"/>
      <c r="BM96" s="686"/>
      <c r="BN96" s="686"/>
      <c r="BO96" s="686"/>
      <c r="BP96" s="686"/>
      <c r="BQ96" s="686"/>
      <c r="BR96" s="686">
        <v>0</v>
      </c>
      <c r="BS96" s="686"/>
      <c r="BT96" s="686"/>
      <c r="BU96" s="686"/>
      <c r="BV96" s="686"/>
      <c r="BW96" s="686"/>
      <c r="BX96" s="686"/>
      <c r="BY96" s="686"/>
      <c r="BZ96" s="686"/>
      <c r="CA96" s="686"/>
      <c r="CB96" s="45">
        <f t="shared" si="113"/>
        <v>13099.7</v>
      </c>
      <c r="CC96" s="46">
        <f t="shared" si="114"/>
        <v>8000</v>
      </c>
      <c r="CD96" s="47">
        <f t="shared" si="115"/>
        <v>9577</v>
      </c>
      <c r="CE96" s="62"/>
      <c r="CF96" s="237" t="str">
        <f>VLOOKUP(A96,labo!B:C,2,FALSE)</f>
        <v>vente bh</v>
      </c>
      <c r="CG96" s="106">
        <f t="shared" si="116"/>
        <v>0</v>
      </c>
      <c r="CH96" s="40"/>
      <c r="CI96" s="51"/>
      <c r="CJ96" s="40"/>
      <c r="CK96" s="504" t="str">
        <f t="shared" si="111"/>
        <v>P067500557981Q</v>
      </c>
      <c r="CL96" s="505">
        <f t="shared" si="112"/>
        <v>0</v>
      </c>
    </row>
    <row r="97" spans="1:91">
      <c r="A97" s="478" t="s">
        <v>315</v>
      </c>
      <c r="B97" s="479" t="s">
        <v>862</v>
      </c>
      <c r="C97" s="479" t="s">
        <v>1437</v>
      </c>
      <c r="D97" s="683"/>
      <c r="E97" s="683"/>
      <c r="F97" s="684"/>
      <c r="G97" s="685">
        <v>0</v>
      </c>
      <c r="H97" s="684"/>
      <c r="I97" s="684"/>
      <c r="J97" s="686">
        <v>49846</v>
      </c>
      <c r="K97" s="686"/>
      <c r="L97" s="685">
        <v>498.46000000000004</v>
      </c>
      <c r="M97" s="685">
        <v>3090.4519999999998</v>
      </c>
      <c r="N97" s="685">
        <v>1395.6880000000001</v>
      </c>
      <c r="O97" s="685">
        <v>11451</v>
      </c>
      <c r="P97" s="685"/>
      <c r="Q97" s="685"/>
      <c r="R97" s="685">
        <v>114.51</v>
      </c>
      <c r="S97" s="685">
        <v>709.96199999999999</v>
      </c>
      <c r="T97" s="685">
        <v>320.62799999999999</v>
      </c>
      <c r="U97" s="685"/>
      <c r="V97" s="685"/>
      <c r="W97" s="685">
        <v>19138</v>
      </c>
      <c r="X97" s="685"/>
      <c r="Y97" s="685"/>
      <c r="Z97" s="685"/>
      <c r="AA97" s="685"/>
      <c r="AB97" s="685">
        <v>191.38</v>
      </c>
      <c r="AC97" s="685">
        <v>1186.556</v>
      </c>
      <c r="AD97" s="685">
        <v>535.86400000000003</v>
      </c>
      <c r="AE97" s="686"/>
      <c r="AF97" s="686"/>
      <c r="AG97" s="686"/>
      <c r="AH97" s="686"/>
      <c r="AI97" s="686"/>
      <c r="AJ97" s="686"/>
      <c r="AK97" s="686"/>
      <c r="AL97" s="686">
        <v>0</v>
      </c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>
        <v>16770</v>
      </c>
      <c r="BF97" s="686">
        <v>6708</v>
      </c>
      <c r="BG97" s="686">
        <v>8200</v>
      </c>
      <c r="BH97" s="686"/>
      <c r="BI97" s="686"/>
      <c r="BJ97" s="686"/>
      <c r="BK97" s="686"/>
      <c r="BL97" s="686"/>
      <c r="BM97" s="686"/>
      <c r="BN97" s="686"/>
      <c r="BO97" s="686"/>
      <c r="BP97" s="686"/>
      <c r="BQ97" s="686">
        <v>6120</v>
      </c>
      <c r="BR97" s="686">
        <v>680</v>
      </c>
      <c r="BS97" s="686"/>
      <c r="BT97" s="686"/>
      <c r="BU97" s="686"/>
      <c r="BV97" s="686"/>
      <c r="BW97" s="686"/>
      <c r="BX97" s="686"/>
      <c r="BY97" s="686"/>
      <c r="BZ97" s="686"/>
      <c r="CA97" s="686"/>
      <c r="CB97" s="45">
        <f t="shared" si="113"/>
        <v>126956.5</v>
      </c>
      <c r="CC97" s="46">
        <f t="shared" si="114"/>
        <v>19138</v>
      </c>
      <c r="CD97" s="47">
        <f t="shared" si="115"/>
        <v>80435</v>
      </c>
      <c r="CE97" s="62"/>
      <c r="CF97" s="237" t="str">
        <f>VLOOKUP(A97,labo!B:C,2,FALSE)</f>
        <v>quincaillerie</v>
      </c>
      <c r="CG97" s="106">
        <f t="shared" si="116"/>
        <v>0</v>
      </c>
      <c r="CI97" s="51"/>
      <c r="CK97" s="251" t="str">
        <f t="shared" si="111"/>
        <v>P016800020238M</v>
      </c>
      <c r="CL97" s="323">
        <f t="shared" si="112"/>
        <v>0</v>
      </c>
      <c r="CM97" s="40"/>
    </row>
    <row r="98" spans="1:91" s="503" customFormat="1">
      <c r="A98" s="479" t="s">
        <v>386</v>
      </c>
      <c r="B98" s="479" t="s">
        <v>878</v>
      </c>
      <c r="C98" s="479" t="s">
        <v>1437</v>
      </c>
      <c r="D98" s="683"/>
      <c r="E98" s="683"/>
      <c r="F98" s="684"/>
      <c r="G98" s="685">
        <v>0</v>
      </c>
      <c r="H98" s="684"/>
      <c r="I98" s="684"/>
      <c r="J98" s="686">
        <v>136778</v>
      </c>
      <c r="K98" s="686"/>
      <c r="L98" s="685">
        <v>1367.78</v>
      </c>
      <c r="M98" s="685">
        <v>8480.2360000000008</v>
      </c>
      <c r="N98" s="685">
        <v>3829.7840000000001</v>
      </c>
      <c r="O98" s="685">
        <v>44310</v>
      </c>
      <c r="P98" s="685"/>
      <c r="Q98" s="685"/>
      <c r="R98" s="685">
        <v>443.1</v>
      </c>
      <c r="S98" s="685">
        <v>2747.22</v>
      </c>
      <c r="T98" s="685">
        <v>1240.68</v>
      </c>
      <c r="U98" s="685"/>
      <c r="V98" s="685"/>
      <c r="W98" s="685">
        <v>719</v>
      </c>
      <c r="X98" s="685"/>
      <c r="Y98" s="685"/>
      <c r="Z98" s="685"/>
      <c r="AA98" s="685"/>
      <c r="AB98" s="685">
        <v>7.19</v>
      </c>
      <c r="AC98" s="685">
        <v>44.578000000000003</v>
      </c>
      <c r="AD98" s="685">
        <v>20.132000000000001</v>
      </c>
      <c r="AE98" s="686"/>
      <c r="AF98" s="686"/>
      <c r="AG98" s="686"/>
      <c r="AH98" s="686"/>
      <c r="AI98" s="686"/>
      <c r="AJ98" s="686"/>
      <c r="AK98" s="686"/>
      <c r="AL98" s="686">
        <v>0</v>
      </c>
      <c r="AM98" s="686"/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>
        <v>2679</v>
      </c>
      <c r="BF98" s="686">
        <v>1286</v>
      </c>
      <c r="BG98" s="686">
        <v>750</v>
      </c>
      <c r="BH98" s="686"/>
      <c r="BI98" s="686"/>
      <c r="BJ98" s="686"/>
      <c r="BK98" s="686"/>
      <c r="BL98" s="686"/>
      <c r="BM98" s="686"/>
      <c r="BN98" s="686"/>
      <c r="BO98" s="686"/>
      <c r="BP98" s="686"/>
      <c r="BQ98" s="686">
        <v>225</v>
      </c>
      <c r="BR98" s="686">
        <v>25</v>
      </c>
      <c r="BS98" s="686"/>
      <c r="BT98" s="686"/>
      <c r="BU98" s="686"/>
      <c r="BV98" s="686"/>
      <c r="BW98" s="686"/>
      <c r="BX98" s="686"/>
      <c r="BY98" s="686"/>
      <c r="BZ98" s="686"/>
      <c r="CA98" s="686"/>
      <c r="CB98" s="45">
        <f t="shared" si="113"/>
        <v>204952.70000000004</v>
      </c>
      <c r="CC98" s="46">
        <f t="shared" si="114"/>
        <v>719</v>
      </c>
      <c r="CD98" s="47">
        <f t="shared" si="115"/>
        <v>181807</v>
      </c>
      <c r="CE98" s="62"/>
      <c r="CF98" s="237" t="str">
        <f>VLOOKUP(A98,labo!B:C,2,FALSE)</f>
        <v>quincaillerie</v>
      </c>
      <c r="CG98" s="106">
        <f t="shared" si="116"/>
        <v>0</v>
      </c>
      <c r="CH98" s="40"/>
      <c r="CI98" s="51"/>
      <c r="CJ98" s="40"/>
      <c r="CK98" s="504" t="str">
        <f t="shared" si="111"/>
        <v>P107500409942H</v>
      </c>
      <c r="CL98" s="505">
        <f t="shared" si="112"/>
        <v>0</v>
      </c>
    </row>
    <row r="99" spans="1:91">
      <c r="A99" s="479" t="s">
        <v>2322</v>
      </c>
      <c r="B99" s="479" t="s">
        <v>2436</v>
      </c>
      <c r="C99" s="479" t="s">
        <v>1437</v>
      </c>
      <c r="D99" s="683"/>
      <c r="E99" s="683"/>
      <c r="F99" s="684"/>
      <c r="G99" s="685">
        <v>0</v>
      </c>
      <c r="H99" s="684"/>
      <c r="I99" s="684"/>
      <c r="J99" s="686">
        <v>67211</v>
      </c>
      <c r="K99" s="686"/>
      <c r="L99" s="685">
        <v>672.11</v>
      </c>
      <c r="M99" s="685">
        <v>4167.0820000000003</v>
      </c>
      <c r="N99" s="685">
        <v>1881.9080000000001</v>
      </c>
      <c r="O99" s="685">
        <v>16772</v>
      </c>
      <c r="P99" s="685"/>
      <c r="Q99" s="685"/>
      <c r="R99" s="685">
        <v>167.72</v>
      </c>
      <c r="S99" s="685">
        <v>1039.864</v>
      </c>
      <c r="T99" s="685">
        <v>469.61599999999999</v>
      </c>
      <c r="U99" s="685"/>
      <c r="V99" s="685"/>
      <c r="W99" s="685">
        <v>4354</v>
      </c>
      <c r="X99" s="685"/>
      <c r="Y99" s="685"/>
      <c r="Z99" s="685"/>
      <c r="AA99" s="685"/>
      <c r="AB99" s="685">
        <v>43.54</v>
      </c>
      <c r="AC99" s="685">
        <v>269.94799999999998</v>
      </c>
      <c r="AD99" s="685">
        <v>121.91200000000001</v>
      </c>
      <c r="AE99" s="686"/>
      <c r="AF99" s="686"/>
      <c r="AG99" s="686"/>
      <c r="AH99" s="686"/>
      <c r="AI99" s="686"/>
      <c r="AJ99" s="686"/>
      <c r="AK99" s="686"/>
      <c r="AL99" s="686">
        <v>0</v>
      </c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>
        <v>4000</v>
      </c>
      <c r="BF99" s="686">
        <v>1600</v>
      </c>
      <c r="BG99" s="686">
        <v>1000</v>
      </c>
      <c r="BH99" s="686"/>
      <c r="BI99" s="686"/>
      <c r="BJ99" s="686"/>
      <c r="BK99" s="686"/>
      <c r="BL99" s="686"/>
      <c r="BM99" s="686"/>
      <c r="BN99" s="686"/>
      <c r="BO99" s="686"/>
      <c r="BP99" s="686"/>
      <c r="BQ99" s="686">
        <v>450</v>
      </c>
      <c r="BR99" s="686">
        <v>50</v>
      </c>
      <c r="BS99" s="686"/>
      <c r="BT99" s="686"/>
      <c r="BU99" s="686"/>
      <c r="BV99" s="686"/>
      <c r="BW99" s="686"/>
      <c r="BX99" s="686"/>
      <c r="BY99" s="686"/>
      <c r="BZ99" s="686"/>
      <c r="CA99" s="686"/>
      <c r="CB99" s="45">
        <f t="shared" si="113"/>
        <v>104270.69999999998</v>
      </c>
      <c r="CC99" s="46">
        <f t="shared" si="114"/>
        <v>4354</v>
      </c>
      <c r="CD99" s="47">
        <f t="shared" si="115"/>
        <v>88337</v>
      </c>
      <c r="CE99" s="62"/>
      <c r="CF99" s="237" t="str">
        <f>VLOOKUP(A99,labo!B:C,2,FALSE)</f>
        <v>quincaillerie</v>
      </c>
      <c r="CG99" s="106">
        <f t="shared" si="116"/>
        <v>0</v>
      </c>
      <c r="CI99" s="51"/>
      <c r="CK99" s="251" t="str">
        <f>+B99</f>
        <v>P017200196847J</v>
      </c>
      <c r="CL99" s="323">
        <f>CE99</f>
        <v>0</v>
      </c>
      <c r="CM99" s="40"/>
    </row>
    <row r="100" spans="1:91">
      <c r="A100" s="688" t="s">
        <v>2360</v>
      </c>
      <c r="B100" s="689" t="s">
        <v>2580</v>
      </c>
      <c r="C100" s="479" t="s">
        <v>1437</v>
      </c>
      <c r="D100" s="683"/>
      <c r="E100" s="683"/>
      <c r="F100" s="684"/>
      <c r="G100" s="685">
        <v>0</v>
      </c>
      <c r="H100" s="684"/>
      <c r="I100" s="684"/>
      <c r="J100" s="686">
        <v>21262</v>
      </c>
      <c r="K100" s="686"/>
      <c r="L100" s="685">
        <v>212.62</v>
      </c>
      <c r="M100" s="685">
        <v>1318.2439999999999</v>
      </c>
      <c r="N100" s="685">
        <v>595.33600000000001</v>
      </c>
      <c r="O100" s="685">
        <v>3166</v>
      </c>
      <c r="P100" s="685"/>
      <c r="Q100" s="685"/>
      <c r="R100" s="685">
        <v>31.66</v>
      </c>
      <c r="S100" s="685">
        <v>196.292</v>
      </c>
      <c r="T100" s="685">
        <v>88.647999999999996</v>
      </c>
      <c r="U100" s="685"/>
      <c r="V100" s="685"/>
      <c r="W100" s="685"/>
      <c r="X100" s="685"/>
      <c r="Y100" s="685"/>
      <c r="Z100" s="685"/>
      <c r="AA100" s="685"/>
      <c r="AB100" s="685">
        <v>0</v>
      </c>
      <c r="AC100" s="685">
        <v>0</v>
      </c>
      <c r="AD100" s="685">
        <v>0</v>
      </c>
      <c r="AE100" s="686"/>
      <c r="AF100" s="686"/>
      <c r="AG100" s="686"/>
      <c r="AH100" s="686"/>
      <c r="AI100" s="686"/>
      <c r="AJ100" s="686"/>
      <c r="AK100" s="686"/>
      <c r="AL100" s="686">
        <v>0</v>
      </c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>
        <v>1800</v>
      </c>
      <c r="BF100" s="686">
        <v>1200</v>
      </c>
      <c r="BG100" s="686"/>
      <c r="BH100" s="686"/>
      <c r="BI100" s="686"/>
      <c r="BJ100" s="686"/>
      <c r="BK100" s="686"/>
      <c r="BL100" s="686"/>
      <c r="BM100" s="686"/>
      <c r="BN100" s="686"/>
      <c r="BO100" s="686"/>
      <c r="BP100" s="686"/>
      <c r="BQ100" s="686"/>
      <c r="BR100" s="686">
        <v>0</v>
      </c>
      <c r="BS100" s="686"/>
      <c r="BT100" s="686"/>
      <c r="BU100" s="686"/>
      <c r="BV100" s="686"/>
      <c r="BW100" s="686"/>
      <c r="BX100" s="686"/>
      <c r="BY100" s="686"/>
      <c r="BZ100" s="686"/>
      <c r="CA100" s="686"/>
      <c r="CB100" s="45">
        <f t="shared" si="113"/>
        <v>29870.799999999999</v>
      </c>
      <c r="CC100" s="46">
        <f t="shared" si="114"/>
        <v>0</v>
      </c>
      <c r="CD100" s="47">
        <f t="shared" si="115"/>
        <v>24428</v>
      </c>
      <c r="CE100" s="62"/>
      <c r="CF100" s="237" t="str">
        <f>VLOOKUP(A100,labo!B:C,2,FALSE)</f>
        <v>autres CG</v>
      </c>
      <c r="CG100" s="106">
        <f t="shared" si="116"/>
        <v>0</v>
      </c>
      <c r="CI100" s="51"/>
      <c r="CK100" s="251" t="str">
        <f>+B100</f>
        <v>M011912735637W</v>
      </c>
      <c r="CL100" s="323">
        <f>CE100</f>
        <v>0</v>
      </c>
      <c r="CM100" s="40"/>
    </row>
    <row r="101" spans="1:91">
      <c r="A101" s="688" t="s">
        <v>2376</v>
      </c>
      <c r="B101" s="689" t="s">
        <v>2307</v>
      </c>
      <c r="C101" s="479" t="s">
        <v>1437</v>
      </c>
      <c r="D101" s="683"/>
      <c r="E101" s="683"/>
      <c r="F101" s="684"/>
      <c r="G101" s="685">
        <v>0</v>
      </c>
      <c r="H101" s="684"/>
      <c r="I101" s="684"/>
      <c r="J101" s="686">
        <v>92360</v>
      </c>
      <c r="K101" s="686"/>
      <c r="L101" s="685">
        <v>923.6</v>
      </c>
      <c r="M101" s="685">
        <v>5726.32</v>
      </c>
      <c r="N101" s="685">
        <v>2586.08</v>
      </c>
      <c r="O101" s="685">
        <v>72784</v>
      </c>
      <c r="P101" s="685"/>
      <c r="Q101" s="685"/>
      <c r="R101" s="685">
        <v>727.84</v>
      </c>
      <c r="S101" s="685">
        <v>4512.6080000000002</v>
      </c>
      <c r="T101" s="685">
        <v>2037.952</v>
      </c>
      <c r="U101" s="685"/>
      <c r="V101" s="685"/>
      <c r="W101" s="685">
        <v>12580</v>
      </c>
      <c r="X101" s="685"/>
      <c r="Y101" s="685"/>
      <c r="Z101" s="685"/>
      <c r="AA101" s="685"/>
      <c r="AB101" s="685">
        <v>125.8</v>
      </c>
      <c r="AC101" s="685">
        <v>779.96</v>
      </c>
      <c r="AD101" s="685">
        <v>352.24</v>
      </c>
      <c r="AE101" s="686"/>
      <c r="AF101" s="686"/>
      <c r="AG101" s="686">
        <v>10500</v>
      </c>
      <c r="AH101" s="686"/>
      <c r="AI101" s="686"/>
      <c r="AJ101" s="686"/>
      <c r="AK101" s="686"/>
      <c r="AL101" s="686">
        <v>0</v>
      </c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>
        <v>14230</v>
      </c>
      <c r="BF101" s="686">
        <v>5445</v>
      </c>
      <c r="BG101" s="686">
        <v>6150</v>
      </c>
      <c r="BH101" s="686"/>
      <c r="BI101" s="686"/>
      <c r="BJ101" s="686"/>
      <c r="BK101" s="686"/>
      <c r="BL101" s="686"/>
      <c r="BM101" s="686"/>
      <c r="BN101" s="686"/>
      <c r="BO101" s="686"/>
      <c r="BP101" s="686"/>
      <c r="BQ101" s="686">
        <v>1800</v>
      </c>
      <c r="BR101" s="686">
        <v>200</v>
      </c>
      <c r="BS101" s="686"/>
      <c r="BT101" s="686"/>
      <c r="BU101" s="686"/>
      <c r="BV101" s="686"/>
      <c r="BW101" s="686"/>
      <c r="BX101" s="686"/>
      <c r="BY101" s="686"/>
      <c r="BZ101" s="686"/>
      <c r="CA101" s="686"/>
      <c r="CB101" s="45">
        <f t="shared" si="113"/>
        <v>233821.39999999997</v>
      </c>
      <c r="CC101" s="46">
        <f t="shared" si="114"/>
        <v>23080</v>
      </c>
      <c r="CD101" s="47">
        <f t="shared" si="115"/>
        <v>188224</v>
      </c>
      <c r="CE101" s="62"/>
      <c r="CF101" s="237" t="str">
        <f>VLOOKUP(A101,labo!B:C,2,FALSE)</f>
        <v>pharmacie</v>
      </c>
      <c r="CG101" s="106">
        <f t="shared" si="116"/>
        <v>0</v>
      </c>
      <c r="CI101" s="51"/>
      <c r="CK101" s="251" t="str">
        <f>+B101</f>
        <v>P118412703856N</v>
      </c>
      <c r="CL101" s="323">
        <f>CE101</f>
        <v>0</v>
      </c>
      <c r="CM101" s="40"/>
    </row>
    <row r="102" spans="1:91">
      <c r="A102" s="1" t="s">
        <v>2737</v>
      </c>
      <c r="B102" s="1" t="s">
        <v>2646</v>
      </c>
      <c r="C102" s="690" t="s">
        <v>1437</v>
      </c>
      <c r="D102" s="683"/>
      <c r="E102" s="683"/>
      <c r="F102" s="684"/>
      <c r="G102" s="685">
        <v>0</v>
      </c>
      <c r="H102" s="684"/>
      <c r="I102" s="684"/>
      <c r="J102" s="686"/>
      <c r="K102" s="686"/>
      <c r="L102" s="685">
        <v>0</v>
      </c>
      <c r="M102" s="685">
        <v>0</v>
      </c>
      <c r="N102" s="685">
        <v>0</v>
      </c>
      <c r="O102" s="685"/>
      <c r="P102" s="685"/>
      <c r="Q102" s="685"/>
      <c r="R102" s="685">
        <v>0</v>
      </c>
      <c r="S102" s="685">
        <v>0</v>
      </c>
      <c r="T102" s="685">
        <v>0</v>
      </c>
      <c r="U102" s="685"/>
      <c r="V102" s="685"/>
      <c r="W102" s="685">
        <v>4989</v>
      </c>
      <c r="X102" s="685"/>
      <c r="Y102" s="685"/>
      <c r="Z102" s="685"/>
      <c r="AA102" s="685"/>
      <c r="AB102" s="685">
        <v>49.89</v>
      </c>
      <c r="AC102" s="685">
        <v>309.31799999999998</v>
      </c>
      <c r="AD102" s="685">
        <v>139.69200000000001</v>
      </c>
      <c r="AE102" s="686"/>
      <c r="AF102" s="686"/>
      <c r="AG102" s="686"/>
      <c r="AH102" s="686"/>
      <c r="AI102" s="686"/>
      <c r="AJ102" s="686"/>
      <c r="AK102" s="686"/>
      <c r="AL102" s="686">
        <v>0</v>
      </c>
      <c r="AM102" s="686"/>
      <c r="AN102" s="686"/>
      <c r="AO102" s="686"/>
      <c r="AP102" s="686"/>
      <c r="AQ102" s="686"/>
      <c r="AR102" s="686"/>
      <c r="AS102" s="686"/>
      <c r="AT102" s="686"/>
      <c r="AU102" s="686"/>
      <c r="AV102" s="686"/>
      <c r="AW102" s="686"/>
      <c r="AX102" s="686"/>
      <c r="AY102" s="686"/>
      <c r="AZ102" s="686"/>
      <c r="BA102" s="686"/>
      <c r="BB102" s="686"/>
      <c r="BC102" s="686"/>
      <c r="BD102" s="686"/>
      <c r="BE102" s="686"/>
      <c r="BF102" s="686"/>
      <c r="BG102" s="686"/>
      <c r="BH102" s="686"/>
      <c r="BI102" s="686"/>
      <c r="BJ102" s="686"/>
      <c r="BK102" s="686"/>
      <c r="BL102" s="686"/>
      <c r="BM102" s="686"/>
      <c r="BN102" s="686"/>
      <c r="BO102" s="686"/>
      <c r="BP102" s="686"/>
      <c r="BQ102" s="686"/>
      <c r="BR102" s="686">
        <v>0</v>
      </c>
      <c r="BS102" s="686"/>
      <c r="BT102" s="686"/>
      <c r="BU102" s="686"/>
      <c r="BV102" s="686"/>
      <c r="BW102" s="686"/>
      <c r="BX102" s="686"/>
      <c r="BY102" s="686"/>
      <c r="BZ102" s="686"/>
      <c r="CA102" s="686"/>
      <c r="CB102" s="45">
        <f t="shared" si="113"/>
        <v>5487.9000000000005</v>
      </c>
      <c r="CC102" s="46">
        <f t="shared" si="114"/>
        <v>4989</v>
      </c>
      <c r="CD102" s="47">
        <f t="shared" si="115"/>
        <v>4989</v>
      </c>
      <c r="CE102" s="62"/>
      <c r="CF102" s="237" t="str">
        <f>VLOOKUP(A102,labo!B:C,2,FALSE)</f>
        <v>autres CG</v>
      </c>
      <c r="CG102" s="106">
        <f t="shared" si="116"/>
        <v>0</v>
      </c>
      <c r="CI102" s="51"/>
      <c r="CK102" s="251" t="str">
        <f>+B102</f>
        <v>P015412265588P</v>
      </c>
      <c r="CL102" s="323">
        <f>CE102</f>
        <v>0</v>
      </c>
      <c r="CM102" s="40"/>
    </row>
    <row r="103" spans="1:91" s="503" customFormat="1">
      <c r="A103" s="1" t="s">
        <v>2650</v>
      </c>
      <c r="B103" s="1" t="s">
        <v>2651</v>
      </c>
      <c r="C103" s="690" t="s">
        <v>1437</v>
      </c>
      <c r="D103" s="683"/>
      <c r="E103" s="683"/>
      <c r="F103" s="684"/>
      <c r="G103" s="686">
        <v>0</v>
      </c>
      <c r="H103" s="684"/>
      <c r="I103" s="684"/>
      <c r="J103" s="686">
        <v>28196</v>
      </c>
      <c r="K103" s="686"/>
      <c r="L103" s="686">
        <v>281.95999999999998</v>
      </c>
      <c r="M103" s="686">
        <v>1748.152</v>
      </c>
      <c r="N103" s="686">
        <v>789.48800000000006</v>
      </c>
      <c r="O103" s="685">
        <v>16544</v>
      </c>
      <c r="P103" s="686"/>
      <c r="Q103" s="686"/>
      <c r="R103" s="686">
        <v>165.44</v>
      </c>
      <c r="S103" s="686">
        <v>1025.7280000000001</v>
      </c>
      <c r="T103" s="686">
        <v>463.23200000000003</v>
      </c>
      <c r="U103" s="686"/>
      <c r="V103" s="685"/>
      <c r="W103" s="685"/>
      <c r="X103" s="686"/>
      <c r="Y103" s="686"/>
      <c r="Z103" s="686"/>
      <c r="AA103" s="686"/>
      <c r="AB103" s="686">
        <v>0</v>
      </c>
      <c r="AC103" s="686">
        <v>0</v>
      </c>
      <c r="AD103" s="686">
        <v>0</v>
      </c>
      <c r="AE103" s="686"/>
      <c r="AF103" s="686"/>
      <c r="AG103" s="686"/>
      <c r="AH103" s="686"/>
      <c r="AI103" s="686"/>
      <c r="AJ103" s="686"/>
      <c r="AK103" s="686"/>
      <c r="AL103" s="686">
        <v>0</v>
      </c>
      <c r="AM103" s="686"/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>
        <v>1305</v>
      </c>
      <c r="BF103" s="686">
        <v>870</v>
      </c>
      <c r="BG103" s="686"/>
      <c r="BH103" s="686"/>
      <c r="BI103" s="686"/>
      <c r="BJ103" s="686"/>
      <c r="BK103" s="686"/>
      <c r="BL103" s="686"/>
      <c r="BM103" s="686"/>
      <c r="BN103" s="686"/>
      <c r="BO103" s="686"/>
      <c r="BP103" s="686"/>
      <c r="BQ103" s="686"/>
      <c r="BR103" s="686">
        <v>0</v>
      </c>
      <c r="BS103" s="686"/>
      <c r="BT103" s="686"/>
      <c r="BU103" s="686"/>
      <c r="BV103" s="686"/>
      <c r="BW103" s="686"/>
      <c r="BX103" s="686"/>
      <c r="BY103" s="686"/>
      <c r="BZ103" s="686"/>
      <c r="CA103" s="686"/>
      <c r="CB103" s="45">
        <f t="shared" si="113"/>
        <v>51389.000000000015</v>
      </c>
      <c r="CC103" s="46">
        <f t="shared" si="114"/>
        <v>0</v>
      </c>
      <c r="CD103" s="47">
        <f t="shared" si="115"/>
        <v>44740</v>
      </c>
      <c r="CE103" s="62"/>
      <c r="CF103" s="237" t="str">
        <f>VLOOKUP(A103,labo!B:C,2,FALSE)</f>
        <v>autres CG</v>
      </c>
      <c r="CG103" s="106">
        <f t="shared" si="116"/>
        <v>0</v>
      </c>
      <c r="CH103" s="40"/>
      <c r="CI103" s="51"/>
      <c r="CJ103" s="40"/>
      <c r="CK103" s="504" t="str">
        <f>+B103</f>
        <v>P016512650493L</v>
      </c>
      <c r="CL103" s="505">
        <f>CE103</f>
        <v>0</v>
      </c>
    </row>
    <row r="104" spans="1:91" s="503" customFormat="1">
      <c r="A104" s="691" t="s">
        <v>3075</v>
      </c>
      <c r="B104" s="479" t="s">
        <v>3076</v>
      </c>
      <c r="C104" s="690" t="s">
        <v>1437</v>
      </c>
      <c r="D104" s="683"/>
      <c r="E104" s="683"/>
      <c r="F104" s="684"/>
      <c r="G104" s="685">
        <v>0</v>
      </c>
      <c r="H104" s="684"/>
      <c r="I104" s="684"/>
      <c r="J104" s="686">
        <v>44956</v>
      </c>
      <c r="K104" s="686"/>
      <c r="L104" s="685">
        <v>449.56</v>
      </c>
      <c r="M104" s="685">
        <v>2787.2719999999999</v>
      </c>
      <c r="N104" s="685">
        <v>1258.768</v>
      </c>
      <c r="O104" s="685">
        <v>39076</v>
      </c>
      <c r="P104" s="685"/>
      <c r="Q104" s="685"/>
      <c r="R104" s="685">
        <v>390.76</v>
      </c>
      <c r="S104" s="685">
        <v>2422.712</v>
      </c>
      <c r="T104" s="685">
        <v>1094.1279999999999</v>
      </c>
      <c r="U104" s="685"/>
      <c r="V104" s="685"/>
      <c r="W104" s="685"/>
      <c r="X104" s="685"/>
      <c r="Y104" s="685"/>
      <c r="Z104" s="685"/>
      <c r="AA104" s="685"/>
      <c r="AB104" s="685">
        <v>0</v>
      </c>
      <c r="AC104" s="685">
        <v>0</v>
      </c>
      <c r="AD104" s="685">
        <v>0</v>
      </c>
      <c r="AE104" s="686"/>
      <c r="AF104" s="686"/>
      <c r="AG104" s="686"/>
      <c r="AH104" s="686"/>
      <c r="AI104" s="686"/>
      <c r="AJ104" s="686"/>
      <c r="AK104" s="686"/>
      <c r="AL104" s="686">
        <v>0</v>
      </c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>
        <v>1800</v>
      </c>
      <c r="BF104" s="686">
        <v>1200</v>
      </c>
      <c r="BG104" s="686"/>
      <c r="BH104" s="686"/>
      <c r="BI104" s="686"/>
      <c r="BJ104" s="686"/>
      <c r="BK104" s="686"/>
      <c r="BL104" s="686"/>
      <c r="BM104" s="686"/>
      <c r="BN104" s="686"/>
      <c r="BO104" s="686"/>
      <c r="BP104" s="686"/>
      <c r="BQ104" s="686">
        <v>450</v>
      </c>
      <c r="BR104" s="686">
        <v>50</v>
      </c>
      <c r="BS104" s="686"/>
      <c r="BT104" s="686"/>
      <c r="BU104" s="686"/>
      <c r="BV104" s="686"/>
      <c r="BW104" s="686"/>
      <c r="BX104" s="686"/>
      <c r="BY104" s="686"/>
      <c r="BZ104" s="686"/>
      <c r="CA104" s="686"/>
      <c r="CB104" s="45">
        <f t="shared" si="113"/>
        <v>95935.199999999983</v>
      </c>
      <c r="CC104" s="46">
        <f t="shared" si="114"/>
        <v>0</v>
      </c>
      <c r="CD104" s="47">
        <f t="shared" si="115"/>
        <v>84032</v>
      </c>
      <c r="CE104" s="62"/>
      <c r="CF104" s="237" t="s">
        <v>1595</v>
      </c>
      <c r="CG104" s="106">
        <f t="shared" si="116"/>
        <v>0</v>
      </c>
      <c r="CH104" s="40"/>
      <c r="CI104" s="51"/>
      <c r="CJ104" s="40"/>
      <c r="CK104" s="504" t="str">
        <f t="shared" si="111"/>
        <v>P089315203779G</v>
      </c>
      <c r="CL104" s="505">
        <f t="shared" si="112"/>
        <v>0</v>
      </c>
    </row>
    <row r="105" spans="1:91">
      <c r="A105" s="692" t="s">
        <v>3077</v>
      </c>
      <c r="B105" s="1" t="s">
        <v>3078</v>
      </c>
      <c r="C105" s="479" t="s">
        <v>1437</v>
      </c>
      <c r="D105" s="683"/>
      <c r="E105" s="683"/>
      <c r="F105" s="684"/>
      <c r="G105" s="685">
        <v>0</v>
      </c>
      <c r="H105" s="684"/>
      <c r="I105" s="684"/>
      <c r="J105" s="686">
        <v>37994</v>
      </c>
      <c r="K105" s="686"/>
      <c r="L105" s="685">
        <v>379.94</v>
      </c>
      <c r="M105" s="685">
        <v>2355.6280000000002</v>
      </c>
      <c r="N105" s="685">
        <v>1063.8320000000001</v>
      </c>
      <c r="O105" s="685">
        <v>9725</v>
      </c>
      <c r="P105" s="685"/>
      <c r="Q105" s="685"/>
      <c r="R105" s="685">
        <v>97.25</v>
      </c>
      <c r="S105" s="685">
        <v>602.95000000000005</v>
      </c>
      <c r="T105" s="685">
        <v>272.3</v>
      </c>
      <c r="U105" s="685"/>
      <c r="V105" s="685"/>
      <c r="W105" s="685">
        <v>4354</v>
      </c>
      <c r="X105" s="685"/>
      <c r="Y105" s="685"/>
      <c r="Z105" s="685"/>
      <c r="AA105" s="685"/>
      <c r="AB105" s="685">
        <v>43.54</v>
      </c>
      <c r="AC105" s="685">
        <v>269.94799999999998</v>
      </c>
      <c r="AD105" s="685">
        <v>121.91200000000001</v>
      </c>
      <c r="AE105" s="686"/>
      <c r="AF105" s="686"/>
      <c r="AG105" s="686"/>
      <c r="AH105" s="686"/>
      <c r="AI105" s="686"/>
      <c r="AJ105" s="686"/>
      <c r="AK105" s="686"/>
      <c r="AL105" s="686">
        <v>0</v>
      </c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>
        <v>4000</v>
      </c>
      <c r="BF105" s="686">
        <v>1600</v>
      </c>
      <c r="BG105" s="686">
        <v>1000</v>
      </c>
      <c r="BH105" s="686"/>
      <c r="BI105" s="686"/>
      <c r="BJ105" s="686"/>
      <c r="BK105" s="686"/>
      <c r="BL105" s="686"/>
      <c r="BM105" s="686"/>
      <c r="BN105" s="686"/>
      <c r="BO105" s="686"/>
      <c r="BP105" s="686"/>
      <c r="BQ105" s="686">
        <v>450</v>
      </c>
      <c r="BR105" s="686">
        <v>50</v>
      </c>
      <c r="BS105" s="686"/>
      <c r="BT105" s="686"/>
      <c r="BU105" s="686"/>
      <c r="BV105" s="686"/>
      <c r="BW105" s="686"/>
      <c r="BX105" s="686"/>
      <c r="BY105" s="686"/>
      <c r="BZ105" s="686"/>
      <c r="CA105" s="686"/>
      <c r="CB105" s="45">
        <f t="shared" si="113"/>
        <v>64380.299999999996</v>
      </c>
      <c r="CC105" s="46">
        <f t="shared" si="114"/>
        <v>4354</v>
      </c>
      <c r="CD105" s="47">
        <f t="shared" si="115"/>
        <v>52073</v>
      </c>
      <c r="CE105" s="62"/>
      <c r="CF105" s="237" t="s">
        <v>1594</v>
      </c>
      <c r="CG105" s="106">
        <f t="shared" si="116"/>
        <v>0</v>
      </c>
      <c r="CI105" s="51"/>
      <c r="CK105" s="251" t="str">
        <f t="shared" si="111"/>
        <v>P108315234378X</v>
      </c>
      <c r="CL105" s="323">
        <f t="shared" si="112"/>
        <v>0</v>
      </c>
      <c r="CM105" s="40"/>
    </row>
    <row r="106" spans="1:91">
      <c r="A106" s="692" t="s">
        <v>3079</v>
      </c>
      <c r="B106" s="1" t="s">
        <v>3080</v>
      </c>
      <c r="C106" s="479" t="s">
        <v>1437</v>
      </c>
      <c r="D106" s="683"/>
      <c r="E106" s="683"/>
      <c r="F106" s="684"/>
      <c r="G106" s="685">
        <v>0</v>
      </c>
      <c r="H106" s="684"/>
      <c r="I106" s="684"/>
      <c r="J106" s="686">
        <v>37091</v>
      </c>
      <c r="K106" s="686"/>
      <c r="L106" s="685">
        <v>370.91</v>
      </c>
      <c r="M106" s="685">
        <v>2299.6419999999998</v>
      </c>
      <c r="N106" s="685">
        <v>1038.548</v>
      </c>
      <c r="O106" s="685">
        <v>38397</v>
      </c>
      <c r="P106" s="685"/>
      <c r="Q106" s="685"/>
      <c r="R106" s="685">
        <v>383.97</v>
      </c>
      <c r="S106" s="685">
        <v>2380.614</v>
      </c>
      <c r="T106" s="685">
        <v>1075.116</v>
      </c>
      <c r="U106" s="685"/>
      <c r="V106" s="685"/>
      <c r="W106" s="685"/>
      <c r="X106" s="685"/>
      <c r="Y106" s="685"/>
      <c r="Z106" s="685"/>
      <c r="AA106" s="685"/>
      <c r="AB106" s="685">
        <v>0</v>
      </c>
      <c r="AC106" s="685">
        <v>0</v>
      </c>
      <c r="AD106" s="685">
        <v>0</v>
      </c>
      <c r="AE106" s="686"/>
      <c r="AF106" s="686"/>
      <c r="AG106" s="686"/>
      <c r="AH106" s="686"/>
      <c r="AI106" s="686"/>
      <c r="AJ106" s="686"/>
      <c r="AK106" s="686"/>
      <c r="AL106" s="686">
        <v>0</v>
      </c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>
        <v>2250</v>
      </c>
      <c r="BF106" s="686">
        <v>900</v>
      </c>
      <c r="BG106" s="686"/>
      <c r="BH106" s="686"/>
      <c r="BI106" s="686"/>
      <c r="BJ106" s="686"/>
      <c r="BK106" s="686"/>
      <c r="BL106" s="686"/>
      <c r="BM106" s="686"/>
      <c r="BN106" s="686"/>
      <c r="BO106" s="686"/>
      <c r="BP106" s="686"/>
      <c r="BQ106" s="686">
        <v>360</v>
      </c>
      <c r="BR106" s="686">
        <v>40</v>
      </c>
      <c r="BS106" s="686"/>
      <c r="BT106" s="686"/>
      <c r="BU106" s="686"/>
      <c r="BV106" s="686"/>
      <c r="BW106" s="686"/>
      <c r="BX106" s="686"/>
      <c r="BY106" s="686"/>
      <c r="BZ106" s="686"/>
      <c r="CA106" s="686"/>
      <c r="CB106" s="45">
        <f t="shared" si="113"/>
        <v>86586.8</v>
      </c>
      <c r="CC106" s="46">
        <f t="shared" si="114"/>
        <v>0</v>
      </c>
      <c r="CD106" s="47">
        <f t="shared" si="115"/>
        <v>75488</v>
      </c>
      <c r="CE106" s="62"/>
      <c r="CF106" s="237" t="s">
        <v>1593</v>
      </c>
      <c r="CG106" s="106">
        <f t="shared" si="116"/>
        <v>0</v>
      </c>
      <c r="CI106" s="51"/>
      <c r="CK106" s="251" t="str">
        <f t="shared" si="111"/>
        <v>M011812673773Q</v>
      </c>
      <c r="CL106" s="323">
        <f t="shared" si="112"/>
        <v>0</v>
      </c>
      <c r="CM106" s="40"/>
    </row>
    <row r="107" spans="1:91" s="503" customFormat="1">
      <c r="A107" s="693" t="s">
        <v>3081</v>
      </c>
      <c r="B107" s="694" t="s">
        <v>3082</v>
      </c>
      <c r="C107" s="479" t="s">
        <v>1437</v>
      </c>
      <c r="D107" s="695"/>
      <c r="E107" s="683"/>
      <c r="F107" s="696"/>
      <c r="G107" s="697">
        <v>0</v>
      </c>
      <c r="H107" s="696"/>
      <c r="I107" s="696"/>
      <c r="J107" s="686"/>
      <c r="K107" s="698"/>
      <c r="L107" s="697">
        <v>0</v>
      </c>
      <c r="M107" s="697">
        <v>0</v>
      </c>
      <c r="N107" s="697">
        <v>0</v>
      </c>
      <c r="O107" s="685">
        <v>12000</v>
      </c>
      <c r="P107" s="697"/>
      <c r="Q107" s="697"/>
      <c r="R107" s="697">
        <v>120</v>
      </c>
      <c r="S107" s="697">
        <v>744</v>
      </c>
      <c r="T107" s="697">
        <v>336</v>
      </c>
      <c r="U107" s="697"/>
      <c r="V107" s="685"/>
      <c r="W107" s="685"/>
      <c r="X107" s="697"/>
      <c r="Y107" s="697"/>
      <c r="Z107" s="697"/>
      <c r="AA107" s="697"/>
      <c r="AB107" s="697">
        <v>0</v>
      </c>
      <c r="AC107" s="697">
        <v>0</v>
      </c>
      <c r="AD107" s="697">
        <v>0</v>
      </c>
      <c r="AE107" s="686"/>
      <c r="AF107" s="698"/>
      <c r="AG107" s="686"/>
      <c r="AH107" s="698"/>
      <c r="AI107" s="698"/>
      <c r="AJ107" s="698"/>
      <c r="AK107" s="698"/>
      <c r="AL107" s="698">
        <v>0</v>
      </c>
      <c r="AM107" s="698"/>
      <c r="AN107" s="698"/>
      <c r="AO107" s="698"/>
      <c r="AP107" s="698"/>
      <c r="AQ107" s="698"/>
      <c r="AR107" s="698"/>
      <c r="AS107" s="698"/>
      <c r="AT107" s="698"/>
      <c r="AU107" s="698"/>
      <c r="AV107" s="698"/>
      <c r="AW107" s="698"/>
      <c r="AX107" s="698"/>
      <c r="AY107" s="698"/>
      <c r="AZ107" s="698"/>
      <c r="BA107" s="698"/>
      <c r="BB107" s="698"/>
      <c r="BC107" s="698"/>
      <c r="BD107" s="698"/>
      <c r="BE107" s="686"/>
      <c r="BF107" s="686"/>
      <c r="BG107" s="686"/>
      <c r="BH107" s="698"/>
      <c r="BI107" s="698"/>
      <c r="BJ107" s="698"/>
      <c r="BK107" s="698"/>
      <c r="BL107" s="698"/>
      <c r="BM107" s="698"/>
      <c r="BN107" s="698"/>
      <c r="BO107" s="698"/>
      <c r="BP107" s="698"/>
      <c r="BQ107" s="686"/>
      <c r="BR107" s="698">
        <v>0</v>
      </c>
      <c r="BS107" s="698"/>
      <c r="BT107" s="698"/>
      <c r="BU107" s="698"/>
      <c r="BV107" s="698"/>
      <c r="BW107" s="698"/>
      <c r="BX107" s="698"/>
      <c r="BY107" s="698"/>
      <c r="BZ107" s="698"/>
      <c r="CA107" s="698"/>
      <c r="CB107" s="45">
        <f t="shared" si="113"/>
        <v>13200</v>
      </c>
      <c r="CC107" s="46">
        <f t="shared" si="114"/>
        <v>0</v>
      </c>
      <c r="CD107" s="47">
        <f t="shared" si="115"/>
        <v>12000</v>
      </c>
      <c r="CE107" s="62"/>
      <c r="CF107" s="237" t="s">
        <v>1595</v>
      </c>
      <c r="CG107" s="106">
        <f t="shared" si="116"/>
        <v>0</v>
      </c>
      <c r="CH107" s="40"/>
      <c r="CI107" s="51"/>
      <c r="CJ107" s="40"/>
      <c r="CK107" s="504" t="str">
        <f t="shared" si="111"/>
        <v>P017100503593P</v>
      </c>
      <c r="CL107" s="505">
        <f t="shared" si="112"/>
        <v>0</v>
      </c>
    </row>
    <row r="108" spans="1:91" s="503" customFormat="1">
      <c r="A108" s="478" t="s">
        <v>384</v>
      </c>
      <c r="B108" s="479" t="s">
        <v>789</v>
      </c>
      <c r="C108" s="479" t="s">
        <v>1437</v>
      </c>
      <c r="D108" s="683"/>
      <c r="E108" s="683"/>
      <c r="F108" s="684"/>
      <c r="G108" s="685">
        <f t="shared" ref="G108:G110" si="129">+E108/4</f>
        <v>0</v>
      </c>
      <c r="H108" s="684"/>
      <c r="I108" s="684"/>
      <c r="J108" s="686">
        <v>312892</v>
      </c>
      <c r="K108" s="686"/>
      <c r="L108" s="685">
        <f t="shared" ref="L108:L110" si="130">(J108+K108)*0.01</f>
        <v>3128.92</v>
      </c>
      <c r="M108" s="685">
        <f t="shared" ref="M108:M110" si="131">(J108+K108)*0.062</f>
        <v>19399.304</v>
      </c>
      <c r="N108" s="685">
        <f t="shared" ref="N108:N110" si="132">(J108+K108)*0.028</f>
        <v>8760.9760000000006</v>
      </c>
      <c r="O108" s="685">
        <v>398559</v>
      </c>
      <c r="P108" s="685"/>
      <c r="Q108" s="685"/>
      <c r="R108" s="685">
        <f t="shared" ref="R108:R110" si="133">(Q108+O108)*0.01</f>
        <v>3985.59</v>
      </c>
      <c r="S108" s="685">
        <f t="shared" ref="S108:S110" si="134">(O108+Q108)*0.062</f>
        <v>24710.657999999999</v>
      </c>
      <c r="T108" s="685">
        <f t="shared" ref="T108:T110" si="135">(O108+P108+Q108)*0.028</f>
        <v>11159.652</v>
      </c>
      <c r="U108" s="685"/>
      <c r="V108" s="685"/>
      <c r="W108" s="685">
        <v>206500</v>
      </c>
      <c r="X108" s="685"/>
      <c r="Y108" s="685"/>
      <c r="Z108" s="685"/>
      <c r="AA108" s="685"/>
      <c r="AB108" s="685">
        <f t="shared" ref="AB108:AB110" si="136">(U108+V108+W108+X108+Y108+Z108)*0.01</f>
        <v>2065</v>
      </c>
      <c r="AC108" s="685">
        <f t="shared" ref="AC108:AC110" si="137">(U108+V108+W108+X108+Y108+Z108)*0.062</f>
        <v>12803</v>
      </c>
      <c r="AD108" s="685">
        <f t="shared" ref="AD108:AD110" si="138">(U108+V108+W108+X108+Y108+Z108)*0.028</f>
        <v>5782</v>
      </c>
      <c r="AE108" s="686"/>
      <c r="AF108" s="686"/>
      <c r="AG108" s="686">
        <v>55500</v>
      </c>
      <c r="AH108" s="686"/>
      <c r="AI108" s="686"/>
      <c r="AJ108" s="686"/>
      <c r="AK108" s="686"/>
      <c r="AL108" s="686">
        <f t="shared" ref="AL108:AL110" si="139">+AK108</f>
        <v>0</v>
      </c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>
        <v>153773</v>
      </c>
      <c r="BF108" s="686">
        <v>61393</v>
      </c>
      <c r="BG108" s="686">
        <v>97000</v>
      </c>
      <c r="BH108" s="686"/>
      <c r="BI108" s="686"/>
      <c r="BJ108" s="686"/>
      <c r="BK108" s="686"/>
      <c r="BL108" s="686"/>
      <c r="BM108" s="686"/>
      <c r="BN108" s="686"/>
      <c r="BO108" s="686"/>
      <c r="BP108" s="686"/>
      <c r="BQ108" s="686">
        <v>28350</v>
      </c>
      <c r="BR108" s="686">
        <f t="shared" ref="BR108:BR110" si="140">BQ108/9</f>
        <v>3150</v>
      </c>
      <c r="BS108" s="686"/>
      <c r="BT108" s="686"/>
      <c r="BU108" s="686"/>
      <c r="BV108" s="686"/>
      <c r="BW108" s="686"/>
      <c r="BX108" s="686"/>
      <c r="BY108" s="686"/>
      <c r="BZ108" s="686"/>
      <c r="CA108" s="686"/>
      <c r="CB108" s="45">
        <f t="shared" si="113"/>
        <v>1408912.1</v>
      </c>
      <c r="CC108" s="46">
        <f t="shared" si="114"/>
        <v>262000</v>
      </c>
      <c r="CD108" s="47">
        <f t="shared" si="115"/>
        <v>973451</v>
      </c>
      <c r="CE108" s="62"/>
      <c r="CF108" s="237" t="str">
        <f>VLOOKUP(A108,labo!B:C,2,FALSE)</f>
        <v>alimentation</v>
      </c>
      <c r="CG108" s="106">
        <f t="shared" si="116"/>
        <v>0</v>
      </c>
      <c r="CH108" s="40"/>
      <c r="CI108" s="51"/>
      <c r="CJ108" s="40"/>
      <c r="CK108" s="504" t="str">
        <f t="shared" si="111"/>
        <v>M081300046646K</v>
      </c>
      <c r="CL108" s="505">
        <f t="shared" si="112"/>
        <v>0</v>
      </c>
    </row>
    <row r="109" spans="1:91">
      <c r="A109" s="478" t="s">
        <v>385</v>
      </c>
      <c r="B109" s="479" t="s">
        <v>870</v>
      </c>
      <c r="C109" s="479" t="s">
        <v>1437</v>
      </c>
      <c r="D109" s="683"/>
      <c r="E109" s="683">
        <v>13200</v>
      </c>
      <c r="F109" s="684"/>
      <c r="G109" s="685">
        <f t="shared" si="129"/>
        <v>3300</v>
      </c>
      <c r="H109" s="684"/>
      <c r="I109" s="684"/>
      <c r="J109" s="686">
        <v>179582</v>
      </c>
      <c r="K109" s="686"/>
      <c r="L109" s="685">
        <f t="shared" si="130"/>
        <v>1795.82</v>
      </c>
      <c r="M109" s="685">
        <f t="shared" si="131"/>
        <v>11134.084000000001</v>
      </c>
      <c r="N109" s="685">
        <f t="shared" si="132"/>
        <v>5028.2960000000003</v>
      </c>
      <c r="O109" s="685">
        <v>133580</v>
      </c>
      <c r="P109" s="685"/>
      <c r="Q109" s="685"/>
      <c r="R109" s="685">
        <f t="shared" si="133"/>
        <v>1335.8</v>
      </c>
      <c r="S109" s="685">
        <f t="shared" si="134"/>
        <v>8281.9599999999991</v>
      </c>
      <c r="T109" s="685">
        <f t="shared" si="135"/>
        <v>3740.2400000000002</v>
      </c>
      <c r="U109" s="685"/>
      <c r="V109" s="685"/>
      <c r="W109" s="685"/>
      <c r="X109" s="685"/>
      <c r="Y109" s="685"/>
      <c r="Z109" s="685"/>
      <c r="AA109" s="685"/>
      <c r="AB109" s="685">
        <f t="shared" si="136"/>
        <v>0</v>
      </c>
      <c r="AC109" s="685">
        <f t="shared" si="137"/>
        <v>0</v>
      </c>
      <c r="AD109" s="685">
        <f t="shared" si="138"/>
        <v>0</v>
      </c>
      <c r="AE109" s="686"/>
      <c r="AF109" s="686"/>
      <c r="AG109" s="686">
        <v>9750</v>
      </c>
      <c r="AH109" s="686"/>
      <c r="AI109" s="686"/>
      <c r="AJ109" s="686"/>
      <c r="AK109" s="686"/>
      <c r="AL109" s="686">
        <f t="shared" si="139"/>
        <v>0</v>
      </c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>
        <v>5600</v>
      </c>
      <c r="BF109" s="686">
        <v>3734</v>
      </c>
      <c r="BG109" s="686"/>
      <c r="BH109" s="686"/>
      <c r="BI109" s="686"/>
      <c r="BJ109" s="686"/>
      <c r="BK109" s="686"/>
      <c r="BL109" s="686"/>
      <c r="BM109" s="686"/>
      <c r="BN109" s="686"/>
      <c r="BO109" s="686"/>
      <c r="BP109" s="686"/>
      <c r="BQ109" s="686"/>
      <c r="BR109" s="686">
        <f t="shared" si="140"/>
        <v>0</v>
      </c>
      <c r="BS109" s="686"/>
      <c r="BT109" s="686"/>
      <c r="BU109" s="686"/>
      <c r="BV109" s="686"/>
      <c r="BW109" s="686"/>
      <c r="BX109" s="686"/>
      <c r="BY109" s="686"/>
      <c r="BZ109" s="686"/>
      <c r="CA109" s="686"/>
      <c r="CB109" s="45">
        <f t="shared" si="113"/>
        <v>380062.2</v>
      </c>
      <c r="CC109" s="46">
        <f t="shared" si="114"/>
        <v>22950</v>
      </c>
      <c r="CD109" s="47">
        <f t="shared" si="115"/>
        <v>336112</v>
      </c>
      <c r="CE109" s="62"/>
      <c r="CF109" s="237" t="str">
        <f>VLOOKUP(A109,labo!B:C,2,FALSE)</f>
        <v>vente bh</v>
      </c>
      <c r="CG109" s="106">
        <f t="shared" si="116"/>
        <v>0</v>
      </c>
      <c r="CI109" s="51"/>
      <c r="CK109" s="251" t="str">
        <f t="shared" ref="CK109" si="141">+B109</f>
        <v>P098100121668H</v>
      </c>
      <c r="CL109" s="323">
        <f t="shared" ref="CL109" si="142">CE109</f>
        <v>0</v>
      </c>
      <c r="CM109" s="40"/>
    </row>
    <row r="110" spans="1:91">
      <c r="A110" s="478" t="s">
        <v>307</v>
      </c>
      <c r="B110" s="479" t="s">
        <v>699</v>
      </c>
      <c r="C110" s="479" t="s">
        <v>1437</v>
      </c>
      <c r="D110" s="683"/>
      <c r="E110" s="683"/>
      <c r="F110" s="684"/>
      <c r="G110" s="685">
        <f t="shared" si="129"/>
        <v>0</v>
      </c>
      <c r="H110" s="684"/>
      <c r="I110" s="684"/>
      <c r="J110" s="686">
        <v>19677</v>
      </c>
      <c r="K110" s="686"/>
      <c r="L110" s="685">
        <f t="shared" si="130"/>
        <v>196.77</v>
      </c>
      <c r="M110" s="685">
        <f t="shared" si="131"/>
        <v>1219.9739999999999</v>
      </c>
      <c r="N110" s="685">
        <f t="shared" si="132"/>
        <v>550.95600000000002</v>
      </c>
      <c r="O110" s="685">
        <v>58347</v>
      </c>
      <c r="P110" s="685"/>
      <c r="Q110" s="685"/>
      <c r="R110" s="685">
        <f t="shared" si="133"/>
        <v>583.47</v>
      </c>
      <c r="S110" s="685">
        <f t="shared" si="134"/>
        <v>3617.5140000000001</v>
      </c>
      <c r="T110" s="685">
        <f t="shared" si="135"/>
        <v>1633.7160000000001</v>
      </c>
      <c r="U110" s="685"/>
      <c r="V110" s="685"/>
      <c r="W110" s="685">
        <v>1361</v>
      </c>
      <c r="X110" s="685"/>
      <c r="Y110" s="685"/>
      <c r="Z110" s="685"/>
      <c r="AA110" s="685"/>
      <c r="AB110" s="685">
        <f t="shared" si="136"/>
        <v>13.61</v>
      </c>
      <c r="AC110" s="685">
        <f t="shared" si="137"/>
        <v>84.382000000000005</v>
      </c>
      <c r="AD110" s="685">
        <f t="shared" si="138"/>
        <v>38.108000000000004</v>
      </c>
      <c r="AE110" s="686"/>
      <c r="AF110" s="686"/>
      <c r="AG110" s="686">
        <v>6750</v>
      </c>
      <c r="AH110" s="686"/>
      <c r="AI110" s="686"/>
      <c r="AJ110" s="686"/>
      <c r="AK110" s="686"/>
      <c r="AL110" s="686">
        <f t="shared" si="139"/>
        <v>0</v>
      </c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>
        <v>3842</v>
      </c>
      <c r="BF110" s="686">
        <v>2000</v>
      </c>
      <c r="BG110" s="686">
        <v>750</v>
      </c>
      <c r="BH110" s="686"/>
      <c r="BI110" s="686"/>
      <c r="BJ110" s="686"/>
      <c r="BK110" s="686"/>
      <c r="BL110" s="686"/>
      <c r="BM110" s="686"/>
      <c r="BN110" s="686"/>
      <c r="BO110" s="686"/>
      <c r="BP110" s="686"/>
      <c r="BQ110" s="686">
        <v>450</v>
      </c>
      <c r="BR110" s="686">
        <f t="shared" si="140"/>
        <v>50</v>
      </c>
      <c r="BS110" s="686"/>
      <c r="BT110" s="686"/>
      <c r="BU110" s="686"/>
      <c r="BV110" s="686"/>
      <c r="BW110" s="686"/>
      <c r="BX110" s="686"/>
      <c r="BY110" s="686"/>
      <c r="BZ110" s="686"/>
      <c r="CA110" s="686"/>
      <c r="CB110" s="45">
        <f t="shared" si="113"/>
        <v>101165.49999999999</v>
      </c>
      <c r="CC110" s="46">
        <f t="shared" si="114"/>
        <v>8111</v>
      </c>
      <c r="CD110" s="47">
        <f t="shared" si="115"/>
        <v>86135</v>
      </c>
      <c r="CE110" s="62"/>
      <c r="CF110" s="237" t="str">
        <f>VLOOKUP(A110,labo!B:C,2,FALSE)</f>
        <v>pharmacie</v>
      </c>
      <c r="CG110" s="106">
        <f t="shared" si="116"/>
        <v>0</v>
      </c>
      <c r="CI110" s="51"/>
      <c r="CK110" s="251" t="str">
        <f t="shared" si="111"/>
        <v>P026600255664J</v>
      </c>
      <c r="CL110" s="323">
        <f t="shared" si="112"/>
        <v>0</v>
      </c>
      <c r="CM110" s="40"/>
    </row>
    <row r="111" spans="1:91" s="503" customFormat="1">
      <c r="A111" s="479" t="s">
        <v>285</v>
      </c>
      <c r="B111" s="479" t="s">
        <v>880</v>
      </c>
      <c r="C111" s="479" t="s">
        <v>1437</v>
      </c>
      <c r="D111" s="683"/>
      <c r="E111" s="683">
        <v>151200</v>
      </c>
      <c r="F111" s="684"/>
      <c r="G111" s="685">
        <f>+E111/4</f>
        <v>37800</v>
      </c>
      <c r="H111" s="684"/>
      <c r="I111" s="684"/>
      <c r="J111" s="686">
        <v>529478</v>
      </c>
      <c r="K111" s="686"/>
      <c r="L111" s="685">
        <f>(J111+K111)*0.01</f>
        <v>5294.78</v>
      </c>
      <c r="M111" s="685">
        <f>(J111+K111)*0.062</f>
        <v>32827.635999999999</v>
      </c>
      <c r="N111" s="685">
        <f>(J111+K111)*0.028</f>
        <v>14825.384</v>
      </c>
      <c r="O111" s="685">
        <v>36936</v>
      </c>
      <c r="P111" s="685"/>
      <c r="Q111" s="685"/>
      <c r="R111" s="685">
        <f>(Q111+O111)*0.01</f>
        <v>369.36</v>
      </c>
      <c r="S111" s="685">
        <f>(O111+Q111)*0.062</f>
        <v>2290.0320000000002</v>
      </c>
      <c r="T111" s="685">
        <f>(O111+P111+Q111)*0.028</f>
        <v>1034.2080000000001</v>
      </c>
      <c r="U111" s="685"/>
      <c r="V111" s="685"/>
      <c r="W111" s="685">
        <v>8544</v>
      </c>
      <c r="X111" s="685"/>
      <c r="Y111" s="685"/>
      <c r="Z111" s="685"/>
      <c r="AA111" s="685"/>
      <c r="AB111" s="685">
        <f>(U111+V111+W111+X111+Y111+Z111)*0.01</f>
        <v>85.44</v>
      </c>
      <c r="AC111" s="685">
        <f>(U111+V111+W111+X111+Y111+Z111)*0.062</f>
        <v>529.72799999999995</v>
      </c>
      <c r="AD111" s="685">
        <f>(U111+V111+W111+X111+Y111+Z111)*0.028</f>
        <v>239.232</v>
      </c>
      <c r="AE111" s="686"/>
      <c r="AF111" s="686"/>
      <c r="AG111" s="686">
        <v>30000</v>
      </c>
      <c r="AH111" s="686"/>
      <c r="AI111" s="686"/>
      <c r="AJ111" s="686"/>
      <c r="AK111" s="686"/>
      <c r="AL111" s="686">
        <f>+AK111</f>
        <v>0</v>
      </c>
      <c r="AM111" s="686"/>
      <c r="AN111" s="686"/>
      <c r="AO111" s="686"/>
      <c r="AP111" s="686"/>
      <c r="AQ111" s="686"/>
      <c r="AR111" s="686"/>
      <c r="AS111" s="686"/>
      <c r="AT111" s="686">
        <v>265150</v>
      </c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>
        <v>19470</v>
      </c>
      <c r="BF111" s="686">
        <v>11274</v>
      </c>
      <c r="BG111" s="686">
        <v>2700</v>
      </c>
      <c r="BH111" s="686"/>
      <c r="BI111" s="686"/>
      <c r="BJ111" s="686"/>
      <c r="BK111" s="686"/>
      <c r="BL111" s="686"/>
      <c r="BM111" s="686"/>
      <c r="BN111" s="686"/>
      <c r="BO111" s="686"/>
      <c r="BP111" s="686"/>
      <c r="BQ111" s="686">
        <v>1350</v>
      </c>
      <c r="BR111" s="686">
        <f>BQ111/9</f>
        <v>150</v>
      </c>
      <c r="BS111" s="686"/>
      <c r="BT111" s="686"/>
      <c r="BU111" s="686"/>
      <c r="BV111" s="686"/>
      <c r="BW111" s="686"/>
      <c r="BX111" s="686"/>
      <c r="BY111" s="686"/>
      <c r="BZ111" s="686"/>
      <c r="CA111" s="686"/>
      <c r="CB111" s="45">
        <f t="shared" si="113"/>
        <v>1151547.7999999998</v>
      </c>
      <c r="CC111" s="46">
        <f t="shared" si="114"/>
        <v>454894</v>
      </c>
      <c r="CD111" s="47">
        <f t="shared" si="115"/>
        <v>1021308</v>
      </c>
      <c r="CE111" s="62"/>
      <c r="CF111" s="237" t="str">
        <f>VLOOKUP(A111,labo!B:C,2,FALSE)</f>
        <v>quincaillerie</v>
      </c>
      <c r="CG111" s="106">
        <f t="shared" si="116"/>
        <v>0</v>
      </c>
      <c r="CH111" s="40"/>
      <c r="CI111" s="51"/>
      <c r="CJ111" s="40"/>
      <c r="CK111" s="504" t="str">
        <f t="shared" si="111"/>
        <v>P017200261011R</v>
      </c>
      <c r="CL111" s="505">
        <f t="shared" si="112"/>
        <v>0</v>
      </c>
    </row>
    <row r="112" spans="1:91">
      <c r="A112" s="478" t="s">
        <v>363</v>
      </c>
      <c r="B112" s="479" t="s">
        <v>587</v>
      </c>
      <c r="C112" s="479" t="s">
        <v>1437</v>
      </c>
      <c r="D112" s="683"/>
      <c r="E112" s="683"/>
      <c r="F112" s="684"/>
      <c r="G112" s="685">
        <f t="shared" ref="G112:G114" si="143">+E112/4</f>
        <v>0</v>
      </c>
      <c r="H112" s="684"/>
      <c r="I112" s="684"/>
      <c r="J112" s="686">
        <v>49065</v>
      </c>
      <c r="K112" s="686"/>
      <c r="L112" s="685">
        <f t="shared" ref="L112:L114" si="144">(J112+K112)*0.01</f>
        <v>490.65000000000003</v>
      </c>
      <c r="M112" s="685">
        <f t="shared" ref="M112:M114" si="145">(J112+K112)*0.062</f>
        <v>3042.03</v>
      </c>
      <c r="N112" s="685">
        <f t="shared" ref="N112:N114" si="146">(J112+K112)*0.028</f>
        <v>1373.82</v>
      </c>
      <c r="O112" s="685">
        <v>5656</v>
      </c>
      <c r="P112" s="685"/>
      <c r="Q112" s="685"/>
      <c r="R112" s="685">
        <f t="shared" ref="R112:R114" si="147">(Q112+O112)*0.01</f>
        <v>56.56</v>
      </c>
      <c r="S112" s="685">
        <f t="shared" ref="S112:S114" si="148">(O112+Q112)*0.062</f>
        <v>350.67200000000003</v>
      </c>
      <c r="T112" s="685">
        <f t="shared" ref="T112:T114" si="149">(O112+P112+Q112)*0.028</f>
        <v>158.36799999999999</v>
      </c>
      <c r="U112" s="685"/>
      <c r="V112" s="685"/>
      <c r="W112" s="685"/>
      <c r="X112" s="685"/>
      <c r="Y112" s="685"/>
      <c r="Z112" s="685"/>
      <c r="AA112" s="685"/>
      <c r="AB112" s="685">
        <f t="shared" ref="AB112:AB114" si="150">(U112+V112+W112+X112+Y112+Z112)*0.01</f>
        <v>0</v>
      </c>
      <c r="AC112" s="685">
        <f t="shared" ref="AC112:AC114" si="151">(U112+V112+W112+X112+Y112+Z112)*0.062</f>
        <v>0</v>
      </c>
      <c r="AD112" s="685">
        <f t="shared" ref="AD112:AD114" si="152">(U112+V112+W112+X112+Y112+Z112)*0.028</f>
        <v>0</v>
      </c>
      <c r="AE112" s="686"/>
      <c r="AF112" s="686"/>
      <c r="AG112" s="686">
        <v>24000</v>
      </c>
      <c r="AH112" s="686"/>
      <c r="AI112" s="686"/>
      <c r="AJ112" s="686"/>
      <c r="AK112" s="686"/>
      <c r="AL112" s="686">
        <f t="shared" ref="AL112:AL114" si="153">+AK112</f>
        <v>0</v>
      </c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>
        <v>1501</v>
      </c>
      <c r="BF112" s="686">
        <v>600</v>
      </c>
      <c r="BG112" s="686"/>
      <c r="BH112" s="686"/>
      <c r="BI112" s="686"/>
      <c r="BJ112" s="686"/>
      <c r="BK112" s="686"/>
      <c r="BL112" s="686"/>
      <c r="BM112" s="686"/>
      <c r="BN112" s="686"/>
      <c r="BO112" s="686"/>
      <c r="BP112" s="686"/>
      <c r="BQ112" s="686">
        <v>405</v>
      </c>
      <c r="BR112" s="686">
        <f t="shared" ref="BR112:BR114" si="154">BQ112/9</f>
        <v>45</v>
      </c>
      <c r="BS112" s="686"/>
      <c r="BT112" s="686"/>
      <c r="BU112" s="686"/>
      <c r="BV112" s="686"/>
      <c r="BW112" s="686"/>
      <c r="BX112" s="686"/>
      <c r="BY112" s="686"/>
      <c r="BZ112" s="686"/>
      <c r="CA112" s="686"/>
      <c r="CB112" s="45">
        <f t="shared" si="113"/>
        <v>86744.1</v>
      </c>
      <c r="CC112" s="46">
        <f t="shared" si="114"/>
        <v>24000</v>
      </c>
      <c r="CD112" s="47">
        <f t="shared" si="115"/>
        <v>78721</v>
      </c>
      <c r="CE112" s="62"/>
      <c r="CF112" s="237" t="str">
        <f>VLOOKUP(A112,labo!B:C,2,FALSE)</f>
        <v>alimentation</v>
      </c>
      <c r="CG112" s="106">
        <f t="shared" si="116"/>
        <v>0</v>
      </c>
      <c r="CI112" s="51"/>
      <c r="CK112" s="251" t="str">
        <f t="shared" si="111"/>
        <v>P127200022431D</v>
      </c>
      <c r="CL112" s="323">
        <f t="shared" si="112"/>
        <v>0</v>
      </c>
      <c r="CM112" s="40"/>
    </row>
    <row r="113" spans="1:91">
      <c r="A113" s="478" t="s">
        <v>3083</v>
      </c>
      <c r="B113" s="479"/>
      <c r="C113" s="479" t="s">
        <v>1438</v>
      </c>
      <c r="D113" s="683"/>
      <c r="E113" s="683"/>
      <c r="F113" s="684"/>
      <c r="G113" s="685">
        <f t="shared" si="143"/>
        <v>0</v>
      </c>
      <c r="H113" s="684"/>
      <c r="I113" s="684"/>
      <c r="J113" s="686">
        <v>17869</v>
      </c>
      <c r="K113" s="686"/>
      <c r="L113" s="685">
        <f t="shared" si="144"/>
        <v>178.69</v>
      </c>
      <c r="M113" s="685">
        <f t="shared" si="145"/>
        <v>1107.8779999999999</v>
      </c>
      <c r="N113" s="685">
        <f t="shared" si="146"/>
        <v>500.33199999999999</v>
      </c>
      <c r="O113" s="685">
        <f>54106+400/1.1</f>
        <v>54469.63636363636</v>
      </c>
      <c r="P113" s="685"/>
      <c r="Q113" s="685"/>
      <c r="R113" s="685">
        <f t="shared" si="147"/>
        <v>544.69636363636357</v>
      </c>
      <c r="S113" s="685">
        <f t="shared" si="148"/>
        <v>3377.1174545454542</v>
      </c>
      <c r="T113" s="685">
        <f t="shared" si="149"/>
        <v>1525.1498181818181</v>
      </c>
      <c r="U113" s="685"/>
      <c r="V113" s="685"/>
      <c r="W113" s="685"/>
      <c r="X113" s="685"/>
      <c r="Y113" s="685"/>
      <c r="Z113" s="685"/>
      <c r="AA113" s="685"/>
      <c r="AB113" s="685">
        <f t="shared" si="150"/>
        <v>0</v>
      </c>
      <c r="AC113" s="685">
        <f t="shared" si="151"/>
        <v>0</v>
      </c>
      <c r="AD113" s="685">
        <f t="shared" si="152"/>
        <v>0</v>
      </c>
      <c r="AE113" s="686"/>
      <c r="AF113" s="686"/>
      <c r="AG113" s="686"/>
      <c r="AH113" s="686"/>
      <c r="AI113" s="686"/>
      <c r="AJ113" s="686"/>
      <c r="AK113" s="686"/>
      <c r="AL113" s="686">
        <f t="shared" si="153"/>
        <v>0</v>
      </c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>
        <f>3413-34</f>
        <v>3379</v>
      </c>
      <c r="BF113" s="686">
        <v>1600</v>
      </c>
      <c r="BG113" s="686">
        <v>750</v>
      </c>
      <c r="BH113" s="686"/>
      <c r="BI113" s="686"/>
      <c r="BJ113" s="686"/>
      <c r="BK113" s="686"/>
      <c r="BL113" s="686"/>
      <c r="BM113" s="686"/>
      <c r="BN113" s="686"/>
      <c r="BO113" s="686"/>
      <c r="BP113" s="686"/>
      <c r="BQ113" s="686">
        <v>495</v>
      </c>
      <c r="BR113" s="686">
        <f t="shared" si="154"/>
        <v>55</v>
      </c>
      <c r="BS113" s="686"/>
      <c r="BT113" s="686"/>
      <c r="BU113" s="686"/>
      <c r="BV113" s="686"/>
      <c r="BW113" s="686"/>
      <c r="BX113" s="686"/>
      <c r="BY113" s="686"/>
      <c r="BZ113" s="686"/>
      <c r="CA113" s="686"/>
      <c r="CB113" s="45">
        <f t="shared" si="113"/>
        <v>85851.5</v>
      </c>
      <c r="CC113" s="46">
        <f t="shared" si="114"/>
        <v>0</v>
      </c>
      <c r="CD113" s="47">
        <f t="shared" si="115"/>
        <v>72338.636363636353</v>
      </c>
      <c r="CE113" s="62"/>
      <c r="CF113" s="237" t="str">
        <f>VLOOKUP(A113,labo!B:C,2,FALSE)</f>
        <v>pharmacie</v>
      </c>
      <c r="CG113" s="106">
        <f t="shared" si="116"/>
        <v>0</v>
      </c>
      <c r="CI113" s="51"/>
      <c r="CK113" s="251">
        <f t="shared" si="111"/>
        <v>0</v>
      </c>
      <c r="CL113" s="323">
        <f t="shared" si="112"/>
        <v>0</v>
      </c>
      <c r="CM113" s="40"/>
    </row>
    <row r="114" spans="1:91">
      <c r="A114" s="478"/>
      <c r="B114" s="479"/>
      <c r="C114" s="479" t="s">
        <v>1437</v>
      </c>
      <c r="D114" s="683"/>
      <c r="E114" s="683"/>
      <c r="F114" s="684"/>
      <c r="G114" s="685">
        <f t="shared" si="143"/>
        <v>0</v>
      </c>
      <c r="H114" s="684"/>
      <c r="I114" s="684"/>
      <c r="J114" s="686"/>
      <c r="K114" s="686"/>
      <c r="L114" s="685">
        <f t="shared" si="144"/>
        <v>0</v>
      </c>
      <c r="M114" s="685">
        <f t="shared" si="145"/>
        <v>0</v>
      </c>
      <c r="N114" s="685">
        <f t="shared" si="146"/>
        <v>0</v>
      </c>
      <c r="O114" s="685"/>
      <c r="P114" s="685"/>
      <c r="Q114" s="685"/>
      <c r="R114" s="685">
        <f t="shared" si="147"/>
        <v>0</v>
      </c>
      <c r="S114" s="685">
        <f t="shared" si="148"/>
        <v>0</v>
      </c>
      <c r="T114" s="685">
        <f t="shared" si="149"/>
        <v>0</v>
      </c>
      <c r="U114" s="685"/>
      <c r="V114" s="685"/>
      <c r="W114" s="685"/>
      <c r="X114" s="685"/>
      <c r="Y114" s="685"/>
      <c r="Z114" s="685"/>
      <c r="AA114" s="685"/>
      <c r="AB114" s="685">
        <f t="shared" si="150"/>
        <v>0</v>
      </c>
      <c r="AC114" s="685">
        <f t="shared" si="151"/>
        <v>0</v>
      </c>
      <c r="AD114" s="685">
        <f t="shared" si="152"/>
        <v>0</v>
      </c>
      <c r="AE114" s="686"/>
      <c r="AF114" s="686"/>
      <c r="AG114" s="686"/>
      <c r="AH114" s="686"/>
      <c r="AI114" s="686"/>
      <c r="AJ114" s="686"/>
      <c r="AK114" s="686"/>
      <c r="AL114" s="686">
        <f t="shared" si="153"/>
        <v>0</v>
      </c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6"/>
      <c r="BL114" s="686"/>
      <c r="BM114" s="686"/>
      <c r="BN114" s="686"/>
      <c r="BO114" s="686"/>
      <c r="BP114" s="686"/>
      <c r="BQ114" s="686"/>
      <c r="BR114" s="686">
        <f t="shared" si="154"/>
        <v>0</v>
      </c>
      <c r="BS114" s="686"/>
      <c r="BT114" s="686"/>
      <c r="BU114" s="686"/>
      <c r="BV114" s="686"/>
      <c r="BW114" s="686"/>
      <c r="BX114" s="686"/>
      <c r="BY114" s="686"/>
      <c r="BZ114" s="686"/>
      <c r="CA114" s="686"/>
      <c r="CB114" s="45">
        <f t="shared" si="113"/>
        <v>0</v>
      </c>
      <c r="CC114" s="46">
        <f t="shared" si="114"/>
        <v>0</v>
      </c>
      <c r="CD114" s="47">
        <f t="shared" si="115"/>
        <v>0</v>
      </c>
      <c r="CE114" s="62"/>
      <c r="CF114" s="237" t="s">
        <v>1597</v>
      </c>
      <c r="CG114" s="106">
        <f t="shared" si="116"/>
        <v>0</v>
      </c>
      <c r="CI114" s="51"/>
      <c r="CK114" s="251">
        <f t="shared" si="111"/>
        <v>0</v>
      </c>
      <c r="CL114" s="323">
        <f t="shared" si="112"/>
        <v>0</v>
      </c>
      <c r="CM114" s="40"/>
    </row>
    <row r="115" spans="1:91">
      <c r="A115" s="478" t="s">
        <v>3084</v>
      </c>
      <c r="B115" s="41" t="s">
        <v>3060</v>
      </c>
      <c r="C115" s="660" t="s">
        <v>1437</v>
      </c>
      <c r="D115" s="77"/>
      <c r="E115" s="77"/>
      <c r="F115" s="43"/>
      <c r="G115" s="43"/>
      <c r="H115" s="43"/>
      <c r="I115" s="43"/>
      <c r="J115" s="44">
        <v>13852</v>
      </c>
      <c r="K115" s="44"/>
      <c r="L115" s="45">
        <f t="shared" ref="L115:L129" si="155">(J115+K115)*0.01</f>
        <v>138.52000000000001</v>
      </c>
      <c r="M115" s="45">
        <f t="shared" ref="M115:M129" si="156">(J115+K115)*0.062</f>
        <v>858.82399999999996</v>
      </c>
      <c r="N115" s="45">
        <f t="shared" ref="N115:N129" si="157">(J115+K115)*0.028</f>
        <v>387.85599999999999</v>
      </c>
      <c r="O115" s="45">
        <v>43608</v>
      </c>
      <c r="P115" s="45"/>
      <c r="Q115" s="45"/>
      <c r="R115" s="45">
        <f t="shared" ref="R115:R129" si="158">(Q115+O115+P115)*0.01</f>
        <v>436.08</v>
      </c>
      <c r="S115" s="45">
        <f t="shared" ref="S115:S129" si="159">(O115+Q115+P115)*0.062</f>
        <v>2703.6959999999999</v>
      </c>
      <c r="T115" s="45">
        <f t="shared" ref="T115:T129" si="160">(O115+P115+Q115)*0.028</f>
        <v>1221.0240000000001</v>
      </c>
      <c r="U115" s="45"/>
      <c r="V115" s="45"/>
      <c r="W115" s="45"/>
      <c r="X115" s="45"/>
      <c r="Y115" s="45"/>
      <c r="Z115" s="45"/>
      <c r="AA115" s="45"/>
      <c r="AB115" s="45">
        <f t="shared" ref="AB115:AB129" si="161">(U115+V115+W115+X115+Y115+Z115)*0.01</f>
        <v>0</v>
      </c>
      <c r="AC115" s="45">
        <f t="shared" ref="AC115:AC129" si="162">(U115+V115+W115+X115+Y115+Z115)*0.062</f>
        <v>0</v>
      </c>
      <c r="AD115" s="45">
        <f t="shared" ref="AD115:AD129" si="163">(U115+V115+W115+X115+Y115+Z115)*0.028</f>
        <v>0</v>
      </c>
      <c r="AE115" s="44"/>
      <c r="AF115" s="44"/>
      <c r="AG115" s="44"/>
      <c r="AH115" s="44"/>
      <c r="AI115" s="44"/>
      <c r="AJ115" s="44"/>
      <c r="AK115" s="44"/>
      <c r="AL115" s="44">
        <f t="shared" ref="AL115:AL129" si="164">+AK115</f>
        <v>0</v>
      </c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>
        <f t="shared" ref="BR115:BR129" si="165">BQ115/9</f>
        <v>0</v>
      </c>
      <c r="BS115" s="312">
        <f t="shared" ref="BS115:BS129" si="166">CH115*0.1</f>
        <v>0</v>
      </c>
      <c r="BT115" s="312">
        <f t="shared" ref="BT115:BT129" si="167">CH115*0.18</f>
        <v>0</v>
      </c>
      <c r="BU115" s="312">
        <f t="shared" ref="BU115:BU129" si="168">CH115*0.18</f>
        <v>0</v>
      </c>
      <c r="BV115" s="312">
        <f t="shared" ref="BV115:BV129" si="169">CH115*0.54</f>
        <v>0</v>
      </c>
      <c r="BW115" s="313">
        <f t="shared" ref="BW115:BW129" si="170">CI115*0.1</f>
        <v>0</v>
      </c>
      <c r="BX115" s="313">
        <f t="shared" ref="BX115:BX129" si="171">CI115*0.18</f>
        <v>0</v>
      </c>
      <c r="BY115" s="313">
        <f t="shared" ref="BY115:BY129" si="172">CI115*0.18</f>
        <v>0</v>
      </c>
      <c r="BZ115" s="313">
        <f t="shared" ref="BZ115:BZ129" si="173">CI115*0.54</f>
        <v>0</v>
      </c>
      <c r="CA115" s="44"/>
      <c r="CB115" s="45">
        <f t="shared" si="113"/>
        <v>63205.999999999993</v>
      </c>
      <c r="CC115" s="46">
        <f t="shared" si="114"/>
        <v>0</v>
      </c>
      <c r="CD115" s="47">
        <f t="shared" si="115"/>
        <v>57460</v>
      </c>
      <c r="CE115" s="62"/>
      <c r="CF115" s="237" t="s">
        <v>1594</v>
      </c>
      <c r="CG115" s="106">
        <f t="shared" si="116"/>
        <v>0</v>
      </c>
      <c r="CI115" s="51"/>
      <c r="CK115" s="251" t="str">
        <f t="shared" si="111"/>
        <v>reliquataire</v>
      </c>
      <c r="CL115" s="323">
        <f t="shared" si="112"/>
        <v>0</v>
      </c>
      <c r="CM115" s="40"/>
    </row>
    <row r="116" spans="1:91">
      <c r="A116" s="478" t="s">
        <v>3085</v>
      </c>
      <c r="B116" s="41" t="s">
        <v>3060</v>
      </c>
      <c r="C116" s="660" t="s">
        <v>1437</v>
      </c>
      <c r="D116" s="77"/>
      <c r="E116" s="77"/>
      <c r="F116" s="43"/>
      <c r="G116" s="43"/>
      <c r="H116" s="43"/>
      <c r="I116" s="43"/>
      <c r="J116" s="44">
        <v>38565</v>
      </c>
      <c r="K116" s="44"/>
      <c r="L116" s="45">
        <f t="shared" si="155"/>
        <v>385.65000000000003</v>
      </c>
      <c r="M116" s="45">
        <f t="shared" si="156"/>
        <v>2391.0300000000002</v>
      </c>
      <c r="N116" s="45">
        <f t="shared" si="157"/>
        <v>1079.82</v>
      </c>
      <c r="O116" s="45">
        <v>45750</v>
      </c>
      <c r="P116" s="45"/>
      <c r="Q116" s="45"/>
      <c r="R116" s="45">
        <f t="shared" si="158"/>
        <v>457.5</v>
      </c>
      <c r="S116" s="45">
        <f t="shared" si="159"/>
        <v>2836.5</v>
      </c>
      <c r="T116" s="45">
        <f t="shared" si="160"/>
        <v>1281</v>
      </c>
      <c r="U116" s="45"/>
      <c r="V116" s="45"/>
      <c r="W116" s="45"/>
      <c r="X116" s="45"/>
      <c r="Y116" s="45"/>
      <c r="Z116" s="45"/>
      <c r="AA116" s="45"/>
      <c r="AB116" s="45">
        <f t="shared" si="161"/>
        <v>0</v>
      </c>
      <c r="AC116" s="45">
        <f t="shared" si="162"/>
        <v>0</v>
      </c>
      <c r="AD116" s="45">
        <f t="shared" si="163"/>
        <v>0</v>
      </c>
      <c r="AE116" s="44"/>
      <c r="AF116" s="44"/>
      <c r="AG116" s="44"/>
      <c r="AH116" s="44"/>
      <c r="AI116" s="44"/>
      <c r="AJ116" s="44"/>
      <c r="AK116" s="44"/>
      <c r="AL116" s="44">
        <f t="shared" si="164"/>
        <v>0</v>
      </c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>
        <f t="shared" si="165"/>
        <v>0</v>
      </c>
      <c r="BS116" s="312">
        <f t="shared" si="166"/>
        <v>0</v>
      </c>
      <c r="BT116" s="312">
        <f t="shared" si="167"/>
        <v>0</v>
      </c>
      <c r="BU116" s="312">
        <f t="shared" si="168"/>
        <v>0</v>
      </c>
      <c r="BV116" s="312">
        <f t="shared" si="169"/>
        <v>0</v>
      </c>
      <c r="BW116" s="313">
        <f t="shared" si="170"/>
        <v>0</v>
      </c>
      <c r="BX116" s="313">
        <f t="shared" si="171"/>
        <v>0</v>
      </c>
      <c r="BY116" s="313">
        <f t="shared" si="172"/>
        <v>0</v>
      </c>
      <c r="BZ116" s="313">
        <f t="shared" si="173"/>
        <v>0</v>
      </c>
      <c r="CA116" s="44"/>
      <c r="CB116" s="45">
        <f t="shared" si="113"/>
        <v>92746.5</v>
      </c>
      <c r="CC116" s="46">
        <f t="shared" si="114"/>
        <v>0</v>
      </c>
      <c r="CD116" s="47">
        <f t="shared" si="115"/>
        <v>84315</v>
      </c>
      <c r="CE116" s="62"/>
      <c r="CF116" s="237" t="s">
        <v>1594</v>
      </c>
      <c r="CG116" s="106">
        <f t="shared" si="116"/>
        <v>0</v>
      </c>
      <c r="CI116" s="51"/>
      <c r="CK116" s="251" t="str">
        <f t="shared" si="111"/>
        <v>reliquataire</v>
      </c>
      <c r="CL116" s="323">
        <f t="shared" si="112"/>
        <v>0</v>
      </c>
      <c r="CM116" s="40"/>
    </row>
    <row r="117" spans="1:91">
      <c r="A117" s="478" t="s">
        <v>3086</v>
      </c>
      <c r="B117" s="41" t="s">
        <v>3060</v>
      </c>
      <c r="C117" s="660" t="s">
        <v>1437</v>
      </c>
      <c r="D117" s="77"/>
      <c r="E117" s="77"/>
      <c r="F117" s="43"/>
      <c r="G117" s="43"/>
      <c r="H117" s="43"/>
      <c r="I117" s="43"/>
      <c r="J117" s="44">
        <f>9625/1.1</f>
        <v>8750</v>
      </c>
      <c r="K117" s="44"/>
      <c r="L117" s="45">
        <f t="shared" si="155"/>
        <v>87.5</v>
      </c>
      <c r="M117" s="45">
        <f t="shared" si="156"/>
        <v>542.5</v>
      </c>
      <c r="N117" s="45">
        <f t="shared" si="157"/>
        <v>245</v>
      </c>
      <c r="O117" s="45">
        <f>9100/1.1</f>
        <v>8272.7272727272721</v>
      </c>
      <c r="P117" s="45"/>
      <c r="Q117" s="45"/>
      <c r="R117" s="45">
        <f t="shared" si="158"/>
        <v>82.72727272727272</v>
      </c>
      <c r="S117" s="45">
        <f t="shared" si="159"/>
        <v>512.90909090909088</v>
      </c>
      <c r="T117" s="45">
        <f t="shared" si="160"/>
        <v>231.63636363636363</v>
      </c>
      <c r="U117" s="45"/>
      <c r="V117" s="45"/>
      <c r="W117" s="45">
        <f>1750/1.1</f>
        <v>1590.9090909090908</v>
      </c>
      <c r="X117" s="45"/>
      <c r="Y117" s="45"/>
      <c r="Z117" s="45"/>
      <c r="AA117" s="45"/>
      <c r="AB117" s="45">
        <f t="shared" si="161"/>
        <v>15.909090909090908</v>
      </c>
      <c r="AC117" s="45">
        <f t="shared" si="162"/>
        <v>98.636363636363626</v>
      </c>
      <c r="AD117" s="45">
        <f t="shared" si="163"/>
        <v>44.54545454545454</v>
      </c>
      <c r="AE117" s="44"/>
      <c r="AF117" s="44"/>
      <c r="AG117" s="44"/>
      <c r="AH117" s="44"/>
      <c r="AI117" s="44"/>
      <c r="AJ117" s="44"/>
      <c r="AK117" s="44"/>
      <c r="AL117" s="44">
        <f t="shared" si="164"/>
        <v>0</v>
      </c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>
        <f t="shared" si="165"/>
        <v>0</v>
      </c>
      <c r="BS117" s="312">
        <f t="shared" si="166"/>
        <v>0</v>
      </c>
      <c r="BT117" s="312">
        <f t="shared" si="167"/>
        <v>0</v>
      </c>
      <c r="BU117" s="312">
        <f t="shared" si="168"/>
        <v>0</v>
      </c>
      <c r="BV117" s="312">
        <f t="shared" si="169"/>
        <v>0</v>
      </c>
      <c r="BW117" s="313">
        <f t="shared" si="170"/>
        <v>0</v>
      </c>
      <c r="BX117" s="313">
        <f t="shared" si="171"/>
        <v>0</v>
      </c>
      <c r="BY117" s="313">
        <f t="shared" si="172"/>
        <v>0</v>
      </c>
      <c r="BZ117" s="313">
        <f t="shared" si="173"/>
        <v>0</v>
      </c>
      <c r="CA117" s="44"/>
      <c r="CB117" s="45">
        <f t="shared" si="113"/>
        <v>20475.000000000004</v>
      </c>
      <c r="CC117" s="46">
        <f t="shared" si="114"/>
        <v>1590.9090909090908</v>
      </c>
      <c r="CD117" s="47">
        <f t="shared" si="115"/>
        <v>18613.636363636364</v>
      </c>
      <c r="CE117" s="62"/>
      <c r="CF117" s="237" t="s">
        <v>1594</v>
      </c>
      <c r="CG117" s="106">
        <f t="shared" si="116"/>
        <v>0</v>
      </c>
      <c r="CI117" s="51"/>
      <c r="CK117" s="251" t="str">
        <f t="shared" si="111"/>
        <v>reliquataire</v>
      </c>
      <c r="CL117" s="323">
        <f t="shared" si="112"/>
        <v>0</v>
      </c>
      <c r="CM117" s="40"/>
    </row>
    <row r="118" spans="1:91">
      <c r="A118" s="1" t="s">
        <v>3087</v>
      </c>
      <c r="B118" s="41" t="s">
        <v>3030</v>
      </c>
      <c r="C118" s="660" t="s">
        <v>1436</v>
      </c>
      <c r="D118" s="77"/>
      <c r="E118" s="77"/>
      <c r="F118" s="43"/>
      <c r="G118" s="43"/>
      <c r="H118" s="43"/>
      <c r="I118" s="43"/>
      <c r="J118" s="44">
        <f>5000000/1.1</f>
        <v>4545454.5454545449</v>
      </c>
      <c r="K118" s="44"/>
      <c r="L118" s="45">
        <f t="shared" si="155"/>
        <v>45454.545454545449</v>
      </c>
      <c r="M118" s="45">
        <f t="shared" si="156"/>
        <v>281818.18181818177</v>
      </c>
      <c r="N118" s="45">
        <f t="shared" si="157"/>
        <v>127272.72727272726</v>
      </c>
      <c r="O118" s="45"/>
      <c r="P118" s="45"/>
      <c r="Q118" s="45"/>
      <c r="R118" s="45">
        <f t="shared" si="158"/>
        <v>0</v>
      </c>
      <c r="S118" s="45">
        <f t="shared" si="159"/>
        <v>0</v>
      </c>
      <c r="T118" s="45">
        <f t="shared" si="160"/>
        <v>0</v>
      </c>
      <c r="U118" s="45"/>
      <c r="V118" s="45"/>
      <c r="W118" s="45"/>
      <c r="X118" s="45"/>
      <c r="Y118" s="45"/>
      <c r="Z118" s="45"/>
      <c r="AA118" s="45"/>
      <c r="AB118" s="45">
        <f t="shared" si="161"/>
        <v>0</v>
      </c>
      <c r="AC118" s="45">
        <f t="shared" si="162"/>
        <v>0</v>
      </c>
      <c r="AD118" s="45">
        <f t="shared" si="163"/>
        <v>0</v>
      </c>
      <c r="AE118" s="44"/>
      <c r="AF118" s="44"/>
      <c r="AG118" s="44"/>
      <c r="AH118" s="44"/>
      <c r="AI118" s="44"/>
      <c r="AJ118" s="44"/>
      <c r="AK118" s="44"/>
      <c r="AL118" s="44">
        <f t="shared" si="164"/>
        <v>0</v>
      </c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>
        <f t="shared" si="165"/>
        <v>0</v>
      </c>
      <c r="BS118" s="312">
        <f t="shared" si="166"/>
        <v>0</v>
      </c>
      <c r="BT118" s="312">
        <f t="shared" si="167"/>
        <v>0</v>
      </c>
      <c r="BU118" s="312">
        <f t="shared" si="168"/>
        <v>0</v>
      </c>
      <c r="BV118" s="312">
        <f t="shared" si="169"/>
        <v>0</v>
      </c>
      <c r="BW118" s="313">
        <f t="shared" si="170"/>
        <v>0</v>
      </c>
      <c r="BX118" s="313">
        <f t="shared" si="171"/>
        <v>0</v>
      </c>
      <c r="BY118" s="313">
        <f t="shared" si="172"/>
        <v>0</v>
      </c>
      <c r="BZ118" s="313">
        <f t="shared" si="173"/>
        <v>0</v>
      </c>
      <c r="CA118" s="44"/>
      <c r="CB118" s="45">
        <f t="shared" si="113"/>
        <v>5000000</v>
      </c>
      <c r="CC118" s="46">
        <f t="shared" si="114"/>
        <v>0</v>
      </c>
      <c r="CD118" s="47">
        <f t="shared" si="115"/>
        <v>4545454.5454545449</v>
      </c>
      <c r="CE118" s="62"/>
      <c r="CF118" s="237" t="s">
        <v>3031</v>
      </c>
      <c r="CG118" s="106">
        <f t="shared" si="116"/>
        <v>0</v>
      </c>
      <c r="CI118" s="51"/>
      <c r="CK118" s="251" t="str">
        <f t="shared" si="111"/>
        <v>AAG/TVA</v>
      </c>
      <c r="CL118" s="323">
        <f t="shared" si="112"/>
        <v>0</v>
      </c>
      <c r="CM118" s="40"/>
    </row>
    <row r="119" spans="1:91">
      <c r="A119" s="1" t="s">
        <v>3088</v>
      </c>
      <c r="B119" s="41" t="s">
        <v>3030</v>
      </c>
      <c r="C119" s="660" t="s">
        <v>1436</v>
      </c>
      <c r="D119" s="77"/>
      <c r="E119" s="77"/>
      <c r="F119" s="43"/>
      <c r="G119" s="43"/>
      <c r="H119" s="43"/>
      <c r="I119" s="43"/>
      <c r="J119" s="44">
        <f>3000000/1.1</f>
        <v>2727272.7272727271</v>
      </c>
      <c r="K119" s="44"/>
      <c r="L119" s="45">
        <f t="shared" si="155"/>
        <v>27272.727272727272</v>
      </c>
      <c r="M119" s="45">
        <f t="shared" si="156"/>
        <v>169090.90909090909</v>
      </c>
      <c r="N119" s="45">
        <f t="shared" si="157"/>
        <v>76363.636363636353</v>
      </c>
      <c r="O119" s="45"/>
      <c r="P119" s="45"/>
      <c r="Q119" s="45"/>
      <c r="R119" s="45">
        <f t="shared" si="158"/>
        <v>0</v>
      </c>
      <c r="S119" s="45">
        <f t="shared" si="159"/>
        <v>0</v>
      </c>
      <c r="T119" s="45">
        <f t="shared" si="160"/>
        <v>0</v>
      </c>
      <c r="U119" s="45"/>
      <c r="V119" s="45"/>
      <c r="W119" s="45"/>
      <c r="X119" s="45"/>
      <c r="Y119" s="45"/>
      <c r="Z119" s="45"/>
      <c r="AA119" s="45"/>
      <c r="AB119" s="45">
        <f t="shared" si="161"/>
        <v>0</v>
      </c>
      <c r="AC119" s="45">
        <f t="shared" si="162"/>
        <v>0</v>
      </c>
      <c r="AD119" s="45">
        <f t="shared" si="163"/>
        <v>0</v>
      </c>
      <c r="AE119" s="44"/>
      <c r="AF119" s="44"/>
      <c r="AG119" s="44"/>
      <c r="AH119" s="44"/>
      <c r="AI119" s="44"/>
      <c r="AJ119" s="44"/>
      <c r="AK119" s="44"/>
      <c r="AL119" s="44">
        <f t="shared" si="164"/>
        <v>0</v>
      </c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>
        <f t="shared" si="165"/>
        <v>0</v>
      </c>
      <c r="BS119" s="312">
        <f t="shared" si="166"/>
        <v>0</v>
      </c>
      <c r="BT119" s="312">
        <f t="shared" si="167"/>
        <v>0</v>
      </c>
      <c r="BU119" s="312">
        <f t="shared" si="168"/>
        <v>0</v>
      </c>
      <c r="BV119" s="312">
        <f t="shared" si="169"/>
        <v>0</v>
      </c>
      <c r="BW119" s="313">
        <f t="shared" si="170"/>
        <v>0</v>
      </c>
      <c r="BX119" s="313">
        <f t="shared" si="171"/>
        <v>0</v>
      </c>
      <c r="BY119" s="313">
        <f t="shared" si="172"/>
        <v>0</v>
      </c>
      <c r="BZ119" s="313">
        <f t="shared" si="173"/>
        <v>0</v>
      </c>
      <c r="CA119" s="44"/>
      <c r="CB119" s="45">
        <f t="shared" si="113"/>
        <v>2999999.9999999995</v>
      </c>
      <c r="CC119" s="46">
        <f t="shared" si="114"/>
        <v>0</v>
      </c>
      <c r="CD119" s="47">
        <f t="shared" si="115"/>
        <v>2727272.7272727271</v>
      </c>
      <c r="CE119" s="62"/>
      <c r="CF119" s="237" t="s">
        <v>3031</v>
      </c>
      <c r="CG119" s="106">
        <f t="shared" si="116"/>
        <v>0</v>
      </c>
      <c r="CI119" s="51"/>
      <c r="CK119" s="251" t="str">
        <f t="shared" si="111"/>
        <v>AAG/TVA</v>
      </c>
      <c r="CL119" s="323">
        <f t="shared" si="112"/>
        <v>0</v>
      </c>
      <c r="CM119" s="40"/>
    </row>
    <row r="120" spans="1:91">
      <c r="A120" s="1" t="s">
        <v>365</v>
      </c>
      <c r="B120" s="1" t="s">
        <v>583</v>
      </c>
      <c r="C120" s="1" t="s">
        <v>1436</v>
      </c>
      <c r="D120" s="77"/>
      <c r="E120" s="77"/>
      <c r="F120" s="43"/>
      <c r="G120" s="43"/>
      <c r="H120" s="43"/>
      <c r="I120" s="43"/>
      <c r="J120" s="44"/>
      <c r="K120" s="44"/>
      <c r="L120" s="45">
        <f t="shared" si="155"/>
        <v>0</v>
      </c>
      <c r="M120" s="45">
        <f t="shared" si="156"/>
        <v>0</v>
      </c>
      <c r="N120" s="45">
        <f t="shared" si="157"/>
        <v>0</v>
      </c>
      <c r="O120" s="45">
        <v>488000</v>
      </c>
      <c r="P120" s="45"/>
      <c r="Q120" s="45"/>
      <c r="R120" s="45">
        <f t="shared" ref="R120" si="174">(Q120+O120)*0.01</f>
        <v>4880</v>
      </c>
      <c r="S120" s="45">
        <f t="shared" ref="S120" si="175">(O120+Q120)*0.062</f>
        <v>30256</v>
      </c>
      <c r="T120" s="45">
        <f t="shared" si="160"/>
        <v>13664</v>
      </c>
      <c r="U120" s="45"/>
      <c r="V120" s="45"/>
      <c r="W120" s="45">
        <v>669106</v>
      </c>
      <c r="X120" s="45"/>
      <c r="Y120" s="45"/>
      <c r="Z120" s="45"/>
      <c r="AA120" s="45"/>
      <c r="AB120" s="45">
        <f t="shared" si="161"/>
        <v>6691.06</v>
      </c>
      <c r="AC120" s="45">
        <f t="shared" si="162"/>
        <v>41484.572</v>
      </c>
      <c r="AD120" s="45">
        <f t="shared" si="163"/>
        <v>18734.968000000001</v>
      </c>
      <c r="AE120" s="44"/>
      <c r="AF120" s="44"/>
      <c r="AG120" s="44"/>
      <c r="AH120" s="44"/>
      <c r="AI120" s="44"/>
      <c r="AJ120" s="44"/>
      <c r="AK120" s="44"/>
      <c r="AL120" s="44">
        <f t="shared" si="164"/>
        <v>0</v>
      </c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>
        <v>205045</v>
      </c>
      <c r="BF120" s="44">
        <v>82018</v>
      </c>
      <c r="BG120" s="44">
        <v>92400</v>
      </c>
      <c r="BH120" s="44"/>
      <c r="BI120" s="44"/>
      <c r="BJ120" s="44"/>
      <c r="BK120" s="44"/>
      <c r="BL120" s="44"/>
      <c r="BM120" s="44"/>
      <c r="BN120" s="44"/>
      <c r="BO120" s="44"/>
      <c r="BP120" s="44"/>
      <c r="BQ120" s="44">
        <v>45000</v>
      </c>
      <c r="BR120" s="44">
        <v>5250</v>
      </c>
      <c r="BS120" s="44"/>
      <c r="BT120" s="44"/>
      <c r="BU120" s="44"/>
      <c r="BV120" s="44"/>
      <c r="BW120" s="44"/>
      <c r="BX120" s="44"/>
      <c r="BY120" s="44"/>
      <c r="BZ120" s="44"/>
      <c r="CA120" s="44"/>
      <c r="CB120" s="45">
        <f t="shared" si="113"/>
        <v>1702529.6</v>
      </c>
      <c r="CC120" s="46">
        <f t="shared" si="114"/>
        <v>669106</v>
      </c>
      <c r="CD120" s="47">
        <f t="shared" si="115"/>
        <v>1157106</v>
      </c>
      <c r="CE120" s="62"/>
      <c r="CF120" s="237" t="str">
        <f>VLOOKUP(A120,labo!B:C,2,FALSE)</f>
        <v>FORESTERIE</v>
      </c>
      <c r="CG120" s="106">
        <f t="shared" si="116"/>
        <v>0</v>
      </c>
      <c r="CI120" s="51"/>
      <c r="CK120" s="251" t="str">
        <f t="shared" si="111"/>
        <v>M069600015330B</v>
      </c>
      <c r="CL120" s="323">
        <f t="shared" si="112"/>
        <v>0</v>
      </c>
      <c r="CM120" s="40"/>
    </row>
    <row r="121" spans="1:91">
      <c r="A121" s="1" t="s">
        <v>3089</v>
      </c>
      <c r="B121" s="41" t="s">
        <v>3030</v>
      </c>
      <c r="C121" s="660" t="s">
        <v>1436</v>
      </c>
      <c r="D121" s="77"/>
      <c r="E121" s="77"/>
      <c r="F121" s="43"/>
      <c r="G121" s="43"/>
      <c r="H121" s="43"/>
      <c r="I121" s="43"/>
      <c r="J121" s="44">
        <f>5000000/1.1</f>
        <v>4545454.5454545449</v>
      </c>
      <c r="K121" s="44"/>
      <c r="L121" s="45">
        <f t="shared" si="155"/>
        <v>45454.545454545449</v>
      </c>
      <c r="M121" s="45">
        <f t="shared" si="156"/>
        <v>281818.18181818177</v>
      </c>
      <c r="N121" s="45">
        <f t="shared" si="157"/>
        <v>127272.72727272726</v>
      </c>
      <c r="O121" s="45"/>
      <c r="P121" s="45"/>
      <c r="Q121" s="45"/>
      <c r="R121" s="45">
        <f t="shared" si="158"/>
        <v>0</v>
      </c>
      <c r="S121" s="45">
        <f t="shared" si="159"/>
        <v>0</v>
      </c>
      <c r="T121" s="45">
        <f t="shared" si="160"/>
        <v>0</v>
      </c>
      <c r="U121" s="45"/>
      <c r="V121" s="45"/>
      <c r="W121" s="45"/>
      <c r="X121" s="45"/>
      <c r="Y121" s="45"/>
      <c r="Z121" s="45"/>
      <c r="AA121" s="45"/>
      <c r="AB121" s="45">
        <f t="shared" si="161"/>
        <v>0</v>
      </c>
      <c r="AC121" s="45">
        <f t="shared" si="162"/>
        <v>0</v>
      </c>
      <c r="AD121" s="45">
        <f t="shared" si="163"/>
        <v>0</v>
      </c>
      <c r="AE121" s="44"/>
      <c r="AF121" s="44"/>
      <c r="AG121" s="44"/>
      <c r="AH121" s="44"/>
      <c r="AI121" s="44"/>
      <c r="AJ121" s="44"/>
      <c r="AK121" s="44"/>
      <c r="AL121" s="44">
        <f t="shared" si="164"/>
        <v>0</v>
      </c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>
        <f t="shared" si="165"/>
        <v>0</v>
      </c>
      <c r="BS121" s="312">
        <f t="shared" si="166"/>
        <v>0</v>
      </c>
      <c r="BT121" s="312">
        <f t="shared" si="167"/>
        <v>0</v>
      </c>
      <c r="BU121" s="312">
        <f t="shared" si="168"/>
        <v>0</v>
      </c>
      <c r="BV121" s="312">
        <f t="shared" si="169"/>
        <v>0</v>
      </c>
      <c r="BW121" s="313">
        <f t="shared" si="170"/>
        <v>0</v>
      </c>
      <c r="BX121" s="313">
        <f t="shared" si="171"/>
        <v>0</v>
      </c>
      <c r="BY121" s="313">
        <f t="shared" si="172"/>
        <v>0</v>
      </c>
      <c r="BZ121" s="313">
        <f t="shared" si="173"/>
        <v>0</v>
      </c>
      <c r="CA121" s="44"/>
      <c r="CB121" s="45">
        <f t="shared" si="113"/>
        <v>5000000</v>
      </c>
      <c r="CC121" s="46">
        <f t="shared" si="114"/>
        <v>0</v>
      </c>
      <c r="CD121" s="47">
        <f t="shared" si="115"/>
        <v>4545454.5454545449</v>
      </c>
      <c r="CE121" s="62"/>
      <c r="CF121" s="237" t="s">
        <v>3031</v>
      </c>
      <c r="CG121" s="106">
        <f t="shared" si="116"/>
        <v>0</v>
      </c>
      <c r="CI121" s="51"/>
      <c r="CK121" s="251" t="e">
        <f>+#REF!</f>
        <v>#REF!</v>
      </c>
      <c r="CL121" s="323">
        <f t="shared" si="112"/>
        <v>0</v>
      </c>
      <c r="CM121" s="40"/>
    </row>
    <row r="122" spans="1:91">
      <c r="A122" s="1" t="s">
        <v>817</v>
      </c>
      <c r="B122" s="1" t="s">
        <v>819</v>
      </c>
      <c r="C122" s="1" t="s">
        <v>1436</v>
      </c>
      <c r="D122" s="77"/>
      <c r="E122" s="77"/>
      <c r="F122" s="43"/>
      <c r="G122" s="43"/>
      <c r="H122" s="43"/>
      <c r="I122" s="43"/>
      <c r="J122" s="44"/>
      <c r="K122" s="44"/>
      <c r="L122" s="45">
        <f t="shared" si="155"/>
        <v>0</v>
      </c>
      <c r="M122" s="45">
        <f t="shared" si="156"/>
        <v>0</v>
      </c>
      <c r="N122" s="45">
        <f t="shared" si="157"/>
        <v>0</v>
      </c>
      <c r="O122" s="45">
        <v>1333070</v>
      </c>
      <c r="P122" s="45"/>
      <c r="Q122" s="45"/>
      <c r="R122" s="45">
        <f t="shared" ref="R122:R125" si="176">(Q122+O122)*0.01</f>
        <v>13330.7</v>
      </c>
      <c r="S122" s="45">
        <f t="shared" ref="S122:S125" si="177">(O122+Q122)*0.062</f>
        <v>82650.34</v>
      </c>
      <c r="T122" s="45">
        <f t="shared" si="160"/>
        <v>37325.96</v>
      </c>
      <c r="U122" s="45"/>
      <c r="V122" s="45"/>
      <c r="W122" s="45">
        <v>110507</v>
      </c>
      <c r="X122" s="45"/>
      <c r="Y122" s="45"/>
      <c r="Z122" s="45"/>
      <c r="AA122" s="45"/>
      <c r="AB122" s="45">
        <f t="shared" si="161"/>
        <v>1105.07</v>
      </c>
      <c r="AC122" s="45">
        <f t="shared" si="162"/>
        <v>6851.4340000000002</v>
      </c>
      <c r="AD122" s="45">
        <f t="shared" si="163"/>
        <v>3094.1959999999999</v>
      </c>
      <c r="AE122" s="44"/>
      <c r="AF122" s="44"/>
      <c r="AG122" s="44"/>
      <c r="AH122" s="44"/>
      <c r="AI122" s="44"/>
      <c r="AJ122" s="44"/>
      <c r="AK122" s="44"/>
      <c r="AL122" s="44">
        <f t="shared" si="164"/>
        <v>0</v>
      </c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>
        <v>96550</v>
      </c>
      <c r="BF122" s="44">
        <v>41532</v>
      </c>
      <c r="BG122" s="44">
        <v>27101</v>
      </c>
      <c r="BH122" s="44"/>
      <c r="BI122" s="44"/>
      <c r="BJ122" s="44"/>
      <c r="BK122" s="44"/>
      <c r="BL122" s="44"/>
      <c r="BM122" s="44"/>
      <c r="BN122" s="44"/>
      <c r="BO122" s="44"/>
      <c r="BP122" s="44"/>
      <c r="BQ122" s="44">
        <v>9000</v>
      </c>
      <c r="BR122" s="44">
        <v>1252</v>
      </c>
      <c r="BS122" s="44"/>
      <c r="BT122" s="44"/>
      <c r="BU122" s="44"/>
      <c r="BV122" s="44"/>
      <c r="BW122" s="44"/>
      <c r="BX122" s="44"/>
      <c r="BY122" s="44"/>
      <c r="BZ122" s="44"/>
      <c r="CA122" s="44"/>
      <c r="CB122" s="45">
        <f t="shared" si="113"/>
        <v>1763369.7</v>
      </c>
      <c r="CC122" s="46">
        <f t="shared" si="114"/>
        <v>110507</v>
      </c>
      <c r="CD122" s="47">
        <f t="shared" si="115"/>
        <v>1443577</v>
      </c>
      <c r="CE122" s="62"/>
      <c r="CF122" s="237" t="str">
        <f>VLOOKUP(A122,labo!B:C,2,FALSE)</f>
        <v>FORESTERIE</v>
      </c>
      <c r="CG122" s="106">
        <f t="shared" si="116"/>
        <v>0</v>
      </c>
      <c r="CI122" s="51"/>
      <c r="CK122" s="251" t="str">
        <f>+B122</f>
        <v>M041512300117R</v>
      </c>
      <c r="CL122" s="323">
        <f t="shared" si="112"/>
        <v>0</v>
      </c>
      <c r="CM122" s="40"/>
    </row>
    <row r="123" spans="1:91">
      <c r="A123" s="1" t="s">
        <v>328</v>
      </c>
      <c r="B123" s="1" t="s">
        <v>844</v>
      </c>
      <c r="C123" s="1" t="s">
        <v>1436</v>
      </c>
      <c r="D123" s="77"/>
      <c r="E123" s="77"/>
      <c r="F123" s="43"/>
      <c r="G123" s="43"/>
      <c r="H123" s="43"/>
      <c r="I123" s="43"/>
      <c r="J123" s="44">
        <v>188641</v>
      </c>
      <c r="K123" s="44"/>
      <c r="L123" s="45">
        <f t="shared" si="155"/>
        <v>1886.41</v>
      </c>
      <c r="M123" s="45">
        <f t="shared" si="156"/>
        <v>11695.742</v>
      </c>
      <c r="N123" s="45">
        <f t="shared" si="157"/>
        <v>5281.9480000000003</v>
      </c>
      <c r="O123" s="45">
        <v>21559</v>
      </c>
      <c r="P123" s="45"/>
      <c r="Q123" s="45"/>
      <c r="R123" s="45">
        <f t="shared" si="176"/>
        <v>215.59</v>
      </c>
      <c r="S123" s="45">
        <f t="shared" si="177"/>
        <v>1336.6579999999999</v>
      </c>
      <c r="T123" s="45">
        <f t="shared" si="160"/>
        <v>603.65200000000004</v>
      </c>
      <c r="U123" s="45"/>
      <c r="V123" s="45"/>
      <c r="W123" s="45">
        <v>71295</v>
      </c>
      <c r="X123" s="45"/>
      <c r="Y123" s="45"/>
      <c r="Z123" s="45"/>
      <c r="AA123" s="45"/>
      <c r="AB123" s="45">
        <f t="shared" si="161"/>
        <v>712.95</v>
      </c>
      <c r="AC123" s="45">
        <f t="shared" si="162"/>
        <v>4420.29</v>
      </c>
      <c r="AD123" s="45">
        <f t="shared" si="163"/>
        <v>1996.26</v>
      </c>
      <c r="AE123" s="44"/>
      <c r="AF123" s="44"/>
      <c r="AG123" s="44"/>
      <c r="AH123" s="44"/>
      <c r="AI123" s="44"/>
      <c r="AJ123" s="44"/>
      <c r="AK123" s="44"/>
      <c r="AL123" s="44">
        <f t="shared" si="164"/>
        <v>0</v>
      </c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>
        <v>56278</v>
      </c>
      <c r="BF123" s="44">
        <v>22740</v>
      </c>
      <c r="BG123" s="44">
        <v>26202</v>
      </c>
      <c r="BH123" s="44"/>
      <c r="BI123" s="44"/>
      <c r="BJ123" s="44"/>
      <c r="BK123" s="44"/>
      <c r="BL123" s="44"/>
      <c r="BM123" s="44"/>
      <c r="BN123" s="44"/>
      <c r="BO123" s="44"/>
      <c r="BP123" s="44"/>
      <c r="BQ123" s="44">
        <v>10000</v>
      </c>
      <c r="BR123" s="44">
        <v>2502</v>
      </c>
      <c r="BS123" s="44"/>
      <c r="BT123" s="44"/>
      <c r="BU123" s="44"/>
      <c r="BV123" s="44"/>
      <c r="BW123" s="44"/>
      <c r="BX123" s="44"/>
      <c r="BY123" s="44"/>
      <c r="BZ123" s="44"/>
      <c r="CA123" s="44"/>
      <c r="CB123" s="45">
        <f t="shared" si="113"/>
        <v>427366.5</v>
      </c>
      <c r="CC123" s="46">
        <f t="shared" si="114"/>
        <v>71295</v>
      </c>
      <c r="CD123" s="47">
        <f t="shared" si="115"/>
        <v>281495</v>
      </c>
      <c r="CE123" s="62"/>
      <c r="CF123" s="237" t="str">
        <f>VLOOKUP(A123,labo!B:C,2,FALSE)</f>
        <v>FORESTERIE</v>
      </c>
      <c r="CG123" s="106">
        <f t="shared" si="116"/>
        <v>0</v>
      </c>
      <c r="CI123" s="51"/>
      <c r="CK123" s="251" t="str">
        <f>+B123</f>
        <v>M011812672042K</v>
      </c>
      <c r="CL123" s="323">
        <f>CE123</f>
        <v>0</v>
      </c>
      <c r="CM123" s="40"/>
    </row>
    <row r="124" spans="1:91">
      <c r="A124" s="1" t="s">
        <v>372</v>
      </c>
      <c r="B124" s="1" t="s">
        <v>631</v>
      </c>
      <c r="C124" s="1" t="s">
        <v>1436</v>
      </c>
      <c r="D124" s="77"/>
      <c r="E124" s="77"/>
      <c r="F124" s="43"/>
      <c r="G124" s="43"/>
      <c r="H124" s="43"/>
      <c r="I124" s="43"/>
      <c r="J124" s="44">
        <v>167250</v>
      </c>
      <c r="K124" s="44"/>
      <c r="L124" s="45">
        <f t="shared" si="155"/>
        <v>1672.5</v>
      </c>
      <c r="M124" s="45">
        <f t="shared" si="156"/>
        <v>10369.5</v>
      </c>
      <c r="N124" s="45">
        <f t="shared" si="157"/>
        <v>4683</v>
      </c>
      <c r="O124" s="45">
        <v>19114</v>
      </c>
      <c r="P124" s="45"/>
      <c r="Q124" s="45"/>
      <c r="R124" s="45">
        <f t="shared" si="176"/>
        <v>191.14000000000001</v>
      </c>
      <c r="S124" s="45">
        <f t="shared" si="177"/>
        <v>1185.068</v>
      </c>
      <c r="T124" s="45">
        <f t="shared" si="160"/>
        <v>535.19200000000001</v>
      </c>
      <c r="U124" s="45"/>
      <c r="V124" s="45"/>
      <c r="W124" s="45"/>
      <c r="X124" s="45"/>
      <c r="Y124" s="45"/>
      <c r="Z124" s="45"/>
      <c r="AA124" s="45"/>
      <c r="AB124" s="45">
        <f t="shared" si="161"/>
        <v>0</v>
      </c>
      <c r="AC124" s="45">
        <f t="shared" si="162"/>
        <v>0</v>
      </c>
      <c r="AD124" s="45">
        <f t="shared" si="163"/>
        <v>0</v>
      </c>
      <c r="AE124" s="44"/>
      <c r="AF124" s="44"/>
      <c r="AG124" s="44"/>
      <c r="AH124" s="44"/>
      <c r="AI124" s="44"/>
      <c r="AJ124" s="44"/>
      <c r="AK124" s="44"/>
      <c r="AL124" s="44">
        <f t="shared" si="164"/>
        <v>0</v>
      </c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>
        <f t="shared" ref="BR124" si="178">BQ124/9</f>
        <v>0</v>
      </c>
      <c r="BS124" s="44"/>
      <c r="BT124" s="44"/>
      <c r="BU124" s="44"/>
      <c r="BV124" s="44"/>
      <c r="BW124" s="44"/>
      <c r="BX124" s="44"/>
      <c r="BY124" s="44"/>
      <c r="BZ124" s="44"/>
      <c r="CA124" s="44"/>
      <c r="CB124" s="45">
        <f t="shared" si="113"/>
        <v>205000.40000000002</v>
      </c>
      <c r="CC124" s="46">
        <f t="shared" si="114"/>
        <v>0</v>
      </c>
      <c r="CD124" s="47">
        <f t="shared" si="115"/>
        <v>186364</v>
      </c>
      <c r="CE124" s="62"/>
      <c r="CF124" s="237" t="str">
        <f>VLOOKUP(A124,labo!B:C,2,FALSE)</f>
        <v>FORESTERIE</v>
      </c>
      <c r="CG124" s="106">
        <f t="shared" si="116"/>
        <v>0</v>
      </c>
      <c r="CI124" s="51"/>
      <c r="CK124" s="251" t="str">
        <f t="shared" si="111"/>
        <v>P106812282282Q</v>
      </c>
      <c r="CL124" s="323">
        <f t="shared" si="112"/>
        <v>0</v>
      </c>
      <c r="CM124" s="40"/>
    </row>
    <row r="125" spans="1:91">
      <c r="A125" s="1" t="s">
        <v>286</v>
      </c>
      <c r="B125" s="1" t="s">
        <v>828</v>
      </c>
      <c r="C125" s="1" t="s">
        <v>1436</v>
      </c>
      <c r="D125" s="77"/>
      <c r="E125" s="77"/>
      <c r="F125" s="43"/>
      <c r="G125" s="43"/>
      <c r="H125" s="43"/>
      <c r="I125" s="43"/>
      <c r="J125" s="44"/>
      <c r="K125" s="44"/>
      <c r="L125" s="45">
        <f t="shared" si="155"/>
        <v>0</v>
      </c>
      <c r="M125" s="45">
        <f t="shared" si="156"/>
        <v>0</v>
      </c>
      <c r="N125" s="45">
        <f t="shared" si="157"/>
        <v>0</v>
      </c>
      <c r="O125" s="45"/>
      <c r="P125" s="45"/>
      <c r="Q125" s="45"/>
      <c r="R125" s="45">
        <f t="shared" si="176"/>
        <v>0</v>
      </c>
      <c r="S125" s="45">
        <f t="shared" si="177"/>
        <v>0</v>
      </c>
      <c r="T125" s="45">
        <f t="shared" si="160"/>
        <v>0</v>
      </c>
      <c r="U125" s="45"/>
      <c r="V125" s="45"/>
      <c r="W125" s="45">
        <v>10212</v>
      </c>
      <c r="X125" s="45"/>
      <c r="Y125" s="45"/>
      <c r="Z125" s="45"/>
      <c r="AA125" s="45"/>
      <c r="AB125" s="45">
        <f t="shared" si="161"/>
        <v>102.12</v>
      </c>
      <c r="AC125" s="45">
        <f t="shared" si="162"/>
        <v>633.14400000000001</v>
      </c>
      <c r="AD125" s="45">
        <f t="shared" si="163"/>
        <v>285.93599999999998</v>
      </c>
      <c r="AE125" s="44"/>
      <c r="AF125" s="44"/>
      <c r="AG125" s="44"/>
      <c r="AH125" s="44"/>
      <c r="AI125" s="44"/>
      <c r="AJ125" s="44"/>
      <c r="AK125" s="44"/>
      <c r="AL125" s="44">
        <f t="shared" si="164"/>
        <v>0</v>
      </c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>
        <v>10000</v>
      </c>
      <c r="BF125" s="44">
        <v>4000</v>
      </c>
      <c r="BG125" s="44">
        <v>3000</v>
      </c>
      <c r="BH125" s="44"/>
      <c r="BI125" s="44"/>
      <c r="BJ125" s="44"/>
      <c r="BK125" s="44"/>
      <c r="BL125" s="44"/>
      <c r="BM125" s="44"/>
      <c r="BN125" s="44"/>
      <c r="BO125" s="44"/>
      <c r="BP125" s="44"/>
      <c r="BQ125" s="44">
        <v>1800</v>
      </c>
      <c r="BR125" s="44">
        <v>200</v>
      </c>
      <c r="BS125" s="44"/>
      <c r="BT125" s="44"/>
      <c r="BU125" s="44"/>
      <c r="BV125" s="44"/>
      <c r="BW125" s="44"/>
      <c r="BX125" s="44"/>
      <c r="BY125" s="44"/>
      <c r="BZ125" s="44"/>
      <c r="CA125" s="44"/>
      <c r="CB125" s="45">
        <f t="shared" si="113"/>
        <v>30233.200000000001</v>
      </c>
      <c r="CC125" s="46">
        <f t="shared" si="114"/>
        <v>10212</v>
      </c>
      <c r="CD125" s="47">
        <f t="shared" si="115"/>
        <v>10212</v>
      </c>
      <c r="CE125" s="62"/>
      <c r="CF125" s="237" t="str">
        <f>VLOOKUP(A125,labo!B:C,2,FALSE)</f>
        <v>FORESTERIE</v>
      </c>
      <c r="CG125" s="106">
        <f t="shared" si="116"/>
        <v>0</v>
      </c>
      <c r="CI125" s="51"/>
      <c r="CK125" s="251" t="str">
        <f>+B125</f>
        <v>M111100038641X</v>
      </c>
      <c r="CL125" s="323">
        <f>CE125</f>
        <v>0</v>
      </c>
      <c r="CM125" s="40"/>
    </row>
    <row r="126" spans="1:91">
      <c r="A126" s="1" t="s">
        <v>277</v>
      </c>
      <c r="B126" s="41" t="str">
        <f>VLOOKUP(A126,'vs mars'!B:D,3,FALSE)</f>
        <v>M091712642722B</v>
      </c>
      <c r="C126" s="42" t="str">
        <f>VLOOKUP(A126,'vs mars'!B:AC,28,FALSE)</f>
        <v>ug4</v>
      </c>
      <c r="D126" s="77"/>
      <c r="E126" s="77"/>
      <c r="F126" s="43"/>
      <c r="G126" s="43"/>
      <c r="H126" s="43"/>
      <c r="I126" s="43"/>
      <c r="J126" s="44">
        <v>97125</v>
      </c>
      <c r="K126" s="44"/>
      <c r="L126" s="45">
        <f t="shared" si="155"/>
        <v>971.25</v>
      </c>
      <c r="M126" s="45">
        <f t="shared" si="156"/>
        <v>6021.75</v>
      </c>
      <c r="N126" s="45">
        <f t="shared" si="157"/>
        <v>2719.5</v>
      </c>
      <c r="O126" s="45">
        <v>11100</v>
      </c>
      <c r="P126" s="45"/>
      <c r="Q126" s="45"/>
      <c r="R126" s="45">
        <f t="shared" si="158"/>
        <v>111</v>
      </c>
      <c r="S126" s="45">
        <f t="shared" si="159"/>
        <v>688.2</v>
      </c>
      <c r="T126" s="45">
        <f t="shared" si="160"/>
        <v>310.8</v>
      </c>
      <c r="U126" s="45"/>
      <c r="V126" s="45"/>
      <c r="W126" s="45"/>
      <c r="X126" s="45"/>
      <c r="Y126" s="45"/>
      <c r="Z126" s="45"/>
      <c r="AA126" s="45"/>
      <c r="AB126" s="45">
        <f t="shared" si="161"/>
        <v>0</v>
      </c>
      <c r="AC126" s="45">
        <f t="shared" si="162"/>
        <v>0</v>
      </c>
      <c r="AD126" s="45">
        <f t="shared" si="163"/>
        <v>0</v>
      </c>
      <c r="AE126" s="44"/>
      <c r="AF126" s="44"/>
      <c r="AG126" s="44"/>
      <c r="AH126" s="44"/>
      <c r="AI126" s="44"/>
      <c r="AJ126" s="44"/>
      <c r="AK126" s="44"/>
      <c r="AL126" s="44">
        <f t="shared" si="164"/>
        <v>0</v>
      </c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>
        <f t="shared" si="165"/>
        <v>0</v>
      </c>
      <c r="BS126" s="312">
        <f t="shared" si="166"/>
        <v>0</v>
      </c>
      <c r="BT126" s="312">
        <f t="shared" si="167"/>
        <v>0</v>
      </c>
      <c r="BU126" s="312">
        <f t="shared" si="168"/>
        <v>0</v>
      </c>
      <c r="BV126" s="312">
        <f t="shared" si="169"/>
        <v>0</v>
      </c>
      <c r="BW126" s="313">
        <f t="shared" si="170"/>
        <v>0</v>
      </c>
      <c r="BX126" s="313">
        <f t="shared" si="171"/>
        <v>0</v>
      </c>
      <c r="BY126" s="313">
        <f t="shared" si="172"/>
        <v>0</v>
      </c>
      <c r="BZ126" s="313">
        <f t="shared" si="173"/>
        <v>0</v>
      </c>
      <c r="CA126" s="44"/>
      <c r="CB126" s="45">
        <f t="shared" si="113"/>
        <v>119047.5</v>
      </c>
      <c r="CC126" s="46">
        <f t="shared" si="114"/>
        <v>0</v>
      </c>
      <c r="CD126" s="47">
        <f t="shared" si="115"/>
        <v>108225</v>
      </c>
      <c r="CE126" s="62"/>
      <c r="CF126" s="237" t="str">
        <f>VLOOKUP(A126,labo!B:C,2,FALSE)</f>
        <v>MINE</v>
      </c>
      <c r="CG126" s="106">
        <f t="shared" si="116"/>
        <v>0</v>
      </c>
      <c r="CI126" s="51"/>
      <c r="CK126" s="251" t="str">
        <f>+B126</f>
        <v>M091712642722B</v>
      </c>
      <c r="CL126" s="323">
        <f>CE126</f>
        <v>0</v>
      </c>
      <c r="CM126" s="40"/>
    </row>
    <row r="127" spans="1:91">
      <c r="A127" s="674" t="s">
        <v>2295</v>
      </c>
      <c r="B127" s="674" t="s">
        <v>2296</v>
      </c>
      <c r="C127" s="545" t="s">
        <v>408</v>
      </c>
      <c r="D127" s="676"/>
      <c r="E127" s="77">
        <v>38400</v>
      </c>
      <c r="F127" s="677">
        <f t="shared" ref="F127:F128" si="179">+E127*0.25</f>
        <v>9600</v>
      </c>
      <c r="G127" s="43"/>
      <c r="H127" s="43"/>
      <c r="I127" s="43"/>
      <c r="J127" s="44">
        <v>95829</v>
      </c>
      <c r="K127" s="44"/>
      <c r="L127" s="45">
        <f t="shared" si="155"/>
        <v>958.29</v>
      </c>
      <c r="M127" s="45">
        <f t="shared" si="156"/>
        <v>5941.3980000000001</v>
      </c>
      <c r="N127" s="45">
        <f t="shared" si="157"/>
        <v>2683.212</v>
      </c>
      <c r="O127" s="45">
        <v>15597</v>
      </c>
      <c r="P127" s="45"/>
      <c r="Q127" s="45"/>
      <c r="R127" s="45">
        <f t="shared" si="158"/>
        <v>155.97</v>
      </c>
      <c r="S127" s="45">
        <f t="shared" si="159"/>
        <v>967.01400000000001</v>
      </c>
      <c r="T127" s="45">
        <f t="shared" si="160"/>
        <v>436.71600000000001</v>
      </c>
      <c r="U127" s="45"/>
      <c r="V127" s="45"/>
      <c r="W127" s="678"/>
      <c r="X127" s="45"/>
      <c r="Y127" s="45"/>
      <c r="Z127" s="45"/>
      <c r="AA127" s="44"/>
      <c r="AB127" s="45">
        <f t="shared" si="161"/>
        <v>0</v>
      </c>
      <c r="AC127" s="45">
        <f t="shared" si="162"/>
        <v>0</v>
      </c>
      <c r="AD127" s="45">
        <f t="shared" si="163"/>
        <v>0</v>
      </c>
      <c r="AE127" s="44"/>
      <c r="AF127" s="44"/>
      <c r="AG127" s="678"/>
      <c r="AH127" s="44"/>
      <c r="AI127" s="44"/>
      <c r="AJ127" s="44"/>
      <c r="AK127" s="44"/>
      <c r="AL127" s="44">
        <f t="shared" si="164"/>
        <v>0</v>
      </c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680">
        <v>3300</v>
      </c>
      <c r="BF127" s="680">
        <v>2200</v>
      </c>
      <c r="BG127" s="680"/>
      <c r="BH127" s="44"/>
      <c r="BI127" s="44"/>
      <c r="BJ127" s="44"/>
      <c r="BK127" s="44"/>
      <c r="BL127" s="44"/>
      <c r="BM127" s="44"/>
      <c r="BN127" s="44"/>
      <c r="BO127" s="44"/>
      <c r="BP127" s="44"/>
      <c r="BQ127" s="678"/>
      <c r="BR127" s="44">
        <f t="shared" si="165"/>
        <v>0</v>
      </c>
      <c r="BS127" s="44"/>
      <c r="BT127" s="44"/>
      <c r="BU127" s="44"/>
      <c r="BV127" s="44"/>
      <c r="BW127" s="44"/>
      <c r="BX127" s="44"/>
      <c r="BY127" s="44"/>
      <c r="BZ127" s="44"/>
      <c r="CA127" s="699"/>
      <c r="CB127" s="45">
        <f t="shared" si="113"/>
        <v>176068.59999999998</v>
      </c>
      <c r="CC127" s="46">
        <f t="shared" si="114"/>
        <v>38400</v>
      </c>
      <c r="CD127" s="47">
        <f t="shared" si="115"/>
        <v>149826</v>
      </c>
      <c r="CE127" s="62"/>
      <c r="CF127" s="237" t="str">
        <f>VLOOKUP(A127,labo!B:C,2,FALSE)</f>
        <v>HERBERGEMENT</v>
      </c>
      <c r="CG127" s="106">
        <f t="shared" si="116"/>
        <v>0</v>
      </c>
      <c r="CI127" s="51"/>
      <c r="CK127" s="251" t="str">
        <f>+B127</f>
        <v>M031912756579B</v>
      </c>
      <c r="CL127" s="323">
        <f>CE127</f>
        <v>0</v>
      </c>
      <c r="CM127" s="40"/>
    </row>
    <row r="128" spans="1:91">
      <c r="A128" s="674" t="s">
        <v>1565</v>
      </c>
      <c r="B128" s="674" t="s">
        <v>1712</v>
      </c>
      <c r="C128" s="545" t="s">
        <v>408</v>
      </c>
      <c r="D128" s="676"/>
      <c r="E128" s="77"/>
      <c r="F128" s="677">
        <f t="shared" si="179"/>
        <v>0</v>
      </c>
      <c r="G128" s="43"/>
      <c r="H128" s="43"/>
      <c r="I128" s="43"/>
      <c r="J128" s="44">
        <v>1216989</v>
      </c>
      <c r="K128" s="44"/>
      <c r="L128" s="45">
        <f t="shared" si="155"/>
        <v>12169.89</v>
      </c>
      <c r="M128" s="45">
        <f t="shared" si="156"/>
        <v>75453.317999999999</v>
      </c>
      <c r="N128" s="45">
        <f t="shared" si="157"/>
        <v>34075.692000000003</v>
      </c>
      <c r="O128" s="45">
        <v>347711</v>
      </c>
      <c r="P128" s="45"/>
      <c r="Q128" s="45"/>
      <c r="R128" s="45">
        <f t="shared" si="158"/>
        <v>3477.11</v>
      </c>
      <c r="S128" s="45">
        <f t="shared" si="159"/>
        <v>21558.081999999999</v>
      </c>
      <c r="T128" s="45">
        <f t="shared" si="160"/>
        <v>9735.9079999999994</v>
      </c>
      <c r="U128" s="45"/>
      <c r="V128" s="45"/>
      <c r="W128" s="678">
        <v>109010</v>
      </c>
      <c r="X128" s="45"/>
      <c r="Y128" s="45"/>
      <c r="Z128" s="45"/>
      <c r="AA128" s="45"/>
      <c r="AB128" s="45">
        <f t="shared" si="161"/>
        <v>1090.0999999999999</v>
      </c>
      <c r="AC128" s="45">
        <f t="shared" si="162"/>
        <v>6758.62</v>
      </c>
      <c r="AD128" s="45">
        <f t="shared" si="163"/>
        <v>3052.28</v>
      </c>
      <c r="AE128" s="44"/>
      <c r="AF128" s="44"/>
      <c r="AG128" s="678"/>
      <c r="AH128" s="44"/>
      <c r="AI128" s="44"/>
      <c r="AJ128" s="44"/>
      <c r="AK128" s="44"/>
      <c r="AL128" s="44">
        <f t="shared" si="164"/>
        <v>0</v>
      </c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680"/>
      <c r="BF128" s="680"/>
      <c r="BG128" s="680"/>
      <c r="BH128" s="44"/>
      <c r="BI128" s="44"/>
      <c r="BJ128" s="44"/>
      <c r="BK128" s="44"/>
      <c r="BL128" s="44"/>
      <c r="BM128" s="44"/>
      <c r="BN128" s="44"/>
      <c r="BO128" s="44"/>
      <c r="BP128" s="44"/>
      <c r="BQ128" s="678"/>
      <c r="BR128" s="44">
        <f t="shared" si="165"/>
        <v>0</v>
      </c>
      <c r="BS128" s="44"/>
      <c r="BT128" s="44"/>
      <c r="BU128" s="44"/>
      <c r="BV128" s="44"/>
      <c r="BW128" s="44"/>
      <c r="BX128" s="44"/>
      <c r="BY128" s="44"/>
      <c r="BZ128" s="44"/>
      <c r="CA128" s="699"/>
      <c r="CB128" s="45">
        <f t="shared" si="113"/>
        <v>1841081.0000000002</v>
      </c>
      <c r="CC128" s="46">
        <f t="shared" si="114"/>
        <v>109010</v>
      </c>
      <c r="CD128" s="47">
        <f t="shared" si="115"/>
        <v>1673710</v>
      </c>
      <c r="CE128" s="62"/>
      <c r="CF128" s="237" t="str">
        <f>VLOOKUP(A128,labo!B:C,2,FALSE)</f>
        <v>PROFESSIONS LIBERALES</v>
      </c>
      <c r="CG128" s="106">
        <f t="shared" si="116"/>
        <v>0</v>
      </c>
      <c r="CI128" s="51"/>
      <c r="CK128" s="251" t="str">
        <f t="shared" si="111"/>
        <v>M016000024474Z</v>
      </c>
      <c r="CL128" s="323">
        <f t="shared" si="112"/>
        <v>0</v>
      </c>
      <c r="CM128" s="40"/>
    </row>
    <row r="129" spans="1:95">
      <c r="A129" s="361" t="s">
        <v>3090</v>
      </c>
      <c r="B129" s="41" t="e">
        <f>VLOOKUP(A129,'vs mars'!B:D,3,FALSE)</f>
        <v>#N/A</v>
      </c>
      <c r="C129" s="660" t="s">
        <v>1438</v>
      </c>
      <c r="D129" s="77"/>
      <c r="E129" s="77"/>
      <c r="F129" s="43"/>
      <c r="G129" s="43"/>
      <c r="H129" s="43"/>
      <c r="I129" s="43"/>
      <c r="J129" s="44"/>
      <c r="K129" s="44"/>
      <c r="L129" s="45">
        <f t="shared" si="155"/>
        <v>0</v>
      </c>
      <c r="M129" s="45">
        <f t="shared" si="156"/>
        <v>0</v>
      </c>
      <c r="N129" s="45">
        <f t="shared" si="157"/>
        <v>0</v>
      </c>
      <c r="O129" s="45"/>
      <c r="P129" s="45"/>
      <c r="Q129" s="45"/>
      <c r="R129" s="45">
        <f t="shared" si="158"/>
        <v>0</v>
      </c>
      <c r="S129" s="45">
        <f t="shared" si="159"/>
        <v>0</v>
      </c>
      <c r="T129" s="45">
        <f t="shared" si="160"/>
        <v>0</v>
      </c>
      <c r="U129" s="45"/>
      <c r="V129" s="45"/>
      <c r="W129" s="45"/>
      <c r="X129" s="45"/>
      <c r="Y129" s="45"/>
      <c r="Z129" s="45"/>
      <c r="AA129" s="45"/>
      <c r="AB129" s="45">
        <f t="shared" si="161"/>
        <v>0</v>
      </c>
      <c r="AC129" s="45">
        <f t="shared" si="162"/>
        <v>0</v>
      </c>
      <c r="AD129" s="45">
        <f t="shared" si="163"/>
        <v>0</v>
      </c>
      <c r="AE129" s="44"/>
      <c r="AF129" s="44"/>
      <c r="AG129" s="44"/>
      <c r="AH129" s="44"/>
      <c r="AI129" s="44"/>
      <c r="AJ129" s="44"/>
      <c r="AK129" s="44"/>
      <c r="AL129" s="44">
        <f t="shared" si="164"/>
        <v>0</v>
      </c>
      <c r="AM129" s="44"/>
      <c r="AN129" s="44"/>
      <c r="AO129" s="44"/>
      <c r="AP129" s="44"/>
      <c r="AQ129" s="44"/>
      <c r="AR129" s="44"/>
      <c r="AS129" s="44"/>
      <c r="AT129" s="44">
        <f>67200+140700+4000</f>
        <v>211900</v>
      </c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>
        <f t="shared" si="165"/>
        <v>0</v>
      </c>
      <c r="BS129" s="312">
        <f t="shared" si="166"/>
        <v>0</v>
      </c>
      <c r="BT129" s="312">
        <f t="shared" si="167"/>
        <v>0</v>
      </c>
      <c r="BU129" s="312">
        <f t="shared" si="168"/>
        <v>0</v>
      </c>
      <c r="BV129" s="312">
        <f t="shared" si="169"/>
        <v>0</v>
      </c>
      <c r="BW129" s="313">
        <f t="shared" si="170"/>
        <v>0</v>
      </c>
      <c r="BX129" s="313">
        <f t="shared" si="171"/>
        <v>0</v>
      </c>
      <c r="BY129" s="313">
        <f t="shared" si="172"/>
        <v>0</v>
      </c>
      <c r="BZ129" s="313">
        <f t="shared" si="173"/>
        <v>0</v>
      </c>
      <c r="CA129" s="44"/>
      <c r="CB129" s="45">
        <f t="shared" si="113"/>
        <v>211900</v>
      </c>
      <c r="CC129" s="46">
        <f t="shared" si="114"/>
        <v>211900</v>
      </c>
      <c r="CD129" s="47">
        <f t="shared" si="115"/>
        <v>211900</v>
      </c>
      <c r="CE129" s="62"/>
      <c r="CF129" s="237" t="s">
        <v>3049</v>
      </c>
      <c r="CG129" s="106">
        <f t="shared" si="116"/>
        <v>0</v>
      </c>
      <c r="CI129" s="51"/>
      <c r="CK129" s="251" t="e">
        <f t="shared" si="111"/>
        <v>#N/A</v>
      </c>
      <c r="CL129" s="323">
        <f t="shared" si="112"/>
        <v>0</v>
      </c>
      <c r="CM129" s="40"/>
    </row>
    <row r="130" spans="1:95">
      <c r="A130" s="361" t="s">
        <v>3091</v>
      </c>
      <c r="B130" s="41" t="e">
        <f>VLOOKUP(A130,'vs mars'!B:D,3,FALSE)</f>
        <v>#N/A</v>
      </c>
      <c r="C130" s="660" t="s">
        <v>1438</v>
      </c>
      <c r="D130" s="77"/>
      <c r="E130" s="77"/>
      <c r="F130" s="43"/>
      <c r="G130" s="43"/>
      <c r="H130" s="43"/>
      <c r="I130" s="43"/>
      <c r="J130" s="44"/>
      <c r="K130" s="44"/>
      <c r="L130" s="45">
        <f t="shared" ref="L130:L175" si="180">(J130+K130)*0.01</f>
        <v>0</v>
      </c>
      <c r="M130" s="45">
        <f t="shared" ref="M130:M175" si="181">(J130+K130)*0.062</f>
        <v>0</v>
      </c>
      <c r="N130" s="45">
        <f t="shared" ref="N130:N175" si="182">(J130+K130)*0.028</f>
        <v>0</v>
      </c>
      <c r="O130" s="45"/>
      <c r="P130" s="45"/>
      <c r="Q130" s="45"/>
      <c r="R130" s="45">
        <f t="shared" ref="R130:R188" si="183">(Q130+O130+P130)*0.01</f>
        <v>0</v>
      </c>
      <c r="S130" s="45">
        <f t="shared" ref="S130:S188" si="184">(O130+Q130+P130)*0.062</f>
        <v>0</v>
      </c>
      <c r="T130" s="45">
        <f t="shared" ref="T130:T188" si="185">(O130+P130+Q130)*0.028</f>
        <v>0</v>
      </c>
      <c r="U130" s="45"/>
      <c r="V130" s="45"/>
      <c r="W130" s="45"/>
      <c r="X130" s="45"/>
      <c r="Y130" s="45"/>
      <c r="Z130" s="45"/>
      <c r="AA130" s="45"/>
      <c r="AB130" s="45">
        <f t="shared" ref="AB130:AB178" si="186">(U130+V130+W130+X130+Y130+Z130)*0.01</f>
        <v>0</v>
      </c>
      <c r="AC130" s="45">
        <f t="shared" ref="AC130:AC188" si="187">(U130+V130+W130+X130+Y130+Z130)*0.062</f>
        <v>0</v>
      </c>
      <c r="AD130" s="45">
        <f t="shared" ref="AD130:AD188" si="188">(U130+V130+W130+X130+Y130+Z130)*0.028</f>
        <v>0</v>
      </c>
      <c r="AE130" s="44"/>
      <c r="AF130" s="44"/>
      <c r="AG130" s="44"/>
      <c r="AH130" s="44"/>
      <c r="AI130" s="44"/>
      <c r="AJ130" s="44"/>
      <c r="AK130" s="44"/>
      <c r="AL130" s="44">
        <f t="shared" ref="AL130:AL175" si="189">+AK130</f>
        <v>0</v>
      </c>
      <c r="AM130" s="44"/>
      <c r="AN130" s="44"/>
      <c r="AO130" s="44"/>
      <c r="AP130" s="44"/>
      <c r="AQ130" s="44"/>
      <c r="AR130" s="44"/>
      <c r="AS130" s="44"/>
      <c r="AT130" s="44">
        <v>8000</v>
      </c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>
        <f t="shared" ref="BR130:BR175" si="190">BQ130/9</f>
        <v>0</v>
      </c>
      <c r="BS130" s="312">
        <f t="shared" ref="BS130:BS174" si="191">CH130*0.1</f>
        <v>0</v>
      </c>
      <c r="BT130" s="312">
        <f t="shared" ref="BT130:BT174" si="192">CH130*0.18</f>
        <v>0</v>
      </c>
      <c r="BU130" s="312">
        <f t="shared" ref="BU130:BU174" si="193">CH130*0.18</f>
        <v>0</v>
      </c>
      <c r="BV130" s="312">
        <f t="shared" ref="BV130:BV174" si="194">CH130*0.54</f>
        <v>0</v>
      </c>
      <c r="BW130" s="313">
        <f t="shared" ref="BW130:BW174" si="195">CI130*0.1</f>
        <v>0</v>
      </c>
      <c r="BX130" s="313">
        <f t="shared" ref="BX130:BX174" si="196">CI130*0.18</f>
        <v>0</v>
      </c>
      <c r="BY130" s="313">
        <f t="shared" ref="BY130:BY174" si="197">CI130*0.18</f>
        <v>0</v>
      </c>
      <c r="BZ130" s="313">
        <f t="shared" ref="BZ130:BZ174" si="198">CI130*0.54</f>
        <v>0</v>
      </c>
      <c r="CA130" s="44"/>
      <c r="CB130" s="45">
        <f t="shared" ref="CB130:CB193" si="199">SUM(E130:CA130)</f>
        <v>8000</v>
      </c>
      <c r="CC130" s="46">
        <f t="shared" ref="CC130:CC193" si="200">E130+H130+I130+K130+P130+Q130+W130+X130+Y130+Z130+AA130+AE130+AG130+AH130+AI130+AJ130+AN130+AO130+AS130+AT130+AU130+AV130+AW130+AY130+BB130</f>
        <v>8000</v>
      </c>
      <c r="CD130" s="47">
        <f t="shared" ref="CD130:CD193" si="201">E130+H130+I130+J130+K130+O130+P130+Q130+U130+V130+W130+X130+Y130+Z130+AA130+AE130+AF130+AG130+AH130+AI130+AJ130+AN130+AO130+AT130+AU130+AV130+AW130+AY130+BA130+BB130</f>
        <v>8000</v>
      </c>
      <c r="CE130" s="62"/>
      <c r="CF130" s="237" t="s">
        <v>3049</v>
      </c>
      <c r="CG130" s="106">
        <f t="shared" ref="CG130:CG193" si="202">K130+Q130+X130+Y130+Z130+AF130</f>
        <v>0</v>
      </c>
      <c r="CI130" s="51"/>
      <c r="CK130" s="251" t="e">
        <f t="shared" ref="CK130:CK192" si="203">+B130</f>
        <v>#N/A</v>
      </c>
      <c r="CL130" s="323">
        <f t="shared" ref="CL130:CL192" si="204">CE130</f>
        <v>0</v>
      </c>
      <c r="CM130" s="40"/>
    </row>
    <row r="131" spans="1:95">
      <c r="A131" s="1" t="s">
        <v>1489</v>
      </c>
      <c r="B131" s="41" t="str">
        <f>VLOOKUP(A131,'vs mars'!B:D,3,FALSE)</f>
        <v>P028612675375S</v>
      </c>
      <c r="C131" s="42" t="str">
        <f>VLOOKUP(A131,'vs mars'!B:AC,28,FALSE)</f>
        <v>ug4</v>
      </c>
      <c r="D131" s="77"/>
      <c r="E131" s="77"/>
      <c r="F131" s="43"/>
      <c r="G131" s="43"/>
      <c r="H131" s="43"/>
      <c r="I131" s="43"/>
      <c r="J131" s="44">
        <f>60638/1.1-60/1.1</f>
        <v>55070.909090909088</v>
      </c>
      <c r="K131" s="44"/>
      <c r="L131" s="45">
        <f t="shared" si="180"/>
        <v>550.70909090909095</v>
      </c>
      <c r="M131" s="45">
        <f t="shared" si="181"/>
        <v>3414.3963636363633</v>
      </c>
      <c r="N131" s="45">
        <f t="shared" si="182"/>
        <v>1541.9854545454546</v>
      </c>
      <c r="O131" s="45">
        <f>6930/1.1</f>
        <v>6299.9999999999991</v>
      </c>
      <c r="P131" s="45"/>
      <c r="Q131" s="45"/>
      <c r="R131" s="45">
        <f t="shared" si="183"/>
        <v>62.999999999999993</v>
      </c>
      <c r="S131" s="45">
        <f t="shared" si="184"/>
        <v>390.59999999999997</v>
      </c>
      <c r="T131" s="45">
        <f t="shared" si="185"/>
        <v>176.39999999999998</v>
      </c>
      <c r="U131" s="45"/>
      <c r="V131" s="45"/>
      <c r="W131" s="45"/>
      <c r="X131" s="45"/>
      <c r="Y131" s="45"/>
      <c r="Z131" s="45"/>
      <c r="AA131" s="45"/>
      <c r="AB131" s="45">
        <f t="shared" si="186"/>
        <v>0</v>
      </c>
      <c r="AC131" s="45">
        <f t="shared" si="187"/>
        <v>0</v>
      </c>
      <c r="AD131" s="45">
        <f t="shared" si="188"/>
        <v>0</v>
      </c>
      <c r="AE131" s="44"/>
      <c r="AF131" s="44"/>
      <c r="AG131" s="44"/>
      <c r="AH131" s="44"/>
      <c r="AI131" s="44"/>
      <c r="AJ131" s="44"/>
      <c r="AK131" s="44"/>
      <c r="AL131" s="44">
        <f t="shared" si="189"/>
        <v>0</v>
      </c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>
        <f t="shared" si="190"/>
        <v>0</v>
      </c>
      <c r="BS131" s="312">
        <f t="shared" si="191"/>
        <v>0</v>
      </c>
      <c r="BT131" s="312">
        <f t="shared" si="192"/>
        <v>0</v>
      </c>
      <c r="BU131" s="312">
        <f t="shared" si="193"/>
        <v>0</v>
      </c>
      <c r="BV131" s="312">
        <f t="shared" si="194"/>
        <v>0</v>
      </c>
      <c r="BW131" s="313">
        <f t="shared" si="195"/>
        <v>0</v>
      </c>
      <c r="BX131" s="313">
        <f t="shared" si="196"/>
        <v>0</v>
      </c>
      <c r="BY131" s="313">
        <f t="shared" si="197"/>
        <v>0</v>
      </c>
      <c r="BZ131" s="313">
        <f t="shared" si="198"/>
        <v>0</v>
      </c>
      <c r="CA131" s="44"/>
      <c r="CB131" s="45">
        <f t="shared" si="199"/>
        <v>67508</v>
      </c>
      <c r="CC131" s="46">
        <f t="shared" si="200"/>
        <v>0</v>
      </c>
      <c r="CD131" s="47">
        <f t="shared" si="201"/>
        <v>61370.909090909088</v>
      </c>
      <c r="CE131" s="62"/>
      <c r="CF131" s="237" t="str">
        <f>VLOOKUP(A131,labo!B:C,2,FALSE)</f>
        <v>MINE</v>
      </c>
      <c r="CG131" s="106">
        <f t="shared" si="202"/>
        <v>0</v>
      </c>
      <c r="CI131" s="51"/>
      <c r="CK131" s="251" t="str">
        <f>+B131</f>
        <v>P028612675375S</v>
      </c>
      <c r="CL131" s="323">
        <f>CE131</f>
        <v>0</v>
      </c>
      <c r="CM131" s="40"/>
    </row>
    <row r="132" spans="1:95">
      <c r="A132" s="674" t="s">
        <v>303</v>
      </c>
      <c r="B132" s="675" t="s">
        <v>746</v>
      </c>
      <c r="C132" s="77" t="s">
        <v>408</v>
      </c>
      <c r="D132" s="676"/>
      <c r="E132" s="77">
        <v>150400</v>
      </c>
      <c r="F132" s="677">
        <f>+E132*0.25</f>
        <v>37600</v>
      </c>
      <c r="G132" s="77"/>
      <c r="H132" s="77"/>
      <c r="I132" s="77"/>
      <c r="J132" s="77">
        <v>628769</v>
      </c>
      <c r="K132" s="77"/>
      <c r="L132" s="44">
        <f t="shared" si="180"/>
        <v>6287.6900000000005</v>
      </c>
      <c r="M132" s="44">
        <f t="shared" si="181"/>
        <v>38983.678</v>
      </c>
      <c r="N132" s="44">
        <f t="shared" si="182"/>
        <v>17605.531999999999</v>
      </c>
      <c r="O132" s="45">
        <v>86729</v>
      </c>
      <c r="P132" s="77"/>
      <c r="Q132" s="77"/>
      <c r="R132" s="44">
        <f t="shared" si="183"/>
        <v>867.29</v>
      </c>
      <c r="S132" s="44">
        <f t="shared" si="184"/>
        <v>5377.1980000000003</v>
      </c>
      <c r="T132" s="44">
        <f t="shared" si="185"/>
        <v>2428.4120000000003</v>
      </c>
      <c r="U132" s="77"/>
      <c r="V132" s="77"/>
      <c r="W132" s="678">
        <v>6175</v>
      </c>
      <c r="X132" s="77"/>
      <c r="Y132" s="77"/>
      <c r="Z132" s="77"/>
      <c r="AA132" s="77"/>
      <c r="AB132" s="44">
        <f t="shared" si="186"/>
        <v>61.75</v>
      </c>
      <c r="AC132" s="44">
        <f t="shared" si="187"/>
        <v>382.85</v>
      </c>
      <c r="AD132" s="44">
        <f t="shared" si="188"/>
        <v>172.9</v>
      </c>
      <c r="AE132" s="77"/>
      <c r="AF132" s="77"/>
      <c r="AG132" s="678"/>
      <c r="AH132" s="77"/>
      <c r="AI132" s="77"/>
      <c r="AJ132" s="77"/>
      <c r="AK132" s="77"/>
      <c r="AL132" s="679">
        <f t="shared" si="189"/>
        <v>0</v>
      </c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680">
        <v>18935</v>
      </c>
      <c r="BF132" s="680">
        <v>11156</v>
      </c>
      <c r="BG132" s="680">
        <v>2700</v>
      </c>
      <c r="BH132" s="77"/>
      <c r="BI132" s="77"/>
      <c r="BJ132" s="77"/>
      <c r="BK132" s="77"/>
      <c r="BL132" s="77"/>
      <c r="BM132" s="44"/>
      <c r="BN132" s="77"/>
      <c r="BO132" s="77"/>
      <c r="BP132" s="77"/>
      <c r="BQ132" s="678">
        <v>1125</v>
      </c>
      <c r="BR132" s="679">
        <f t="shared" si="190"/>
        <v>125</v>
      </c>
      <c r="BS132" s="77"/>
      <c r="BT132" s="77"/>
      <c r="BU132" s="77"/>
      <c r="BV132" s="77"/>
      <c r="BW132" s="77"/>
      <c r="BX132" s="77"/>
      <c r="BY132" s="77"/>
      <c r="BZ132" s="77"/>
      <c r="CA132" s="681"/>
      <c r="CB132" s="45">
        <f t="shared" si="199"/>
        <v>1015881.2999999999</v>
      </c>
      <c r="CC132" s="46">
        <f t="shared" si="200"/>
        <v>156575</v>
      </c>
      <c r="CD132" s="47">
        <f t="shared" si="201"/>
        <v>872073</v>
      </c>
      <c r="CE132" s="62"/>
      <c r="CF132" s="237" t="str">
        <f>VLOOKUP(A132,labo!B:C,2,FALSE)</f>
        <v>HERBERGEMENT</v>
      </c>
      <c r="CG132" s="106">
        <f t="shared" si="202"/>
        <v>0</v>
      </c>
      <c r="CI132" s="51"/>
      <c r="CK132" s="251" t="str">
        <f t="shared" si="203"/>
        <v>P016000014392B</v>
      </c>
      <c r="CL132" s="323">
        <f t="shared" si="204"/>
        <v>0</v>
      </c>
      <c r="CM132" s="40"/>
    </row>
    <row r="133" spans="1:95">
      <c r="A133" s="674" t="s">
        <v>273</v>
      </c>
      <c r="B133" s="675" t="s">
        <v>435</v>
      </c>
      <c r="C133" s="77" t="s">
        <v>1439</v>
      </c>
      <c r="D133" s="676"/>
      <c r="E133" s="77"/>
      <c r="F133" s="677"/>
      <c r="G133" s="77"/>
      <c r="H133" s="77"/>
      <c r="I133" s="77"/>
      <c r="J133" s="77"/>
      <c r="K133" s="77"/>
      <c r="L133" s="44">
        <f t="shared" si="180"/>
        <v>0</v>
      </c>
      <c r="M133" s="44">
        <f t="shared" si="181"/>
        <v>0</v>
      </c>
      <c r="N133" s="44">
        <f t="shared" si="182"/>
        <v>0</v>
      </c>
      <c r="O133" s="45">
        <v>102000</v>
      </c>
      <c r="P133" s="77"/>
      <c r="Q133" s="77"/>
      <c r="R133" s="44">
        <f t="shared" ref="R133" si="205">(Q133+O133)*0.01</f>
        <v>1020</v>
      </c>
      <c r="S133" s="44">
        <f t="shared" ref="S133" si="206">(O133+Q133)*0.062</f>
        <v>6324</v>
      </c>
      <c r="T133" s="44">
        <f t="shared" si="185"/>
        <v>2856</v>
      </c>
      <c r="U133" s="77"/>
      <c r="V133" s="77"/>
      <c r="W133" s="678">
        <v>2727</v>
      </c>
      <c r="X133" s="77"/>
      <c r="Y133" s="77"/>
      <c r="Z133" s="77"/>
      <c r="AA133" s="77"/>
      <c r="AB133" s="44">
        <f t="shared" si="186"/>
        <v>27.27</v>
      </c>
      <c r="AC133" s="44">
        <f t="shared" si="187"/>
        <v>169.07400000000001</v>
      </c>
      <c r="AD133" s="44">
        <f t="shared" si="188"/>
        <v>76.355999999999995</v>
      </c>
      <c r="AE133" s="77">
        <v>20000</v>
      </c>
      <c r="AF133" s="77"/>
      <c r="AG133" s="678"/>
      <c r="AH133" s="77"/>
      <c r="AI133" s="77"/>
      <c r="AJ133" s="77"/>
      <c r="AK133" s="77"/>
      <c r="AL133" s="679">
        <f t="shared" si="189"/>
        <v>0</v>
      </c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680">
        <v>3750</v>
      </c>
      <c r="BF133" s="680">
        <v>1500</v>
      </c>
      <c r="BG133" s="680"/>
      <c r="BH133" s="77"/>
      <c r="BI133" s="77"/>
      <c r="BJ133" s="77"/>
      <c r="BK133" s="77"/>
      <c r="BL133" s="77"/>
      <c r="BM133" s="44"/>
      <c r="BN133" s="77"/>
      <c r="BO133" s="77"/>
      <c r="BP133" s="77"/>
      <c r="BQ133" s="678">
        <f>9000*0.9</f>
        <v>8100</v>
      </c>
      <c r="BR133" s="679">
        <f>BQ133/9</f>
        <v>900</v>
      </c>
      <c r="BS133" s="77"/>
      <c r="BT133" s="77"/>
      <c r="BU133" s="77"/>
      <c r="BV133" s="77"/>
      <c r="BW133" s="77"/>
      <c r="BX133" s="77"/>
      <c r="BY133" s="77"/>
      <c r="BZ133" s="77"/>
      <c r="CA133" s="681"/>
      <c r="CB133" s="45">
        <f t="shared" si="199"/>
        <v>149449.70000000001</v>
      </c>
      <c r="CC133" s="46">
        <f t="shared" si="200"/>
        <v>22727</v>
      </c>
      <c r="CD133" s="47">
        <f t="shared" si="201"/>
        <v>124727</v>
      </c>
      <c r="CE133" s="62"/>
      <c r="CF133" s="237" t="str">
        <f>VLOOKUP(A133,labo!B:C,2,FALSE)</f>
        <v>BOULANGERIE</v>
      </c>
      <c r="CG133" s="106">
        <f t="shared" si="202"/>
        <v>0</v>
      </c>
      <c r="CI133" s="51"/>
      <c r="CK133" s="251" t="str">
        <f t="shared" si="203"/>
        <v>P015000424628P</v>
      </c>
      <c r="CL133" s="323">
        <f t="shared" si="204"/>
        <v>0</v>
      </c>
      <c r="CM133" s="40"/>
    </row>
    <row r="134" spans="1:95">
      <c r="A134" s="700" t="s">
        <v>2128</v>
      </c>
      <c r="B134" s="41" t="str">
        <f>VLOOKUP(A134,'vs mars'!B:D,3,FALSE)</f>
        <v>P068012485669R</v>
      </c>
      <c r="C134" s="42" t="str">
        <f>VLOOKUP(A134,'vs mars'!B:AC,28,FALSE)</f>
        <v>ug5</v>
      </c>
      <c r="D134" s="77"/>
      <c r="E134" s="77"/>
      <c r="F134" s="43"/>
      <c r="G134" s="43"/>
      <c r="H134" s="43"/>
      <c r="I134" s="43"/>
      <c r="J134" s="44"/>
      <c r="K134" s="44"/>
      <c r="L134" s="45">
        <f t="shared" si="180"/>
        <v>0</v>
      </c>
      <c r="M134" s="45">
        <f t="shared" si="181"/>
        <v>0</v>
      </c>
      <c r="N134" s="45">
        <f t="shared" si="182"/>
        <v>0</v>
      </c>
      <c r="O134" s="25">
        <f>275605/1.1</f>
        <v>250549.99999999997</v>
      </c>
      <c r="P134" s="45"/>
      <c r="Q134" s="45"/>
      <c r="R134" s="45">
        <f t="shared" si="183"/>
        <v>2505.4999999999995</v>
      </c>
      <c r="S134" s="45">
        <f t="shared" si="184"/>
        <v>15534.099999999999</v>
      </c>
      <c r="T134" s="45">
        <f t="shared" si="185"/>
        <v>7015.4</v>
      </c>
      <c r="U134" s="45"/>
      <c r="V134" s="45"/>
      <c r="W134" s="45"/>
      <c r="X134" s="45"/>
      <c r="Y134" s="45"/>
      <c r="Z134" s="45"/>
      <c r="AA134" s="45"/>
      <c r="AB134" s="45">
        <f t="shared" si="186"/>
        <v>0</v>
      </c>
      <c r="AC134" s="45">
        <f t="shared" si="187"/>
        <v>0</v>
      </c>
      <c r="AD134" s="45">
        <f t="shared" si="188"/>
        <v>0</v>
      </c>
      <c r="AE134" s="44"/>
      <c r="AF134" s="44"/>
      <c r="AG134" s="44"/>
      <c r="AH134" s="44"/>
      <c r="AI134" s="44"/>
      <c r="AJ134" s="44"/>
      <c r="AK134" s="44"/>
      <c r="AL134" s="44">
        <f t="shared" si="189"/>
        <v>0</v>
      </c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>
        <f t="shared" si="190"/>
        <v>0</v>
      </c>
      <c r="BS134" s="312">
        <f t="shared" si="191"/>
        <v>0</v>
      </c>
      <c r="BT134" s="312">
        <f t="shared" si="192"/>
        <v>0</v>
      </c>
      <c r="BU134" s="312">
        <f t="shared" si="193"/>
        <v>0</v>
      </c>
      <c r="BV134" s="312">
        <f t="shared" si="194"/>
        <v>0</v>
      </c>
      <c r="BW134" s="313">
        <f t="shared" si="195"/>
        <v>0</v>
      </c>
      <c r="BX134" s="313">
        <f t="shared" si="196"/>
        <v>0</v>
      </c>
      <c r="BY134" s="313">
        <f t="shared" si="197"/>
        <v>0</v>
      </c>
      <c r="BZ134" s="313">
        <f t="shared" si="198"/>
        <v>0</v>
      </c>
      <c r="CA134" s="44"/>
      <c r="CB134" s="45">
        <f t="shared" si="199"/>
        <v>275605</v>
      </c>
      <c r="CC134" s="46">
        <f t="shared" si="200"/>
        <v>0</v>
      </c>
      <c r="CD134" s="47">
        <f t="shared" si="201"/>
        <v>250549.99999999997</v>
      </c>
      <c r="CE134" s="62"/>
      <c r="CF134" s="237" t="str">
        <f>VLOOKUP(A134,labo!B:C,2,FALSE)</f>
        <v>AUTRES SERVICES</v>
      </c>
      <c r="CG134" s="106">
        <f t="shared" si="202"/>
        <v>0</v>
      </c>
      <c r="CI134" s="51"/>
      <c r="CK134" s="251" t="str">
        <f t="shared" si="203"/>
        <v>P068012485669R</v>
      </c>
      <c r="CL134" s="323">
        <f t="shared" si="204"/>
        <v>0</v>
      </c>
      <c r="CM134" s="40"/>
    </row>
    <row r="135" spans="1:95">
      <c r="A135" s="325" t="s">
        <v>331</v>
      </c>
      <c r="B135" s="41" t="str">
        <f>VLOOKUP(A135,'vs mars'!B:D,3,FALSE)</f>
        <v>P126500236318W</v>
      </c>
      <c r="C135" s="42" t="str">
        <f>VLOOKUP(A135,'vs mars'!B:AC,28,FALSE)</f>
        <v>ug5</v>
      </c>
      <c r="D135" s="77"/>
      <c r="E135" s="77"/>
      <c r="F135" s="43"/>
      <c r="G135" s="43"/>
      <c r="H135" s="43"/>
      <c r="I135" s="43"/>
      <c r="J135" s="44"/>
      <c r="K135" s="44"/>
      <c r="L135" s="45">
        <f t="shared" si="180"/>
        <v>0</v>
      </c>
      <c r="M135" s="45">
        <f t="shared" si="181"/>
        <v>0</v>
      </c>
      <c r="N135" s="45">
        <f t="shared" si="182"/>
        <v>0</v>
      </c>
      <c r="O135" s="45"/>
      <c r="P135" s="45"/>
      <c r="Q135" s="25">
        <f>92650/1.1</f>
        <v>84227.272727272721</v>
      </c>
      <c r="R135" s="45">
        <f t="shared" si="183"/>
        <v>842.27272727272725</v>
      </c>
      <c r="S135" s="45">
        <f t="shared" si="184"/>
        <v>5222.090909090909</v>
      </c>
      <c r="T135" s="45">
        <f t="shared" si="185"/>
        <v>2358.363636363636</v>
      </c>
      <c r="U135" s="45"/>
      <c r="V135" s="45"/>
      <c r="W135" s="45">
        <f>4448/1.1</f>
        <v>4043.6363636363635</v>
      </c>
      <c r="X135" s="45"/>
      <c r="Y135" s="45"/>
      <c r="Z135" s="45"/>
      <c r="AA135" s="45"/>
      <c r="AB135" s="45">
        <f t="shared" si="186"/>
        <v>40.436363636363637</v>
      </c>
      <c r="AC135" s="45">
        <f t="shared" si="187"/>
        <v>250.70545454545453</v>
      </c>
      <c r="AD135" s="45">
        <f t="shared" si="188"/>
        <v>113.22181818181818</v>
      </c>
      <c r="AE135" s="44"/>
      <c r="AF135" s="44"/>
      <c r="AG135" s="44"/>
      <c r="AH135" s="44"/>
      <c r="AI135" s="44"/>
      <c r="AJ135" s="44"/>
      <c r="AK135" s="44"/>
      <c r="AL135" s="44">
        <f t="shared" si="189"/>
        <v>0</v>
      </c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>
        <f t="shared" si="190"/>
        <v>0</v>
      </c>
      <c r="BS135" s="312">
        <f t="shared" si="191"/>
        <v>0</v>
      </c>
      <c r="BT135" s="312">
        <f t="shared" si="192"/>
        <v>0</v>
      </c>
      <c r="BU135" s="312">
        <f t="shared" si="193"/>
        <v>0</v>
      </c>
      <c r="BV135" s="312">
        <f t="shared" si="194"/>
        <v>0</v>
      </c>
      <c r="BW135" s="313">
        <f t="shared" si="195"/>
        <v>0</v>
      </c>
      <c r="BX135" s="313">
        <f t="shared" si="196"/>
        <v>0</v>
      </c>
      <c r="BY135" s="313">
        <f t="shared" si="197"/>
        <v>0</v>
      </c>
      <c r="BZ135" s="313">
        <f t="shared" si="198"/>
        <v>0</v>
      </c>
      <c r="CA135" s="44"/>
      <c r="CB135" s="45">
        <f t="shared" si="199"/>
        <v>97098</v>
      </c>
      <c r="CC135" s="46">
        <f t="shared" si="200"/>
        <v>88270.909090909088</v>
      </c>
      <c r="CD135" s="47">
        <f t="shared" si="201"/>
        <v>88270.909090909088</v>
      </c>
      <c r="CE135" s="62"/>
      <c r="CF135" s="237" t="str">
        <f>VLOOKUP(A135,labo!B:C,2,FALSE)</f>
        <v>PROFESSIONS LIBERALES</v>
      </c>
      <c r="CG135" s="106">
        <f t="shared" si="202"/>
        <v>84227.272727272721</v>
      </c>
      <c r="CI135" s="51"/>
      <c r="CK135" s="251" t="str">
        <f t="shared" si="203"/>
        <v>P126500236318W</v>
      </c>
      <c r="CL135" s="323">
        <f t="shared" si="204"/>
        <v>0</v>
      </c>
      <c r="CM135" s="40"/>
    </row>
    <row r="136" spans="1:95">
      <c r="A136" s="674" t="s">
        <v>389</v>
      </c>
      <c r="B136" s="675" t="s">
        <v>799</v>
      </c>
      <c r="C136" s="77" t="s">
        <v>408</v>
      </c>
      <c r="D136" s="676"/>
      <c r="E136" s="77"/>
      <c r="F136" s="677">
        <f t="shared" ref="F136:F137" si="207">+E136*0.25</f>
        <v>0</v>
      </c>
      <c r="G136" s="77"/>
      <c r="H136" s="77"/>
      <c r="I136" s="77"/>
      <c r="J136" s="77">
        <v>590293</v>
      </c>
      <c r="K136" s="77"/>
      <c r="L136" s="44">
        <f t="shared" si="180"/>
        <v>5902.93</v>
      </c>
      <c r="M136" s="44">
        <f t="shared" si="181"/>
        <v>36598.165999999997</v>
      </c>
      <c r="N136" s="44">
        <f t="shared" si="182"/>
        <v>16528.204000000002</v>
      </c>
      <c r="O136" s="45">
        <v>107696</v>
      </c>
      <c r="P136" s="77"/>
      <c r="Q136" s="77"/>
      <c r="R136" s="44">
        <f t="shared" si="183"/>
        <v>1076.96</v>
      </c>
      <c r="S136" s="44">
        <f t="shared" si="184"/>
        <v>6677.152</v>
      </c>
      <c r="T136" s="44">
        <f t="shared" si="185"/>
        <v>3015.4880000000003</v>
      </c>
      <c r="U136" s="77"/>
      <c r="V136" s="77"/>
      <c r="W136" s="678">
        <v>16926</v>
      </c>
      <c r="X136" s="77"/>
      <c r="Y136" s="77"/>
      <c r="Z136" s="77"/>
      <c r="AA136" s="77"/>
      <c r="AB136" s="44">
        <f t="shared" si="186"/>
        <v>169.26</v>
      </c>
      <c r="AC136" s="44">
        <f t="shared" si="187"/>
        <v>1049.412</v>
      </c>
      <c r="AD136" s="44">
        <f t="shared" si="188"/>
        <v>473.928</v>
      </c>
      <c r="AE136" s="77"/>
      <c r="AF136" s="77"/>
      <c r="AG136" s="678"/>
      <c r="AH136" s="77"/>
      <c r="AI136" s="77"/>
      <c r="AJ136" s="77"/>
      <c r="AK136" s="77"/>
      <c r="AL136" s="679">
        <f t="shared" si="189"/>
        <v>0</v>
      </c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680">
        <v>32400</v>
      </c>
      <c r="BF136" s="680">
        <v>11200</v>
      </c>
      <c r="BG136" s="680">
        <v>10500</v>
      </c>
      <c r="BH136" s="77"/>
      <c r="BI136" s="77"/>
      <c r="BJ136" s="77"/>
      <c r="BK136" s="77"/>
      <c r="BL136" s="77"/>
      <c r="BM136" s="44"/>
      <c r="BN136" s="77"/>
      <c r="BO136" s="77"/>
      <c r="BP136" s="77"/>
      <c r="BQ136" s="77">
        <v>2968</v>
      </c>
      <c r="BR136" s="679">
        <f t="shared" si="190"/>
        <v>329.77777777777777</v>
      </c>
      <c r="BS136" s="77"/>
      <c r="BT136" s="77"/>
      <c r="BU136" s="77"/>
      <c r="BV136" s="77"/>
      <c r="BW136" s="77"/>
      <c r="BX136" s="77"/>
      <c r="BY136" s="77"/>
      <c r="BZ136" s="77"/>
      <c r="CA136" s="681"/>
      <c r="CB136" s="45">
        <f t="shared" si="199"/>
        <v>843804.27777777775</v>
      </c>
      <c r="CC136" s="46">
        <f t="shared" si="200"/>
        <v>16926</v>
      </c>
      <c r="CD136" s="47">
        <f t="shared" si="201"/>
        <v>714915</v>
      </c>
      <c r="CE136" s="62"/>
      <c r="CF136" s="237" t="str">
        <f>VLOOKUP(A136,labo!B:C,2,FALSE)</f>
        <v>TRANSPORT</v>
      </c>
      <c r="CG136" s="106">
        <f t="shared" si="202"/>
        <v>0</v>
      </c>
      <c r="CI136" s="51"/>
      <c r="CK136" s="251" t="str">
        <f t="shared" si="203"/>
        <v>M091512410144Z</v>
      </c>
      <c r="CL136" s="323">
        <f t="shared" si="204"/>
        <v>0</v>
      </c>
      <c r="CM136" s="40"/>
    </row>
    <row r="137" spans="1:95">
      <c r="A137" s="674" t="s">
        <v>754</v>
      </c>
      <c r="B137" s="675" t="s">
        <v>756</v>
      </c>
      <c r="C137" s="77" t="s">
        <v>408</v>
      </c>
      <c r="D137" s="676"/>
      <c r="E137" s="77"/>
      <c r="F137" s="677">
        <f t="shared" si="207"/>
        <v>0</v>
      </c>
      <c r="G137" s="77"/>
      <c r="H137" s="77"/>
      <c r="I137" s="77"/>
      <c r="J137" s="77"/>
      <c r="K137" s="77"/>
      <c r="L137" s="44">
        <f t="shared" si="180"/>
        <v>0</v>
      </c>
      <c r="M137" s="44">
        <f t="shared" si="181"/>
        <v>0</v>
      </c>
      <c r="N137" s="44">
        <f t="shared" si="182"/>
        <v>0</v>
      </c>
      <c r="O137" s="45"/>
      <c r="P137" s="77"/>
      <c r="Q137" s="77"/>
      <c r="R137" s="44">
        <f t="shared" si="183"/>
        <v>0</v>
      </c>
      <c r="S137" s="44">
        <f t="shared" si="184"/>
        <v>0</v>
      </c>
      <c r="T137" s="44">
        <f t="shared" si="185"/>
        <v>0</v>
      </c>
      <c r="U137" s="77"/>
      <c r="V137" s="77"/>
      <c r="W137" s="678">
        <v>9700</v>
      </c>
      <c r="X137" s="77"/>
      <c r="Y137" s="77"/>
      <c r="Z137" s="77"/>
      <c r="AA137" s="77"/>
      <c r="AB137" s="44">
        <f t="shared" si="186"/>
        <v>97</v>
      </c>
      <c r="AC137" s="44">
        <f t="shared" si="187"/>
        <v>601.4</v>
      </c>
      <c r="AD137" s="44">
        <f t="shared" si="188"/>
        <v>271.60000000000002</v>
      </c>
      <c r="AE137" s="77"/>
      <c r="AF137" s="77"/>
      <c r="AG137" s="678"/>
      <c r="AH137" s="77"/>
      <c r="AI137" s="77">
        <v>24000</v>
      </c>
      <c r="AJ137" s="77"/>
      <c r="AK137" s="77"/>
      <c r="AL137" s="679">
        <f t="shared" si="189"/>
        <v>0</v>
      </c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680">
        <v>6994</v>
      </c>
      <c r="BF137" s="680">
        <v>2797</v>
      </c>
      <c r="BG137" s="680">
        <v>2500</v>
      </c>
      <c r="BH137" s="77"/>
      <c r="BI137" s="77"/>
      <c r="BJ137" s="77"/>
      <c r="BK137" s="77"/>
      <c r="BL137" s="77"/>
      <c r="BM137" s="44"/>
      <c r="BN137" s="77"/>
      <c r="BO137" s="77"/>
      <c r="BP137" s="77"/>
      <c r="BQ137" s="77">
        <v>900</v>
      </c>
      <c r="BR137" s="679">
        <f t="shared" si="190"/>
        <v>100</v>
      </c>
      <c r="BS137" s="77"/>
      <c r="BT137" s="77"/>
      <c r="BU137" s="77"/>
      <c r="BV137" s="77"/>
      <c r="BW137" s="77"/>
      <c r="BX137" s="77"/>
      <c r="BY137" s="77"/>
      <c r="BZ137" s="77"/>
      <c r="CA137" s="681"/>
      <c r="CB137" s="45">
        <f t="shared" si="199"/>
        <v>47961</v>
      </c>
      <c r="CC137" s="46">
        <f t="shared" si="200"/>
        <v>33700</v>
      </c>
      <c r="CD137" s="47">
        <f t="shared" si="201"/>
        <v>33700</v>
      </c>
      <c r="CE137" s="62"/>
      <c r="CF137" s="237" t="str">
        <f>VLOOKUP(A137,labo!B:C,2,FALSE)</f>
        <v>PROFESSIONS LIBERALES</v>
      </c>
      <c r="CG137" s="106">
        <f t="shared" si="202"/>
        <v>0</v>
      </c>
      <c r="CI137" s="51"/>
      <c r="CK137" s="251" t="str">
        <f t="shared" si="203"/>
        <v>P025900022418Z</v>
      </c>
      <c r="CL137" s="323">
        <f t="shared" si="204"/>
        <v>0</v>
      </c>
      <c r="CM137" s="40"/>
    </row>
    <row r="138" spans="1:95">
      <c r="A138" s="325" t="s">
        <v>3092</v>
      </c>
      <c r="B138" s="41" t="s">
        <v>3060</v>
      </c>
      <c r="C138" s="660" t="s">
        <v>408</v>
      </c>
      <c r="D138" s="77"/>
      <c r="E138" s="77"/>
      <c r="F138" s="43"/>
      <c r="G138" s="43"/>
      <c r="H138" s="43"/>
      <c r="I138" s="43"/>
      <c r="J138">
        <f>967890/1.1</f>
        <v>879899.99999999988</v>
      </c>
      <c r="K138" s="44"/>
      <c r="L138" s="45">
        <f t="shared" si="180"/>
        <v>8798.9999999999982</v>
      </c>
      <c r="M138" s="45">
        <f t="shared" si="181"/>
        <v>54553.799999999996</v>
      </c>
      <c r="N138" s="45">
        <f t="shared" si="182"/>
        <v>24637.199999999997</v>
      </c>
      <c r="O138">
        <f>276540/1.1</f>
        <v>251399.99999999997</v>
      </c>
      <c r="P138" s="45"/>
      <c r="Q138" s="45"/>
      <c r="R138" s="45">
        <f t="shared" si="183"/>
        <v>2513.9999999999995</v>
      </c>
      <c r="S138" s="45">
        <f t="shared" si="184"/>
        <v>15586.799999999997</v>
      </c>
      <c r="T138" s="45">
        <f t="shared" si="185"/>
        <v>7039.1999999999989</v>
      </c>
      <c r="U138" s="45"/>
      <c r="V138" s="45"/>
      <c r="W138" s="45"/>
      <c r="X138" s="45"/>
      <c r="Y138" s="45"/>
      <c r="Z138" s="45"/>
      <c r="AA138" s="45"/>
      <c r="AB138" s="45">
        <f t="shared" si="186"/>
        <v>0</v>
      </c>
      <c r="AC138" s="45">
        <f t="shared" si="187"/>
        <v>0</v>
      </c>
      <c r="AD138" s="45">
        <f t="shared" si="188"/>
        <v>0</v>
      </c>
      <c r="AE138" s="44"/>
      <c r="AF138" s="44"/>
      <c r="AG138" s="44"/>
      <c r="AH138" s="44"/>
      <c r="AI138" s="44"/>
      <c r="AJ138" s="44"/>
      <c r="AK138" s="44"/>
      <c r="AL138" s="44">
        <f t="shared" si="189"/>
        <v>0</v>
      </c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>
        <f t="shared" si="190"/>
        <v>0</v>
      </c>
      <c r="BS138" s="312">
        <f t="shared" si="191"/>
        <v>0</v>
      </c>
      <c r="BT138" s="312">
        <f t="shared" si="192"/>
        <v>0</v>
      </c>
      <c r="BU138" s="312">
        <f t="shared" si="193"/>
        <v>0</v>
      </c>
      <c r="BV138" s="312">
        <f t="shared" si="194"/>
        <v>0</v>
      </c>
      <c r="BW138" s="313">
        <f t="shared" si="195"/>
        <v>0</v>
      </c>
      <c r="BX138" s="313">
        <f t="shared" si="196"/>
        <v>0</v>
      </c>
      <c r="BY138" s="313">
        <f t="shared" si="197"/>
        <v>0</v>
      </c>
      <c r="BZ138" s="313">
        <f t="shared" si="198"/>
        <v>0</v>
      </c>
      <c r="CA138" s="44"/>
      <c r="CB138" s="45">
        <f t="shared" si="199"/>
        <v>1244429.9999999998</v>
      </c>
      <c r="CC138" s="46">
        <f t="shared" si="200"/>
        <v>0</v>
      </c>
      <c r="CD138" s="47">
        <f t="shared" si="201"/>
        <v>1131299.9999999998</v>
      </c>
      <c r="CE138" s="62"/>
      <c r="CF138" s="237" t="s">
        <v>1599</v>
      </c>
      <c r="CG138" s="106">
        <f t="shared" si="202"/>
        <v>0</v>
      </c>
      <c r="CI138" s="51"/>
      <c r="CK138" s="251" t="str">
        <f t="shared" si="203"/>
        <v>reliquataire</v>
      </c>
      <c r="CL138" s="323">
        <f t="shared" si="204"/>
        <v>0</v>
      </c>
      <c r="CM138" s="40"/>
    </row>
    <row r="139" spans="1:95">
      <c r="A139" s="325" t="s">
        <v>2195</v>
      </c>
      <c r="B139" s="701" t="s">
        <v>2222</v>
      </c>
      <c r="C139" s="702" t="s">
        <v>408</v>
      </c>
      <c r="D139" s="676"/>
      <c r="E139" s="678"/>
      <c r="F139" s="677">
        <v>0</v>
      </c>
      <c r="G139" s="678"/>
      <c r="H139" s="678"/>
      <c r="I139" s="678"/>
      <c r="J139" s="77"/>
      <c r="K139" s="678"/>
      <c r="L139" s="44">
        <v>0</v>
      </c>
      <c r="M139" s="44">
        <v>0</v>
      </c>
      <c r="N139" s="44">
        <v>0</v>
      </c>
      <c r="O139" s="45">
        <v>120135</v>
      </c>
      <c r="P139" s="77"/>
      <c r="Q139" s="77"/>
      <c r="R139" s="45">
        <v>1201.3500000000001</v>
      </c>
      <c r="S139" s="45">
        <v>7448.37</v>
      </c>
      <c r="T139" s="45">
        <v>3363.78</v>
      </c>
      <c r="U139" s="77"/>
      <c r="V139" s="45"/>
      <c r="W139" s="678">
        <v>355265</v>
      </c>
      <c r="X139" s="77"/>
      <c r="Y139" s="77"/>
      <c r="Z139" s="77"/>
      <c r="AA139" s="77"/>
      <c r="AB139" s="44">
        <v>3552.65</v>
      </c>
      <c r="AC139" s="44">
        <v>22026.43</v>
      </c>
      <c r="AD139" s="44">
        <v>9947.42</v>
      </c>
      <c r="AE139" s="678"/>
      <c r="AF139" s="678"/>
      <c r="AG139" s="678"/>
      <c r="AH139" s="703"/>
      <c r="AI139" s="77"/>
      <c r="AJ139" s="77"/>
      <c r="AK139" s="77"/>
      <c r="AL139" s="679">
        <v>0</v>
      </c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680">
        <v>76623</v>
      </c>
      <c r="BF139" s="680"/>
      <c r="BG139" s="680">
        <v>98100</v>
      </c>
      <c r="BH139" s="77"/>
      <c r="BI139" s="77"/>
      <c r="BJ139" s="77"/>
      <c r="BK139" s="77"/>
      <c r="BL139" s="77"/>
      <c r="BM139" s="44"/>
      <c r="BN139" s="77"/>
      <c r="BO139" s="77"/>
      <c r="BP139" s="77"/>
      <c r="BQ139" s="678">
        <v>47790</v>
      </c>
      <c r="BR139" s="44">
        <v>5310</v>
      </c>
      <c r="BS139" s="77"/>
      <c r="BT139" s="77"/>
      <c r="BU139" s="77"/>
      <c r="BV139" s="77"/>
      <c r="BW139" s="77"/>
      <c r="BX139" s="77"/>
      <c r="BY139" s="77"/>
      <c r="BZ139" s="77"/>
      <c r="CA139" s="681"/>
      <c r="CB139" s="45">
        <f t="shared" si="199"/>
        <v>750763</v>
      </c>
      <c r="CC139" s="46">
        <f t="shared" si="200"/>
        <v>355265</v>
      </c>
      <c r="CD139" s="47">
        <f t="shared" si="201"/>
        <v>475400</v>
      </c>
      <c r="CE139" s="62"/>
      <c r="CF139" s="237" t="s">
        <v>1601</v>
      </c>
      <c r="CG139" s="106">
        <f t="shared" si="202"/>
        <v>0</v>
      </c>
      <c r="CI139" s="51"/>
      <c r="CK139" s="251" t="str">
        <f t="shared" si="203"/>
        <v>M061200042778G</v>
      </c>
      <c r="CL139" s="323">
        <f t="shared" si="204"/>
        <v>0</v>
      </c>
      <c r="CM139" s="40"/>
    </row>
    <row r="140" spans="1:95">
      <c r="A140" s="674" t="s">
        <v>2310</v>
      </c>
      <c r="B140" s="675" t="s">
        <v>2595</v>
      </c>
      <c r="C140" s="77" t="s">
        <v>408</v>
      </c>
      <c r="D140" s="676"/>
      <c r="E140" s="77"/>
      <c r="F140" s="677">
        <v>0</v>
      </c>
      <c r="G140" s="77"/>
      <c r="H140" s="77"/>
      <c r="I140" s="77"/>
      <c r="J140" s="77">
        <v>546416</v>
      </c>
      <c r="K140" s="77"/>
      <c r="L140" s="44">
        <v>5464.16</v>
      </c>
      <c r="M140" s="44">
        <v>33877.792000000001</v>
      </c>
      <c r="N140" s="44">
        <v>15299.648000000001</v>
      </c>
      <c r="O140" s="45">
        <v>198577</v>
      </c>
      <c r="P140" s="77"/>
      <c r="Q140" s="77"/>
      <c r="R140" s="44">
        <v>1985.77</v>
      </c>
      <c r="S140" s="44">
        <v>12311.773999999999</v>
      </c>
      <c r="T140" s="44">
        <v>5560.1559999999999</v>
      </c>
      <c r="U140" s="77"/>
      <c r="V140" s="77"/>
      <c r="W140" s="678">
        <v>6618</v>
      </c>
      <c r="X140" s="77"/>
      <c r="Y140" s="77"/>
      <c r="Z140" s="77"/>
      <c r="AA140" s="77"/>
      <c r="AB140" s="44">
        <v>66.180000000000007</v>
      </c>
      <c r="AC140" s="44">
        <v>410.31599999999997</v>
      </c>
      <c r="AD140" s="44">
        <v>185.304</v>
      </c>
      <c r="AE140" s="77"/>
      <c r="AF140" s="77"/>
      <c r="AG140" s="678"/>
      <c r="AH140" s="77"/>
      <c r="AI140" s="77"/>
      <c r="AJ140" s="77"/>
      <c r="AK140" s="77"/>
      <c r="AL140" s="679">
        <v>0</v>
      </c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680">
        <v>6890</v>
      </c>
      <c r="BF140" s="680">
        <v>3445</v>
      </c>
      <c r="BG140" s="680">
        <v>4200</v>
      </c>
      <c r="BH140" s="77"/>
      <c r="BI140" s="77"/>
      <c r="BJ140" s="77"/>
      <c r="BK140" s="77"/>
      <c r="BL140" s="77"/>
      <c r="BM140" s="44"/>
      <c r="BN140" s="77"/>
      <c r="BO140" s="77"/>
      <c r="BP140" s="77"/>
      <c r="BQ140" s="77">
        <v>1575</v>
      </c>
      <c r="BR140" s="679">
        <v>175</v>
      </c>
      <c r="BS140" s="77"/>
      <c r="BT140" s="77"/>
      <c r="BU140" s="77"/>
      <c r="BV140" s="77"/>
      <c r="BW140" s="77"/>
      <c r="BX140" s="77"/>
      <c r="BY140" s="77"/>
      <c r="BZ140" s="77"/>
      <c r="CA140" s="681"/>
      <c r="CB140" s="45">
        <f t="shared" si="199"/>
        <v>843057.10000000009</v>
      </c>
      <c r="CC140" s="46">
        <f t="shared" si="200"/>
        <v>6618</v>
      </c>
      <c r="CD140" s="47">
        <f t="shared" si="201"/>
        <v>751611</v>
      </c>
      <c r="CE140" s="62"/>
      <c r="CF140" s="237" t="str">
        <f>VLOOKUP(A140,labo!B:C,2,FALSE)</f>
        <v>AUTRES SERVICES</v>
      </c>
      <c r="CG140" s="106">
        <f t="shared" si="202"/>
        <v>0</v>
      </c>
      <c r="CI140" s="51"/>
      <c r="CK140" s="251" t="str">
        <f t="shared" si="203"/>
        <v>M074400024738B</v>
      </c>
      <c r="CL140" s="323">
        <f t="shared" si="204"/>
        <v>0</v>
      </c>
      <c r="CM140" s="40"/>
      <c r="CN140" s="51"/>
      <c r="CO140" s="51"/>
      <c r="CP140" s="51"/>
      <c r="CQ140" s="51"/>
    </row>
    <row r="141" spans="1:95">
      <c r="A141" s="674" t="s">
        <v>857</v>
      </c>
      <c r="B141" s="675" t="s">
        <v>859</v>
      </c>
      <c r="C141" s="77" t="s">
        <v>408</v>
      </c>
      <c r="D141" s="676"/>
      <c r="E141" s="77"/>
      <c r="F141" s="677">
        <v>0</v>
      </c>
      <c r="G141" s="77"/>
      <c r="H141" s="77"/>
      <c r="I141" s="77"/>
      <c r="J141" s="77"/>
      <c r="K141" s="77"/>
      <c r="L141" s="44">
        <v>0</v>
      </c>
      <c r="M141" s="44">
        <v>0</v>
      </c>
      <c r="N141" s="44">
        <v>0</v>
      </c>
      <c r="O141" s="45">
        <v>557285</v>
      </c>
      <c r="P141" s="77"/>
      <c r="Q141" s="77"/>
      <c r="R141" s="44">
        <v>5572.85</v>
      </c>
      <c r="S141" s="44">
        <v>34551.67</v>
      </c>
      <c r="T141" s="44">
        <v>15603.98</v>
      </c>
      <c r="U141" s="77"/>
      <c r="V141" s="77"/>
      <c r="W141" s="678">
        <v>82498</v>
      </c>
      <c r="X141" s="77"/>
      <c r="Y141" s="77"/>
      <c r="Z141" s="77"/>
      <c r="AA141" s="77"/>
      <c r="AB141" s="44">
        <v>824.98</v>
      </c>
      <c r="AC141" s="44">
        <v>5114.8760000000002</v>
      </c>
      <c r="AD141" s="44">
        <v>2309.944</v>
      </c>
      <c r="AE141" s="77"/>
      <c r="AF141" s="77"/>
      <c r="AG141" s="678"/>
      <c r="AH141" s="77"/>
      <c r="AI141" s="77"/>
      <c r="AJ141" s="77"/>
      <c r="AK141" s="77"/>
      <c r="AL141" s="679">
        <v>0</v>
      </c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680">
        <v>47803</v>
      </c>
      <c r="BF141" s="680">
        <v>19600</v>
      </c>
      <c r="BG141" s="680">
        <v>26600</v>
      </c>
      <c r="BH141" s="77"/>
      <c r="BI141" s="77"/>
      <c r="BJ141" s="77"/>
      <c r="BK141" s="77"/>
      <c r="BL141" s="77"/>
      <c r="BM141" s="44"/>
      <c r="BN141" s="77"/>
      <c r="BO141" s="77"/>
      <c r="BP141" s="77"/>
      <c r="BQ141" s="678">
        <v>11700</v>
      </c>
      <c r="BR141" s="679">
        <v>1300</v>
      </c>
      <c r="BS141" s="77"/>
      <c r="BT141" s="77"/>
      <c r="BU141" s="77"/>
      <c r="BV141" s="77"/>
      <c r="BW141" s="77"/>
      <c r="BX141" s="77"/>
      <c r="BY141" s="77"/>
      <c r="BZ141" s="77"/>
      <c r="CA141" s="681"/>
      <c r="CB141" s="45">
        <f t="shared" si="199"/>
        <v>810764.3</v>
      </c>
      <c r="CC141" s="46">
        <f t="shared" si="200"/>
        <v>82498</v>
      </c>
      <c r="CD141" s="47">
        <f t="shared" si="201"/>
        <v>639783</v>
      </c>
      <c r="CE141" s="62"/>
      <c r="CF141" s="237" t="str">
        <f>VLOOKUP(A141,labo!B:C,2,FALSE)</f>
        <v>AUTRES SERVICES</v>
      </c>
      <c r="CG141" s="106">
        <f t="shared" si="202"/>
        <v>0</v>
      </c>
      <c r="CI141" s="51"/>
      <c r="CK141" s="251" t="str">
        <f t="shared" si="203"/>
        <v>P095600185533E</v>
      </c>
      <c r="CL141" s="323">
        <f t="shared" si="204"/>
        <v>0</v>
      </c>
      <c r="CM141" s="40"/>
    </row>
    <row r="142" spans="1:95">
      <c r="A142" s="674" t="s">
        <v>479</v>
      </c>
      <c r="B142" s="674" t="s">
        <v>481</v>
      </c>
      <c r="C142" s="545" t="s">
        <v>408</v>
      </c>
      <c r="D142" s="676"/>
      <c r="E142" s="77"/>
      <c r="F142" s="677">
        <f t="shared" ref="F142" si="208">+E142*0.25</f>
        <v>0</v>
      </c>
      <c r="G142" s="43"/>
      <c r="H142" s="43"/>
      <c r="I142" s="43"/>
      <c r="J142" s="77"/>
      <c r="K142" s="44"/>
      <c r="L142" s="45">
        <f t="shared" ref="L142" si="209">(J142+K142)*0.01</f>
        <v>0</v>
      </c>
      <c r="M142" s="45">
        <f t="shared" ref="M142" si="210">(J142+K142)*0.062</f>
        <v>0</v>
      </c>
      <c r="N142" s="45">
        <f t="shared" ref="N142" si="211">(J142+K142)*0.028</f>
        <v>0</v>
      </c>
      <c r="O142" s="45"/>
      <c r="P142" s="45"/>
      <c r="Q142" s="45"/>
      <c r="R142" s="45">
        <v>0</v>
      </c>
      <c r="S142" s="45">
        <v>0</v>
      </c>
      <c r="T142" s="45">
        <v>0</v>
      </c>
      <c r="U142" s="45"/>
      <c r="V142" s="45"/>
      <c r="W142" s="678">
        <v>365552</v>
      </c>
      <c r="X142" s="45"/>
      <c r="Y142" s="45"/>
      <c r="Z142" s="45"/>
      <c r="AA142" s="45"/>
      <c r="AB142" s="45">
        <f t="shared" ref="AB142" si="212">(U142+V142+W142+X142+Y142+Z142)*0.01</f>
        <v>3655.52</v>
      </c>
      <c r="AC142" s="45">
        <f t="shared" ref="AC142" si="213">(U142+V142+W142+X142+Y142+Z142)*0.062</f>
        <v>22664.223999999998</v>
      </c>
      <c r="AD142" s="45">
        <f t="shared" ref="AD142" si="214">(U142+V142+W142+X142+Y142+Z142)*0.028</f>
        <v>10235.456</v>
      </c>
      <c r="AE142" s="44"/>
      <c r="AF142" s="44"/>
      <c r="AG142" s="678">
        <v>37800</v>
      </c>
      <c r="AH142" s="44"/>
      <c r="AI142" s="44"/>
      <c r="AJ142" s="44"/>
      <c r="AK142" s="44"/>
      <c r="AL142" s="44">
        <v>0</v>
      </c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680">
        <v>162275</v>
      </c>
      <c r="BF142" s="680">
        <v>64910</v>
      </c>
      <c r="BG142" s="680">
        <v>80900</v>
      </c>
      <c r="BH142" s="44"/>
      <c r="BI142" s="44"/>
      <c r="BJ142" s="44"/>
      <c r="BK142" s="44"/>
      <c r="BL142" s="44"/>
      <c r="BM142" s="44"/>
      <c r="BN142" s="44"/>
      <c r="BO142" s="44"/>
      <c r="BP142" s="44"/>
      <c r="BQ142" s="678">
        <v>36000</v>
      </c>
      <c r="BR142" s="44">
        <f t="shared" ref="BR142" si="215">BQ142/9</f>
        <v>4000</v>
      </c>
      <c r="BS142" s="44"/>
      <c r="BT142" s="44"/>
      <c r="BU142" s="44"/>
      <c r="BV142" s="44"/>
      <c r="BW142" s="44"/>
      <c r="BX142" s="44"/>
      <c r="BY142" s="44"/>
      <c r="BZ142" s="44"/>
      <c r="CA142" s="699"/>
      <c r="CB142" s="45">
        <f t="shared" si="199"/>
        <v>787992.2</v>
      </c>
      <c r="CC142" s="46">
        <f t="shared" si="200"/>
        <v>403352</v>
      </c>
      <c r="CD142" s="47">
        <f t="shared" si="201"/>
        <v>403352</v>
      </c>
      <c r="CE142" s="62"/>
      <c r="CF142" s="237" t="str">
        <f>VLOOKUP(A142,labo!B:C,2,FALSE)</f>
        <v>AUTRES SERVICES</v>
      </c>
      <c r="CG142" s="106">
        <f t="shared" si="202"/>
        <v>0</v>
      </c>
      <c r="CI142" s="51"/>
      <c r="CK142" s="251" t="str">
        <f t="shared" si="203"/>
        <v>M038911243523K</v>
      </c>
      <c r="CL142" s="323">
        <f t="shared" si="204"/>
        <v>0</v>
      </c>
      <c r="CM142" s="40"/>
    </row>
    <row r="143" spans="1:95">
      <c r="A143" s="485" t="s">
        <v>367</v>
      </c>
      <c r="B143" s="485" t="s">
        <v>451</v>
      </c>
      <c r="C143" s="485" t="s">
        <v>1436</v>
      </c>
      <c r="D143" s="77"/>
      <c r="E143" s="77"/>
      <c r="F143" s="43"/>
      <c r="G143" s="43">
        <v>0</v>
      </c>
      <c r="H143" s="43"/>
      <c r="I143" s="43"/>
      <c r="J143" s="44">
        <v>140915</v>
      </c>
      <c r="K143" s="44"/>
      <c r="L143" s="45">
        <v>1409.15</v>
      </c>
      <c r="M143" s="45">
        <v>8736.73</v>
      </c>
      <c r="N143" s="45">
        <v>3945.62</v>
      </c>
      <c r="O143" s="45">
        <v>56896</v>
      </c>
      <c r="P143" s="45"/>
      <c r="Q143" s="45"/>
      <c r="R143" s="45">
        <v>568.96</v>
      </c>
      <c r="S143" s="45">
        <v>3527.5520000000001</v>
      </c>
      <c r="T143" s="45">
        <v>1593.088</v>
      </c>
      <c r="U143" s="45"/>
      <c r="V143" s="45"/>
      <c r="W143" s="45">
        <v>3125</v>
      </c>
      <c r="X143" s="45"/>
      <c r="Y143" s="45"/>
      <c r="Z143" s="45"/>
      <c r="AA143" s="45"/>
      <c r="AB143" s="45">
        <v>31.25</v>
      </c>
      <c r="AC143" s="45">
        <v>193.75</v>
      </c>
      <c r="AD143" s="45">
        <v>87.5</v>
      </c>
      <c r="AE143" s="44"/>
      <c r="AF143" s="44"/>
      <c r="AG143" s="44"/>
      <c r="AH143" s="44"/>
      <c r="AI143" s="44"/>
      <c r="AJ143" s="44"/>
      <c r="AK143" s="44"/>
      <c r="AL143" s="44">
        <v>0</v>
      </c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>
        <v>14035</v>
      </c>
      <c r="BF143" s="44">
        <v>7530</v>
      </c>
      <c r="BG143" s="44">
        <v>2250</v>
      </c>
      <c r="BH143" s="44"/>
      <c r="BI143" s="44"/>
      <c r="BJ143" s="44"/>
      <c r="BK143" s="44"/>
      <c r="BL143" s="44"/>
      <c r="BM143" s="44"/>
      <c r="BN143" s="44"/>
      <c r="BO143" s="44"/>
      <c r="BP143" s="44"/>
      <c r="BQ143" s="44">
        <v>2000</v>
      </c>
      <c r="BR143" s="44">
        <v>750</v>
      </c>
      <c r="BS143" s="44"/>
      <c r="BT143" s="44"/>
      <c r="BU143" s="44"/>
      <c r="BV143" s="44"/>
      <c r="BW143" s="44"/>
      <c r="BX143" s="44"/>
      <c r="BY143" s="44"/>
      <c r="BZ143" s="44"/>
      <c r="CA143" s="44"/>
      <c r="CB143" s="45">
        <f t="shared" si="199"/>
        <v>247594.59999999998</v>
      </c>
      <c r="CC143" s="46">
        <f t="shared" si="200"/>
        <v>3125</v>
      </c>
      <c r="CD143" s="47">
        <f t="shared" si="201"/>
        <v>200936</v>
      </c>
      <c r="CE143" s="62"/>
      <c r="CF143" s="237" t="str">
        <f>VLOOKUP(A143,labo!B:C,2,FALSE)</f>
        <v>STATION DE SERVICES</v>
      </c>
      <c r="CG143" s="106">
        <f t="shared" si="202"/>
        <v>0</v>
      </c>
      <c r="CI143" s="51"/>
      <c r="CK143" s="251" t="str">
        <f t="shared" si="203"/>
        <v>P018212639235B</v>
      </c>
      <c r="CL143" s="323">
        <f t="shared" si="204"/>
        <v>0</v>
      </c>
      <c r="CM143" s="40"/>
    </row>
    <row r="144" spans="1:95">
      <c r="A144" s="485" t="s">
        <v>2302</v>
      </c>
      <c r="B144" s="485" t="s">
        <v>1542</v>
      </c>
      <c r="C144" s="485" t="s">
        <v>1436</v>
      </c>
      <c r="D144" s="77"/>
      <c r="E144" s="77"/>
      <c r="F144" s="43"/>
      <c r="G144" s="43">
        <v>0</v>
      </c>
      <c r="H144" s="43"/>
      <c r="I144" s="43"/>
      <c r="J144" s="44">
        <v>191451</v>
      </c>
      <c r="K144" s="44"/>
      <c r="L144" s="45">
        <v>1914.51</v>
      </c>
      <c r="M144" s="45">
        <v>11869.962</v>
      </c>
      <c r="N144" s="45">
        <v>5360.6279999999997</v>
      </c>
      <c r="O144" s="45"/>
      <c r="P144" s="45"/>
      <c r="Q144" s="45"/>
      <c r="R144" s="45">
        <v>0</v>
      </c>
      <c r="S144" s="45">
        <v>0</v>
      </c>
      <c r="T144" s="45">
        <v>0</v>
      </c>
      <c r="U144" s="45"/>
      <c r="V144" s="45"/>
      <c r="W144" s="45">
        <v>1056</v>
      </c>
      <c r="X144" s="45"/>
      <c r="Y144" s="45"/>
      <c r="Z144" s="45"/>
      <c r="AA144" s="45"/>
      <c r="AB144" s="45">
        <v>10.56</v>
      </c>
      <c r="AC144" s="45">
        <v>65.471999999999994</v>
      </c>
      <c r="AD144" s="45">
        <v>29.568000000000001</v>
      </c>
      <c r="AE144" s="44"/>
      <c r="AF144" s="44"/>
      <c r="AG144" s="44"/>
      <c r="AH144" s="44"/>
      <c r="AI144" s="44"/>
      <c r="AJ144" s="44"/>
      <c r="AK144" s="44"/>
      <c r="AL144" s="44">
        <v>0</v>
      </c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>
        <v>7955</v>
      </c>
      <c r="BF144" s="44">
        <v>4712</v>
      </c>
      <c r="BG144" s="44">
        <v>750</v>
      </c>
      <c r="BH144" s="44"/>
      <c r="BI144" s="44"/>
      <c r="BJ144" s="44"/>
      <c r="BK144" s="44"/>
      <c r="BL144" s="44"/>
      <c r="BM144" s="44"/>
      <c r="BN144" s="44"/>
      <c r="BO144" s="44"/>
      <c r="BP144" s="44"/>
      <c r="BQ144" s="44">
        <v>1500</v>
      </c>
      <c r="BR144" s="44">
        <v>250</v>
      </c>
      <c r="BS144" s="44"/>
      <c r="BT144" s="44"/>
      <c r="BU144" s="44"/>
      <c r="BV144" s="44"/>
      <c r="BW144" s="44"/>
      <c r="BX144" s="44"/>
      <c r="BY144" s="44"/>
      <c r="BZ144" s="44"/>
      <c r="CA144" s="44"/>
      <c r="CB144" s="45">
        <f t="shared" si="199"/>
        <v>226924.7</v>
      </c>
      <c r="CC144" s="46">
        <f t="shared" si="200"/>
        <v>1056</v>
      </c>
      <c r="CD144" s="47">
        <f t="shared" si="201"/>
        <v>192507</v>
      </c>
      <c r="CE144" s="62"/>
      <c r="CF144" s="237" t="str">
        <f>VLOOKUP(A144,labo!B:C,2,FALSE)</f>
        <v>STATION DE SERVICES</v>
      </c>
      <c r="CG144" s="106">
        <f t="shared" si="202"/>
        <v>0</v>
      </c>
      <c r="CI144" s="51"/>
      <c r="CK144" s="251" t="str">
        <f t="shared" si="203"/>
        <v>P118012334465W</v>
      </c>
      <c r="CL144" s="323">
        <f t="shared" si="204"/>
        <v>0</v>
      </c>
      <c r="CM144" s="40"/>
    </row>
    <row r="145" spans="1:91">
      <c r="A145" s="485" t="s">
        <v>368</v>
      </c>
      <c r="B145" s="485" t="s">
        <v>556</v>
      </c>
      <c r="C145" s="485" t="s">
        <v>1436</v>
      </c>
      <c r="D145" s="77"/>
      <c r="E145" s="77"/>
      <c r="F145" s="43"/>
      <c r="G145" s="43">
        <v>0</v>
      </c>
      <c r="H145" s="43"/>
      <c r="I145" s="43"/>
      <c r="J145" s="44"/>
      <c r="K145" s="44"/>
      <c r="L145" s="45">
        <v>0</v>
      </c>
      <c r="M145" s="45">
        <v>0</v>
      </c>
      <c r="N145" s="45">
        <v>0</v>
      </c>
      <c r="O145" s="45">
        <v>51107</v>
      </c>
      <c r="P145" s="45"/>
      <c r="Q145" s="45"/>
      <c r="R145" s="45">
        <v>511.07</v>
      </c>
      <c r="S145" s="45">
        <v>3168.634</v>
      </c>
      <c r="T145" s="45">
        <v>1430.9960000000001</v>
      </c>
      <c r="U145" s="45"/>
      <c r="V145" s="45"/>
      <c r="W145" s="45">
        <v>2897</v>
      </c>
      <c r="X145" s="45"/>
      <c r="Y145" s="45"/>
      <c r="Z145" s="45"/>
      <c r="AA145" s="45"/>
      <c r="AB145" s="45">
        <v>28.97</v>
      </c>
      <c r="AC145" s="45">
        <v>179.614</v>
      </c>
      <c r="AD145" s="45">
        <v>81.116</v>
      </c>
      <c r="AE145" s="44"/>
      <c r="AF145" s="44"/>
      <c r="AG145" s="44"/>
      <c r="AH145" s="44"/>
      <c r="AI145" s="44"/>
      <c r="AJ145" s="44"/>
      <c r="AK145" s="44"/>
      <c r="AL145" s="44">
        <v>0</v>
      </c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>
        <v>9528</v>
      </c>
      <c r="BF145" s="44">
        <v>3985</v>
      </c>
      <c r="BG145" s="44">
        <v>3750</v>
      </c>
      <c r="BH145" s="44"/>
      <c r="BI145" s="44"/>
      <c r="BJ145" s="44"/>
      <c r="BK145" s="44"/>
      <c r="BL145" s="44"/>
      <c r="BM145" s="44"/>
      <c r="BN145" s="44"/>
      <c r="BO145" s="44"/>
      <c r="BP145" s="44"/>
      <c r="BQ145" s="44">
        <v>1400</v>
      </c>
      <c r="BR145" s="44">
        <v>100</v>
      </c>
      <c r="BS145" s="44"/>
      <c r="BT145" s="44"/>
      <c r="BU145" s="44"/>
      <c r="BV145" s="44"/>
      <c r="BW145" s="44"/>
      <c r="BX145" s="44"/>
      <c r="BY145" s="44"/>
      <c r="BZ145" s="44"/>
      <c r="CA145" s="44"/>
      <c r="CB145" s="45">
        <f t="shared" si="199"/>
        <v>78167.399999999994</v>
      </c>
      <c r="CC145" s="46">
        <f t="shared" si="200"/>
        <v>2897</v>
      </c>
      <c r="CD145" s="47">
        <f t="shared" si="201"/>
        <v>54004</v>
      </c>
      <c r="CE145" s="62"/>
      <c r="CF145" s="237" t="str">
        <f>VLOOKUP(A145,labo!B:C,2,FALSE)</f>
        <v>STATION DE SERVICES</v>
      </c>
      <c r="CG145" s="106">
        <f t="shared" si="202"/>
        <v>0</v>
      </c>
      <c r="CI145" s="51"/>
      <c r="CK145" s="251" t="str">
        <f t="shared" ref="CK145:CK146" si="216">+B145</f>
        <v>P126500216763C</v>
      </c>
      <c r="CL145" s="323">
        <f t="shared" ref="CL145:CL146" si="217">CE145</f>
        <v>0</v>
      </c>
      <c r="CM145" s="40"/>
    </row>
    <row r="146" spans="1:91">
      <c r="A146" s="485" t="s">
        <v>370</v>
      </c>
      <c r="B146" s="485" t="s">
        <v>570</v>
      </c>
      <c r="C146" s="485" t="s">
        <v>1436</v>
      </c>
      <c r="D146" s="77"/>
      <c r="E146" s="77"/>
      <c r="F146" s="43"/>
      <c r="G146" s="43">
        <v>0</v>
      </c>
      <c r="H146" s="43"/>
      <c r="I146" s="43"/>
      <c r="J146" s="44">
        <v>173702</v>
      </c>
      <c r="K146" s="44"/>
      <c r="L146" s="45">
        <v>1737.02</v>
      </c>
      <c r="M146" s="45">
        <v>10769.523999999999</v>
      </c>
      <c r="N146" s="45">
        <v>4863.6559999999999</v>
      </c>
      <c r="O146" s="45">
        <v>152464</v>
      </c>
      <c r="P146" s="45"/>
      <c r="Q146" s="45"/>
      <c r="R146" s="45">
        <v>1524.64</v>
      </c>
      <c r="S146" s="45">
        <v>9452.768</v>
      </c>
      <c r="T146" s="45">
        <v>4268.9920000000002</v>
      </c>
      <c r="U146" s="45"/>
      <c r="V146" s="45"/>
      <c r="W146" s="45">
        <v>18419</v>
      </c>
      <c r="X146" s="45"/>
      <c r="Y146" s="45"/>
      <c r="Z146" s="45"/>
      <c r="AA146" s="45"/>
      <c r="AB146" s="45">
        <v>184.19</v>
      </c>
      <c r="AC146" s="45">
        <v>1141.9780000000001</v>
      </c>
      <c r="AD146" s="45">
        <v>515.73199999999997</v>
      </c>
      <c r="AE146" s="44">
        <v>2750</v>
      </c>
      <c r="AF146" s="44"/>
      <c r="AG146" s="44"/>
      <c r="AH146" s="44"/>
      <c r="AI146" s="44"/>
      <c r="AJ146" s="44"/>
      <c r="AK146" s="44"/>
      <c r="AL146" s="44">
        <v>0</v>
      </c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>
        <v>23475</v>
      </c>
      <c r="BF146" s="44">
        <v>9390</v>
      </c>
      <c r="BG146" s="44">
        <v>8250</v>
      </c>
      <c r="BH146" s="44"/>
      <c r="BI146" s="44"/>
      <c r="BJ146" s="44"/>
      <c r="BK146" s="44"/>
      <c r="BL146" s="44"/>
      <c r="BM146" s="44"/>
      <c r="BN146" s="44"/>
      <c r="BO146" s="44"/>
      <c r="BP146" s="44"/>
      <c r="BQ146" s="44">
        <v>3200</v>
      </c>
      <c r="BR146" s="44">
        <v>300</v>
      </c>
      <c r="BS146" s="44"/>
      <c r="BT146" s="44"/>
      <c r="BU146" s="44"/>
      <c r="BV146" s="44"/>
      <c r="BW146" s="44"/>
      <c r="BX146" s="44"/>
      <c r="BY146" s="44"/>
      <c r="BZ146" s="44"/>
      <c r="CA146" s="44"/>
      <c r="CB146" s="45">
        <f t="shared" si="199"/>
        <v>426408.5</v>
      </c>
      <c r="CC146" s="46">
        <f t="shared" si="200"/>
        <v>21169</v>
      </c>
      <c r="CD146" s="47">
        <f t="shared" si="201"/>
        <v>347335</v>
      </c>
      <c r="CE146" s="62"/>
      <c r="CF146" s="237" t="str">
        <f>VLOOKUP(A146,labo!B:C,2,FALSE)</f>
        <v>STATION DE SERVICES</v>
      </c>
      <c r="CG146" s="106">
        <f t="shared" si="202"/>
        <v>0</v>
      </c>
      <c r="CI146" s="51"/>
      <c r="CK146" s="251" t="str">
        <f t="shared" si="216"/>
        <v>P047812313503Q</v>
      </c>
      <c r="CL146" s="323">
        <f t="shared" si="217"/>
        <v>0</v>
      </c>
      <c r="CM146" s="40"/>
    </row>
    <row r="147" spans="1:91">
      <c r="A147" s="485" t="s">
        <v>3094</v>
      </c>
      <c r="B147" s="485" t="s">
        <v>3095</v>
      </c>
      <c r="C147" s="485" t="s">
        <v>1436</v>
      </c>
      <c r="D147" s="77"/>
      <c r="E147" s="77"/>
      <c r="F147" s="43"/>
      <c r="G147" s="43">
        <v>0</v>
      </c>
      <c r="H147" s="43"/>
      <c r="I147" s="43"/>
      <c r="J147" s="44"/>
      <c r="K147" s="44"/>
      <c r="L147" s="45">
        <v>0</v>
      </c>
      <c r="M147" s="45">
        <v>0</v>
      </c>
      <c r="N147" s="45">
        <v>0</v>
      </c>
      <c r="O147" s="45">
        <v>55953</v>
      </c>
      <c r="P147" s="45"/>
      <c r="Q147" s="45"/>
      <c r="R147" s="45">
        <v>559.53</v>
      </c>
      <c r="S147" s="45">
        <v>3469.0859999999998</v>
      </c>
      <c r="T147" s="45">
        <v>1566.684</v>
      </c>
      <c r="U147" s="45"/>
      <c r="V147" s="45"/>
      <c r="W147" s="45"/>
      <c r="X147" s="45"/>
      <c r="Y147" s="45"/>
      <c r="Z147" s="45"/>
      <c r="AA147" s="45"/>
      <c r="AB147" s="45">
        <v>0</v>
      </c>
      <c r="AC147" s="45">
        <v>0</v>
      </c>
      <c r="AD147" s="45">
        <v>0</v>
      </c>
      <c r="AE147" s="44"/>
      <c r="AF147" s="44"/>
      <c r="AG147" s="44"/>
      <c r="AH147" s="44"/>
      <c r="AI147" s="44"/>
      <c r="AJ147" s="44"/>
      <c r="AK147" s="44"/>
      <c r="AL147" s="44">
        <v>0</v>
      </c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>
        <v>3701</v>
      </c>
      <c r="BF147" s="44"/>
      <c r="BG147" s="44">
        <v>2468</v>
      </c>
      <c r="BH147" s="44"/>
      <c r="BI147" s="44"/>
      <c r="BJ147" s="44"/>
      <c r="BK147" s="44"/>
      <c r="BL147" s="44"/>
      <c r="BM147" s="44"/>
      <c r="BN147" s="44"/>
      <c r="BO147" s="44"/>
      <c r="BP147" s="44"/>
      <c r="BQ147" s="44">
        <v>800</v>
      </c>
      <c r="BR147" s="44">
        <v>200</v>
      </c>
      <c r="BS147" s="44"/>
      <c r="BT147" s="44"/>
      <c r="BU147" s="44"/>
      <c r="BV147" s="44"/>
      <c r="BW147" s="44"/>
      <c r="BX147" s="44"/>
      <c r="BY147" s="44"/>
      <c r="BZ147" s="44"/>
      <c r="CA147" s="44"/>
      <c r="CB147" s="45">
        <f t="shared" si="199"/>
        <v>68717.3</v>
      </c>
      <c r="CC147" s="46">
        <f t="shared" si="200"/>
        <v>0</v>
      </c>
      <c r="CD147" s="47">
        <f t="shared" si="201"/>
        <v>55953</v>
      </c>
      <c r="CE147" s="62"/>
      <c r="CF147" s="237" t="s">
        <v>2123</v>
      </c>
      <c r="CG147" s="106">
        <f t="shared" si="202"/>
        <v>0</v>
      </c>
      <c r="CI147" s="51"/>
      <c r="CK147" s="251" t="str">
        <f t="shared" si="203"/>
        <v>P058715095103J</v>
      </c>
      <c r="CL147" s="323">
        <f t="shared" si="204"/>
        <v>0</v>
      </c>
      <c r="CM147" s="40"/>
    </row>
    <row r="148" spans="1:91">
      <c r="A148" s="485" t="s">
        <v>269</v>
      </c>
      <c r="B148" s="485" t="s">
        <v>744</v>
      </c>
      <c r="C148" s="485" t="s">
        <v>1436</v>
      </c>
      <c r="D148" s="77"/>
      <c r="E148" s="77"/>
      <c r="F148" s="43"/>
      <c r="G148" s="43">
        <v>0</v>
      </c>
      <c r="H148" s="43"/>
      <c r="I148" s="43"/>
      <c r="J148" s="44">
        <v>218719</v>
      </c>
      <c r="K148" s="44"/>
      <c r="L148" s="45">
        <v>2187.19</v>
      </c>
      <c r="M148" s="45">
        <v>13560.578</v>
      </c>
      <c r="N148" s="45">
        <v>6124.1320000000005</v>
      </c>
      <c r="O148" s="45">
        <v>174428</v>
      </c>
      <c r="P148" s="45"/>
      <c r="Q148" s="45"/>
      <c r="R148" s="45">
        <v>1744.28</v>
      </c>
      <c r="S148" s="45">
        <v>10814.536</v>
      </c>
      <c r="T148" s="45">
        <v>4883.9840000000004</v>
      </c>
      <c r="U148" s="45"/>
      <c r="V148" s="45"/>
      <c r="W148" s="45">
        <v>10000</v>
      </c>
      <c r="X148" s="45"/>
      <c r="Y148" s="45"/>
      <c r="Z148" s="45"/>
      <c r="AA148" s="45"/>
      <c r="AB148" s="45">
        <v>100</v>
      </c>
      <c r="AC148" s="45">
        <v>620</v>
      </c>
      <c r="AD148" s="45">
        <v>280</v>
      </c>
      <c r="AE148" s="44"/>
      <c r="AF148" s="44"/>
      <c r="AG148" s="44"/>
      <c r="AH148" s="44"/>
      <c r="AI148" s="44"/>
      <c r="AJ148" s="44"/>
      <c r="AK148" s="44"/>
      <c r="AL148" s="44">
        <v>0</v>
      </c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>
        <v>26094</v>
      </c>
      <c r="BF148" s="44">
        <v>11621</v>
      </c>
      <c r="BG148" s="44">
        <v>6250</v>
      </c>
      <c r="BH148" s="44"/>
      <c r="BI148" s="44"/>
      <c r="BJ148" s="44"/>
      <c r="BK148" s="44"/>
      <c r="BL148" s="44"/>
      <c r="BM148" s="44"/>
      <c r="BN148" s="44"/>
      <c r="BO148" s="44"/>
      <c r="BP148" s="44"/>
      <c r="BQ148" s="44">
        <v>2500</v>
      </c>
      <c r="BR148" s="44">
        <v>500</v>
      </c>
      <c r="BS148" s="44"/>
      <c r="BT148" s="44"/>
      <c r="BU148" s="44"/>
      <c r="BV148" s="44"/>
      <c r="BW148" s="44"/>
      <c r="BX148" s="44"/>
      <c r="BY148" s="44"/>
      <c r="BZ148" s="44"/>
      <c r="CA148" s="44"/>
      <c r="CB148" s="45">
        <f t="shared" si="199"/>
        <v>490426.70000000007</v>
      </c>
      <c r="CC148" s="46">
        <f t="shared" si="200"/>
        <v>10000</v>
      </c>
      <c r="CD148" s="47">
        <f t="shared" si="201"/>
        <v>403147</v>
      </c>
      <c r="CE148" s="62"/>
      <c r="CF148" s="237" t="str">
        <f>VLOOKUP(A148,labo!B:C,2,FALSE)</f>
        <v>STATION DE SERVICES</v>
      </c>
      <c r="CG148" s="106">
        <f t="shared" si="202"/>
        <v>0</v>
      </c>
      <c r="CI148" s="51"/>
      <c r="CK148" s="251" t="str">
        <f t="shared" si="203"/>
        <v>P087000446822N</v>
      </c>
      <c r="CL148" s="323">
        <f t="shared" si="204"/>
        <v>0</v>
      </c>
      <c r="CM148" s="40"/>
    </row>
    <row r="149" spans="1:91">
      <c r="A149" s="485" t="s">
        <v>375</v>
      </c>
      <c r="B149" s="485" t="s">
        <v>753</v>
      </c>
      <c r="C149" s="485" t="s">
        <v>1436</v>
      </c>
      <c r="D149" s="77"/>
      <c r="E149" s="77"/>
      <c r="F149" s="43"/>
      <c r="G149" s="43">
        <v>0</v>
      </c>
      <c r="H149" s="43"/>
      <c r="I149" s="43"/>
      <c r="J149" s="44">
        <v>80658</v>
      </c>
      <c r="K149" s="44"/>
      <c r="L149" s="45">
        <v>806.58</v>
      </c>
      <c r="M149" s="45">
        <v>5000.7960000000003</v>
      </c>
      <c r="N149" s="45">
        <v>2258.424</v>
      </c>
      <c r="O149" s="45">
        <v>38997</v>
      </c>
      <c r="P149" s="45"/>
      <c r="Q149" s="45"/>
      <c r="R149" s="45">
        <v>389.97</v>
      </c>
      <c r="S149" s="45">
        <v>2417.8139999999999</v>
      </c>
      <c r="T149" s="45">
        <v>1091.9159999999999</v>
      </c>
      <c r="U149" s="45"/>
      <c r="V149" s="45"/>
      <c r="W149" s="45">
        <v>8539</v>
      </c>
      <c r="X149" s="45"/>
      <c r="Y149" s="45"/>
      <c r="Z149" s="45"/>
      <c r="AA149" s="45"/>
      <c r="AB149" s="45">
        <v>85.39</v>
      </c>
      <c r="AC149" s="45">
        <v>529.41800000000001</v>
      </c>
      <c r="AD149" s="45">
        <v>239.09200000000001</v>
      </c>
      <c r="AE149" s="44"/>
      <c r="AF149" s="44"/>
      <c r="AG149" s="44"/>
      <c r="AH149" s="44"/>
      <c r="AI149" s="44"/>
      <c r="AJ149" s="44"/>
      <c r="AK149" s="44"/>
      <c r="AL149" s="44">
        <v>0</v>
      </c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>
        <v>13149</v>
      </c>
      <c r="BF149" s="44">
        <v>6639</v>
      </c>
      <c r="BG149" s="44">
        <v>3450</v>
      </c>
      <c r="BH149" s="44"/>
      <c r="BI149" s="44"/>
      <c r="BJ149" s="44"/>
      <c r="BK149" s="44"/>
      <c r="BL149" s="44"/>
      <c r="BM149" s="44"/>
      <c r="BN149" s="44"/>
      <c r="BO149" s="44"/>
      <c r="BP149" s="44"/>
      <c r="BQ149" s="44">
        <v>1500</v>
      </c>
      <c r="BR149" s="44">
        <v>250</v>
      </c>
      <c r="BS149" s="44"/>
      <c r="BT149" s="44"/>
      <c r="BU149" s="44"/>
      <c r="BV149" s="44"/>
      <c r="BW149" s="44"/>
      <c r="BX149" s="44"/>
      <c r="BY149" s="44"/>
      <c r="BZ149" s="44"/>
      <c r="CA149" s="44"/>
      <c r="CB149" s="45">
        <f t="shared" si="199"/>
        <v>166001.40000000002</v>
      </c>
      <c r="CC149" s="46">
        <f t="shared" si="200"/>
        <v>8539</v>
      </c>
      <c r="CD149" s="47">
        <f t="shared" si="201"/>
        <v>128194</v>
      </c>
      <c r="CE149" s="62"/>
      <c r="CF149" s="237" t="str">
        <f>VLOOKUP(A149,labo!B:C,2,FALSE)</f>
        <v>STATION DE SERVICES</v>
      </c>
      <c r="CG149" s="106">
        <f t="shared" si="202"/>
        <v>0</v>
      </c>
      <c r="CI149" s="51"/>
    </row>
    <row r="150" spans="1:91">
      <c r="A150" s="485" t="s">
        <v>2087</v>
      </c>
      <c r="B150" s="41" t="str">
        <f>VLOOKUP(A150,'vs mars'!B:D,3,FALSE)</f>
        <v>P087900369463W</v>
      </c>
      <c r="C150" s="485" t="s">
        <v>1436</v>
      </c>
      <c r="D150" s="77"/>
      <c r="E150" s="77"/>
      <c r="F150" s="43"/>
      <c r="G150" s="43">
        <v>0</v>
      </c>
      <c r="H150" s="43"/>
      <c r="I150" s="43"/>
      <c r="J150" s="44"/>
      <c r="K150" s="44"/>
      <c r="L150" s="45">
        <v>0</v>
      </c>
      <c r="M150" s="45">
        <v>0</v>
      </c>
      <c r="N150" s="45">
        <v>0</v>
      </c>
      <c r="O150" s="45"/>
      <c r="P150" s="45"/>
      <c r="Q150" s="45"/>
      <c r="R150" s="45">
        <v>0</v>
      </c>
      <c r="S150" s="45">
        <v>0</v>
      </c>
      <c r="T150" s="45">
        <v>0</v>
      </c>
      <c r="U150" s="45"/>
      <c r="V150" s="45"/>
      <c r="W150" s="45"/>
      <c r="X150" s="45"/>
      <c r="Y150" s="45"/>
      <c r="Z150" s="45"/>
      <c r="AA150" s="45"/>
      <c r="AB150" s="45">
        <v>0</v>
      </c>
      <c r="AC150" s="45">
        <v>0</v>
      </c>
      <c r="AD150" s="45">
        <v>0</v>
      </c>
      <c r="AE150" s="44"/>
      <c r="AF150" s="44"/>
      <c r="AG150" s="44">
        <v>22000</v>
      </c>
      <c r="AH150" s="44"/>
      <c r="AI150" s="44"/>
      <c r="AJ150" s="44"/>
      <c r="AK150" s="44"/>
      <c r="AL150" s="44">
        <v>0</v>
      </c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>
        <v>0</v>
      </c>
      <c r="BS150" s="44"/>
      <c r="BT150" s="44"/>
      <c r="BU150" s="44"/>
      <c r="BV150" s="44"/>
      <c r="BW150" s="44"/>
      <c r="BX150" s="44"/>
      <c r="BY150" s="44"/>
      <c r="BZ150" s="44"/>
      <c r="CA150" s="44"/>
      <c r="CB150" s="45">
        <f t="shared" si="199"/>
        <v>22000</v>
      </c>
      <c r="CC150" s="46">
        <f t="shared" si="200"/>
        <v>22000</v>
      </c>
      <c r="CD150" s="47">
        <f t="shared" si="201"/>
        <v>22000</v>
      </c>
      <c r="CE150" s="62"/>
      <c r="CF150" s="237" t="str">
        <f>VLOOKUP(A150,labo!B:C,2,FALSE)</f>
        <v>STATION DE SERVICES</v>
      </c>
      <c r="CG150" s="106">
        <f t="shared" si="202"/>
        <v>0</v>
      </c>
      <c r="CI150" s="51"/>
      <c r="CK150" s="251" t="str">
        <f t="shared" si="203"/>
        <v>P087900369463W</v>
      </c>
      <c r="CL150" s="323">
        <f t="shared" si="204"/>
        <v>0</v>
      </c>
      <c r="CM150" s="40"/>
    </row>
    <row r="151" spans="1:91">
      <c r="A151" s="485" t="s">
        <v>373</v>
      </c>
      <c r="B151" s="41" t="str">
        <f>VLOOKUP(A151,'vs mars'!B:D,3,FALSE)</f>
        <v>P037100208980A</v>
      </c>
      <c r="C151" s="485" t="s">
        <v>1436</v>
      </c>
      <c r="D151" s="77"/>
      <c r="E151" s="77"/>
      <c r="F151" s="43"/>
      <c r="G151" s="43">
        <v>0</v>
      </c>
      <c r="H151" s="43"/>
      <c r="I151" s="43"/>
      <c r="J151" s="44">
        <v>31832</v>
      </c>
      <c r="K151" s="44"/>
      <c r="L151" s="45">
        <v>318.32</v>
      </c>
      <c r="M151" s="45">
        <v>1973.5840000000001</v>
      </c>
      <c r="N151" s="45">
        <v>891.29600000000005</v>
      </c>
      <c r="O151" s="45">
        <v>328204.27272727271</v>
      </c>
      <c r="P151" s="45"/>
      <c r="Q151" s="45"/>
      <c r="R151" s="45">
        <v>3282.042727272727</v>
      </c>
      <c r="S151" s="45">
        <v>20348.664909090909</v>
      </c>
      <c r="T151" s="45">
        <v>9189.7196363636358</v>
      </c>
      <c r="U151" s="45"/>
      <c r="V151" s="45"/>
      <c r="W151" s="45">
        <v>1355</v>
      </c>
      <c r="X151" s="45"/>
      <c r="Y151" s="45"/>
      <c r="Z151" s="45"/>
      <c r="AA151" s="45"/>
      <c r="AB151" s="45">
        <v>13.55</v>
      </c>
      <c r="AC151" s="45">
        <v>84.01</v>
      </c>
      <c r="AD151" s="45">
        <v>37.94</v>
      </c>
      <c r="AE151" s="44"/>
      <c r="AF151" s="44"/>
      <c r="AG151" s="44"/>
      <c r="AH151" s="44"/>
      <c r="AI151" s="44"/>
      <c r="AJ151" s="44"/>
      <c r="AK151" s="44"/>
      <c r="AL151" s="44">
        <v>0</v>
      </c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>
        <v>23626</v>
      </c>
      <c r="BF151" s="44">
        <v>7810</v>
      </c>
      <c r="BG151" s="44">
        <v>3000</v>
      </c>
      <c r="BH151" s="44"/>
      <c r="BI151" s="44"/>
      <c r="BJ151" s="44"/>
      <c r="BK151" s="44"/>
      <c r="BL151" s="44"/>
      <c r="BM151" s="44"/>
      <c r="BN151" s="44"/>
      <c r="BO151" s="44"/>
      <c r="BP151" s="44"/>
      <c r="BQ151" s="44">
        <v>2500</v>
      </c>
      <c r="BR151" s="44">
        <v>500</v>
      </c>
      <c r="BS151" s="44"/>
      <c r="BT151" s="44"/>
      <c r="BU151" s="44"/>
      <c r="BV151" s="44"/>
      <c r="BW151" s="44"/>
      <c r="BX151" s="44"/>
      <c r="BY151" s="44"/>
      <c r="BZ151" s="44"/>
      <c r="CA151" s="44"/>
      <c r="CB151" s="45">
        <f t="shared" si="199"/>
        <v>434966.39999999997</v>
      </c>
      <c r="CC151" s="46">
        <f t="shared" si="200"/>
        <v>1355</v>
      </c>
      <c r="CD151" s="47">
        <f t="shared" si="201"/>
        <v>361391.27272727271</v>
      </c>
      <c r="CE151" s="62"/>
      <c r="CF151" s="237" t="str">
        <f>VLOOKUP(A151,labo!B:C,2,FALSE)</f>
        <v>STATION DE SERVICES</v>
      </c>
      <c r="CG151" s="106">
        <f t="shared" si="202"/>
        <v>0</v>
      </c>
      <c r="CI151" s="51"/>
    </row>
    <row r="152" spans="1:91">
      <c r="A152" s="485" t="s">
        <v>374</v>
      </c>
      <c r="B152" s="41" t="str">
        <f>VLOOKUP(A152,'vs mars'!B:D,3,FALSE)</f>
        <v>P127400192445C</v>
      </c>
      <c r="C152" s="485" t="s">
        <v>1436</v>
      </c>
      <c r="D152" s="77"/>
      <c r="E152" s="77"/>
      <c r="F152" s="43"/>
      <c r="G152" s="43">
        <v>0</v>
      </c>
      <c r="H152" s="43"/>
      <c r="I152" s="43"/>
      <c r="J152" s="44"/>
      <c r="K152" s="44"/>
      <c r="L152" s="45">
        <v>0</v>
      </c>
      <c r="M152" s="45">
        <v>0</v>
      </c>
      <c r="N152" s="45">
        <v>0</v>
      </c>
      <c r="O152" s="45">
        <v>141471.90909090909</v>
      </c>
      <c r="P152" s="45"/>
      <c r="Q152" s="45"/>
      <c r="R152" s="45">
        <v>1414.7190909090909</v>
      </c>
      <c r="S152" s="45">
        <v>8771.2583636363634</v>
      </c>
      <c r="T152" s="45">
        <v>3961.2134545454546</v>
      </c>
      <c r="U152" s="45"/>
      <c r="V152" s="45"/>
      <c r="W152" s="45">
        <v>40862</v>
      </c>
      <c r="X152" s="45"/>
      <c r="Y152" s="45"/>
      <c r="Z152" s="45"/>
      <c r="AA152" s="45"/>
      <c r="AB152" s="45">
        <v>408.62</v>
      </c>
      <c r="AC152" s="45">
        <v>2533.444</v>
      </c>
      <c r="AD152" s="45">
        <v>1144.136</v>
      </c>
      <c r="AE152" s="44"/>
      <c r="AF152" s="44"/>
      <c r="AG152" s="44"/>
      <c r="AH152" s="44"/>
      <c r="AI152" s="44"/>
      <c r="AJ152" s="44"/>
      <c r="AK152" s="44"/>
      <c r="AL152" s="44">
        <v>0</v>
      </c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>
        <v>35376</v>
      </c>
      <c r="BF152" s="44">
        <v>18317</v>
      </c>
      <c r="BG152" s="44">
        <v>20250</v>
      </c>
      <c r="BH152" s="44"/>
      <c r="BI152" s="44"/>
      <c r="BJ152" s="44"/>
      <c r="BK152" s="44"/>
      <c r="BL152" s="44"/>
      <c r="BM152" s="44"/>
      <c r="BN152" s="44"/>
      <c r="BO152" s="44"/>
      <c r="BP152" s="44"/>
      <c r="BQ152" s="44">
        <v>10000</v>
      </c>
      <c r="BR152" s="44">
        <v>1250</v>
      </c>
      <c r="BS152" s="44"/>
      <c r="BT152" s="44"/>
      <c r="BU152" s="44"/>
      <c r="BV152" s="44"/>
      <c r="BW152" s="44"/>
      <c r="BX152" s="44"/>
      <c r="BY152" s="44"/>
      <c r="BZ152" s="44"/>
      <c r="CA152" s="44"/>
      <c r="CB152" s="45">
        <f t="shared" si="199"/>
        <v>285760.29999999993</v>
      </c>
      <c r="CC152" s="46">
        <f t="shared" si="200"/>
        <v>40862</v>
      </c>
      <c r="CD152" s="47">
        <f t="shared" si="201"/>
        <v>182333.90909090909</v>
      </c>
      <c r="CE152" s="62"/>
      <c r="CF152" s="237" t="str">
        <f>VLOOKUP(A152,labo!B:C,2,FALSE)</f>
        <v>STATION DE SERVICES</v>
      </c>
      <c r="CG152" s="106">
        <f t="shared" si="202"/>
        <v>0</v>
      </c>
      <c r="CI152" s="51"/>
      <c r="CK152" s="251" t="str">
        <f t="shared" si="203"/>
        <v>P127400192445C</v>
      </c>
      <c r="CL152" s="323">
        <f t="shared" si="204"/>
        <v>0</v>
      </c>
      <c r="CM152" s="40"/>
    </row>
    <row r="153" spans="1:91">
      <c r="A153" s="485" t="s">
        <v>1717</v>
      </c>
      <c r="B153" s="41" t="str">
        <f>VLOOKUP(A153,'vs mars'!B:D,3,FALSE)</f>
        <v>P099312443981B</v>
      </c>
      <c r="C153" s="485" t="s">
        <v>1436</v>
      </c>
      <c r="D153" s="77"/>
      <c r="E153" s="77"/>
      <c r="F153" s="43"/>
      <c r="G153" s="43">
        <v>0</v>
      </c>
      <c r="H153" s="43"/>
      <c r="I153" s="43"/>
      <c r="J153" s="44"/>
      <c r="K153" s="44"/>
      <c r="L153" s="45">
        <v>0</v>
      </c>
      <c r="M153" s="45">
        <v>0</v>
      </c>
      <c r="N153" s="45">
        <v>0</v>
      </c>
      <c r="O153" s="45">
        <v>191397.09090909091</v>
      </c>
      <c r="P153" s="45"/>
      <c r="Q153" s="45"/>
      <c r="R153" s="45">
        <v>1913.9709090909091</v>
      </c>
      <c r="S153" s="45">
        <v>11866.619636363637</v>
      </c>
      <c r="T153" s="45">
        <v>5359.1185454545457</v>
      </c>
      <c r="U153" s="45"/>
      <c r="V153" s="45"/>
      <c r="W153" s="45">
        <v>3916</v>
      </c>
      <c r="X153" s="45"/>
      <c r="Y153" s="45"/>
      <c r="Z153" s="45"/>
      <c r="AA153" s="45"/>
      <c r="AB153" s="45">
        <v>39.160000000000004</v>
      </c>
      <c r="AC153" s="45">
        <v>242.792</v>
      </c>
      <c r="AD153" s="45">
        <v>109.648</v>
      </c>
      <c r="AE153" s="44"/>
      <c r="AF153" s="44"/>
      <c r="AG153" s="44"/>
      <c r="AH153" s="44"/>
      <c r="AI153" s="44"/>
      <c r="AJ153" s="44"/>
      <c r="AK153" s="44"/>
      <c r="AL153" s="44">
        <v>0</v>
      </c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>
        <v>9260</v>
      </c>
      <c r="BF153" s="44">
        <v>5211</v>
      </c>
      <c r="BG153" s="44">
        <v>2251</v>
      </c>
      <c r="BH153" s="44"/>
      <c r="BI153" s="44"/>
      <c r="BJ153" s="44"/>
      <c r="BK153" s="44"/>
      <c r="BL153" s="44"/>
      <c r="BM153" s="44"/>
      <c r="BN153" s="44"/>
      <c r="BO153" s="44"/>
      <c r="BP153" s="44"/>
      <c r="BQ153" s="44">
        <v>600</v>
      </c>
      <c r="BR153" s="44">
        <v>150</v>
      </c>
      <c r="BS153" s="44"/>
      <c r="BT153" s="44"/>
      <c r="BU153" s="44"/>
      <c r="BV153" s="44"/>
      <c r="BW153" s="44"/>
      <c r="BX153" s="44"/>
      <c r="BY153" s="44"/>
      <c r="BZ153" s="44"/>
      <c r="CA153" s="44"/>
      <c r="CB153" s="45">
        <f t="shared" si="199"/>
        <v>232316.4</v>
      </c>
      <c r="CC153" s="46">
        <f t="shared" si="200"/>
        <v>3916</v>
      </c>
      <c r="CD153" s="47">
        <f t="shared" si="201"/>
        <v>195313.09090909091</v>
      </c>
      <c r="CE153" s="62"/>
      <c r="CF153" s="237" t="str">
        <f>VLOOKUP(A153,labo!B:C,2,FALSE)</f>
        <v>STATION DE SERVICES</v>
      </c>
      <c r="CG153" s="106">
        <f t="shared" si="202"/>
        <v>0</v>
      </c>
      <c r="CI153" s="51"/>
      <c r="CK153" s="251" t="str">
        <f t="shared" si="203"/>
        <v>P099312443981B</v>
      </c>
      <c r="CL153" s="323">
        <f t="shared" si="204"/>
        <v>0</v>
      </c>
      <c r="CM153" s="40"/>
    </row>
    <row r="154" spans="1:91">
      <c r="A154" s="277" t="s">
        <v>3096</v>
      </c>
      <c r="B154" s="41" t="e">
        <f>VLOOKUP(A154,'vs mars'!B:D,3,FALSE)</f>
        <v>#N/A</v>
      </c>
      <c r="C154" s="660" t="s">
        <v>1436</v>
      </c>
      <c r="D154" s="77"/>
      <c r="E154" s="77"/>
      <c r="F154" s="43"/>
      <c r="G154" s="43"/>
      <c r="H154" s="43"/>
      <c r="I154" s="43"/>
      <c r="J154" s="44"/>
      <c r="K154" s="44"/>
      <c r="L154" s="45">
        <f t="shared" si="180"/>
        <v>0</v>
      </c>
      <c r="M154" s="45">
        <f t="shared" si="181"/>
        <v>0</v>
      </c>
      <c r="N154" s="45">
        <f t="shared" si="182"/>
        <v>0</v>
      </c>
      <c r="O154" s="45"/>
      <c r="P154" s="45"/>
      <c r="Q154" s="45"/>
      <c r="R154" s="45">
        <f t="shared" si="183"/>
        <v>0</v>
      </c>
      <c r="S154" s="45">
        <f t="shared" si="184"/>
        <v>0</v>
      </c>
      <c r="T154" s="45">
        <f t="shared" si="185"/>
        <v>0</v>
      </c>
      <c r="U154" s="45"/>
      <c r="V154" s="45"/>
      <c r="W154" s="45"/>
      <c r="X154" s="45"/>
      <c r="Y154" s="45"/>
      <c r="Z154" s="45"/>
      <c r="AA154" s="45"/>
      <c r="AB154" s="45">
        <f t="shared" si="186"/>
        <v>0</v>
      </c>
      <c r="AC154" s="45">
        <f t="shared" si="187"/>
        <v>0</v>
      </c>
      <c r="AD154" s="45">
        <f t="shared" si="188"/>
        <v>0</v>
      </c>
      <c r="AE154" s="44"/>
      <c r="AF154" s="44"/>
      <c r="AG154" s="44"/>
      <c r="AH154" s="44"/>
      <c r="AI154" s="44"/>
      <c r="AJ154" s="44"/>
      <c r="AK154" s="44"/>
      <c r="AL154" s="44">
        <f t="shared" si="189"/>
        <v>0</v>
      </c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>
        <v>5825</v>
      </c>
      <c r="BF154" s="44">
        <v>3884</v>
      </c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>
        <f>2500*0.9</f>
        <v>2250</v>
      </c>
      <c r="BR154" s="44">
        <f t="shared" si="190"/>
        <v>250</v>
      </c>
      <c r="BS154" s="312">
        <f t="shared" si="191"/>
        <v>0</v>
      </c>
      <c r="BT154" s="312">
        <f t="shared" si="192"/>
        <v>0</v>
      </c>
      <c r="BU154" s="312">
        <f t="shared" si="193"/>
        <v>0</v>
      </c>
      <c r="BV154" s="312">
        <f t="shared" si="194"/>
        <v>0</v>
      </c>
      <c r="BW154" s="313">
        <f t="shared" si="195"/>
        <v>0</v>
      </c>
      <c r="BX154" s="313">
        <f t="shared" si="196"/>
        <v>0</v>
      </c>
      <c r="BY154" s="313">
        <f t="shared" si="197"/>
        <v>0</v>
      </c>
      <c r="BZ154" s="313">
        <f t="shared" si="198"/>
        <v>0</v>
      </c>
      <c r="CA154" s="44"/>
      <c r="CB154" s="45">
        <f t="shared" si="199"/>
        <v>12209</v>
      </c>
      <c r="CC154" s="46">
        <f t="shared" si="200"/>
        <v>0</v>
      </c>
      <c r="CD154" s="47">
        <f t="shared" si="201"/>
        <v>0</v>
      </c>
      <c r="CE154" s="62"/>
      <c r="CF154" s="237" t="s">
        <v>2123</v>
      </c>
      <c r="CG154" s="106">
        <f t="shared" si="202"/>
        <v>0</v>
      </c>
      <c r="CI154" s="51"/>
      <c r="CK154" s="251" t="e">
        <f t="shared" si="203"/>
        <v>#N/A</v>
      </c>
      <c r="CL154" s="323">
        <f t="shared" si="204"/>
        <v>0</v>
      </c>
      <c r="CM154" s="40"/>
    </row>
    <row r="155" spans="1:91">
      <c r="A155" s="325" t="s">
        <v>3097</v>
      </c>
      <c r="B155" s="41" t="s">
        <v>3060</v>
      </c>
      <c r="C155" s="660" t="s">
        <v>1436</v>
      </c>
      <c r="D155" s="77"/>
      <c r="E155" s="77"/>
      <c r="F155" s="43"/>
      <c r="G155" s="43"/>
      <c r="H155" s="43"/>
      <c r="I155" s="43"/>
      <c r="J155" s="44"/>
      <c r="K155" s="44"/>
      <c r="L155" s="45">
        <f t="shared" si="180"/>
        <v>0</v>
      </c>
      <c r="M155" s="45">
        <f t="shared" si="181"/>
        <v>0</v>
      </c>
      <c r="N155" s="45">
        <f t="shared" si="182"/>
        <v>0</v>
      </c>
      <c r="O155" s="45">
        <v>365598</v>
      </c>
      <c r="P155" s="45"/>
      <c r="Q155" s="45"/>
      <c r="R155" s="45">
        <f t="shared" si="183"/>
        <v>3655.98</v>
      </c>
      <c r="S155" s="45">
        <f t="shared" si="184"/>
        <v>22667.076000000001</v>
      </c>
      <c r="T155" s="45">
        <f t="shared" si="185"/>
        <v>10236.744000000001</v>
      </c>
      <c r="U155" s="45"/>
      <c r="V155" s="45"/>
      <c r="W155" s="45">
        <v>78616</v>
      </c>
      <c r="X155" s="45"/>
      <c r="Y155" s="45"/>
      <c r="Z155" s="45"/>
      <c r="AA155" s="45"/>
      <c r="AB155" s="45">
        <f t="shared" si="186"/>
        <v>786.16</v>
      </c>
      <c r="AC155" s="45">
        <f t="shared" si="187"/>
        <v>4874.192</v>
      </c>
      <c r="AD155" s="45">
        <f t="shared" si="188"/>
        <v>2201.248</v>
      </c>
      <c r="AE155" s="44">
        <v>493686</v>
      </c>
      <c r="AF155" s="44"/>
      <c r="AG155" s="44"/>
      <c r="AH155" s="44"/>
      <c r="AI155" s="44"/>
      <c r="AJ155" s="44"/>
      <c r="AK155" s="44"/>
      <c r="AL155" s="44">
        <f t="shared" si="189"/>
        <v>0</v>
      </c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>
        <f>26463+39695</f>
        <v>66158</v>
      </c>
      <c r="BF155" s="44">
        <v>26463</v>
      </c>
      <c r="BG155" s="44">
        <v>30950</v>
      </c>
      <c r="BH155" s="44"/>
      <c r="BI155" s="44"/>
      <c r="BJ155" s="44"/>
      <c r="BK155" s="44"/>
      <c r="BL155" s="44"/>
      <c r="BM155" s="44"/>
      <c r="BN155" s="44"/>
      <c r="BO155" s="44"/>
      <c r="BP155" s="44"/>
      <c r="BQ155" s="44">
        <f>11946*0.9</f>
        <v>10751.4</v>
      </c>
      <c r="BR155" s="44">
        <f t="shared" si="190"/>
        <v>1194.5999999999999</v>
      </c>
      <c r="BS155" s="312">
        <f t="shared" si="191"/>
        <v>0</v>
      </c>
      <c r="BT155" s="312">
        <f t="shared" si="192"/>
        <v>0</v>
      </c>
      <c r="BU155" s="312">
        <f t="shared" si="193"/>
        <v>0</v>
      </c>
      <c r="BV155" s="312">
        <f t="shared" si="194"/>
        <v>0</v>
      </c>
      <c r="BW155" s="313">
        <f t="shared" si="195"/>
        <v>0</v>
      </c>
      <c r="BX155" s="313">
        <f t="shared" si="196"/>
        <v>0</v>
      </c>
      <c r="BY155" s="313">
        <f t="shared" si="197"/>
        <v>0</v>
      </c>
      <c r="BZ155" s="313">
        <f t="shared" si="198"/>
        <v>0</v>
      </c>
      <c r="CA155" s="44"/>
      <c r="CB155" s="45">
        <f t="shared" si="199"/>
        <v>1117838.3999999999</v>
      </c>
      <c r="CC155" s="46">
        <f t="shared" si="200"/>
        <v>572302</v>
      </c>
      <c r="CD155" s="47">
        <f t="shared" si="201"/>
        <v>937900</v>
      </c>
      <c r="CE155" s="62"/>
      <c r="CF155" s="237" t="s">
        <v>1602</v>
      </c>
      <c r="CG155" s="106">
        <f t="shared" si="202"/>
        <v>0</v>
      </c>
      <c r="CI155" s="51"/>
      <c r="CK155" s="251" t="str">
        <f t="shared" si="203"/>
        <v>reliquataire</v>
      </c>
      <c r="CL155" s="323">
        <f t="shared" si="204"/>
        <v>0</v>
      </c>
      <c r="CM155" s="40"/>
    </row>
    <row r="156" spans="1:91">
      <c r="A156" s="1" t="s">
        <v>364</v>
      </c>
      <c r="B156" s="1" t="s">
        <v>683</v>
      </c>
      <c r="C156" s="1" t="s">
        <v>1436</v>
      </c>
      <c r="D156" s="77" t="s">
        <v>3098</v>
      </c>
      <c r="E156" s="77"/>
      <c r="F156" s="43"/>
      <c r="G156" s="43"/>
      <c r="H156" s="43"/>
      <c r="I156" s="43"/>
      <c r="J156" s="44"/>
      <c r="K156" s="44"/>
      <c r="L156" s="45">
        <f t="shared" si="180"/>
        <v>0</v>
      </c>
      <c r="M156" s="45">
        <f t="shared" si="181"/>
        <v>0</v>
      </c>
      <c r="N156" s="45">
        <f t="shared" si="182"/>
        <v>0</v>
      </c>
      <c r="O156" s="45"/>
      <c r="P156" s="45"/>
      <c r="Q156" s="45"/>
      <c r="R156" s="45"/>
      <c r="S156" s="45"/>
      <c r="T156" s="45"/>
      <c r="U156" s="45"/>
      <c r="V156" s="45"/>
      <c r="W156" s="45">
        <v>3061</v>
      </c>
      <c r="X156" s="45"/>
      <c r="Y156" s="45"/>
      <c r="Z156" s="45"/>
      <c r="AA156" s="45"/>
      <c r="AB156" s="45">
        <f t="shared" si="186"/>
        <v>30.61</v>
      </c>
      <c r="AC156" s="45">
        <f t="shared" si="187"/>
        <v>189.78200000000001</v>
      </c>
      <c r="AD156" s="45">
        <f t="shared" si="188"/>
        <v>85.707999999999998</v>
      </c>
      <c r="AE156" s="44"/>
      <c r="AF156" s="44"/>
      <c r="AG156" s="44"/>
      <c r="AH156" s="44"/>
      <c r="AI156" s="44"/>
      <c r="AJ156" s="44"/>
      <c r="AK156" s="44"/>
      <c r="AL156" s="44">
        <f t="shared" si="189"/>
        <v>0</v>
      </c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>
        <v>2426</v>
      </c>
      <c r="BF156" s="44">
        <v>971</v>
      </c>
      <c r="BG156" s="44">
        <v>750</v>
      </c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5">
        <f t="shared" si="199"/>
        <v>7514.1</v>
      </c>
      <c r="CC156" s="46">
        <f t="shared" si="200"/>
        <v>3061</v>
      </c>
      <c r="CD156" s="47">
        <f t="shared" si="201"/>
        <v>3061</v>
      </c>
      <c r="CE156" s="62"/>
      <c r="CF156" s="237" t="str">
        <f>VLOOKUP(A156,labo!B:C,2,FALSE)</f>
        <v>FORESTERIE</v>
      </c>
      <c r="CG156" s="106">
        <f t="shared" si="202"/>
        <v>0</v>
      </c>
      <c r="CI156" s="51"/>
      <c r="CK156" s="251" t="str">
        <f t="shared" si="203"/>
        <v>M051100038769M</v>
      </c>
      <c r="CL156" s="323">
        <f t="shared" si="204"/>
        <v>0</v>
      </c>
      <c r="CM156" s="40"/>
    </row>
    <row r="157" spans="1:91">
      <c r="A157" s="1" t="s">
        <v>1899</v>
      </c>
      <c r="B157" s="1" t="s">
        <v>1587</v>
      </c>
      <c r="C157" s="1" t="s">
        <v>1436</v>
      </c>
      <c r="D157" s="77"/>
      <c r="E157" s="77"/>
      <c r="F157" s="43"/>
      <c r="G157" s="43"/>
      <c r="H157" s="43"/>
      <c r="I157" s="43"/>
      <c r="J157" s="44"/>
      <c r="K157" s="44"/>
      <c r="L157" s="45">
        <f t="shared" si="180"/>
        <v>0</v>
      </c>
      <c r="M157" s="45">
        <f t="shared" si="181"/>
        <v>0</v>
      </c>
      <c r="N157" s="45">
        <f t="shared" si="182"/>
        <v>0</v>
      </c>
      <c r="O157" s="45"/>
      <c r="P157" s="45"/>
      <c r="Q157" s="45"/>
      <c r="R157" s="45">
        <f t="shared" ref="R157" si="218">(Q157+O157)*0.01</f>
        <v>0</v>
      </c>
      <c r="S157" s="45">
        <f t="shared" ref="S157" si="219">(O157+Q157)*0.062</f>
        <v>0</v>
      </c>
      <c r="T157" s="45">
        <f t="shared" ref="T157" si="220">(O157+P157+Q157)*0.028</f>
        <v>0</v>
      </c>
      <c r="U157" s="45"/>
      <c r="V157" s="45"/>
      <c r="W157" s="45">
        <v>12363</v>
      </c>
      <c r="X157" s="45"/>
      <c r="Y157" s="45"/>
      <c r="Z157" s="45"/>
      <c r="AA157" s="45"/>
      <c r="AB157" s="45">
        <f t="shared" si="186"/>
        <v>123.63000000000001</v>
      </c>
      <c r="AC157" s="45">
        <f t="shared" si="187"/>
        <v>766.50599999999997</v>
      </c>
      <c r="AD157" s="45">
        <f t="shared" si="188"/>
        <v>346.16399999999999</v>
      </c>
      <c r="AE157" s="44"/>
      <c r="AF157" s="44"/>
      <c r="AG157" s="44"/>
      <c r="AH157" s="44"/>
      <c r="AI157" s="44"/>
      <c r="AJ157" s="44"/>
      <c r="AK157" s="44"/>
      <c r="AL157" s="44">
        <f t="shared" si="189"/>
        <v>0</v>
      </c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>
        <v>10250</v>
      </c>
      <c r="BF157" s="44">
        <v>4700</v>
      </c>
      <c r="BG157" s="44">
        <v>3450</v>
      </c>
      <c r="BH157" s="44"/>
      <c r="BI157" s="44"/>
      <c r="BJ157" s="44"/>
      <c r="BK157" s="44"/>
      <c r="BL157" s="44"/>
      <c r="BM157" s="44"/>
      <c r="BN157" s="44"/>
      <c r="BO157" s="44"/>
      <c r="BP157" s="44"/>
      <c r="BQ157" s="44">
        <v>1800</v>
      </c>
      <c r="BR157" s="44">
        <v>200</v>
      </c>
      <c r="BS157" s="44"/>
      <c r="BT157" s="44"/>
      <c r="BU157" s="44"/>
      <c r="BV157" s="44"/>
      <c r="BW157" s="44"/>
      <c r="BX157" s="44"/>
      <c r="BY157" s="44"/>
      <c r="BZ157" s="44"/>
      <c r="CA157" s="44"/>
      <c r="CB157" s="45">
        <f t="shared" si="199"/>
        <v>33999.300000000003</v>
      </c>
      <c r="CC157" s="46">
        <f t="shared" si="200"/>
        <v>12363</v>
      </c>
      <c r="CD157" s="47">
        <f t="shared" si="201"/>
        <v>12363</v>
      </c>
      <c r="CE157" s="62"/>
      <c r="CF157" s="237" t="str">
        <f>VLOOKUP(A157,labo!B:C,2,FALSE)</f>
        <v>FORESTERIE</v>
      </c>
      <c r="CG157" s="106">
        <f t="shared" si="202"/>
        <v>0</v>
      </c>
      <c r="CI157" s="51"/>
      <c r="CK157" s="251" t="str">
        <f t="shared" si="203"/>
        <v>P075111243514M</v>
      </c>
      <c r="CL157" s="323">
        <f t="shared" si="204"/>
        <v>0</v>
      </c>
      <c r="CM157" s="40"/>
    </row>
    <row r="158" spans="1:91">
      <c r="A158" s="277" t="s">
        <v>3099</v>
      </c>
      <c r="B158" s="41" t="e">
        <f>VLOOKUP(A158,'vs mars'!B:D,3,FALSE)</f>
        <v>#N/A</v>
      </c>
      <c r="C158" s="660" t="s">
        <v>1436</v>
      </c>
      <c r="D158" s="77"/>
      <c r="E158" s="77"/>
      <c r="F158" s="43"/>
      <c r="G158" s="43"/>
      <c r="H158" s="43"/>
      <c r="I158" s="43"/>
      <c r="J158" s="44">
        <v>52500</v>
      </c>
      <c r="K158" s="44"/>
      <c r="L158" s="45">
        <f t="shared" si="180"/>
        <v>525</v>
      </c>
      <c r="M158" s="45">
        <f t="shared" si="181"/>
        <v>3255</v>
      </c>
      <c r="N158" s="45">
        <f t="shared" si="182"/>
        <v>1470</v>
      </c>
      <c r="O158" s="45">
        <v>6000</v>
      </c>
      <c r="P158" s="45"/>
      <c r="Q158" s="45"/>
      <c r="R158" s="45">
        <f t="shared" si="183"/>
        <v>60</v>
      </c>
      <c r="S158" s="45">
        <f t="shared" si="184"/>
        <v>372</v>
      </c>
      <c r="T158" s="45">
        <f t="shared" si="185"/>
        <v>168</v>
      </c>
      <c r="U158" s="45"/>
      <c r="V158" s="45"/>
      <c r="W158" s="45"/>
      <c r="X158" s="45"/>
      <c r="Y158" s="45"/>
      <c r="Z158" s="45"/>
      <c r="AA158" s="45"/>
      <c r="AB158" s="45">
        <f t="shared" si="186"/>
        <v>0</v>
      </c>
      <c r="AC158" s="45">
        <f t="shared" si="187"/>
        <v>0</v>
      </c>
      <c r="AD158" s="45">
        <f t="shared" si="188"/>
        <v>0</v>
      </c>
      <c r="AE158" s="44"/>
      <c r="AF158" s="44"/>
      <c r="AG158" s="44"/>
      <c r="AH158" s="44"/>
      <c r="AI158" s="44"/>
      <c r="AJ158" s="44"/>
      <c r="AK158" s="44"/>
      <c r="AL158" s="44">
        <f t="shared" si="189"/>
        <v>0</v>
      </c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>
        <f t="shared" si="190"/>
        <v>0</v>
      </c>
      <c r="BS158" s="312">
        <f t="shared" si="191"/>
        <v>0</v>
      </c>
      <c r="BT158" s="312">
        <f t="shared" si="192"/>
        <v>0</v>
      </c>
      <c r="BU158" s="312">
        <f t="shared" si="193"/>
        <v>0</v>
      </c>
      <c r="BV158" s="312">
        <f t="shared" si="194"/>
        <v>0</v>
      </c>
      <c r="BW158" s="313">
        <f t="shared" si="195"/>
        <v>0</v>
      </c>
      <c r="BX158" s="313">
        <f t="shared" si="196"/>
        <v>0</v>
      </c>
      <c r="BY158" s="313">
        <f t="shared" si="197"/>
        <v>0</v>
      </c>
      <c r="BZ158" s="313">
        <f t="shared" si="198"/>
        <v>0</v>
      </c>
      <c r="CA158" s="44"/>
      <c r="CB158" s="45">
        <f t="shared" si="199"/>
        <v>64350</v>
      </c>
      <c r="CC158" s="46">
        <f t="shared" si="200"/>
        <v>0</v>
      </c>
      <c r="CD158" s="47">
        <f t="shared" si="201"/>
        <v>58500</v>
      </c>
      <c r="CE158" s="62"/>
      <c r="CF158" s="237" t="s">
        <v>3031</v>
      </c>
      <c r="CG158" s="106">
        <f t="shared" si="202"/>
        <v>0</v>
      </c>
      <c r="CI158" s="51"/>
      <c r="CK158" s="251" t="e">
        <f t="shared" si="203"/>
        <v>#N/A</v>
      </c>
      <c r="CL158" s="323">
        <f t="shared" si="204"/>
        <v>0</v>
      </c>
      <c r="CM158" s="40"/>
    </row>
    <row r="159" spans="1:91">
      <c r="A159" s="325" t="s">
        <v>1957</v>
      </c>
      <c r="B159" s="1" t="s">
        <v>1958</v>
      </c>
      <c r="C159" s="1" t="s">
        <v>1436</v>
      </c>
      <c r="D159" s="77"/>
      <c r="E159" s="77"/>
      <c r="F159" s="43"/>
      <c r="G159" s="43"/>
      <c r="H159" s="43"/>
      <c r="I159" s="43"/>
      <c r="J159" s="44"/>
      <c r="K159" s="44"/>
      <c r="L159" s="45">
        <f t="shared" si="180"/>
        <v>0</v>
      </c>
      <c r="M159" s="45">
        <f t="shared" si="181"/>
        <v>0</v>
      </c>
      <c r="N159" s="45">
        <f t="shared" si="182"/>
        <v>0</v>
      </c>
      <c r="O159" s="45"/>
      <c r="P159" s="45"/>
      <c r="Q159" s="45"/>
      <c r="R159" s="45">
        <f t="shared" ref="R159" si="221">(Q159+O159)*0.01</f>
        <v>0</v>
      </c>
      <c r="S159" s="45">
        <f t="shared" ref="S159" si="222">(O159+Q159)*0.062</f>
        <v>0</v>
      </c>
      <c r="T159" s="45">
        <f t="shared" si="185"/>
        <v>0</v>
      </c>
      <c r="U159" s="45"/>
      <c r="V159" s="45"/>
      <c r="W159" s="45">
        <v>11349</v>
      </c>
      <c r="X159" s="45"/>
      <c r="Y159" s="45"/>
      <c r="Z159" s="45"/>
      <c r="AA159" s="45"/>
      <c r="AB159" s="45">
        <f t="shared" si="186"/>
        <v>113.49000000000001</v>
      </c>
      <c r="AC159" s="45">
        <f t="shared" si="187"/>
        <v>703.63800000000003</v>
      </c>
      <c r="AD159" s="45">
        <f t="shared" si="188"/>
        <v>317.77199999999999</v>
      </c>
      <c r="AE159" s="44"/>
      <c r="AF159" s="44"/>
      <c r="AG159" s="44"/>
      <c r="AH159" s="44"/>
      <c r="AI159" s="44"/>
      <c r="AJ159" s="44"/>
      <c r="AK159" s="44"/>
      <c r="AL159" s="44">
        <f t="shared" si="189"/>
        <v>0</v>
      </c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>
        <v>6766</v>
      </c>
      <c r="BF159" s="44">
        <v>2939</v>
      </c>
      <c r="BG159" s="44">
        <v>750</v>
      </c>
      <c r="BH159" s="44"/>
      <c r="BI159" s="44"/>
      <c r="BJ159" s="44"/>
      <c r="BK159" s="44"/>
      <c r="BL159" s="44"/>
      <c r="BM159" s="44"/>
      <c r="BN159" s="44"/>
      <c r="BO159" s="44"/>
      <c r="BP159" s="44"/>
      <c r="BQ159" s="44">
        <v>450</v>
      </c>
      <c r="BR159" s="44">
        <v>50</v>
      </c>
      <c r="BS159" s="44"/>
      <c r="BT159" s="44"/>
      <c r="BU159" s="44"/>
      <c r="BV159" s="44"/>
      <c r="BW159" s="44"/>
      <c r="BX159" s="44"/>
      <c r="BY159" s="44"/>
      <c r="BZ159" s="44"/>
      <c r="CA159" s="44"/>
      <c r="CB159" s="45">
        <f t="shared" si="199"/>
        <v>23438.9</v>
      </c>
      <c r="CC159" s="46">
        <f t="shared" si="200"/>
        <v>11349</v>
      </c>
      <c r="CD159" s="47">
        <f t="shared" si="201"/>
        <v>11349</v>
      </c>
      <c r="CE159" s="62"/>
      <c r="CF159" s="237" t="str">
        <f>VLOOKUP(A159,labo!B:C,2,FALSE)</f>
        <v>FORESTERIE</v>
      </c>
      <c r="CG159" s="106">
        <f t="shared" si="202"/>
        <v>0</v>
      </c>
      <c r="CI159" s="51"/>
      <c r="CK159" s="251" t="str">
        <f t="shared" si="203"/>
        <v>M101812734613R</v>
      </c>
      <c r="CL159" s="323">
        <f t="shared" si="204"/>
        <v>0</v>
      </c>
      <c r="CM159" s="40"/>
    </row>
    <row r="160" spans="1:91">
      <c r="A160" s="325" t="s">
        <v>3100</v>
      </c>
      <c r="B160" s="41" t="s">
        <v>3060</v>
      </c>
      <c r="C160" s="660" t="s">
        <v>1436</v>
      </c>
      <c r="D160" s="77"/>
      <c r="E160" s="77"/>
      <c r="F160" s="43"/>
      <c r="G160" s="43"/>
      <c r="H160" s="43"/>
      <c r="I160" s="43"/>
      <c r="J160" s="44">
        <v>26250</v>
      </c>
      <c r="K160" s="44"/>
      <c r="L160" s="45">
        <f t="shared" si="180"/>
        <v>262.5</v>
      </c>
      <c r="M160" s="45">
        <f t="shared" si="181"/>
        <v>1627.5</v>
      </c>
      <c r="N160" s="45">
        <f t="shared" si="182"/>
        <v>735</v>
      </c>
      <c r="O160" s="45">
        <v>6050</v>
      </c>
      <c r="P160" s="45"/>
      <c r="Q160" s="45"/>
      <c r="R160" s="45">
        <f t="shared" si="183"/>
        <v>60.5</v>
      </c>
      <c r="S160" s="45">
        <f t="shared" si="184"/>
        <v>375.1</v>
      </c>
      <c r="T160" s="45">
        <f t="shared" si="185"/>
        <v>169.4</v>
      </c>
      <c r="U160" s="45"/>
      <c r="V160" s="45"/>
      <c r="W160" s="45">
        <v>3732</v>
      </c>
      <c r="X160" s="45"/>
      <c r="Y160" s="45"/>
      <c r="Z160" s="45"/>
      <c r="AA160" s="45"/>
      <c r="AB160" s="45">
        <f t="shared" si="186"/>
        <v>37.32</v>
      </c>
      <c r="AC160" s="45">
        <f t="shared" si="187"/>
        <v>231.38399999999999</v>
      </c>
      <c r="AD160" s="45">
        <f t="shared" si="188"/>
        <v>104.496</v>
      </c>
      <c r="AE160" s="44"/>
      <c r="AF160" s="44"/>
      <c r="AG160" s="44"/>
      <c r="AH160" s="44"/>
      <c r="AI160" s="44"/>
      <c r="AJ160" s="44"/>
      <c r="AK160" s="44"/>
      <c r="AL160" s="44">
        <f t="shared" si="189"/>
        <v>0</v>
      </c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>
        <v>2500</v>
      </c>
      <c r="BF160" s="44">
        <v>1000</v>
      </c>
      <c r="BG160" s="44">
        <v>750</v>
      </c>
      <c r="BH160" s="44"/>
      <c r="BI160" s="44"/>
      <c r="BJ160" s="44"/>
      <c r="BK160" s="44"/>
      <c r="BL160" s="44"/>
      <c r="BM160" s="44"/>
      <c r="BN160" s="44"/>
      <c r="BO160" s="44"/>
      <c r="BP160" s="44"/>
      <c r="BQ160" s="44">
        <f>2000*0.9</f>
        <v>1800</v>
      </c>
      <c r="BR160" s="44">
        <f t="shared" si="190"/>
        <v>200</v>
      </c>
      <c r="BS160" s="312">
        <f t="shared" si="191"/>
        <v>0</v>
      </c>
      <c r="BT160" s="312">
        <f t="shared" si="192"/>
        <v>0</v>
      </c>
      <c r="BU160" s="312">
        <f t="shared" si="193"/>
        <v>0</v>
      </c>
      <c r="BV160" s="312">
        <f t="shared" si="194"/>
        <v>0</v>
      </c>
      <c r="BW160" s="313">
        <f t="shared" si="195"/>
        <v>0</v>
      </c>
      <c r="BX160" s="313">
        <f t="shared" si="196"/>
        <v>0</v>
      </c>
      <c r="BY160" s="313">
        <f t="shared" si="197"/>
        <v>0</v>
      </c>
      <c r="BZ160" s="313">
        <f t="shared" si="198"/>
        <v>0</v>
      </c>
      <c r="CA160" s="44"/>
      <c r="CB160" s="45">
        <f t="shared" si="199"/>
        <v>45885.2</v>
      </c>
      <c r="CC160" s="46">
        <f t="shared" si="200"/>
        <v>3732</v>
      </c>
      <c r="CD160" s="47">
        <f t="shared" si="201"/>
        <v>36032</v>
      </c>
      <c r="CE160" s="62"/>
      <c r="CF160" s="237" t="s">
        <v>3031</v>
      </c>
      <c r="CG160" s="106">
        <f t="shared" si="202"/>
        <v>0</v>
      </c>
      <c r="CI160" s="51"/>
      <c r="CK160" s="251" t="str">
        <f t="shared" si="203"/>
        <v>reliquataire</v>
      </c>
      <c r="CL160" s="323">
        <f t="shared" si="204"/>
        <v>0</v>
      </c>
      <c r="CM160" s="40"/>
    </row>
    <row r="161" spans="1:92">
      <c r="A161" s="325" t="s">
        <v>3101</v>
      </c>
      <c r="B161" s="41" t="s">
        <v>3060</v>
      </c>
      <c r="C161" s="660" t="s">
        <v>1436</v>
      </c>
      <c r="D161" s="77"/>
      <c r="E161" s="77"/>
      <c r="F161" s="43"/>
      <c r="G161" s="43"/>
      <c r="H161" s="43"/>
      <c r="I161" s="43"/>
      <c r="J161" s="44"/>
      <c r="K161" s="44"/>
      <c r="L161" s="45">
        <f t="shared" si="180"/>
        <v>0</v>
      </c>
      <c r="M161" s="45">
        <f t="shared" si="181"/>
        <v>0</v>
      </c>
      <c r="N161" s="45">
        <f t="shared" si="182"/>
        <v>0</v>
      </c>
      <c r="O161" s="45"/>
      <c r="P161" s="45"/>
      <c r="Q161" s="45"/>
      <c r="R161" s="45">
        <f t="shared" si="183"/>
        <v>0</v>
      </c>
      <c r="S161" s="45">
        <f t="shared" si="184"/>
        <v>0</v>
      </c>
      <c r="T161" s="45">
        <f t="shared" si="185"/>
        <v>0</v>
      </c>
      <c r="U161" s="45"/>
      <c r="V161" s="45"/>
      <c r="W161" s="45">
        <v>96572</v>
      </c>
      <c r="X161" s="45"/>
      <c r="Y161" s="45"/>
      <c r="Z161" s="45"/>
      <c r="AA161" s="45"/>
      <c r="AB161" s="45">
        <f t="shared" si="186"/>
        <v>965.72</v>
      </c>
      <c r="AC161" s="45">
        <f t="shared" si="187"/>
        <v>5987.4639999999999</v>
      </c>
      <c r="AD161" s="45">
        <f t="shared" si="188"/>
        <v>2704.0160000000001</v>
      </c>
      <c r="AE161" s="44"/>
      <c r="AF161" s="44"/>
      <c r="AG161" s="44"/>
      <c r="AH161" s="44"/>
      <c r="AI161" s="44"/>
      <c r="AJ161" s="44"/>
      <c r="AK161" s="44"/>
      <c r="AL161" s="44">
        <f t="shared" si="189"/>
        <v>0</v>
      </c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>
        <f>31522+58805</f>
        <v>90327</v>
      </c>
      <c r="BF161" s="44">
        <v>39203</v>
      </c>
      <c r="BG161" s="44">
        <v>23950</v>
      </c>
      <c r="BH161" s="44"/>
      <c r="BI161" s="44"/>
      <c r="BJ161" s="44"/>
      <c r="BK161" s="44"/>
      <c r="BL161" s="44"/>
      <c r="BM161" s="44"/>
      <c r="BN161" s="44"/>
      <c r="BO161" s="44"/>
      <c r="BP161" s="44"/>
      <c r="BQ161" s="44">
        <f>9501*0.9</f>
        <v>8550.9</v>
      </c>
      <c r="BR161" s="44">
        <f t="shared" si="190"/>
        <v>950.09999999999991</v>
      </c>
      <c r="BS161" s="312">
        <f t="shared" si="191"/>
        <v>0</v>
      </c>
      <c r="BT161" s="312">
        <f t="shared" si="192"/>
        <v>0</v>
      </c>
      <c r="BU161" s="312">
        <f t="shared" si="193"/>
        <v>0</v>
      </c>
      <c r="BV161" s="312">
        <f t="shared" si="194"/>
        <v>0</v>
      </c>
      <c r="BW161" s="313">
        <f t="shared" si="195"/>
        <v>0</v>
      </c>
      <c r="BX161" s="313">
        <f t="shared" si="196"/>
        <v>0</v>
      </c>
      <c r="BY161" s="313">
        <f t="shared" si="197"/>
        <v>0</v>
      </c>
      <c r="BZ161" s="313">
        <f t="shared" si="198"/>
        <v>0</v>
      </c>
      <c r="CA161" s="44"/>
      <c r="CB161" s="45">
        <f t="shared" si="199"/>
        <v>269210.2</v>
      </c>
      <c r="CC161" s="46">
        <f t="shared" si="200"/>
        <v>96572</v>
      </c>
      <c r="CD161" s="47">
        <f t="shared" si="201"/>
        <v>96572</v>
      </c>
      <c r="CE161" s="62"/>
      <c r="CF161" s="237" t="s">
        <v>1602</v>
      </c>
      <c r="CG161" s="106">
        <f t="shared" si="202"/>
        <v>0</v>
      </c>
      <c r="CI161" s="51"/>
      <c r="CK161" s="251" t="str">
        <f t="shared" si="203"/>
        <v>reliquataire</v>
      </c>
      <c r="CL161" s="323">
        <f t="shared" si="204"/>
        <v>0</v>
      </c>
      <c r="CM161" s="40"/>
    </row>
    <row r="162" spans="1:92">
      <c r="A162" s="325" t="s">
        <v>2353</v>
      </c>
      <c r="B162" s="41" t="s">
        <v>3060</v>
      </c>
      <c r="C162" s="660" t="s">
        <v>1439</v>
      </c>
      <c r="D162" s="77"/>
      <c r="E162" s="77"/>
      <c r="F162" s="43"/>
      <c r="G162" s="43"/>
      <c r="H162" s="43"/>
      <c r="I162" s="43"/>
      <c r="J162" s="25">
        <f>174371/1.1</f>
        <v>158519.09090909088</v>
      </c>
      <c r="K162" s="44"/>
      <c r="L162" s="45">
        <f t="shared" si="180"/>
        <v>1585.1909090909089</v>
      </c>
      <c r="M162" s="45">
        <f t="shared" si="181"/>
        <v>9828.1836363636339</v>
      </c>
      <c r="N162" s="45">
        <f t="shared" si="182"/>
        <v>4438.534545454545</v>
      </c>
      <c r="O162" s="45"/>
      <c r="P162" s="45"/>
      <c r="Q162" s="45"/>
      <c r="R162" s="45">
        <f t="shared" si="183"/>
        <v>0</v>
      </c>
      <c r="S162" s="45">
        <f t="shared" si="184"/>
        <v>0</v>
      </c>
      <c r="T162" s="45">
        <f t="shared" si="185"/>
        <v>0</v>
      </c>
      <c r="U162" s="45"/>
      <c r="V162" s="45"/>
      <c r="W162" s="45"/>
      <c r="X162" s="45"/>
      <c r="Y162" s="45"/>
      <c r="Z162" s="45"/>
      <c r="AA162" s="45"/>
      <c r="AB162" s="45">
        <f t="shared" si="186"/>
        <v>0</v>
      </c>
      <c r="AC162" s="45">
        <f t="shared" si="187"/>
        <v>0</v>
      </c>
      <c r="AD162" s="45">
        <f t="shared" si="188"/>
        <v>0</v>
      </c>
      <c r="AE162" s="44"/>
      <c r="AF162" s="44"/>
      <c r="AG162" s="44"/>
      <c r="AH162" s="44"/>
      <c r="AI162" s="44"/>
      <c r="AJ162" s="44"/>
      <c r="AK162" s="44"/>
      <c r="AL162" s="44">
        <f t="shared" si="189"/>
        <v>0</v>
      </c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>
        <f t="shared" si="190"/>
        <v>0</v>
      </c>
      <c r="BS162" s="312">
        <f t="shared" si="191"/>
        <v>0</v>
      </c>
      <c r="BT162" s="312">
        <f t="shared" si="192"/>
        <v>0</v>
      </c>
      <c r="BU162" s="312">
        <f t="shared" si="193"/>
        <v>0</v>
      </c>
      <c r="BV162" s="312">
        <f t="shared" si="194"/>
        <v>0</v>
      </c>
      <c r="BW162" s="313">
        <f t="shared" si="195"/>
        <v>0</v>
      </c>
      <c r="BX162" s="313">
        <f t="shared" si="196"/>
        <v>0</v>
      </c>
      <c r="BY162" s="313">
        <f t="shared" si="197"/>
        <v>0</v>
      </c>
      <c r="BZ162" s="313">
        <f t="shared" si="198"/>
        <v>0</v>
      </c>
      <c r="CA162" s="44"/>
      <c r="CB162" s="45">
        <f t="shared" si="199"/>
        <v>174370.99999999997</v>
      </c>
      <c r="CC162" s="46">
        <f t="shared" si="200"/>
        <v>0</v>
      </c>
      <c r="CD162" s="47">
        <f t="shared" si="201"/>
        <v>158519.09090909088</v>
      </c>
      <c r="CE162" s="62"/>
      <c r="CF162" s="237" t="s">
        <v>1918</v>
      </c>
      <c r="CG162" s="106">
        <f t="shared" si="202"/>
        <v>0</v>
      </c>
      <c r="CI162" s="51"/>
      <c r="CK162" s="251" t="str">
        <f t="shared" si="203"/>
        <v>reliquataire</v>
      </c>
      <c r="CL162" s="323">
        <f t="shared" si="204"/>
        <v>0</v>
      </c>
      <c r="CM162" s="40"/>
    </row>
    <row r="163" spans="1:92">
      <c r="A163" s="1" t="s">
        <v>280</v>
      </c>
      <c r="B163" s="1" t="s">
        <v>430</v>
      </c>
      <c r="C163" s="1" t="s">
        <v>1436</v>
      </c>
      <c r="D163" s="77"/>
      <c r="E163" s="77"/>
      <c r="F163" s="43"/>
      <c r="G163" s="43"/>
      <c r="H163" s="43"/>
      <c r="I163" s="43"/>
      <c r="J163" s="44"/>
      <c r="K163" s="44"/>
      <c r="L163" s="45">
        <v>0</v>
      </c>
      <c r="M163" s="45">
        <v>0</v>
      </c>
      <c r="N163" s="45">
        <v>0</v>
      </c>
      <c r="O163" s="45">
        <v>119140</v>
      </c>
      <c r="P163" s="45"/>
      <c r="Q163" s="45"/>
      <c r="R163" s="45">
        <v>1191.4000000000001</v>
      </c>
      <c r="S163" s="45">
        <v>7386.68</v>
      </c>
      <c r="T163" s="45">
        <v>3335.92</v>
      </c>
      <c r="U163" s="45"/>
      <c r="V163" s="45"/>
      <c r="W163" s="45">
        <v>4205</v>
      </c>
      <c r="X163" s="45"/>
      <c r="Y163" s="45"/>
      <c r="Z163" s="45"/>
      <c r="AA163" s="45"/>
      <c r="AB163" s="45">
        <v>42.050000000000004</v>
      </c>
      <c r="AC163" s="45">
        <v>260.70999999999998</v>
      </c>
      <c r="AD163" s="45">
        <v>117.74000000000001</v>
      </c>
      <c r="AE163" s="44"/>
      <c r="AF163" s="44"/>
      <c r="AG163" s="44"/>
      <c r="AH163" s="44"/>
      <c r="AI163" s="44"/>
      <c r="AJ163" s="44">
        <v>193602</v>
      </c>
      <c r="AK163" s="44">
        <v>14893</v>
      </c>
      <c r="AL163" s="44">
        <v>14893</v>
      </c>
      <c r="AM163" s="44">
        <v>74462</v>
      </c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>
        <v>10024</v>
      </c>
      <c r="BF163" s="44">
        <v>4212</v>
      </c>
      <c r="BG163" s="44">
        <v>3000</v>
      </c>
      <c r="BH163" s="44"/>
      <c r="BI163" s="44"/>
      <c r="BJ163" s="44"/>
      <c r="BK163" s="44"/>
      <c r="BL163" s="44"/>
      <c r="BM163" s="44"/>
      <c r="BN163" s="44"/>
      <c r="BO163" s="44"/>
      <c r="BP163" s="44"/>
      <c r="BQ163" s="44">
        <v>1000</v>
      </c>
      <c r="BR163" s="44">
        <v>250</v>
      </c>
      <c r="BS163" s="44"/>
      <c r="BT163" s="44"/>
      <c r="BU163" s="44"/>
      <c r="BV163" s="44"/>
      <c r="BW163" s="44"/>
      <c r="BX163" s="44"/>
      <c r="BY163" s="44"/>
      <c r="BZ163" s="44"/>
      <c r="CA163" s="44"/>
      <c r="CB163" s="45">
        <f t="shared" si="199"/>
        <v>452015.5</v>
      </c>
      <c r="CC163" s="46">
        <f t="shared" si="200"/>
        <v>197807</v>
      </c>
      <c r="CD163" s="47">
        <f t="shared" si="201"/>
        <v>316947</v>
      </c>
      <c r="CE163" s="62"/>
      <c r="CF163" s="237" t="str">
        <f>VLOOKUP(A163,labo!B:C,2,FALSE)</f>
        <v>MINE</v>
      </c>
      <c r="CG163" s="106">
        <f t="shared" si="202"/>
        <v>0</v>
      </c>
      <c r="CI163" s="51"/>
      <c r="CK163" s="251" t="str">
        <f>+B163</f>
        <v>M051512329643G</v>
      </c>
      <c r="CL163" s="323">
        <f>CE163</f>
        <v>0</v>
      </c>
      <c r="CM163" s="40"/>
    </row>
    <row r="164" spans="1:92">
      <c r="A164" s="325" t="s">
        <v>2328</v>
      </c>
      <c r="B164" s="41" t="s">
        <v>2462</v>
      </c>
      <c r="C164" s="660" t="s">
        <v>1436</v>
      </c>
      <c r="D164" s="77"/>
      <c r="E164" s="77"/>
      <c r="F164" s="43"/>
      <c r="G164" s="43"/>
      <c r="H164" s="43"/>
      <c r="I164" s="43"/>
      <c r="J164" s="25">
        <v>13168.454545454546</v>
      </c>
      <c r="K164" s="44"/>
      <c r="L164" s="45">
        <v>131.68454545454546</v>
      </c>
      <c r="M164" s="45">
        <v>816.44418181818185</v>
      </c>
      <c r="N164" s="45">
        <v>1634</v>
      </c>
      <c r="O164" s="45">
        <v>1608.8181818181818</v>
      </c>
      <c r="P164" s="45"/>
      <c r="Q164" s="45"/>
      <c r="R164" s="45">
        <v>16.088181818181816</v>
      </c>
      <c r="S164" s="45">
        <v>99.74672727272727</v>
      </c>
      <c r="T164" s="45">
        <v>45.046909090909089</v>
      </c>
      <c r="U164" s="45"/>
      <c r="V164" s="45"/>
      <c r="W164" s="45"/>
      <c r="X164" s="45"/>
      <c r="Y164" s="45"/>
      <c r="Z164" s="45"/>
      <c r="AA164" s="45"/>
      <c r="AB164" s="45">
        <v>0</v>
      </c>
      <c r="AC164" s="45">
        <v>0</v>
      </c>
      <c r="AD164" s="45">
        <v>0</v>
      </c>
      <c r="AE164" s="44">
        <v>1343</v>
      </c>
      <c r="AF164" s="44"/>
      <c r="AG164" s="44"/>
      <c r="AH164" s="44"/>
      <c r="AI164" s="44"/>
      <c r="AJ164" s="44">
        <v>2182</v>
      </c>
      <c r="AK164" s="44">
        <v>169</v>
      </c>
      <c r="AL164" s="44">
        <v>169</v>
      </c>
      <c r="AM164" s="44">
        <v>838</v>
      </c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>
        <v>0</v>
      </c>
      <c r="BS164" s="312"/>
      <c r="BT164" s="312"/>
      <c r="BU164" s="312"/>
      <c r="BV164" s="312"/>
      <c r="BW164" s="313"/>
      <c r="BX164" s="313"/>
      <c r="BY164" s="313"/>
      <c r="BZ164" s="313"/>
      <c r="CA164" s="44"/>
      <c r="CB164" s="45">
        <f t="shared" si="199"/>
        <v>22221.283272727273</v>
      </c>
      <c r="CC164" s="46">
        <f t="shared" si="200"/>
        <v>3525</v>
      </c>
      <c r="CD164" s="47">
        <f t="shared" si="201"/>
        <v>18302.272727272728</v>
      </c>
      <c r="CE164" s="62"/>
      <c r="CF164" s="237" t="str">
        <f>VLOOKUP(A164,labo!B:C,2,FALSE)</f>
        <v>MINE</v>
      </c>
      <c r="CG164" s="106">
        <f t="shared" si="202"/>
        <v>0</v>
      </c>
      <c r="CI164" s="51"/>
      <c r="CK164" s="251" t="str">
        <f t="shared" si="203"/>
        <v>P018612584822G</v>
      </c>
      <c r="CL164" s="323">
        <f t="shared" si="204"/>
        <v>0</v>
      </c>
      <c r="CM164" s="40"/>
    </row>
    <row r="165" spans="1:92">
      <c r="A165" s="325" t="s">
        <v>334</v>
      </c>
      <c r="B165" s="41" t="s">
        <v>2308</v>
      </c>
      <c r="C165" s="660" t="s">
        <v>1436</v>
      </c>
      <c r="D165" s="77"/>
      <c r="E165" s="77"/>
      <c r="F165" s="43"/>
      <c r="G165" s="43"/>
      <c r="H165" s="43"/>
      <c r="I165" s="43"/>
      <c r="J165" s="25">
        <v>27088</v>
      </c>
      <c r="K165" s="44"/>
      <c r="L165" s="45">
        <v>270.88</v>
      </c>
      <c r="M165" s="45">
        <v>1679.4559999999999</v>
      </c>
      <c r="N165" s="45">
        <v>758.46400000000006</v>
      </c>
      <c r="O165" s="45">
        <v>3096</v>
      </c>
      <c r="P165" s="45"/>
      <c r="Q165" s="45"/>
      <c r="R165" s="45">
        <v>30.96</v>
      </c>
      <c r="S165" s="45">
        <v>191.952</v>
      </c>
      <c r="T165" s="45">
        <v>86.688000000000002</v>
      </c>
      <c r="U165" s="45"/>
      <c r="V165" s="45"/>
      <c r="W165" s="45"/>
      <c r="X165" s="45"/>
      <c r="Y165" s="45"/>
      <c r="Z165" s="45"/>
      <c r="AA165" s="45"/>
      <c r="AB165" s="45">
        <v>0</v>
      </c>
      <c r="AC165" s="45">
        <v>0</v>
      </c>
      <c r="AD165" s="45">
        <v>0</v>
      </c>
      <c r="AE165" s="44">
        <v>2490</v>
      </c>
      <c r="AF165" s="44"/>
      <c r="AG165" s="44"/>
      <c r="AH165" s="44"/>
      <c r="AI165" s="44"/>
      <c r="AJ165" s="44">
        <v>4046.25</v>
      </c>
      <c r="AK165" s="44">
        <v>311.25</v>
      </c>
      <c r="AL165" s="44">
        <v>311.25</v>
      </c>
      <c r="AM165" s="44">
        <v>1556.25</v>
      </c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>
        <v>0</v>
      </c>
      <c r="BS165" s="312"/>
      <c r="BT165" s="312"/>
      <c r="BU165" s="312"/>
      <c r="BV165" s="312"/>
      <c r="BW165" s="313"/>
      <c r="BX165" s="313"/>
      <c r="BY165" s="313"/>
      <c r="BZ165" s="313"/>
      <c r="CA165" s="44"/>
      <c r="CB165" s="45">
        <f t="shared" si="199"/>
        <v>41917.4</v>
      </c>
      <c r="CC165" s="46">
        <f t="shared" si="200"/>
        <v>6536.25</v>
      </c>
      <c r="CD165" s="47">
        <f t="shared" si="201"/>
        <v>36720.25</v>
      </c>
      <c r="CE165" s="62"/>
      <c r="CF165" s="237" t="str">
        <f>VLOOKUP(A165,labo!B:C,2,FALSE)</f>
        <v>MINE</v>
      </c>
      <c r="CG165" s="106">
        <f t="shared" si="202"/>
        <v>0</v>
      </c>
      <c r="CI165" s="51"/>
      <c r="CK165" s="251" t="str">
        <f t="shared" si="203"/>
        <v>P017412624013F</v>
      </c>
      <c r="CL165" s="323">
        <f t="shared" si="204"/>
        <v>0</v>
      </c>
      <c r="CM165" s="40"/>
    </row>
    <row r="166" spans="1:92">
      <c r="A166" s="325" t="s">
        <v>2352</v>
      </c>
      <c r="B166" s="41" t="s">
        <v>2555</v>
      </c>
      <c r="C166" s="660" t="s">
        <v>1436</v>
      </c>
      <c r="D166" s="77"/>
      <c r="E166" s="77"/>
      <c r="F166" s="43"/>
      <c r="G166" s="43"/>
      <c r="H166" s="43"/>
      <c r="I166" s="43"/>
      <c r="J166" s="25">
        <v>13333</v>
      </c>
      <c r="K166" s="44"/>
      <c r="L166" s="45">
        <v>133.33000000000001</v>
      </c>
      <c r="M166" s="45">
        <v>826.64599999999996</v>
      </c>
      <c r="N166" s="45">
        <v>373.32400000000001</v>
      </c>
      <c r="O166" s="45">
        <v>1524</v>
      </c>
      <c r="P166" s="45"/>
      <c r="Q166" s="45"/>
      <c r="R166" s="45">
        <v>15.24</v>
      </c>
      <c r="S166" s="45">
        <v>94.488</v>
      </c>
      <c r="T166" s="45">
        <v>42.672000000000004</v>
      </c>
      <c r="U166" s="45"/>
      <c r="V166" s="45"/>
      <c r="W166" s="45"/>
      <c r="X166" s="45"/>
      <c r="Y166" s="45"/>
      <c r="Z166" s="45"/>
      <c r="AA166" s="45"/>
      <c r="AB166" s="45">
        <v>0</v>
      </c>
      <c r="AC166" s="45">
        <v>0</v>
      </c>
      <c r="AD166" s="45">
        <v>0</v>
      </c>
      <c r="AE166" s="44">
        <v>1484</v>
      </c>
      <c r="AF166" s="44"/>
      <c r="AG166" s="44"/>
      <c r="AH166" s="44"/>
      <c r="AI166" s="44"/>
      <c r="AJ166" s="44">
        <v>2410</v>
      </c>
      <c r="AK166" s="44">
        <v>186</v>
      </c>
      <c r="AL166" s="44">
        <v>186</v>
      </c>
      <c r="AM166" s="44">
        <v>927</v>
      </c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>
        <v>0</v>
      </c>
      <c r="BS166" s="312"/>
      <c r="BT166" s="312"/>
      <c r="BU166" s="312"/>
      <c r="BV166" s="312"/>
      <c r="BW166" s="313"/>
      <c r="BX166" s="313"/>
      <c r="BY166" s="313"/>
      <c r="BZ166" s="313"/>
      <c r="CA166" s="44"/>
      <c r="CB166" s="45">
        <f t="shared" si="199"/>
        <v>21535.7</v>
      </c>
      <c r="CC166" s="46">
        <f t="shared" si="200"/>
        <v>3894</v>
      </c>
      <c r="CD166" s="47">
        <f t="shared" si="201"/>
        <v>18751</v>
      </c>
      <c r="CE166" s="62"/>
      <c r="CF166" s="237" t="str">
        <f>VLOOKUP(A166,labo!B:C,2,FALSE)</f>
        <v>MINE</v>
      </c>
      <c r="CG166" s="106">
        <f t="shared" si="202"/>
        <v>0</v>
      </c>
      <c r="CI166" s="51"/>
      <c r="CK166" s="251" t="str">
        <f t="shared" si="203"/>
        <v>P018414235765T</v>
      </c>
      <c r="CL166" s="323">
        <f t="shared" si="204"/>
        <v>0</v>
      </c>
      <c r="CM166" s="40"/>
    </row>
    <row r="167" spans="1:92">
      <c r="A167" s="325" t="s">
        <v>2362</v>
      </c>
      <c r="B167" s="41" t="s">
        <v>2583</v>
      </c>
      <c r="C167" s="660" t="s">
        <v>1436</v>
      </c>
      <c r="D167" s="77"/>
      <c r="E167" s="77"/>
      <c r="F167" s="43"/>
      <c r="G167" s="43"/>
      <c r="H167" s="43"/>
      <c r="I167" s="43"/>
      <c r="J167" s="25"/>
      <c r="K167" s="44"/>
      <c r="L167" s="45">
        <v>0</v>
      </c>
      <c r="M167" s="45">
        <v>0</v>
      </c>
      <c r="N167" s="45">
        <v>0</v>
      </c>
      <c r="O167" s="45">
        <v>105610</v>
      </c>
      <c r="P167" s="45"/>
      <c r="Q167" s="45"/>
      <c r="R167" s="45">
        <v>1056.0999999999999</v>
      </c>
      <c r="S167" s="45">
        <v>6547.82</v>
      </c>
      <c r="T167" s="45">
        <v>2957.08</v>
      </c>
      <c r="U167" s="45"/>
      <c r="V167" s="45"/>
      <c r="W167" s="45">
        <v>32129</v>
      </c>
      <c r="X167" s="45"/>
      <c r="Y167" s="45"/>
      <c r="Z167" s="45"/>
      <c r="AA167" s="45"/>
      <c r="AB167" s="45">
        <v>321.29000000000002</v>
      </c>
      <c r="AC167" s="45">
        <v>1991.998</v>
      </c>
      <c r="AD167" s="45">
        <v>899.61199999999997</v>
      </c>
      <c r="AE167" s="44"/>
      <c r="AF167" s="44"/>
      <c r="AG167" s="44"/>
      <c r="AH167" s="44"/>
      <c r="AI167" s="44"/>
      <c r="AJ167" s="44">
        <v>98579</v>
      </c>
      <c r="AK167" s="44">
        <v>7583</v>
      </c>
      <c r="AL167" s="44">
        <v>7583</v>
      </c>
      <c r="AM167" s="44">
        <v>37915</v>
      </c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>
        <v>31425</v>
      </c>
      <c r="BF167" s="44">
        <v>13090</v>
      </c>
      <c r="BG167" s="44">
        <v>11100</v>
      </c>
      <c r="BH167" s="44"/>
      <c r="BI167" s="44"/>
      <c r="BJ167" s="44"/>
      <c r="BK167" s="44"/>
      <c r="BL167" s="44"/>
      <c r="BM167" s="44"/>
      <c r="BN167" s="44"/>
      <c r="BO167" s="44"/>
      <c r="BP167" s="44"/>
      <c r="BQ167" s="44">
        <v>3000</v>
      </c>
      <c r="BR167" s="44">
        <v>250</v>
      </c>
      <c r="BS167" s="312"/>
      <c r="BT167" s="312"/>
      <c r="BU167" s="312"/>
      <c r="BV167" s="312"/>
      <c r="BW167" s="313"/>
      <c r="BX167" s="313"/>
      <c r="BY167" s="313"/>
      <c r="BZ167" s="313"/>
      <c r="CA167" s="44"/>
      <c r="CB167" s="45">
        <f t="shared" si="199"/>
        <v>362037.9</v>
      </c>
      <c r="CC167" s="46">
        <f t="shared" si="200"/>
        <v>130708</v>
      </c>
      <c r="CD167" s="47">
        <f t="shared" si="201"/>
        <v>236318</v>
      </c>
      <c r="CE167" s="62"/>
      <c r="CF167" s="237" t="str">
        <f>VLOOKUP(A167,labo!B:C,2,FALSE)</f>
        <v>MINE</v>
      </c>
      <c r="CG167" s="106">
        <f t="shared" si="202"/>
        <v>0</v>
      </c>
      <c r="CI167" s="51"/>
      <c r="CK167" s="251" t="str">
        <f t="shared" si="203"/>
        <v>M031912770869T</v>
      </c>
      <c r="CL167" s="323">
        <f t="shared" si="204"/>
        <v>0</v>
      </c>
      <c r="CM167" s="40"/>
    </row>
    <row r="168" spans="1:92">
      <c r="A168" s="325" t="s">
        <v>2391</v>
      </c>
      <c r="B168" s="41" t="s">
        <v>2620</v>
      </c>
      <c r="C168" s="660" t="s">
        <v>1436</v>
      </c>
      <c r="D168" s="77"/>
      <c r="E168" s="77"/>
      <c r="F168" s="43"/>
      <c r="G168" s="43"/>
      <c r="H168" s="43"/>
      <c r="I168" s="43"/>
      <c r="J168" s="25">
        <v>41877</v>
      </c>
      <c r="K168" s="44"/>
      <c r="L168" s="45">
        <v>418.77</v>
      </c>
      <c r="M168" s="45">
        <v>2596.3739999999998</v>
      </c>
      <c r="N168" s="45">
        <v>1172.556</v>
      </c>
      <c r="O168" s="45">
        <v>4786</v>
      </c>
      <c r="P168" s="45"/>
      <c r="Q168" s="45"/>
      <c r="R168" s="45">
        <v>47.86</v>
      </c>
      <c r="S168" s="45">
        <v>296.73199999999997</v>
      </c>
      <c r="T168" s="45">
        <v>134.00800000000001</v>
      </c>
      <c r="U168" s="45"/>
      <c r="V168" s="45"/>
      <c r="W168" s="45"/>
      <c r="X168" s="45"/>
      <c r="Y168" s="45"/>
      <c r="Z168" s="45"/>
      <c r="AA168" s="45"/>
      <c r="AB168" s="45">
        <v>0</v>
      </c>
      <c r="AC168" s="45">
        <v>0</v>
      </c>
      <c r="AD168" s="45">
        <v>0</v>
      </c>
      <c r="AE168" s="44">
        <v>4229</v>
      </c>
      <c r="AF168" s="44"/>
      <c r="AG168" s="44"/>
      <c r="AH168" s="44"/>
      <c r="AI168" s="44"/>
      <c r="AJ168" s="44">
        <v>6330</v>
      </c>
      <c r="AK168" s="44">
        <v>488</v>
      </c>
      <c r="AL168" s="44">
        <v>488</v>
      </c>
      <c r="AM168" s="44">
        <v>2433</v>
      </c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>
        <v>0</v>
      </c>
      <c r="BS168" s="312"/>
      <c r="BT168" s="312"/>
      <c r="BU168" s="312"/>
      <c r="BV168" s="312"/>
      <c r="BW168" s="313"/>
      <c r="BX168" s="313"/>
      <c r="BY168" s="313"/>
      <c r="BZ168" s="313"/>
      <c r="CA168" s="44"/>
      <c r="CB168" s="45">
        <f t="shared" si="199"/>
        <v>65297.3</v>
      </c>
      <c r="CC168" s="46">
        <f t="shared" si="200"/>
        <v>10559</v>
      </c>
      <c r="CD168" s="47">
        <f t="shared" si="201"/>
        <v>57222</v>
      </c>
      <c r="CE168" s="62"/>
      <c r="CF168" s="237" t="str">
        <f>VLOOKUP(A168,labo!B:C,2,FALSE)</f>
        <v>MINE</v>
      </c>
      <c r="CG168" s="106">
        <f t="shared" si="202"/>
        <v>0</v>
      </c>
      <c r="CI168" s="51"/>
      <c r="CK168" s="251" t="str">
        <f t="shared" si="203"/>
        <v>P018614235358Q</v>
      </c>
      <c r="CL168" s="323">
        <f t="shared" si="204"/>
        <v>0</v>
      </c>
      <c r="CM168" s="40"/>
    </row>
    <row r="169" spans="1:92">
      <c r="A169" s="704" t="s">
        <v>3102</v>
      </c>
      <c r="B169" s="41" t="e">
        <f>VLOOKUP(A169,'vs mars'!B:D,3,FALSE)</f>
        <v>#N/A</v>
      </c>
      <c r="C169" s="42" t="e">
        <f>VLOOKUP(A169,'vs mars'!B:AC,28,FALSE)</f>
        <v>#N/A</v>
      </c>
      <c r="D169" s="77"/>
      <c r="E169" s="77"/>
      <c r="F169" s="43"/>
      <c r="G169" s="43"/>
      <c r="H169" s="43"/>
      <c r="I169" s="43"/>
      <c r="J169" s="44"/>
      <c r="K169" s="44"/>
      <c r="L169" s="45">
        <f t="shared" si="180"/>
        <v>0</v>
      </c>
      <c r="M169" s="45">
        <f t="shared" si="181"/>
        <v>0</v>
      </c>
      <c r="N169" s="45">
        <f t="shared" si="182"/>
        <v>0</v>
      </c>
      <c r="O169" s="45"/>
      <c r="P169" s="45"/>
      <c r="Q169" s="45"/>
      <c r="R169" s="45">
        <f t="shared" si="183"/>
        <v>0</v>
      </c>
      <c r="S169" s="45">
        <f t="shared" si="184"/>
        <v>0</v>
      </c>
      <c r="T169" s="45">
        <f t="shared" si="185"/>
        <v>0</v>
      </c>
      <c r="U169" s="45"/>
      <c r="V169" s="45"/>
      <c r="W169" s="45"/>
      <c r="X169" s="45"/>
      <c r="Y169" s="45"/>
      <c r="Z169" s="45"/>
      <c r="AA169" s="45"/>
      <c r="AB169" s="45">
        <f t="shared" si="186"/>
        <v>0</v>
      </c>
      <c r="AC169" s="45">
        <f t="shared" si="187"/>
        <v>0</v>
      </c>
      <c r="AD169" s="45">
        <f t="shared" si="188"/>
        <v>0</v>
      </c>
      <c r="AE169" s="44"/>
      <c r="AF169" s="44"/>
      <c r="AG169" s="44"/>
      <c r="AH169" s="44"/>
      <c r="AI169" s="44"/>
      <c r="AJ169" s="44"/>
      <c r="AK169" s="44"/>
      <c r="AL169" s="44">
        <f t="shared" si="189"/>
        <v>0</v>
      </c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>
        <f t="shared" si="190"/>
        <v>0</v>
      </c>
      <c r="BS169" s="312">
        <f t="shared" si="191"/>
        <v>0</v>
      </c>
      <c r="BT169" s="312">
        <f t="shared" si="192"/>
        <v>0</v>
      </c>
      <c r="BU169" s="312">
        <f t="shared" si="193"/>
        <v>0</v>
      </c>
      <c r="BV169" s="312">
        <f t="shared" si="194"/>
        <v>0</v>
      </c>
      <c r="BW169" s="313">
        <f t="shared" si="195"/>
        <v>500</v>
      </c>
      <c r="BX169" s="313">
        <f t="shared" si="196"/>
        <v>900</v>
      </c>
      <c r="BY169" s="313">
        <f t="shared" si="197"/>
        <v>900</v>
      </c>
      <c r="BZ169" s="313">
        <f t="shared" si="198"/>
        <v>2700</v>
      </c>
      <c r="CA169" s="44"/>
      <c r="CB169" s="45">
        <f t="shared" si="199"/>
        <v>5000</v>
      </c>
      <c r="CC169" s="46">
        <f t="shared" si="200"/>
        <v>0</v>
      </c>
      <c r="CD169" s="47">
        <f t="shared" si="201"/>
        <v>0</v>
      </c>
      <c r="CE169" s="62"/>
      <c r="CF169" s="237" t="e">
        <f>VLOOKUP(A169,labo!B:C,2,FALSE)</f>
        <v>#N/A</v>
      </c>
      <c r="CG169" s="106">
        <f t="shared" si="202"/>
        <v>0</v>
      </c>
      <c r="CI169" s="705">
        <v>5000</v>
      </c>
      <c r="CK169" s="251" t="e">
        <f t="shared" ref="CK169" si="223">+B169</f>
        <v>#N/A</v>
      </c>
      <c r="CL169" s="323">
        <f t="shared" ref="CL169" si="224">CE169</f>
        <v>0</v>
      </c>
      <c r="CM169" s="40"/>
    </row>
    <row r="170" spans="1:92">
      <c r="A170" s="704" t="s">
        <v>3103</v>
      </c>
      <c r="B170" s="41" t="e">
        <f>VLOOKUP(A170,'vs mars'!B:D,3,FALSE)</f>
        <v>#N/A</v>
      </c>
      <c r="C170" s="42" t="e">
        <f>VLOOKUP(A170,'vs mars'!B:AC,28,FALSE)</f>
        <v>#N/A</v>
      </c>
      <c r="D170" s="77"/>
      <c r="E170" s="77"/>
      <c r="F170" s="43"/>
      <c r="G170" s="43"/>
      <c r="H170" s="43"/>
      <c r="I170" s="43"/>
      <c r="J170" s="44"/>
      <c r="K170" s="44"/>
      <c r="L170" s="45">
        <f t="shared" si="180"/>
        <v>0</v>
      </c>
      <c r="M170" s="45">
        <f t="shared" si="181"/>
        <v>0</v>
      </c>
      <c r="N170" s="45">
        <f t="shared" si="182"/>
        <v>0</v>
      </c>
      <c r="O170" s="45"/>
      <c r="P170" s="45"/>
      <c r="Q170" s="45"/>
      <c r="R170" s="45">
        <f t="shared" si="183"/>
        <v>0</v>
      </c>
      <c r="S170" s="45">
        <f t="shared" si="184"/>
        <v>0</v>
      </c>
      <c r="T170" s="45">
        <f t="shared" si="185"/>
        <v>0</v>
      </c>
      <c r="U170" s="45"/>
      <c r="V170" s="45"/>
      <c r="W170" s="45"/>
      <c r="X170" s="45"/>
      <c r="Y170" s="45"/>
      <c r="Z170" s="45"/>
      <c r="AA170" s="45"/>
      <c r="AB170" s="45">
        <f t="shared" si="186"/>
        <v>0</v>
      </c>
      <c r="AC170" s="45">
        <f t="shared" si="187"/>
        <v>0</v>
      </c>
      <c r="AD170" s="45">
        <f t="shared" si="188"/>
        <v>0</v>
      </c>
      <c r="AE170" s="44"/>
      <c r="AF170" s="44"/>
      <c r="AG170" s="44"/>
      <c r="AH170" s="44"/>
      <c r="AI170" s="44"/>
      <c r="AJ170" s="44"/>
      <c r="AK170" s="44"/>
      <c r="AL170" s="44">
        <f t="shared" si="189"/>
        <v>0</v>
      </c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>
        <f t="shared" si="190"/>
        <v>0</v>
      </c>
      <c r="BS170" s="312">
        <f t="shared" si="191"/>
        <v>0</v>
      </c>
      <c r="BT170" s="312">
        <f t="shared" si="192"/>
        <v>0</v>
      </c>
      <c r="BU170" s="312">
        <f t="shared" si="193"/>
        <v>0</v>
      </c>
      <c r="BV170" s="312">
        <f t="shared" si="194"/>
        <v>0</v>
      </c>
      <c r="BW170" s="313">
        <f t="shared" si="195"/>
        <v>8034.5</v>
      </c>
      <c r="BX170" s="313">
        <f t="shared" si="196"/>
        <v>14462.1</v>
      </c>
      <c r="BY170" s="313">
        <f t="shared" si="197"/>
        <v>14462.1</v>
      </c>
      <c r="BZ170" s="313">
        <f t="shared" si="198"/>
        <v>43386.3</v>
      </c>
      <c r="CA170" s="44"/>
      <c r="CB170" s="45">
        <f t="shared" si="199"/>
        <v>80345</v>
      </c>
      <c r="CC170" s="46">
        <f t="shared" si="200"/>
        <v>0</v>
      </c>
      <c r="CD170" s="47">
        <f t="shared" si="201"/>
        <v>0</v>
      </c>
      <c r="CE170" s="62"/>
      <c r="CF170" s="237" t="e">
        <f>VLOOKUP(A170,labo!B:C,2,FALSE)</f>
        <v>#N/A</v>
      </c>
      <c r="CG170" s="106">
        <f t="shared" si="202"/>
        <v>0</v>
      </c>
      <c r="CI170" s="705">
        <v>80345</v>
      </c>
      <c r="CK170" s="251" t="e">
        <f t="shared" si="203"/>
        <v>#N/A</v>
      </c>
      <c r="CL170" s="323">
        <f t="shared" si="204"/>
        <v>0</v>
      </c>
      <c r="CM170" s="40"/>
    </row>
    <row r="171" spans="1:92">
      <c r="A171" s="706" t="s">
        <v>3104</v>
      </c>
      <c r="B171" s="41" t="e">
        <f>VLOOKUP(A171,'vs mars'!B:D,3,FALSE)</f>
        <v>#N/A</v>
      </c>
      <c r="C171" s="42" t="e">
        <f>VLOOKUP(A171,'vs mars'!B:AC,28,FALSE)</f>
        <v>#N/A</v>
      </c>
      <c r="D171" s="77"/>
      <c r="E171" s="77"/>
      <c r="F171" s="43"/>
      <c r="G171" s="43"/>
      <c r="H171" s="43"/>
      <c r="I171" s="43"/>
      <c r="J171" s="44"/>
      <c r="K171" s="44"/>
      <c r="L171" s="45">
        <f t="shared" si="180"/>
        <v>0</v>
      </c>
      <c r="M171" s="45">
        <f t="shared" si="181"/>
        <v>0</v>
      </c>
      <c r="N171" s="45">
        <f t="shared" si="182"/>
        <v>0</v>
      </c>
      <c r="O171" s="45"/>
      <c r="P171" s="45"/>
      <c r="Q171" s="45"/>
      <c r="R171" s="45">
        <f t="shared" si="183"/>
        <v>0</v>
      </c>
      <c r="S171" s="45">
        <f t="shared" si="184"/>
        <v>0</v>
      </c>
      <c r="T171" s="45">
        <f t="shared" si="185"/>
        <v>0</v>
      </c>
      <c r="U171" s="45"/>
      <c r="V171" s="45"/>
      <c r="W171" s="45"/>
      <c r="X171" s="45"/>
      <c r="Y171" s="45"/>
      <c r="Z171" s="45"/>
      <c r="AA171" s="45"/>
      <c r="AB171" s="45">
        <f t="shared" si="186"/>
        <v>0</v>
      </c>
      <c r="AC171" s="45">
        <f t="shared" si="187"/>
        <v>0</v>
      </c>
      <c r="AD171" s="45">
        <f t="shared" si="188"/>
        <v>0</v>
      </c>
      <c r="AE171" s="44"/>
      <c r="AF171" s="44"/>
      <c r="AG171" s="44"/>
      <c r="AH171" s="44"/>
      <c r="AI171" s="44"/>
      <c r="AJ171" s="44"/>
      <c r="AK171" s="44"/>
      <c r="AL171" s="44">
        <f t="shared" si="189"/>
        <v>0</v>
      </c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>
        <f t="shared" si="190"/>
        <v>0</v>
      </c>
      <c r="BS171" s="312">
        <f t="shared" si="191"/>
        <v>5400</v>
      </c>
      <c r="BT171" s="312">
        <f t="shared" si="192"/>
        <v>9720</v>
      </c>
      <c r="BU171" s="312">
        <f t="shared" si="193"/>
        <v>9720</v>
      </c>
      <c r="BV171" s="312">
        <f t="shared" si="194"/>
        <v>29160.000000000004</v>
      </c>
      <c r="BW171" s="313">
        <f t="shared" si="195"/>
        <v>0</v>
      </c>
      <c r="BX171" s="313">
        <f t="shared" si="196"/>
        <v>0</v>
      </c>
      <c r="BY171" s="313">
        <f t="shared" si="197"/>
        <v>0</v>
      </c>
      <c r="BZ171" s="313">
        <f t="shared" si="198"/>
        <v>0</v>
      </c>
      <c r="CA171" s="44"/>
      <c r="CB171" s="45">
        <f t="shared" si="199"/>
        <v>54000</v>
      </c>
      <c r="CC171" s="46">
        <f t="shared" si="200"/>
        <v>0</v>
      </c>
      <c r="CD171" s="47">
        <f t="shared" si="201"/>
        <v>0</v>
      </c>
      <c r="CE171" s="62"/>
      <c r="CF171" s="237" t="e">
        <f>VLOOKUP(A171,labo!B:C,2,FALSE)</f>
        <v>#N/A</v>
      </c>
      <c r="CG171" s="106">
        <f t="shared" si="202"/>
        <v>0</v>
      </c>
      <c r="CH171" s="40">
        <f>36000+18000</f>
        <v>54000</v>
      </c>
      <c r="CI171" s="51"/>
      <c r="CK171" s="251" t="e">
        <f t="shared" ref="CK171" si="225">+B171</f>
        <v>#N/A</v>
      </c>
      <c r="CL171" s="323">
        <f t="shared" ref="CL171" si="226">CE171</f>
        <v>0</v>
      </c>
      <c r="CM171" s="40"/>
    </row>
    <row r="172" spans="1:92" s="319" customFormat="1">
      <c r="A172" s="706" t="s">
        <v>3105</v>
      </c>
      <c r="B172" s="41" t="e">
        <f>VLOOKUP(A172,'vs mars'!B:D,3,FALSE)</f>
        <v>#N/A</v>
      </c>
      <c r="C172" s="42" t="e">
        <f>VLOOKUP(A172,'vs mars'!B:AC,28,FALSE)</f>
        <v>#N/A</v>
      </c>
      <c r="D172" s="77"/>
      <c r="E172" s="77"/>
      <c r="F172" s="43"/>
      <c r="G172" s="43"/>
      <c r="H172" s="43"/>
      <c r="I172" s="43"/>
      <c r="J172" s="44"/>
      <c r="K172" s="44"/>
      <c r="L172" s="45">
        <f t="shared" si="180"/>
        <v>0</v>
      </c>
      <c r="M172" s="45">
        <f t="shared" si="181"/>
        <v>0</v>
      </c>
      <c r="N172" s="45">
        <f t="shared" si="182"/>
        <v>0</v>
      </c>
      <c r="O172" s="45"/>
      <c r="P172" s="45"/>
      <c r="Q172" s="45"/>
      <c r="R172" s="45">
        <f t="shared" si="183"/>
        <v>0</v>
      </c>
      <c r="S172" s="45">
        <f t="shared" si="184"/>
        <v>0</v>
      </c>
      <c r="T172" s="45">
        <f t="shared" si="185"/>
        <v>0</v>
      </c>
      <c r="U172" s="45"/>
      <c r="V172" s="45"/>
      <c r="W172" s="45"/>
      <c r="X172" s="45"/>
      <c r="Y172" s="45"/>
      <c r="Z172" s="45"/>
      <c r="AA172" s="45"/>
      <c r="AB172" s="45">
        <f t="shared" si="186"/>
        <v>0</v>
      </c>
      <c r="AC172" s="45">
        <f t="shared" si="187"/>
        <v>0</v>
      </c>
      <c r="AD172" s="45">
        <f t="shared" si="188"/>
        <v>0</v>
      </c>
      <c r="AE172" s="44"/>
      <c r="AF172" s="44"/>
      <c r="AG172" s="44"/>
      <c r="AH172" s="44"/>
      <c r="AI172" s="44"/>
      <c r="AJ172" s="44"/>
      <c r="AK172" s="44"/>
      <c r="AL172" s="44">
        <f t="shared" si="189"/>
        <v>0</v>
      </c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>
        <f t="shared" si="190"/>
        <v>0</v>
      </c>
      <c r="BS172" s="312">
        <f t="shared" si="191"/>
        <v>9600</v>
      </c>
      <c r="BT172" s="312">
        <f t="shared" si="192"/>
        <v>17280</v>
      </c>
      <c r="BU172" s="312">
        <f t="shared" si="193"/>
        <v>17280</v>
      </c>
      <c r="BV172" s="312">
        <f t="shared" si="194"/>
        <v>51840</v>
      </c>
      <c r="BW172" s="313">
        <f t="shared" si="195"/>
        <v>0</v>
      </c>
      <c r="BX172" s="313">
        <f t="shared" si="196"/>
        <v>0</v>
      </c>
      <c r="BY172" s="313">
        <f t="shared" si="197"/>
        <v>0</v>
      </c>
      <c r="BZ172" s="313">
        <f t="shared" si="198"/>
        <v>0</v>
      </c>
      <c r="CA172" s="44"/>
      <c r="CB172" s="45">
        <f t="shared" si="199"/>
        <v>96000</v>
      </c>
      <c r="CC172" s="46">
        <f t="shared" si="200"/>
        <v>0</v>
      </c>
      <c r="CD172" s="47">
        <f t="shared" si="201"/>
        <v>0</v>
      </c>
      <c r="CE172" s="62"/>
      <c r="CF172" s="237" t="e">
        <f>VLOOKUP(A172,labo!B:C,2,FALSE)</f>
        <v>#N/A</v>
      </c>
      <c r="CG172" s="106">
        <f t="shared" si="202"/>
        <v>0</v>
      </c>
      <c r="CH172" s="40">
        <v>96000</v>
      </c>
      <c r="CI172" s="51"/>
      <c r="CJ172" s="40"/>
      <c r="CK172" s="251" t="e">
        <f t="shared" si="203"/>
        <v>#N/A</v>
      </c>
      <c r="CL172" s="323">
        <f t="shared" si="204"/>
        <v>0</v>
      </c>
      <c r="CM172" s="40"/>
      <c r="CN172" s="40"/>
    </row>
    <row r="173" spans="1:92" s="319" customFormat="1">
      <c r="A173" s="706" t="s">
        <v>3106</v>
      </c>
      <c r="B173" s="41" t="e">
        <f>VLOOKUP(A173,'vs mars'!B:D,3,FALSE)</f>
        <v>#N/A</v>
      </c>
      <c r="C173" s="42" t="e">
        <f>VLOOKUP(A173,'vs mars'!B:AC,28,FALSE)</f>
        <v>#N/A</v>
      </c>
      <c r="D173" s="77"/>
      <c r="E173" s="77"/>
      <c r="F173" s="43"/>
      <c r="G173" s="43"/>
      <c r="H173" s="43"/>
      <c r="I173" s="43"/>
      <c r="J173" s="44"/>
      <c r="K173" s="44"/>
      <c r="L173" s="45">
        <f t="shared" si="180"/>
        <v>0</v>
      </c>
      <c r="M173" s="45">
        <f t="shared" si="181"/>
        <v>0</v>
      </c>
      <c r="N173" s="45">
        <f t="shared" si="182"/>
        <v>0</v>
      </c>
      <c r="O173" s="45"/>
      <c r="P173" s="45"/>
      <c r="Q173" s="45"/>
      <c r="R173" s="45">
        <f t="shared" si="183"/>
        <v>0</v>
      </c>
      <c r="S173" s="45">
        <f t="shared" si="184"/>
        <v>0</v>
      </c>
      <c r="T173" s="45">
        <f t="shared" si="185"/>
        <v>0</v>
      </c>
      <c r="U173" s="45"/>
      <c r="V173" s="45"/>
      <c r="W173" s="45"/>
      <c r="X173" s="45"/>
      <c r="Y173" s="45"/>
      <c r="Z173" s="45"/>
      <c r="AA173" s="45"/>
      <c r="AB173" s="45">
        <f t="shared" si="186"/>
        <v>0</v>
      </c>
      <c r="AC173" s="45">
        <f t="shared" si="187"/>
        <v>0</v>
      </c>
      <c r="AD173" s="45">
        <f t="shared" si="188"/>
        <v>0</v>
      </c>
      <c r="AE173" s="44"/>
      <c r="AF173" s="44"/>
      <c r="AG173" s="44"/>
      <c r="AH173" s="44"/>
      <c r="AI173" s="44"/>
      <c r="AJ173" s="44"/>
      <c r="AK173" s="44"/>
      <c r="AL173" s="44">
        <f t="shared" si="189"/>
        <v>0</v>
      </c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>
        <f t="shared" si="190"/>
        <v>0</v>
      </c>
      <c r="BS173" s="312">
        <f t="shared" si="191"/>
        <v>1560</v>
      </c>
      <c r="BT173" s="312">
        <f t="shared" si="192"/>
        <v>2808</v>
      </c>
      <c r="BU173" s="312">
        <f t="shared" si="193"/>
        <v>2808</v>
      </c>
      <c r="BV173" s="312">
        <f t="shared" si="194"/>
        <v>8424</v>
      </c>
      <c r="BW173" s="313">
        <f t="shared" si="195"/>
        <v>0</v>
      </c>
      <c r="BX173" s="313">
        <f t="shared" si="196"/>
        <v>0</v>
      </c>
      <c r="BY173" s="313">
        <f t="shared" si="197"/>
        <v>0</v>
      </c>
      <c r="BZ173" s="313">
        <f t="shared" si="198"/>
        <v>0</v>
      </c>
      <c r="CA173" s="44"/>
      <c r="CB173" s="45">
        <f t="shared" si="199"/>
        <v>15600</v>
      </c>
      <c r="CC173" s="46">
        <f t="shared" si="200"/>
        <v>0</v>
      </c>
      <c r="CD173" s="47">
        <f t="shared" si="201"/>
        <v>0</v>
      </c>
      <c r="CE173" s="62"/>
      <c r="CF173" s="237" t="e">
        <f>VLOOKUP(A173,labo!B:C,2,FALSE)</f>
        <v>#N/A</v>
      </c>
      <c r="CG173" s="106">
        <f t="shared" si="202"/>
        <v>0</v>
      </c>
      <c r="CH173" s="40">
        <v>15600</v>
      </c>
      <c r="CI173" s="51"/>
      <c r="CJ173" s="40"/>
      <c r="CK173" s="251" t="e">
        <f t="shared" si="203"/>
        <v>#N/A</v>
      </c>
      <c r="CL173" s="323">
        <f t="shared" si="204"/>
        <v>0</v>
      </c>
      <c r="CM173" s="40"/>
      <c r="CN173" s="40"/>
    </row>
    <row r="174" spans="1:92">
      <c r="A174" s="706" t="s">
        <v>3107</v>
      </c>
      <c r="B174" s="41" t="e">
        <f>VLOOKUP(A174,'vs mars'!B:D,3,FALSE)</f>
        <v>#N/A</v>
      </c>
      <c r="C174" s="42" t="e">
        <f>VLOOKUP(A174,'vs mars'!B:AC,28,FALSE)</f>
        <v>#N/A</v>
      </c>
      <c r="D174" s="77"/>
      <c r="E174" s="77"/>
      <c r="F174" s="43"/>
      <c r="G174" s="43"/>
      <c r="H174" s="43"/>
      <c r="I174" s="43"/>
      <c r="J174" s="44"/>
      <c r="K174" s="44"/>
      <c r="L174" s="45">
        <f t="shared" si="180"/>
        <v>0</v>
      </c>
      <c r="M174" s="45">
        <f t="shared" si="181"/>
        <v>0</v>
      </c>
      <c r="N174" s="45">
        <f t="shared" si="182"/>
        <v>0</v>
      </c>
      <c r="O174" s="45"/>
      <c r="P174" s="45"/>
      <c r="Q174" s="45"/>
      <c r="R174" s="45">
        <f t="shared" si="183"/>
        <v>0</v>
      </c>
      <c r="S174" s="45">
        <f t="shared" si="184"/>
        <v>0</v>
      </c>
      <c r="T174" s="45">
        <f t="shared" si="185"/>
        <v>0</v>
      </c>
      <c r="U174" s="45"/>
      <c r="V174" s="45"/>
      <c r="W174" s="45"/>
      <c r="X174" s="45"/>
      <c r="Y174" s="45"/>
      <c r="Z174" s="45"/>
      <c r="AA174" s="45"/>
      <c r="AB174" s="45">
        <f t="shared" si="186"/>
        <v>0</v>
      </c>
      <c r="AC174" s="45">
        <f t="shared" si="187"/>
        <v>0</v>
      </c>
      <c r="AD174" s="45">
        <f t="shared" si="188"/>
        <v>0</v>
      </c>
      <c r="AE174" s="44"/>
      <c r="AF174" s="44"/>
      <c r="AG174" s="44"/>
      <c r="AH174" s="44"/>
      <c r="AI174" s="44"/>
      <c r="AJ174" s="44"/>
      <c r="AK174" s="44"/>
      <c r="AL174" s="44">
        <f t="shared" si="189"/>
        <v>0</v>
      </c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>
        <f t="shared" si="190"/>
        <v>0</v>
      </c>
      <c r="BS174" s="312">
        <f t="shared" si="191"/>
        <v>12000</v>
      </c>
      <c r="BT174" s="312">
        <f t="shared" si="192"/>
        <v>21600</v>
      </c>
      <c r="BU174" s="312">
        <f t="shared" si="193"/>
        <v>21600</v>
      </c>
      <c r="BV174" s="312">
        <f t="shared" si="194"/>
        <v>64800.000000000007</v>
      </c>
      <c r="BW174" s="313">
        <f t="shared" si="195"/>
        <v>0</v>
      </c>
      <c r="BX174" s="313">
        <f t="shared" si="196"/>
        <v>0</v>
      </c>
      <c r="BY174" s="313">
        <f t="shared" si="197"/>
        <v>0</v>
      </c>
      <c r="BZ174" s="313">
        <f t="shared" si="198"/>
        <v>0</v>
      </c>
      <c r="CA174" s="44"/>
      <c r="CB174" s="45">
        <f t="shared" si="199"/>
        <v>120000</v>
      </c>
      <c r="CC174" s="46">
        <f t="shared" si="200"/>
        <v>0</v>
      </c>
      <c r="CD174" s="47">
        <f t="shared" si="201"/>
        <v>0</v>
      </c>
      <c r="CE174" s="62"/>
      <c r="CF174" s="237" t="e">
        <f>VLOOKUP(A174,labo!B:C,2,FALSE)</f>
        <v>#N/A</v>
      </c>
      <c r="CG174" s="106">
        <f t="shared" si="202"/>
        <v>0</v>
      </c>
      <c r="CH174" s="40">
        <v>120000</v>
      </c>
      <c r="CI174" s="51"/>
      <c r="CK174" s="251" t="e">
        <f t="shared" si="203"/>
        <v>#N/A</v>
      </c>
      <c r="CL174" s="323">
        <f t="shared" si="204"/>
        <v>0</v>
      </c>
      <c r="CM174" s="40"/>
    </row>
    <row r="175" spans="1:92">
      <c r="A175" s="674" t="s">
        <v>550</v>
      </c>
      <c r="B175" s="674" t="s">
        <v>551</v>
      </c>
      <c r="C175" s="545" t="s">
        <v>408</v>
      </c>
      <c r="D175" s="676"/>
      <c r="E175" s="77"/>
      <c r="F175" s="677">
        <f t="shared" ref="F175:F186" si="227">+E175*0.25</f>
        <v>0</v>
      </c>
      <c r="G175" s="43"/>
      <c r="H175" s="43"/>
      <c r="I175" s="43"/>
      <c r="J175" s="77">
        <v>3484</v>
      </c>
      <c r="K175" s="44"/>
      <c r="L175" s="45">
        <f t="shared" si="180"/>
        <v>34.840000000000003</v>
      </c>
      <c r="M175" s="45">
        <f t="shared" si="181"/>
        <v>216.00800000000001</v>
      </c>
      <c r="N175" s="45">
        <f t="shared" si="182"/>
        <v>97.552000000000007</v>
      </c>
      <c r="O175" s="45">
        <v>398</v>
      </c>
      <c r="P175" s="45"/>
      <c r="Q175" s="45"/>
      <c r="R175" s="45">
        <f t="shared" si="183"/>
        <v>3.98</v>
      </c>
      <c r="S175" s="45">
        <f t="shared" si="184"/>
        <v>24.675999999999998</v>
      </c>
      <c r="T175" s="45">
        <f t="shared" si="185"/>
        <v>11.144</v>
      </c>
      <c r="U175" s="45"/>
      <c r="V175" s="45"/>
      <c r="W175" s="678">
        <v>2754</v>
      </c>
      <c r="X175" s="45"/>
      <c r="Y175" s="45"/>
      <c r="Z175" s="45"/>
      <c r="AA175" s="45"/>
      <c r="AB175" s="45">
        <f t="shared" si="186"/>
        <v>27.54</v>
      </c>
      <c r="AC175" s="45">
        <f t="shared" si="187"/>
        <v>170.74799999999999</v>
      </c>
      <c r="AD175" s="45">
        <f t="shared" si="188"/>
        <v>77.111999999999995</v>
      </c>
      <c r="AE175" s="44"/>
      <c r="AF175" s="44"/>
      <c r="AG175" s="678"/>
      <c r="AH175" s="44"/>
      <c r="AI175" s="44">
        <f>8000+4000</f>
        <v>12000</v>
      </c>
      <c r="AJ175" s="44"/>
      <c r="AK175" s="44"/>
      <c r="AL175" s="44">
        <f t="shared" si="189"/>
        <v>0</v>
      </c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680">
        <v>4425</v>
      </c>
      <c r="BF175" s="680">
        <v>1650</v>
      </c>
      <c r="BG175" s="680">
        <v>1500</v>
      </c>
      <c r="BH175" s="44"/>
      <c r="BI175" s="44"/>
      <c r="BJ175" s="44"/>
      <c r="BK175" s="44"/>
      <c r="BL175" s="44"/>
      <c r="BM175" s="44"/>
      <c r="BN175" s="44"/>
      <c r="BO175" s="44"/>
      <c r="BP175" s="44"/>
      <c r="BQ175" s="678">
        <v>675</v>
      </c>
      <c r="BR175" s="44">
        <f t="shared" si="190"/>
        <v>75</v>
      </c>
      <c r="BS175" s="44"/>
      <c r="BT175" s="44"/>
      <c r="BU175" s="44"/>
      <c r="BV175" s="44"/>
      <c r="BW175" s="44"/>
      <c r="BX175" s="44"/>
      <c r="BY175" s="44"/>
      <c r="BZ175" s="44"/>
      <c r="CA175" s="699"/>
      <c r="CB175" s="45">
        <f t="shared" si="199"/>
        <v>27624.6</v>
      </c>
      <c r="CC175" s="46">
        <f t="shared" si="200"/>
        <v>14754</v>
      </c>
      <c r="CD175" s="47">
        <f t="shared" si="201"/>
        <v>18636</v>
      </c>
      <c r="CE175" s="62"/>
      <c r="CF175" s="237" t="str">
        <f>VLOOKUP(A175,labo!B:C,2,FALSE)</f>
        <v>PROFESSIONS LIBERALES</v>
      </c>
      <c r="CG175" s="106">
        <f t="shared" si="202"/>
        <v>0</v>
      </c>
      <c r="CI175" s="51"/>
      <c r="CK175" s="251" t="str">
        <f t="shared" si="203"/>
        <v>P017100399477C</v>
      </c>
      <c r="CL175" s="323">
        <f t="shared" si="204"/>
        <v>0</v>
      </c>
      <c r="CM175" s="40"/>
    </row>
    <row r="176" spans="1:92">
      <c r="A176" s="674" t="s">
        <v>641</v>
      </c>
      <c r="B176" s="674" t="s">
        <v>643</v>
      </c>
      <c r="C176" s="545" t="s">
        <v>408</v>
      </c>
      <c r="D176" s="676"/>
      <c r="E176" s="77"/>
      <c r="F176" s="677">
        <f t="shared" si="227"/>
        <v>0</v>
      </c>
      <c r="G176" s="43"/>
      <c r="H176" s="43"/>
      <c r="I176" s="43"/>
      <c r="J176" s="77">
        <v>88550</v>
      </c>
      <c r="K176" s="44"/>
      <c r="L176" s="45">
        <f>(J176+K176)*0.01</f>
        <v>885.5</v>
      </c>
      <c r="M176" s="45">
        <f>(J176+K176)*0.062</f>
        <v>5490.1</v>
      </c>
      <c r="N176" s="45">
        <f>(J176+K176)*0.028</f>
        <v>2479.4</v>
      </c>
      <c r="O176" s="45">
        <v>10120</v>
      </c>
      <c r="P176" s="45"/>
      <c r="Q176" s="45"/>
      <c r="R176" s="45">
        <f t="shared" si="183"/>
        <v>101.2</v>
      </c>
      <c r="S176" s="45">
        <f t="shared" si="184"/>
        <v>627.43999999999994</v>
      </c>
      <c r="T176" s="45">
        <f t="shared" si="185"/>
        <v>283.36</v>
      </c>
      <c r="U176" s="45"/>
      <c r="V176" s="45"/>
      <c r="W176" s="678"/>
      <c r="X176" s="45"/>
      <c r="Y176" s="45"/>
      <c r="Z176" s="45"/>
      <c r="AA176" s="45"/>
      <c r="AB176" s="45">
        <f t="shared" si="186"/>
        <v>0</v>
      </c>
      <c r="AC176" s="45">
        <f t="shared" si="187"/>
        <v>0</v>
      </c>
      <c r="AD176" s="45">
        <f t="shared" si="188"/>
        <v>0</v>
      </c>
      <c r="AE176" s="44"/>
      <c r="AF176" s="44"/>
      <c r="AG176" s="678">
        <v>23400</v>
      </c>
      <c r="AH176" s="44"/>
      <c r="AI176" s="44"/>
      <c r="AJ176" s="44"/>
      <c r="AK176" s="44"/>
      <c r="AL176" s="44">
        <f>+AK176</f>
        <v>0</v>
      </c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680">
        <v>600</v>
      </c>
      <c r="BF176" s="680">
        <v>400</v>
      </c>
      <c r="BG176" s="680"/>
      <c r="BH176" s="44"/>
      <c r="BI176" s="44"/>
      <c r="BJ176" s="44"/>
      <c r="BK176" s="44"/>
      <c r="BL176" s="44"/>
      <c r="BM176" s="44"/>
      <c r="BN176" s="44"/>
      <c r="BO176" s="44"/>
      <c r="BP176" s="44"/>
      <c r="BQ176" s="678"/>
      <c r="BR176" s="44">
        <f>BQ176/9</f>
        <v>0</v>
      </c>
      <c r="BS176" s="44"/>
      <c r="BT176" s="44"/>
      <c r="BU176" s="44"/>
      <c r="BV176" s="44"/>
      <c r="BW176" s="44"/>
      <c r="BX176" s="44"/>
      <c r="BY176" s="44"/>
      <c r="BZ176" s="44"/>
      <c r="CA176" s="699"/>
      <c r="CB176" s="45">
        <f t="shared" si="199"/>
        <v>132937</v>
      </c>
      <c r="CC176" s="46">
        <f t="shared" si="200"/>
        <v>23400</v>
      </c>
      <c r="CD176" s="47">
        <f t="shared" si="201"/>
        <v>122070</v>
      </c>
      <c r="CE176" s="62"/>
      <c r="CF176" s="237" t="str">
        <f>VLOOKUP(A176,labo!B:C,2,FALSE)</f>
        <v>PROFESSIONS LIBERALES</v>
      </c>
      <c r="CG176" s="106">
        <f t="shared" si="202"/>
        <v>0</v>
      </c>
      <c r="CI176" s="51"/>
      <c r="CK176" s="251" t="str">
        <f t="shared" ref="CK176" si="228">+B176</f>
        <v>P116900404458N</v>
      </c>
      <c r="CL176" s="323">
        <f t="shared" ref="CL176" si="229">CE176</f>
        <v>0</v>
      </c>
      <c r="CM176" s="40"/>
    </row>
    <row r="177" spans="1:93">
      <c r="A177" s="674" t="s">
        <v>658</v>
      </c>
      <c r="B177" s="675" t="s">
        <v>660</v>
      </c>
      <c r="C177" s="77" t="s">
        <v>408</v>
      </c>
      <c r="D177" s="676"/>
      <c r="E177" s="77"/>
      <c r="F177" s="677">
        <f t="shared" si="227"/>
        <v>0</v>
      </c>
      <c r="G177" s="77"/>
      <c r="H177" s="77"/>
      <c r="I177" s="77"/>
      <c r="J177" s="77">
        <v>2455</v>
      </c>
      <c r="K177" s="77"/>
      <c r="L177" s="44">
        <f t="shared" ref="L177:L188" si="230">(J177+K177)*0.01</f>
        <v>24.55</v>
      </c>
      <c r="M177" s="44">
        <f t="shared" ref="M177:M188" si="231">(J177+K177)*0.062</f>
        <v>152.21</v>
      </c>
      <c r="N177" s="44">
        <f t="shared" ref="N177:N188" si="232">(J177+K177)*0.028</f>
        <v>68.739999999999995</v>
      </c>
      <c r="O177" s="45">
        <v>5454</v>
      </c>
      <c r="P177" s="77"/>
      <c r="Q177" s="77"/>
      <c r="R177" s="44">
        <f t="shared" si="183"/>
        <v>54.54</v>
      </c>
      <c r="S177" s="44">
        <f t="shared" si="184"/>
        <v>338.14800000000002</v>
      </c>
      <c r="T177" s="44">
        <f t="shared" si="185"/>
        <v>152.71199999999999</v>
      </c>
      <c r="U177" s="77"/>
      <c r="V177" s="77"/>
      <c r="W177" s="678"/>
      <c r="X177" s="77"/>
      <c r="Y177" s="77"/>
      <c r="Z177" s="77"/>
      <c r="AA177" s="77"/>
      <c r="AB177" s="44">
        <f t="shared" si="186"/>
        <v>0</v>
      </c>
      <c r="AC177" s="44">
        <f t="shared" si="187"/>
        <v>0</v>
      </c>
      <c r="AD177" s="44">
        <f t="shared" si="188"/>
        <v>0</v>
      </c>
      <c r="AE177" s="77"/>
      <c r="AF177" s="77"/>
      <c r="AG177" s="678"/>
      <c r="AH177" s="77"/>
      <c r="AI177" s="77"/>
      <c r="AJ177" s="77"/>
      <c r="AK177" s="77"/>
      <c r="AL177" s="679">
        <f t="shared" ref="AL177:AL188" si="233">+AK177</f>
        <v>0</v>
      </c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680"/>
      <c r="BF177" s="680"/>
      <c r="BG177" s="680"/>
      <c r="BH177" s="77"/>
      <c r="BI177" s="77"/>
      <c r="BJ177" s="77"/>
      <c r="BK177" s="77"/>
      <c r="BL177" s="77"/>
      <c r="BM177" s="44"/>
      <c r="BN177" s="77"/>
      <c r="BO177" s="77"/>
      <c r="BP177" s="77"/>
      <c r="BQ177" s="678"/>
      <c r="BR177" s="679">
        <f t="shared" ref="BR177:BR188" si="234">BQ177/9</f>
        <v>0</v>
      </c>
      <c r="BS177" s="77"/>
      <c r="BT177" s="77"/>
      <c r="BU177" s="77"/>
      <c r="BV177" s="77"/>
      <c r="BW177" s="77"/>
      <c r="BX177" s="77"/>
      <c r="BY177" s="77"/>
      <c r="BZ177" s="77"/>
      <c r="CA177" s="681"/>
      <c r="CB177" s="45">
        <f t="shared" si="199"/>
        <v>8699.9</v>
      </c>
      <c r="CC177" s="46">
        <f t="shared" si="200"/>
        <v>0</v>
      </c>
      <c r="CD177" s="47">
        <f t="shared" si="201"/>
        <v>7909</v>
      </c>
      <c r="CE177" s="62"/>
      <c r="CF177" s="237" t="str">
        <f>VLOOKUP(A177,labo!B:C,2,FALSE)</f>
        <v>PROFESSIONS LIBERALES</v>
      </c>
      <c r="CG177" s="106">
        <f t="shared" si="202"/>
        <v>0</v>
      </c>
      <c r="CI177" s="51"/>
      <c r="CK177" s="251" t="str">
        <f t="shared" si="203"/>
        <v>P085800133526M</v>
      </c>
      <c r="CL177" s="323">
        <f t="shared" si="204"/>
        <v>0</v>
      </c>
      <c r="CM177" s="40"/>
    </row>
    <row r="178" spans="1:93">
      <c r="A178" s="674" t="s">
        <v>871</v>
      </c>
      <c r="B178" s="675" t="s">
        <v>872</v>
      </c>
      <c r="C178" s="77" t="s">
        <v>408</v>
      </c>
      <c r="D178" s="676"/>
      <c r="E178" s="77"/>
      <c r="F178" s="677">
        <f t="shared" si="227"/>
        <v>0</v>
      </c>
      <c r="G178" s="77"/>
      <c r="H178" s="77"/>
      <c r="I178" s="77"/>
      <c r="J178" s="77"/>
      <c r="K178" s="77"/>
      <c r="L178" s="44">
        <f t="shared" si="230"/>
        <v>0</v>
      </c>
      <c r="M178" s="44">
        <f t="shared" si="231"/>
        <v>0</v>
      </c>
      <c r="N178" s="44">
        <f t="shared" si="232"/>
        <v>0</v>
      </c>
      <c r="O178" s="45"/>
      <c r="P178" s="77"/>
      <c r="Q178" s="77"/>
      <c r="R178" s="44">
        <f t="shared" si="183"/>
        <v>0</v>
      </c>
      <c r="S178" s="44">
        <f t="shared" si="184"/>
        <v>0</v>
      </c>
      <c r="T178" s="44">
        <f t="shared" si="185"/>
        <v>0</v>
      </c>
      <c r="U178" s="77"/>
      <c r="V178" s="77"/>
      <c r="W178" s="678">
        <v>1600</v>
      </c>
      <c r="X178" s="77"/>
      <c r="Y178" s="77"/>
      <c r="Z178" s="77"/>
      <c r="AA178" s="77"/>
      <c r="AB178" s="44">
        <f t="shared" si="186"/>
        <v>16</v>
      </c>
      <c r="AC178" s="44">
        <f t="shared" si="187"/>
        <v>99.2</v>
      </c>
      <c r="AD178" s="44">
        <f t="shared" si="188"/>
        <v>44.800000000000004</v>
      </c>
      <c r="AE178" s="77"/>
      <c r="AF178" s="77"/>
      <c r="AG178" s="678"/>
      <c r="AH178" s="77"/>
      <c r="AI178" s="77">
        <v>8000</v>
      </c>
      <c r="AJ178" s="77"/>
      <c r="AK178" s="77"/>
      <c r="AL178" s="679">
        <f t="shared" si="233"/>
        <v>0</v>
      </c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680">
        <v>500</v>
      </c>
      <c r="BF178" s="680">
        <v>500</v>
      </c>
      <c r="BG178" s="680">
        <v>500</v>
      </c>
      <c r="BH178" s="77"/>
      <c r="BI178" s="77"/>
      <c r="BJ178" s="77"/>
      <c r="BK178" s="77"/>
      <c r="BL178" s="77"/>
      <c r="BM178" s="44"/>
      <c r="BN178" s="77"/>
      <c r="BO178" s="77"/>
      <c r="BP178" s="77"/>
      <c r="BQ178" s="678"/>
      <c r="BR178" s="679">
        <f t="shared" si="234"/>
        <v>0</v>
      </c>
      <c r="BS178" s="77"/>
      <c r="BT178" s="77"/>
      <c r="BU178" s="77"/>
      <c r="BV178" s="77"/>
      <c r="BW178" s="77"/>
      <c r="BX178" s="77"/>
      <c r="BY178" s="77"/>
      <c r="BZ178" s="77"/>
      <c r="CA178" s="681"/>
      <c r="CB178" s="45">
        <f t="shared" si="199"/>
        <v>11260</v>
      </c>
      <c r="CC178" s="46">
        <f t="shared" si="200"/>
        <v>9600</v>
      </c>
      <c r="CD178" s="47">
        <f t="shared" si="201"/>
        <v>9600</v>
      </c>
      <c r="CE178" s="62"/>
      <c r="CF178" s="237" t="str">
        <f>VLOOKUP(A178,labo!B:C,2,FALSE)</f>
        <v>PROFESSIONS LIBERALES</v>
      </c>
      <c r="CG178" s="106">
        <f t="shared" si="202"/>
        <v>0</v>
      </c>
      <c r="CI178" s="51"/>
      <c r="CK178" s="251" t="str">
        <f t="shared" si="203"/>
        <v>P016412418967Y</v>
      </c>
      <c r="CL178" s="323">
        <f t="shared" si="204"/>
        <v>0</v>
      </c>
      <c r="CM178" s="40"/>
    </row>
    <row r="179" spans="1:93">
      <c r="A179" s="325" t="s">
        <v>2148</v>
      </c>
      <c r="B179" s="675" t="s">
        <v>2127</v>
      </c>
      <c r="C179" s="77" t="s">
        <v>408</v>
      </c>
      <c r="D179" s="676"/>
      <c r="E179" s="77"/>
      <c r="F179" s="707">
        <f t="shared" si="227"/>
        <v>0</v>
      </c>
      <c r="G179" s="77"/>
      <c r="H179" s="77"/>
      <c r="I179" s="77"/>
      <c r="J179" s="77">
        <v>129763</v>
      </c>
      <c r="K179" s="77"/>
      <c r="L179" s="45">
        <f t="shared" si="230"/>
        <v>1297.6300000000001</v>
      </c>
      <c r="M179" s="45">
        <f t="shared" si="231"/>
        <v>8045.3059999999996</v>
      </c>
      <c r="N179" s="45">
        <f t="shared" si="232"/>
        <v>3633.364</v>
      </c>
      <c r="O179" s="45">
        <v>14830</v>
      </c>
      <c r="P179" s="77"/>
      <c r="Q179" s="77"/>
      <c r="R179" s="45">
        <f t="shared" si="183"/>
        <v>148.30000000000001</v>
      </c>
      <c r="S179" s="45">
        <f t="shared" si="184"/>
        <v>919.46</v>
      </c>
      <c r="T179" s="45">
        <f t="shared" si="185"/>
        <v>415.24</v>
      </c>
      <c r="U179" s="77"/>
      <c r="V179" s="77"/>
      <c r="W179" s="678"/>
      <c r="X179" s="77"/>
      <c r="Y179" s="77"/>
      <c r="Z179" s="77"/>
      <c r="AA179" s="77"/>
      <c r="AB179" s="44"/>
      <c r="AC179" s="45">
        <f t="shared" si="187"/>
        <v>0</v>
      </c>
      <c r="AD179" s="45">
        <f t="shared" si="188"/>
        <v>0</v>
      </c>
      <c r="AE179" s="77"/>
      <c r="AF179" s="77"/>
      <c r="AG179" s="678"/>
      <c r="AH179" s="77"/>
      <c r="AI179" s="77"/>
      <c r="AJ179" s="77"/>
      <c r="AK179" s="77"/>
      <c r="AL179" s="44">
        <f t="shared" si="233"/>
        <v>0</v>
      </c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680">
        <v>18600</v>
      </c>
      <c r="BF179" s="680">
        <v>12400</v>
      </c>
      <c r="BG179" s="680"/>
      <c r="BH179" s="77"/>
      <c r="BI179" s="77"/>
      <c r="BJ179" s="77"/>
      <c r="BK179" s="77"/>
      <c r="BL179" s="77"/>
      <c r="BM179" s="77"/>
      <c r="BN179" s="77"/>
      <c r="BO179" s="77"/>
      <c r="BP179" s="77"/>
      <c r="BQ179" s="678"/>
      <c r="BR179" s="679">
        <f t="shared" si="234"/>
        <v>0</v>
      </c>
      <c r="BS179" s="77"/>
      <c r="BT179" s="77"/>
      <c r="BU179" s="77"/>
      <c r="BV179" s="77"/>
      <c r="BW179" s="77"/>
      <c r="BX179" s="77"/>
      <c r="BY179" s="77"/>
      <c r="BZ179" s="77"/>
      <c r="CA179" s="681"/>
      <c r="CB179" s="45">
        <f t="shared" si="199"/>
        <v>190052.3</v>
      </c>
      <c r="CC179" s="46">
        <f t="shared" si="200"/>
        <v>0</v>
      </c>
      <c r="CD179" s="47">
        <f t="shared" si="201"/>
        <v>144593</v>
      </c>
      <c r="CE179" s="62"/>
      <c r="CF179" s="237" t="str">
        <f>VLOOKUP(A179,labo!B:C,2,FALSE)</f>
        <v>TRANSPORT</v>
      </c>
      <c r="CG179" s="106">
        <f t="shared" si="202"/>
        <v>0</v>
      </c>
      <c r="CI179" s="51"/>
      <c r="CK179" s="251" t="str">
        <f>+B179</f>
        <v>M061612568310C</v>
      </c>
      <c r="CL179" s="323">
        <f>CE179</f>
        <v>0</v>
      </c>
      <c r="CM179" s="40"/>
    </row>
    <row r="180" spans="1:93">
      <c r="A180" s="674" t="s">
        <v>295</v>
      </c>
      <c r="B180" s="675" t="s">
        <v>860</v>
      </c>
      <c r="C180" s="77" t="s">
        <v>408</v>
      </c>
      <c r="D180" s="676"/>
      <c r="E180" s="77"/>
      <c r="F180" s="677">
        <f t="shared" si="227"/>
        <v>0</v>
      </c>
      <c r="G180" s="77"/>
      <c r="H180" s="77"/>
      <c r="I180" s="77"/>
      <c r="J180" s="77">
        <v>66038</v>
      </c>
      <c r="K180" s="77"/>
      <c r="L180" s="44">
        <f t="shared" si="230"/>
        <v>660.38</v>
      </c>
      <c r="M180" s="44">
        <f t="shared" si="231"/>
        <v>4094.3559999999998</v>
      </c>
      <c r="N180" s="44">
        <f t="shared" si="232"/>
        <v>1849.0640000000001</v>
      </c>
      <c r="O180" s="45"/>
      <c r="P180" s="77"/>
      <c r="Q180" s="77"/>
      <c r="R180" s="44">
        <f t="shared" si="183"/>
        <v>0</v>
      </c>
      <c r="S180" s="44">
        <f t="shared" si="184"/>
        <v>0</v>
      </c>
      <c r="T180" s="44">
        <f t="shared" si="185"/>
        <v>0</v>
      </c>
      <c r="U180" s="77"/>
      <c r="V180" s="77"/>
      <c r="W180" s="678"/>
      <c r="X180" s="77"/>
      <c r="Y180" s="77"/>
      <c r="Z180" s="77"/>
      <c r="AA180" s="77"/>
      <c r="AB180" s="44">
        <f t="shared" ref="AB180:AB188" si="235">(U180+V180+W180+X180+Y180+Z180)*0.01</f>
        <v>0</v>
      </c>
      <c r="AC180" s="44">
        <f t="shared" si="187"/>
        <v>0</v>
      </c>
      <c r="AD180" s="44">
        <f t="shared" si="188"/>
        <v>0</v>
      </c>
      <c r="AE180" s="77"/>
      <c r="AF180" s="77"/>
      <c r="AG180" s="678"/>
      <c r="AH180" s="77"/>
      <c r="AI180" s="77"/>
      <c r="AJ180" s="77"/>
      <c r="AK180" s="77"/>
      <c r="AL180" s="679">
        <f t="shared" si="233"/>
        <v>0</v>
      </c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680">
        <v>1000</v>
      </c>
      <c r="BF180" s="680">
        <v>400</v>
      </c>
      <c r="BG180" s="680"/>
      <c r="BH180" s="77"/>
      <c r="BI180" s="77"/>
      <c r="BJ180" s="77"/>
      <c r="BK180" s="77"/>
      <c r="BL180" s="77"/>
      <c r="BM180" s="44"/>
      <c r="BN180" s="77"/>
      <c r="BO180" s="77"/>
      <c r="BP180" s="77"/>
      <c r="BQ180" s="678"/>
      <c r="BR180" s="679">
        <f t="shared" si="234"/>
        <v>0</v>
      </c>
      <c r="BS180" s="77"/>
      <c r="BT180" s="77"/>
      <c r="BU180" s="77"/>
      <c r="BV180" s="77"/>
      <c r="BW180" s="77"/>
      <c r="BX180" s="77"/>
      <c r="BY180" s="77"/>
      <c r="BZ180" s="77"/>
      <c r="CA180" s="681"/>
      <c r="CB180" s="45">
        <f t="shared" si="199"/>
        <v>74041.8</v>
      </c>
      <c r="CC180" s="46">
        <f t="shared" si="200"/>
        <v>0</v>
      </c>
      <c r="CD180" s="47">
        <f t="shared" si="201"/>
        <v>66038</v>
      </c>
      <c r="CE180" s="62"/>
      <c r="CF180" s="237" t="str">
        <f>VLOOKUP(A180,labo!B:C,2,FALSE)</f>
        <v>PROFESSIONS LIBERALES</v>
      </c>
      <c r="CG180" s="106">
        <f t="shared" si="202"/>
        <v>0</v>
      </c>
      <c r="CI180" s="51"/>
      <c r="CK180" s="251" t="str">
        <f t="shared" si="203"/>
        <v>P087112244856N</v>
      </c>
      <c r="CL180" s="323">
        <f t="shared" si="204"/>
        <v>0</v>
      </c>
      <c r="CM180" s="40"/>
    </row>
    <row r="181" spans="1:93">
      <c r="A181" s="325" t="s">
        <v>2037</v>
      </c>
      <c r="B181" s="701" t="s">
        <v>2039</v>
      </c>
      <c r="C181" s="702" t="s">
        <v>408</v>
      </c>
      <c r="D181" s="676"/>
      <c r="E181" s="678"/>
      <c r="F181" s="677">
        <f t="shared" si="227"/>
        <v>0</v>
      </c>
      <c r="G181" s="678"/>
      <c r="H181" s="678"/>
      <c r="I181" s="678"/>
      <c r="J181" s="77">
        <v>32909</v>
      </c>
      <c r="K181" s="678"/>
      <c r="L181" s="44">
        <f t="shared" si="230"/>
        <v>329.09000000000003</v>
      </c>
      <c r="M181" s="44">
        <f t="shared" si="231"/>
        <v>2040.3579999999999</v>
      </c>
      <c r="N181" s="44">
        <f t="shared" si="232"/>
        <v>921.452</v>
      </c>
      <c r="O181" s="45">
        <v>23761</v>
      </c>
      <c r="P181" s="77"/>
      <c r="Q181" s="77"/>
      <c r="R181" s="44">
        <f t="shared" si="183"/>
        <v>237.61</v>
      </c>
      <c r="S181" s="44">
        <f t="shared" si="184"/>
        <v>1473.182</v>
      </c>
      <c r="T181" s="44">
        <f t="shared" si="185"/>
        <v>665.30799999999999</v>
      </c>
      <c r="U181" s="77"/>
      <c r="V181" s="77"/>
      <c r="W181" s="678"/>
      <c r="X181" s="77"/>
      <c r="Y181" s="77"/>
      <c r="Z181" s="77"/>
      <c r="AA181" s="678"/>
      <c r="AB181" s="679">
        <f t="shared" si="235"/>
        <v>0</v>
      </c>
      <c r="AC181" s="679">
        <f t="shared" si="187"/>
        <v>0</v>
      </c>
      <c r="AD181" s="679">
        <f t="shared" si="188"/>
        <v>0</v>
      </c>
      <c r="AE181" s="678"/>
      <c r="AF181" s="678"/>
      <c r="AG181" s="678"/>
      <c r="AH181" s="703"/>
      <c r="AI181" s="77"/>
      <c r="AJ181" s="77"/>
      <c r="AK181" s="77"/>
      <c r="AL181" s="679">
        <f t="shared" si="233"/>
        <v>0</v>
      </c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680">
        <v>800</v>
      </c>
      <c r="BF181" s="680">
        <v>450</v>
      </c>
      <c r="BG181" s="680"/>
      <c r="BH181" s="77"/>
      <c r="BI181" s="77"/>
      <c r="BJ181" s="77"/>
      <c r="BK181" s="77"/>
      <c r="BL181" s="77"/>
      <c r="BM181" s="44"/>
      <c r="BN181" s="77"/>
      <c r="BO181" s="77"/>
      <c r="BP181" s="77"/>
      <c r="BQ181" s="77"/>
      <c r="BR181" s="44">
        <f t="shared" si="234"/>
        <v>0</v>
      </c>
      <c r="BS181" s="77"/>
      <c r="BT181" s="77"/>
      <c r="BU181" s="77"/>
      <c r="BV181" s="77"/>
      <c r="BW181" s="77"/>
      <c r="BX181" s="77"/>
      <c r="BY181" s="77"/>
      <c r="BZ181" s="77"/>
      <c r="CA181" s="681"/>
      <c r="CB181" s="45">
        <f t="shared" si="199"/>
        <v>63586.999999999993</v>
      </c>
      <c r="CC181" s="46">
        <f t="shared" si="200"/>
        <v>0</v>
      </c>
      <c r="CD181" s="47">
        <f t="shared" si="201"/>
        <v>56670</v>
      </c>
      <c r="CE181" s="62"/>
      <c r="CF181" s="237" t="str">
        <f>VLOOKUP(A181,labo!B:C,2,FALSE)</f>
        <v>AUTRES SERVICES</v>
      </c>
      <c r="CG181" s="106">
        <f t="shared" si="202"/>
        <v>0</v>
      </c>
      <c r="CI181" s="51"/>
      <c r="CK181" s="251" t="str">
        <f t="shared" si="203"/>
        <v>P118100381598R</v>
      </c>
      <c r="CL181" s="323">
        <f t="shared" si="204"/>
        <v>0</v>
      </c>
      <c r="CM181" s="40"/>
    </row>
    <row r="182" spans="1:93">
      <c r="A182" s="700" t="s">
        <v>772</v>
      </c>
      <c r="B182" s="708" t="s">
        <v>774</v>
      </c>
      <c r="C182" s="664" t="s">
        <v>408</v>
      </c>
      <c r="D182" s="676"/>
      <c r="E182" s="77"/>
      <c r="F182" s="677">
        <f t="shared" si="227"/>
        <v>0</v>
      </c>
      <c r="G182" s="77"/>
      <c r="H182" s="77"/>
      <c r="I182" s="77"/>
      <c r="J182" s="77">
        <v>2966</v>
      </c>
      <c r="K182" s="77"/>
      <c r="L182" s="44">
        <f t="shared" si="230"/>
        <v>29.66</v>
      </c>
      <c r="M182" s="44">
        <f t="shared" si="231"/>
        <v>183.892</v>
      </c>
      <c r="N182" s="44">
        <f t="shared" si="232"/>
        <v>83.048000000000002</v>
      </c>
      <c r="O182" s="45"/>
      <c r="P182" s="77"/>
      <c r="Q182" s="77"/>
      <c r="R182" s="44">
        <f t="shared" si="183"/>
        <v>0</v>
      </c>
      <c r="S182" s="44">
        <f t="shared" si="184"/>
        <v>0</v>
      </c>
      <c r="T182" s="44">
        <f t="shared" si="185"/>
        <v>0</v>
      </c>
      <c r="U182" s="77"/>
      <c r="V182" s="77"/>
      <c r="W182" s="678"/>
      <c r="X182" s="77"/>
      <c r="Y182" s="77"/>
      <c r="Z182" s="77"/>
      <c r="AA182" s="77"/>
      <c r="AB182" s="44">
        <f t="shared" si="235"/>
        <v>0</v>
      </c>
      <c r="AC182" s="44">
        <f t="shared" si="187"/>
        <v>0</v>
      </c>
      <c r="AD182" s="44">
        <f t="shared" si="188"/>
        <v>0</v>
      </c>
      <c r="AE182" s="77"/>
      <c r="AF182" s="77"/>
      <c r="AG182" s="678">
        <v>9000</v>
      </c>
      <c r="AH182" s="77"/>
      <c r="AI182" s="77"/>
      <c r="AJ182" s="77"/>
      <c r="AK182" s="77"/>
      <c r="AL182" s="679">
        <f t="shared" si="233"/>
        <v>0</v>
      </c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680">
        <v>1845</v>
      </c>
      <c r="BF182" s="680">
        <v>1230</v>
      </c>
      <c r="BG182" s="680"/>
      <c r="BH182" s="77"/>
      <c r="BI182" s="77"/>
      <c r="BJ182" s="77"/>
      <c r="BK182" s="77"/>
      <c r="BL182" s="77"/>
      <c r="BM182" s="44"/>
      <c r="BN182" s="77"/>
      <c r="BO182" s="77"/>
      <c r="BP182" s="77"/>
      <c r="BQ182" s="77">
        <v>225</v>
      </c>
      <c r="BR182" s="679">
        <f t="shared" si="234"/>
        <v>25</v>
      </c>
      <c r="BS182" s="77"/>
      <c r="BT182" s="77"/>
      <c r="BU182" s="77"/>
      <c r="BV182" s="77"/>
      <c r="BW182" s="77"/>
      <c r="BX182" s="77"/>
      <c r="BY182" s="77"/>
      <c r="BZ182" s="77"/>
      <c r="CA182" s="681"/>
      <c r="CB182" s="45">
        <f t="shared" si="199"/>
        <v>15587.599999999999</v>
      </c>
      <c r="CC182" s="46">
        <f t="shared" si="200"/>
        <v>9000</v>
      </c>
      <c r="CD182" s="47">
        <f t="shared" si="201"/>
        <v>11966</v>
      </c>
      <c r="CE182" s="62"/>
      <c r="CF182" s="237" t="str">
        <f>VLOOKUP(A182,labo!B:C,2,FALSE)</f>
        <v>PROFESSIONS LIBERALES</v>
      </c>
      <c r="CG182" s="106">
        <f t="shared" si="202"/>
        <v>0</v>
      </c>
      <c r="CI182" s="51"/>
      <c r="CK182" s="251" t="str">
        <f t="shared" si="203"/>
        <v>P126300409964C</v>
      </c>
      <c r="CL182" s="323">
        <f t="shared" si="204"/>
        <v>0</v>
      </c>
      <c r="CM182" s="40"/>
    </row>
    <row r="183" spans="1:93">
      <c r="A183" s="674" t="s">
        <v>2063</v>
      </c>
      <c r="B183" s="674" t="s">
        <v>2065</v>
      </c>
      <c r="C183" s="545" t="s">
        <v>408</v>
      </c>
      <c r="D183" s="676"/>
      <c r="E183" s="77"/>
      <c r="F183" s="677">
        <f t="shared" si="227"/>
        <v>0</v>
      </c>
      <c r="G183" s="43"/>
      <c r="H183" s="43"/>
      <c r="I183" s="43"/>
      <c r="J183" s="77"/>
      <c r="K183" s="44"/>
      <c r="L183" s="45">
        <f t="shared" si="230"/>
        <v>0</v>
      </c>
      <c r="M183" s="45">
        <f t="shared" si="231"/>
        <v>0</v>
      </c>
      <c r="N183" s="45">
        <f t="shared" si="232"/>
        <v>0</v>
      </c>
      <c r="O183" s="45"/>
      <c r="P183" s="45"/>
      <c r="Q183" s="45"/>
      <c r="R183" s="45">
        <f t="shared" si="183"/>
        <v>0</v>
      </c>
      <c r="S183" s="45">
        <f t="shared" si="184"/>
        <v>0</v>
      </c>
      <c r="T183" s="45">
        <f t="shared" si="185"/>
        <v>0</v>
      </c>
      <c r="U183" s="45"/>
      <c r="V183" s="45"/>
      <c r="W183" s="678">
        <v>4545</v>
      </c>
      <c r="X183" s="45"/>
      <c r="Y183" s="45"/>
      <c r="Z183" s="45"/>
      <c r="AA183" s="44"/>
      <c r="AB183" s="44">
        <f t="shared" si="235"/>
        <v>45.45</v>
      </c>
      <c r="AC183" s="44">
        <f t="shared" si="187"/>
        <v>281.79000000000002</v>
      </c>
      <c r="AD183" s="44">
        <f t="shared" si="188"/>
        <v>127.26</v>
      </c>
      <c r="AE183" s="44"/>
      <c r="AF183" s="44"/>
      <c r="AG183" s="678"/>
      <c r="AH183" s="44"/>
      <c r="AI183" s="44"/>
      <c r="AJ183" s="44"/>
      <c r="AK183" s="44"/>
      <c r="AL183" s="44">
        <f t="shared" si="233"/>
        <v>0</v>
      </c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680"/>
      <c r="BF183" s="680"/>
      <c r="BG183" s="680"/>
      <c r="BH183" s="44"/>
      <c r="BI183" s="44"/>
      <c r="BJ183" s="44"/>
      <c r="BK183" s="44"/>
      <c r="BL183" s="44"/>
      <c r="BM183" s="44"/>
      <c r="BN183" s="44"/>
      <c r="BO183" s="44"/>
      <c r="BP183" s="44"/>
      <c r="BQ183" s="678"/>
      <c r="BR183" s="44">
        <f t="shared" si="234"/>
        <v>0</v>
      </c>
      <c r="BS183" s="44"/>
      <c r="BT183" s="44"/>
      <c r="BU183" s="44"/>
      <c r="BV183" s="44"/>
      <c r="BW183" s="44"/>
      <c r="BX183" s="44"/>
      <c r="BY183" s="44"/>
      <c r="BZ183" s="44"/>
      <c r="CA183" s="699"/>
      <c r="CB183" s="45">
        <f t="shared" si="199"/>
        <v>4999.5</v>
      </c>
      <c r="CC183" s="46">
        <f t="shared" si="200"/>
        <v>4545</v>
      </c>
      <c r="CD183" s="47">
        <f t="shared" si="201"/>
        <v>4545</v>
      </c>
      <c r="CE183" s="62"/>
      <c r="CF183" s="237" t="str">
        <f>VLOOKUP(A183,labo!B:C,2,FALSE)</f>
        <v>AUTRES SERVICES</v>
      </c>
      <c r="CG183" s="106">
        <f t="shared" si="202"/>
        <v>0</v>
      </c>
      <c r="CI183" s="51"/>
      <c r="CK183" s="251" t="str">
        <f t="shared" si="203"/>
        <v>P118212673009Y</v>
      </c>
      <c r="CL183" s="323">
        <f t="shared" si="204"/>
        <v>0</v>
      </c>
      <c r="CM183" s="40"/>
    </row>
    <row r="184" spans="1:93">
      <c r="A184" s="674" t="s">
        <v>2033</v>
      </c>
      <c r="B184" s="674" t="s">
        <v>3111</v>
      </c>
      <c r="C184" s="545" t="s">
        <v>408</v>
      </c>
      <c r="D184" s="676"/>
      <c r="E184" s="77"/>
      <c r="F184" s="677">
        <f t="shared" si="227"/>
        <v>0</v>
      </c>
      <c r="G184" s="43"/>
      <c r="H184" s="43"/>
      <c r="I184" s="43"/>
      <c r="J184" s="77">
        <v>63759</v>
      </c>
      <c r="K184" s="44"/>
      <c r="L184" s="45">
        <f t="shared" si="230"/>
        <v>637.59</v>
      </c>
      <c r="M184" s="45">
        <f t="shared" si="231"/>
        <v>3953.058</v>
      </c>
      <c r="N184" s="45">
        <f t="shared" si="232"/>
        <v>1785.252</v>
      </c>
      <c r="O184" s="45">
        <v>8793</v>
      </c>
      <c r="P184" s="45"/>
      <c r="Q184" s="45"/>
      <c r="R184" s="45">
        <f t="shared" si="183"/>
        <v>87.93</v>
      </c>
      <c r="S184" s="45">
        <f t="shared" si="184"/>
        <v>545.16599999999994</v>
      </c>
      <c r="T184" s="45">
        <f t="shared" si="185"/>
        <v>246.20400000000001</v>
      </c>
      <c r="U184" s="45"/>
      <c r="V184" s="45"/>
      <c r="W184" s="678">
        <v>16900</v>
      </c>
      <c r="X184" s="45"/>
      <c r="Y184" s="45"/>
      <c r="Z184" s="45"/>
      <c r="AA184" s="45"/>
      <c r="AB184" s="45">
        <f t="shared" si="235"/>
        <v>169</v>
      </c>
      <c r="AC184" s="45">
        <f t="shared" si="187"/>
        <v>1047.8</v>
      </c>
      <c r="AD184" s="45">
        <f t="shared" si="188"/>
        <v>473.2</v>
      </c>
      <c r="AE184" s="44"/>
      <c r="AF184" s="44"/>
      <c r="AG184" s="678"/>
      <c r="AH184" s="44"/>
      <c r="AI184" s="44"/>
      <c r="AJ184" s="44"/>
      <c r="AK184" s="44"/>
      <c r="AL184" s="44">
        <f t="shared" si="233"/>
        <v>0</v>
      </c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680">
        <v>17503</v>
      </c>
      <c r="BF184" s="680">
        <v>7001</v>
      </c>
      <c r="BG184" s="680">
        <v>7650</v>
      </c>
      <c r="BH184" s="44"/>
      <c r="BI184" s="44"/>
      <c r="BJ184" s="44"/>
      <c r="BK184" s="44"/>
      <c r="BL184" s="44"/>
      <c r="BM184" s="44"/>
      <c r="BN184" s="44"/>
      <c r="BO184" s="44"/>
      <c r="BP184" s="44"/>
      <c r="BQ184" s="678">
        <v>3825</v>
      </c>
      <c r="BR184" s="44">
        <f t="shared" si="234"/>
        <v>425</v>
      </c>
      <c r="BS184" s="44"/>
      <c r="BT184" s="44"/>
      <c r="BU184" s="44"/>
      <c r="BV184" s="44"/>
      <c r="BW184" s="44"/>
      <c r="BX184" s="44"/>
      <c r="BY184" s="44"/>
      <c r="BZ184" s="44"/>
      <c r="CA184" s="699"/>
      <c r="CB184" s="45">
        <f t="shared" si="199"/>
        <v>134801.19999999998</v>
      </c>
      <c r="CC184" s="46">
        <f t="shared" si="200"/>
        <v>16900</v>
      </c>
      <c r="CD184" s="47">
        <f t="shared" si="201"/>
        <v>89452</v>
      </c>
      <c r="CE184" s="62"/>
      <c r="CF184" s="237" t="str">
        <f>VLOOKUP(A184,labo!B:C,2,FALSE)</f>
        <v>AUTRES SERVICES</v>
      </c>
      <c r="CG184" s="106">
        <f t="shared" si="202"/>
        <v>0</v>
      </c>
      <c r="CI184" s="51"/>
      <c r="CM184" s="40"/>
    </row>
    <row r="185" spans="1:93">
      <c r="A185" s="674" t="s">
        <v>863</v>
      </c>
      <c r="B185" s="675" t="s">
        <v>865</v>
      </c>
      <c r="C185" s="77" t="s">
        <v>408</v>
      </c>
      <c r="D185" s="676"/>
      <c r="E185" s="77"/>
      <c r="F185" s="677">
        <f t="shared" si="227"/>
        <v>0</v>
      </c>
      <c r="G185" s="77"/>
      <c r="H185" s="77"/>
      <c r="I185" s="77"/>
      <c r="J185" s="77"/>
      <c r="K185" s="77"/>
      <c r="L185" s="44">
        <f t="shared" si="230"/>
        <v>0</v>
      </c>
      <c r="M185" s="44">
        <f t="shared" si="231"/>
        <v>0</v>
      </c>
      <c r="N185" s="44">
        <f t="shared" si="232"/>
        <v>0</v>
      </c>
      <c r="O185" s="45"/>
      <c r="P185" s="77"/>
      <c r="Q185" s="77"/>
      <c r="R185" s="44">
        <f t="shared" si="183"/>
        <v>0</v>
      </c>
      <c r="S185" s="44">
        <f t="shared" si="184"/>
        <v>0</v>
      </c>
      <c r="T185" s="44">
        <f t="shared" si="185"/>
        <v>0</v>
      </c>
      <c r="U185" s="77"/>
      <c r="V185" s="77"/>
      <c r="W185" s="678">
        <v>26593</v>
      </c>
      <c r="X185" s="77"/>
      <c r="Y185" s="77"/>
      <c r="Z185" s="77"/>
      <c r="AA185" s="77"/>
      <c r="AB185" s="44">
        <f t="shared" si="235"/>
        <v>265.93</v>
      </c>
      <c r="AC185" s="44">
        <f t="shared" si="187"/>
        <v>1648.7660000000001</v>
      </c>
      <c r="AD185" s="44">
        <f t="shared" si="188"/>
        <v>744.60400000000004</v>
      </c>
      <c r="AE185" s="77"/>
      <c r="AF185" s="77"/>
      <c r="AG185" s="678"/>
      <c r="AH185" s="77"/>
      <c r="AI185" s="77"/>
      <c r="AJ185" s="77"/>
      <c r="AK185" s="77"/>
      <c r="AL185" s="679">
        <f t="shared" si="233"/>
        <v>0</v>
      </c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680">
        <v>8750</v>
      </c>
      <c r="BF185" s="680">
        <v>3500</v>
      </c>
      <c r="BG185" s="680">
        <v>4550</v>
      </c>
      <c r="BH185" s="77"/>
      <c r="BI185" s="77"/>
      <c r="BJ185" s="77"/>
      <c r="BK185" s="77"/>
      <c r="BL185" s="77"/>
      <c r="BM185" s="44"/>
      <c r="BN185" s="77"/>
      <c r="BO185" s="77"/>
      <c r="BP185" s="77"/>
      <c r="BQ185" s="678">
        <v>2025</v>
      </c>
      <c r="BR185" s="679">
        <f t="shared" si="234"/>
        <v>225</v>
      </c>
      <c r="BS185" s="77"/>
      <c r="BT185" s="77"/>
      <c r="BU185" s="77"/>
      <c r="BV185" s="77"/>
      <c r="BW185" s="77"/>
      <c r="BX185" s="77"/>
      <c r="BY185" s="77"/>
      <c r="BZ185" s="77"/>
      <c r="CA185" s="681"/>
      <c r="CB185" s="45">
        <f t="shared" si="199"/>
        <v>48302.3</v>
      </c>
      <c r="CC185" s="46">
        <f t="shared" si="200"/>
        <v>26593</v>
      </c>
      <c r="CD185" s="47">
        <f t="shared" si="201"/>
        <v>26593</v>
      </c>
      <c r="CE185" s="62"/>
      <c r="CF185" s="237" t="str">
        <f>VLOOKUP(A185,labo!B:C,2,FALSE)</f>
        <v>AUTRES SERVICES</v>
      </c>
      <c r="CG185" s="106">
        <f t="shared" si="202"/>
        <v>0</v>
      </c>
      <c r="CI185" s="51"/>
      <c r="CK185" s="251" t="str">
        <f t="shared" si="203"/>
        <v>P116100304495U</v>
      </c>
      <c r="CL185" s="323">
        <f t="shared" si="204"/>
        <v>0</v>
      </c>
      <c r="CM185" s="40"/>
    </row>
    <row r="186" spans="1:93">
      <c r="A186" s="674" t="s">
        <v>2104</v>
      </c>
      <c r="B186" s="675" t="s">
        <v>2106</v>
      </c>
      <c r="C186" s="77" t="s">
        <v>408</v>
      </c>
      <c r="D186" s="676"/>
      <c r="E186" s="77"/>
      <c r="F186" s="677">
        <f t="shared" si="227"/>
        <v>0</v>
      </c>
      <c r="G186" s="77"/>
      <c r="H186" s="77"/>
      <c r="I186" s="77"/>
      <c r="J186" s="77"/>
      <c r="K186" s="77"/>
      <c r="L186" s="44">
        <f t="shared" si="230"/>
        <v>0</v>
      </c>
      <c r="M186" s="44">
        <f t="shared" si="231"/>
        <v>0</v>
      </c>
      <c r="N186" s="44">
        <f t="shared" si="232"/>
        <v>0</v>
      </c>
      <c r="O186" s="45"/>
      <c r="P186" s="77"/>
      <c r="Q186" s="77"/>
      <c r="R186" s="44">
        <f t="shared" si="183"/>
        <v>0</v>
      </c>
      <c r="S186" s="44">
        <f t="shared" si="184"/>
        <v>0</v>
      </c>
      <c r="T186" s="44">
        <f t="shared" si="185"/>
        <v>0</v>
      </c>
      <c r="U186" s="77"/>
      <c r="V186" s="77"/>
      <c r="W186" s="678">
        <v>7912</v>
      </c>
      <c r="X186" s="77"/>
      <c r="Y186" s="77"/>
      <c r="Z186" s="77"/>
      <c r="AA186" s="77"/>
      <c r="AB186" s="44">
        <f t="shared" si="235"/>
        <v>79.12</v>
      </c>
      <c r="AC186" s="44">
        <f t="shared" si="187"/>
        <v>490.54399999999998</v>
      </c>
      <c r="AD186" s="44">
        <f t="shared" si="188"/>
        <v>221.536</v>
      </c>
      <c r="AE186" s="77"/>
      <c r="AF186" s="77"/>
      <c r="AG186" s="678"/>
      <c r="AH186" s="77"/>
      <c r="AI186" s="77"/>
      <c r="AJ186" s="77"/>
      <c r="AK186" s="77"/>
      <c r="AL186" s="679">
        <f t="shared" si="233"/>
        <v>0</v>
      </c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680">
        <v>3750</v>
      </c>
      <c r="BF186" s="680">
        <v>1500</v>
      </c>
      <c r="BG186" s="680">
        <v>1950</v>
      </c>
      <c r="BH186" s="77"/>
      <c r="BI186" s="77"/>
      <c r="BJ186" s="77"/>
      <c r="BK186" s="77"/>
      <c r="BL186" s="77"/>
      <c r="BM186" s="44"/>
      <c r="BN186" s="77"/>
      <c r="BO186" s="77"/>
      <c r="BP186" s="77"/>
      <c r="BQ186" s="678">
        <v>918</v>
      </c>
      <c r="BR186" s="679">
        <f t="shared" si="234"/>
        <v>102</v>
      </c>
      <c r="BS186" s="77"/>
      <c r="BT186" s="77"/>
      <c r="BU186" s="77"/>
      <c r="BV186" s="77"/>
      <c r="BW186" s="77"/>
      <c r="BX186" s="77"/>
      <c r="BY186" s="77"/>
      <c r="BZ186" s="77"/>
      <c r="CA186" s="681"/>
      <c r="CB186" s="45">
        <f t="shared" si="199"/>
        <v>16923.2</v>
      </c>
      <c r="CC186" s="46">
        <f t="shared" si="200"/>
        <v>7912</v>
      </c>
      <c r="CD186" s="47">
        <f t="shared" si="201"/>
        <v>7912</v>
      </c>
      <c r="CE186" s="62"/>
      <c r="CF186" s="237" t="str">
        <f>VLOOKUP(A186,labo!B:C,2,FALSE)</f>
        <v>TRANSPORT</v>
      </c>
      <c r="CG186" s="106">
        <f t="shared" si="202"/>
        <v>0</v>
      </c>
      <c r="CI186" s="51"/>
      <c r="CK186" s="251" t="str">
        <f t="shared" si="203"/>
        <v>M061712629499P</v>
      </c>
      <c r="CL186" s="323">
        <f t="shared" si="204"/>
        <v>0</v>
      </c>
      <c r="CM186" s="40"/>
    </row>
    <row r="187" spans="1:93">
      <c r="A187" s="674" t="s">
        <v>406</v>
      </c>
      <c r="B187" s="674" t="s">
        <v>407</v>
      </c>
      <c r="C187" s="545" t="s">
        <v>408</v>
      </c>
      <c r="D187" s="676"/>
      <c r="E187" s="77">
        <v>16400</v>
      </c>
      <c r="F187" s="677">
        <f>+E187*0.25</f>
        <v>4100</v>
      </c>
      <c r="G187" s="43"/>
      <c r="H187" s="43"/>
      <c r="I187" s="43"/>
      <c r="J187" s="77">
        <v>30804</v>
      </c>
      <c r="K187" s="44"/>
      <c r="L187" s="45">
        <f t="shared" si="230"/>
        <v>308.04000000000002</v>
      </c>
      <c r="M187" s="45">
        <f t="shared" si="231"/>
        <v>1909.848</v>
      </c>
      <c r="N187" s="45">
        <f t="shared" si="232"/>
        <v>862.51200000000006</v>
      </c>
      <c r="O187" s="45">
        <v>11375</v>
      </c>
      <c r="P187" s="45"/>
      <c r="Q187" s="45"/>
      <c r="R187" s="45">
        <f t="shared" si="183"/>
        <v>113.75</v>
      </c>
      <c r="S187" s="45">
        <f t="shared" si="184"/>
        <v>705.25</v>
      </c>
      <c r="T187" s="45">
        <f t="shared" si="185"/>
        <v>318.5</v>
      </c>
      <c r="U187" s="45"/>
      <c r="V187" s="45"/>
      <c r="W187" s="678">
        <v>110</v>
      </c>
      <c r="X187" s="45"/>
      <c r="Y187" s="45"/>
      <c r="Z187" s="45"/>
      <c r="AA187" s="45"/>
      <c r="AB187" s="45">
        <f t="shared" si="235"/>
        <v>1.1000000000000001</v>
      </c>
      <c r="AC187" s="45">
        <f t="shared" si="187"/>
        <v>6.82</v>
      </c>
      <c r="AD187" s="45">
        <f t="shared" si="188"/>
        <v>3.08</v>
      </c>
      <c r="AE187" s="44"/>
      <c r="AF187" s="44"/>
      <c r="AG187" s="678"/>
      <c r="AH187" s="44"/>
      <c r="AI187" s="44"/>
      <c r="AJ187" s="44"/>
      <c r="AK187" s="44"/>
      <c r="AL187" s="44">
        <f t="shared" si="233"/>
        <v>0</v>
      </c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680">
        <v>3209</v>
      </c>
      <c r="BF187" s="680">
        <v>1706</v>
      </c>
      <c r="BG187" s="680">
        <v>750</v>
      </c>
      <c r="BH187" s="44"/>
      <c r="BI187" s="44"/>
      <c r="BJ187" s="44"/>
      <c r="BK187" s="44"/>
      <c r="BL187" s="44"/>
      <c r="BM187" s="44"/>
      <c r="BN187" s="44"/>
      <c r="BO187" s="44"/>
      <c r="BP187" s="44"/>
      <c r="BQ187" s="678">
        <v>225</v>
      </c>
      <c r="BR187" s="44">
        <f t="shared" si="234"/>
        <v>25</v>
      </c>
      <c r="BS187" s="44"/>
      <c r="BT187" s="44"/>
      <c r="BU187" s="44"/>
      <c r="BV187" s="44"/>
      <c r="BW187" s="44"/>
      <c r="BX187" s="44"/>
      <c r="BY187" s="44"/>
      <c r="BZ187" s="44"/>
      <c r="CA187" s="699"/>
      <c r="CB187" s="45">
        <f t="shared" si="199"/>
        <v>72932.900000000009</v>
      </c>
      <c r="CC187" s="46">
        <f t="shared" si="200"/>
        <v>16510</v>
      </c>
      <c r="CD187" s="47">
        <f t="shared" si="201"/>
        <v>58689</v>
      </c>
      <c r="CE187" s="62"/>
      <c r="CF187" s="237" t="str">
        <f>VLOOKUP(A187,labo!B:C,2,FALSE)</f>
        <v>HERBERGEMENT</v>
      </c>
      <c r="CG187" s="106">
        <f t="shared" si="202"/>
        <v>0</v>
      </c>
      <c r="CI187" s="51"/>
      <c r="CK187" s="251" t="str">
        <f t="shared" si="203"/>
        <v>P057100302221Q</v>
      </c>
      <c r="CL187" s="323">
        <f t="shared" si="204"/>
        <v>0</v>
      </c>
      <c r="CM187" s="40"/>
    </row>
    <row r="188" spans="1:93">
      <c r="A188" s="325" t="s">
        <v>335</v>
      </c>
      <c r="B188" s="674" t="s">
        <v>3112</v>
      </c>
      <c r="C188" s="545" t="s">
        <v>408</v>
      </c>
      <c r="D188" s="676"/>
      <c r="E188" s="77"/>
      <c r="F188" s="677">
        <f t="shared" ref="F188" si="236">+E188*0.25</f>
        <v>0</v>
      </c>
      <c r="G188" s="43"/>
      <c r="H188" s="43"/>
      <c r="I188" s="43"/>
      <c r="J188" s="77"/>
      <c r="K188" s="44"/>
      <c r="L188" s="45">
        <f t="shared" si="230"/>
        <v>0</v>
      </c>
      <c r="M188" s="45">
        <f t="shared" si="231"/>
        <v>0</v>
      </c>
      <c r="N188" s="45">
        <f t="shared" si="232"/>
        <v>0</v>
      </c>
      <c r="O188" s="45"/>
      <c r="P188" s="45"/>
      <c r="Q188" s="45"/>
      <c r="R188" s="45">
        <f t="shared" si="183"/>
        <v>0</v>
      </c>
      <c r="S188" s="45">
        <f t="shared" si="184"/>
        <v>0</v>
      </c>
      <c r="T188" s="45">
        <f t="shared" si="185"/>
        <v>0</v>
      </c>
      <c r="U188" s="45"/>
      <c r="V188" s="45"/>
      <c r="W188" s="678">
        <v>22053</v>
      </c>
      <c r="X188" s="45"/>
      <c r="Y188" s="45"/>
      <c r="Z188" s="45"/>
      <c r="AA188" s="45"/>
      <c r="AB188" s="45">
        <f t="shared" si="235"/>
        <v>220.53</v>
      </c>
      <c r="AC188" s="45">
        <f t="shared" si="187"/>
        <v>1367.2860000000001</v>
      </c>
      <c r="AD188" s="45">
        <f t="shared" si="188"/>
        <v>617.48400000000004</v>
      </c>
      <c r="AE188" s="44"/>
      <c r="AF188" s="44"/>
      <c r="AG188" s="678"/>
      <c r="AH188" s="44"/>
      <c r="AI188" s="44"/>
      <c r="AJ188" s="44"/>
      <c r="AK188" s="44"/>
      <c r="AL188" s="44">
        <f t="shared" si="233"/>
        <v>0</v>
      </c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680">
        <v>22461</v>
      </c>
      <c r="BF188" s="680">
        <v>9981</v>
      </c>
      <c r="BG188" s="680">
        <v>7201</v>
      </c>
      <c r="BH188" s="44"/>
      <c r="BI188" s="44"/>
      <c r="BJ188" s="44"/>
      <c r="BK188" s="44"/>
      <c r="BL188" s="44"/>
      <c r="BM188" s="44"/>
      <c r="BN188" s="44"/>
      <c r="BO188" s="44"/>
      <c r="BP188" s="44"/>
      <c r="BQ188" s="678">
        <v>2025</v>
      </c>
      <c r="BR188" s="44">
        <f t="shared" si="234"/>
        <v>225</v>
      </c>
      <c r="BS188" s="44"/>
      <c r="BT188" s="44"/>
      <c r="BU188" s="44"/>
      <c r="BV188" s="44"/>
      <c r="BW188" s="44"/>
      <c r="BX188" s="44"/>
      <c r="BY188" s="44"/>
      <c r="BZ188" s="44"/>
      <c r="CA188" s="699"/>
      <c r="CB188" s="45">
        <f t="shared" si="199"/>
        <v>66151.3</v>
      </c>
      <c r="CC188" s="46">
        <f t="shared" si="200"/>
        <v>22053</v>
      </c>
      <c r="CD188" s="47">
        <f t="shared" si="201"/>
        <v>22053</v>
      </c>
      <c r="CE188" s="62"/>
      <c r="CF188" s="237" t="str">
        <f>VLOOKUP(A188,labo!B:C,2,FALSE)</f>
        <v>TRANSPORT</v>
      </c>
      <c r="CG188" s="106">
        <f t="shared" si="202"/>
        <v>0</v>
      </c>
      <c r="CI188" s="51"/>
      <c r="CK188" s="251" t="str">
        <f t="shared" si="203"/>
        <v>M121712672303C</v>
      </c>
      <c r="CL188" s="323">
        <f t="shared" si="204"/>
        <v>0</v>
      </c>
      <c r="CM188" s="40"/>
    </row>
    <row r="189" spans="1:93">
      <c r="A189" s="674" t="s">
        <v>734</v>
      </c>
      <c r="B189" s="675" t="s">
        <v>736</v>
      </c>
      <c r="C189" s="77" t="s">
        <v>408</v>
      </c>
      <c r="D189" s="676"/>
      <c r="E189" s="77"/>
      <c r="F189" s="677">
        <v>0</v>
      </c>
      <c r="G189" s="77"/>
      <c r="H189" s="77"/>
      <c r="I189" s="77"/>
      <c r="J189" s="77"/>
      <c r="K189" s="77"/>
      <c r="L189" s="44">
        <v>0</v>
      </c>
      <c r="M189" s="44">
        <v>0</v>
      </c>
      <c r="N189" s="44">
        <v>0</v>
      </c>
      <c r="O189" s="45"/>
      <c r="P189" s="77"/>
      <c r="Q189" s="77"/>
      <c r="R189" s="44">
        <v>0</v>
      </c>
      <c r="S189" s="44">
        <v>0</v>
      </c>
      <c r="T189" s="44">
        <v>0</v>
      </c>
      <c r="U189" s="77"/>
      <c r="V189" s="77"/>
      <c r="W189" s="678">
        <v>13636</v>
      </c>
      <c r="X189" s="77"/>
      <c r="Y189" s="77"/>
      <c r="Z189" s="77"/>
      <c r="AA189" s="77"/>
      <c r="AB189" s="44">
        <v>136.36000000000001</v>
      </c>
      <c r="AC189" s="44">
        <v>845.43200000000002</v>
      </c>
      <c r="AD189" s="44">
        <v>381.80799999999999</v>
      </c>
      <c r="AE189" s="77"/>
      <c r="AF189" s="77"/>
      <c r="AG189" s="678"/>
      <c r="AH189" s="77"/>
      <c r="AI189" s="77"/>
      <c r="AJ189" s="77"/>
      <c r="AK189" s="77"/>
      <c r="AL189" s="679">
        <v>0</v>
      </c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680"/>
      <c r="BF189" s="680"/>
      <c r="BG189" s="680"/>
      <c r="BH189" s="77"/>
      <c r="BI189" s="77"/>
      <c r="BJ189" s="77"/>
      <c r="BK189" s="77"/>
      <c r="BL189" s="77"/>
      <c r="BM189" s="44"/>
      <c r="BN189" s="77"/>
      <c r="BO189" s="77"/>
      <c r="BP189" s="77"/>
      <c r="BQ189" s="678"/>
      <c r="BR189" s="679">
        <v>0</v>
      </c>
      <c r="BS189" s="77"/>
      <c r="BT189" s="77"/>
      <c r="BU189" s="77"/>
      <c r="BV189" s="77"/>
      <c r="BW189" s="77"/>
      <c r="BX189" s="77"/>
      <c r="BY189" s="77"/>
      <c r="BZ189" s="77"/>
      <c r="CA189" s="681"/>
      <c r="CB189" s="45">
        <f t="shared" si="199"/>
        <v>14999.600000000002</v>
      </c>
      <c r="CC189" s="46">
        <f t="shared" si="200"/>
        <v>13636</v>
      </c>
      <c r="CD189" s="47">
        <f t="shared" si="201"/>
        <v>13636</v>
      </c>
      <c r="CE189" s="62"/>
      <c r="CF189" s="237" t="str">
        <f>VLOOKUP(A189,labo!B:C,2,FALSE)</f>
        <v>AUTRES SERVICES</v>
      </c>
      <c r="CG189" s="106">
        <f t="shared" si="202"/>
        <v>0</v>
      </c>
      <c r="CI189" s="51"/>
      <c r="CK189" s="251" t="str">
        <f t="shared" si="203"/>
        <v>P096500024715C</v>
      </c>
      <c r="CL189" s="323">
        <f t="shared" si="204"/>
        <v>0</v>
      </c>
      <c r="CM189" s="40"/>
      <c r="CN189" s="40">
        <v>4445</v>
      </c>
      <c r="CO189" s="40">
        <f>+CN189-4445</f>
        <v>0</v>
      </c>
    </row>
    <row r="190" spans="1:93">
      <c r="A190" s="674" t="s">
        <v>2124</v>
      </c>
      <c r="B190" s="675" t="s">
        <v>2150</v>
      </c>
      <c r="C190" s="77" t="s">
        <v>408</v>
      </c>
      <c r="D190" s="676"/>
      <c r="E190" s="77"/>
      <c r="F190" s="677">
        <v>0</v>
      </c>
      <c r="G190" s="77"/>
      <c r="H190" s="77"/>
      <c r="I190" s="77"/>
      <c r="J190" s="77"/>
      <c r="K190" s="77"/>
      <c r="L190" s="44">
        <v>0</v>
      </c>
      <c r="M190" s="44">
        <v>0</v>
      </c>
      <c r="N190" s="44">
        <v>0</v>
      </c>
      <c r="O190" s="45"/>
      <c r="P190" s="77"/>
      <c r="Q190" s="77"/>
      <c r="R190" s="44">
        <v>0</v>
      </c>
      <c r="S190" s="44">
        <v>0</v>
      </c>
      <c r="T190" s="44">
        <v>0</v>
      </c>
      <c r="U190" s="77"/>
      <c r="V190" s="77"/>
      <c r="W190" s="678">
        <v>2640</v>
      </c>
      <c r="X190" s="77"/>
      <c r="Y190" s="77"/>
      <c r="Z190" s="77"/>
      <c r="AA190" s="77"/>
      <c r="AB190" s="44">
        <v>26.400000000000002</v>
      </c>
      <c r="AC190" s="44">
        <v>163.68</v>
      </c>
      <c r="AD190" s="44">
        <v>73.92</v>
      </c>
      <c r="AE190" s="77"/>
      <c r="AF190" s="77"/>
      <c r="AG190" s="678"/>
      <c r="AH190" s="77"/>
      <c r="AI190" s="77"/>
      <c r="AJ190" s="77"/>
      <c r="AK190" s="77"/>
      <c r="AL190" s="679">
        <v>0</v>
      </c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680">
        <v>3000</v>
      </c>
      <c r="BF190" s="680">
        <v>1200</v>
      </c>
      <c r="BG190" s="680">
        <v>1500</v>
      </c>
      <c r="BH190" s="77"/>
      <c r="BI190" s="77"/>
      <c r="BJ190" s="77"/>
      <c r="BK190" s="77"/>
      <c r="BL190" s="77"/>
      <c r="BM190" s="44"/>
      <c r="BN190" s="77"/>
      <c r="BO190" s="77"/>
      <c r="BP190" s="77"/>
      <c r="BQ190" s="77"/>
      <c r="BR190" s="679">
        <v>0</v>
      </c>
      <c r="BS190" s="77"/>
      <c r="BT190" s="77"/>
      <c r="BU190" s="77"/>
      <c r="BV190" s="77"/>
      <c r="BW190" s="77"/>
      <c r="BX190" s="77"/>
      <c r="BY190" s="77"/>
      <c r="BZ190" s="77"/>
      <c r="CA190" s="681"/>
      <c r="CB190" s="45">
        <f t="shared" si="199"/>
        <v>8604</v>
      </c>
      <c r="CC190" s="46">
        <f t="shared" si="200"/>
        <v>2640</v>
      </c>
      <c r="CD190" s="47">
        <f t="shared" si="201"/>
        <v>2640</v>
      </c>
      <c r="CE190" s="62"/>
      <c r="CF190" s="237" t="str">
        <f>VLOOKUP(A190,labo!B:C,2,FALSE)</f>
        <v>AUTRES SERVICES</v>
      </c>
      <c r="CG190" s="106">
        <f t="shared" si="202"/>
        <v>0</v>
      </c>
      <c r="CI190" s="51"/>
      <c r="CK190" s="251" t="str">
        <f t="shared" ref="CK190" si="237">+B190</f>
        <v>M011300045163Q</v>
      </c>
      <c r="CL190" s="323">
        <f t="shared" ref="CL190" si="238">CE190</f>
        <v>0</v>
      </c>
      <c r="CM190" s="40"/>
      <c r="CN190" s="40">
        <v>4445</v>
      </c>
      <c r="CO190" s="40">
        <f>+CN190-4445</f>
        <v>0</v>
      </c>
    </row>
    <row r="191" spans="1:93">
      <c r="A191" s="674" t="s">
        <v>447</v>
      </c>
      <c r="B191" s="674" t="s">
        <v>449</v>
      </c>
      <c r="C191" s="545" t="s">
        <v>408</v>
      </c>
      <c r="D191" s="676"/>
      <c r="E191" s="77"/>
      <c r="F191" s="707">
        <v>0</v>
      </c>
      <c r="G191" s="43"/>
      <c r="H191" s="43"/>
      <c r="I191" s="43"/>
      <c r="J191" s="77"/>
      <c r="K191" s="44"/>
      <c r="L191" s="45">
        <v>0</v>
      </c>
      <c r="M191" s="45">
        <v>0</v>
      </c>
      <c r="N191" s="45">
        <v>0</v>
      </c>
      <c r="O191" s="45"/>
      <c r="P191" s="45"/>
      <c r="Q191" s="45"/>
      <c r="R191" s="45">
        <v>0</v>
      </c>
      <c r="S191" s="45">
        <v>0</v>
      </c>
      <c r="T191" s="45">
        <v>0</v>
      </c>
      <c r="U191" s="45"/>
      <c r="V191" s="45"/>
      <c r="W191" s="678">
        <v>1399</v>
      </c>
      <c r="X191" s="45"/>
      <c r="Y191" s="45"/>
      <c r="Z191" s="45"/>
      <c r="AA191" s="45"/>
      <c r="AB191" s="45">
        <v>13.99</v>
      </c>
      <c r="AC191" s="45">
        <v>86.738</v>
      </c>
      <c r="AD191" s="45">
        <v>39.172000000000004</v>
      </c>
      <c r="AE191" s="44"/>
      <c r="AF191" s="44"/>
      <c r="AG191" s="678"/>
      <c r="AH191" s="44"/>
      <c r="AI191" s="44"/>
      <c r="AJ191" s="44"/>
      <c r="AK191" s="44"/>
      <c r="AL191" s="44">
        <v>0</v>
      </c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680">
        <v>1750</v>
      </c>
      <c r="BF191" s="680">
        <v>700</v>
      </c>
      <c r="BG191" s="680">
        <v>750</v>
      </c>
      <c r="BH191" s="44"/>
      <c r="BI191" s="44"/>
      <c r="BJ191" s="44"/>
      <c r="BK191" s="44"/>
      <c r="BL191" s="44"/>
      <c r="BM191" s="44"/>
      <c r="BN191" s="44"/>
      <c r="BO191" s="44"/>
      <c r="BP191" s="44"/>
      <c r="BQ191" s="678">
        <v>225</v>
      </c>
      <c r="BR191" s="44">
        <v>25</v>
      </c>
      <c r="BS191" s="44"/>
      <c r="BT191" s="44"/>
      <c r="BU191" s="44"/>
      <c r="BV191" s="44"/>
      <c r="BW191" s="44"/>
      <c r="BX191" s="44"/>
      <c r="BY191" s="44"/>
      <c r="BZ191" s="44"/>
      <c r="CA191" s="699"/>
      <c r="CB191" s="45">
        <f t="shared" si="199"/>
        <v>4988.8999999999996</v>
      </c>
      <c r="CC191" s="46">
        <f t="shared" si="200"/>
        <v>1399</v>
      </c>
      <c r="CD191" s="47">
        <f t="shared" si="201"/>
        <v>1399</v>
      </c>
      <c r="CE191" s="62"/>
      <c r="CF191" s="237" t="str">
        <f>VLOOKUP(A191,labo!B:C,2,FALSE)</f>
        <v>PROFESSIONS LIBERALES</v>
      </c>
      <c r="CG191" s="106">
        <f t="shared" si="202"/>
        <v>0</v>
      </c>
      <c r="CI191" s="51"/>
      <c r="CK191" s="251" t="str">
        <f t="shared" si="203"/>
        <v>P126500273464H</v>
      </c>
      <c r="CL191" s="323">
        <f t="shared" si="204"/>
        <v>0</v>
      </c>
      <c r="CM191" s="40"/>
      <c r="CN191" s="40">
        <v>175000</v>
      </c>
      <c r="CO191" s="40">
        <f>252000-CN191</f>
        <v>77000</v>
      </c>
    </row>
    <row r="192" spans="1:93">
      <c r="A192" s="674" t="s">
        <v>462</v>
      </c>
      <c r="B192" s="674" t="s">
        <v>464</v>
      </c>
      <c r="C192" s="545" t="s">
        <v>408</v>
      </c>
      <c r="D192" s="676"/>
      <c r="E192" s="77"/>
      <c r="F192" s="707">
        <v>0</v>
      </c>
      <c r="G192" s="43"/>
      <c r="H192" s="43"/>
      <c r="I192" s="43"/>
      <c r="J192" s="77"/>
      <c r="K192" s="44"/>
      <c r="L192" s="45">
        <v>0</v>
      </c>
      <c r="M192" s="45">
        <v>0</v>
      </c>
      <c r="N192" s="45">
        <v>0</v>
      </c>
      <c r="O192" s="45"/>
      <c r="P192" s="45"/>
      <c r="Q192" s="45"/>
      <c r="R192" s="45">
        <v>0</v>
      </c>
      <c r="S192" s="45">
        <v>0</v>
      </c>
      <c r="T192" s="45">
        <v>0</v>
      </c>
      <c r="U192" s="45"/>
      <c r="V192" s="45"/>
      <c r="W192" s="678"/>
      <c r="X192" s="45"/>
      <c r="Y192" s="45"/>
      <c r="Z192" s="45"/>
      <c r="AA192" s="45"/>
      <c r="AB192" s="45">
        <v>0</v>
      </c>
      <c r="AC192" s="45">
        <v>0</v>
      </c>
      <c r="AD192" s="45">
        <v>0</v>
      </c>
      <c r="AE192" s="44"/>
      <c r="AF192" s="44"/>
      <c r="AG192" s="678"/>
      <c r="AH192" s="44"/>
      <c r="AI192" s="44"/>
      <c r="AJ192" s="44"/>
      <c r="AK192" s="44"/>
      <c r="AL192" s="44">
        <v>0</v>
      </c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680">
        <v>1270</v>
      </c>
      <c r="BF192" s="680">
        <v>520</v>
      </c>
      <c r="BG192" s="680">
        <v>750</v>
      </c>
      <c r="BH192" s="44"/>
      <c r="BI192" s="44"/>
      <c r="BJ192" s="44"/>
      <c r="BK192" s="44"/>
      <c r="BL192" s="44"/>
      <c r="BM192" s="44"/>
      <c r="BN192" s="44"/>
      <c r="BO192" s="44"/>
      <c r="BP192" s="44"/>
      <c r="BQ192" s="678"/>
      <c r="BR192" s="44">
        <v>0</v>
      </c>
      <c r="BS192" s="44"/>
      <c r="BT192" s="44"/>
      <c r="BU192" s="44"/>
      <c r="BV192" s="44"/>
      <c r="BW192" s="44"/>
      <c r="BX192" s="44"/>
      <c r="BY192" s="44"/>
      <c r="BZ192" s="44"/>
      <c r="CA192" s="699"/>
      <c r="CB192" s="45">
        <f t="shared" si="199"/>
        <v>2540</v>
      </c>
      <c r="CC192" s="46">
        <f t="shared" si="200"/>
        <v>0</v>
      </c>
      <c r="CD192" s="47">
        <f t="shared" si="201"/>
        <v>0</v>
      </c>
      <c r="CE192" s="62"/>
      <c r="CF192" s="237" t="str">
        <f>VLOOKUP(A192,labo!B:C,2,FALSE)</f>
        <v>PROFESSIONS LIBERALES</v>
      </c>
      <c r="CG192" s="106">
        <f t="shared" si="202"/>
        <v>0</v>
      </c>
      <c r="CI192" s="51"/>
      <c r="CK192" s="251" t="str">
        <f t="shared" si="203"/>
        <v>P066600307213D</v>
      </c>
      <c r="CL192" s="323">
        <f t="shared" si="204"/>
        <v>0</v>
      </c>
      <c r="CM192" s="40"/>
    </row>
    <row r="193" spans="1:96">
      <c r="A193" s="674" t="s">
        <v>470</v>
      </c>
      <c r="B193" s="674" t="s">
        <v>472</v>
      </c>
      <c r="C193" s="545" t="s">
        <v>408</v>
      </c>
      <c r="D193" s="676"/>
      <c r="E193" s="77"/>
      <c r="F193" s="677">
        <v>0</v>
      </c>
      <c r="G193" s="43"/>
      <c r="H193" s="43"/>
      <c r="I193" s="43"/>
      <c r="J193" s="77"/>
      <c r="K193" s="44"/>
      <c r="L193" s="45">
        <v>0</v>
      </c>
      <c r="M193" s="45">
        <v>0</v>
      </c>
      <c r="N193" s="45">
        <v>0</v>
      </c>
      <c r="O193" s="45"/>
      <c r="P193" s="45"/>
      <c r="Q193" s="45"/>
      <c r="R193" s="45">
        <v>0</v>
      </c>
      <c r="S193" s="45">
        <v>0</v>
      </c>
      <c r="T193" s="45">
        <v>0</v>
      </c>
      <c r="U193" s="45"/>
      <c r="V193" s="45"/>
      <c r="W193" s="678">
        <v>9811</v>
      </c>
      <c r="X193" s="45"/>
      <c r="Y193" s="45"/>
      <c r="Z193" s="45"/>
      <c r="AA193" s="45"/>
      <c r="AB193" s="45">
        <v>98.11</v>
      </c>
      <c r="AC193" s="45">
        <v>608.28200000000004</v>
      </c>
      <c r="AD193" s="45">
        <v>274.70800000000003</v>
      </c>
      <c r="AE193" s="44"/>
      <c r="AF193" s="44"/>
      <c r="AG193" s="678"/>
      <c r="AH193" s="44"/>
      <c r="AI193" s="44"/>
      <c r="AJ193" s="44"/>
      <c r="AK193" s="44"/>
      <c r="AL193" s="44">
        <v>0</v>
      </c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680">
        <v>7875</v>
      </c>
      <c r="BF193" s="680">
        <v>3150</v>
      </c>
      <c r="BG193" s="680">
        <v>3900</v>
      </c>
      <c r="BH193" s="44"/>
      <c r="BI193" s="44"/>
      <c r="BJ193" s="44"/>
      <c r="BK193" s="44"/>
      <c r="BL193" s="44"/>
      <c r="BM193" s="44"/>
      <c r="BN193" s="44"/>
      <c r="BO193" s="44"/>
      <c r="BP193" s="44"/>
      <c r="BQ193" s="678">
        <v>1575</v>
      </c>
      <c r="BR193" s="44">
        <v>175</v>
      </c>
      <c r="BS193" s="44"/>
      <c r="BT193" s="44"/>
      <c r="BU193" s="44"/>
      <c r="BV193" s="44"/>
      <c r="BW193" s="44"/>
      <c r="BX193" s="44"/>
      <c r="BY193" s="44"/>
      <c r="BZ193" s="44"/>
      <c r="CA193" s="699"/>
      <c r="CB193" s="45">
        <f t="shared" si="199"/>
        <v>27467.1</v>
      </c>
      <c r="CC193" s="46">
        <f t="shared" si="200"/>
        <v>9811</v>
      </c>
      <c r="CD193" s="47">
        <f t="shared" si="201"/>
        <v>9811</v>
      </c>
      <c r="CE193" s="62"/>
      <c r="CF193" s="237" t="str">
        <f>VLOOKUP(A193,labo!B:C,2,FALSE)</f>
        <v>PROFESSIONS LIBERALES</v>
      </c>
      <c r="CG193" s="106">
        <f t="shared" si="202"/>
        <v>0</v>
      </c>
      <c r="CI193" s="51"/>
      <c r="CK193" s="251" t="str">
        <f t="shared" ref="CK193:CK255" si="239">+B193</f>
        <v>P016300202397Y</v>
      </c>
      <c r="CL193" s="323">
        <f t="shared" ref="CL193:CL255" si="240">CE193</f>
        <v>0</v>
      </c>
      <c r="CM193" s="40"/>
    </row>
    <row r="194" spans="1:96">
      <c r="A194" s="674" t="s">
        <v>598</v>
      </c>
      <c r="B194" s="674" t="s">
        <v>600</v>
      </c>
      <c r="C194" s="545" t="s">
        <v>408</v>
      </c>
      <c r="D194" s="676"/>
      <c r="E194" s="77"/>
      <c r="F194" s="677">
        <v>0</v>
      </c>
      <c r="G194" s="43"/>
      <c r="H194" s="43"/>
      <c r="I194" s="43"/>
      <c r="J194" s="77"/>
      <c r="K194" s="44"/>
      <c r="L194" s="45">
        <v>0</v>
      </c>
      <c r="M194" s="45">
        <v>0</v>
      </c>
      <c r="N194" s="45">
        <v>0</v>
      </c>
      <c r="O194" s="45"/>
      <c r="P194" s="45"/>
      <c r="Q194" s="45"/>
      <c r="R194" s="45">
        <v>0</v>
      </c>
      <c r="S194" s="45">
        <v>0</v>
      </c>
      <c r="T194" s="45">
        <v>0</v>
      </c>
      <c r="U194" s="45"/>
      <c r="V194" s="45"/>
      <c r="W194" s="678"/>
      <c r="X194" s="45"/>
      <c r="Y194" s="45"/>
      <c r="Z194" s="45"/>
      <c r="AA194" s="45"/>
      <c r="AB194" s="45">
        <v>0</v>
      </c>
      <c r="AC194" s="45">
        <v>0</v>
      </c>
      <c r="AD194" s="45">
        <v>0</v>
      </c>
      <c r="AE194" s="44"/>
      <c r="AF194" s="44"/>
      <c r="AG194" s="678"/>
      <c r="AH194" s="44"/>
      <c r="AI194" s="44"/>
      <c r="AJ194" s="44"/>
      <c r="AK194" s="44"/>
      <c r="AL194" s="44">
        <v>0</v>
      </c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680">
        <v>1300</v>
      </c>
      <c r="BF194" s="680">
        <v>520</v>
      </c>
      <c r="BG194" s="680">
        <v>750</v>
      </c>
      <c r="BH194" s="44"/>
      <c r="BI194" s="44"/>
      <c r="BJ194" s="44"/>
      <c r="BK194" s="44"/>
      <c r="BL194" s="44"/>
      <c r="BM194" s="44"/>
      <c r="BN194" s="44"/>
      <c r="BO194" s="44"/>
      <c r="BP194" s="44"/>
      <c r="BQ194" s="678">
        <v>225</v>
      </c>
      <c r="BR194" s="44">
        <v>25</v>
      </c>
      <c r="BS194" s="44"/>
      <c r="BT194" s="44"/>
      <c r="BU194" s="44"/>
      <c r="BV194" s="44"/>
      <c r="BW194" s="44"/>
      <c r="BX194" s="44"/>
      <c r="BY194" s="44"/>
      <c r="BZ194" s="44"/>
      <c r="CA194" s="699"/>
      <c r="CB194" s="45">
        <f t="shared" ref="CB194:CB257" si="241">SUM(E194:CA194)</f>
        <v>2820</v>
      </c>
      <c r="CC194" s="46">
        <f t="shared" ref="CC194:CC257" si="242">E194+H194+I194+K194+P194+Q194+W194+X194+Y194+Z194+AA194+AE194+AG194+AH194+AI194+AJ194+AN194+AO194+AS194+AT194+AU194+AV194+AW194+AY194+BB194</f>
        <v>0</v>
      </c>
      <c r="CD194" s="47">
        <f t="shared" ref="CD194:CD257" si="243">E194+H194+I194+J194+K194+O194+P194+Q194+U194+V194+W194+X194+Y194+Z194+AA194+AE194+AF194+AG194+AH194+AI194+AJ194+AN194+AO194+AT194+AU194+AV194+AW194+AY194+BA194+BB194</f>
        <v>0</v>
      </c>
      <c r="CE194" s="62"/>
      <c r="CF194" s="237" t="str">
        <f>VLOOKUP(A194,labo!B:C,2,FALSE)</f>
        <v>PROFESSIONS LIBERALES</v>
      </c>
      <c r="CG194" s="106">
        <f t="shared" ref="CG194:CG257" si="244">K194+Q194+X194+Y194+Z194+AF194</f>
        <v>0</v>
      </c>
      <c r="CI194" s="51"/>
      <c r="CK194" s="251" t="str">
        <f t="shared" si="239"/>
        <v>P106700404461Y</v>
      </c>
      <c r="CL194" s="323">
        <f t="shared" si="240"/>
        <v>0</v>
      </c>
      <c r="CM194" s="40"/>
    </row>
    <row r="195" spans="1:96">
      <c r="A195" s="674" t="s">
        <v>624</v>
      </c>
      <c r="B195" s="674" t="s">
        <v>625</v>
      </c>
      <c r="C195" s="545" t="s">
        <v>408</v>
      </c>
      <c r="D195" s="676"/>
      <c r="E195" s="77"/>
      <c r="F195" s="677">
        <v>0</v>
      </c>
      <c r="G195" s="43"/>
      <c r="H195" s="43"/>
      <c r="I195" s="43"/>
      <c r="J195" s="77"/>
      <c r="K195" s="44"/>
      <c r="L195" s="45">
        <v>0</v>
      </c>
      <c r="M195" s="45">
        <v>0</v>
      </c>
      <c r="N195" s="45">
        <v>0</v>
      </c>
      <c r="O195" s="45"/>
      <c r="P195" s="45"/>
      <c r="Q195" s="45"/>
      <c r="R195" s="45">
        <v>0</v>
      </c>
      <c r="S195" s="45">
        <v>0</v>
      </c>
      <c r="T195" s="45">
        <v>0</v>
      </c>
      <c r="U195" s="45"/>
      <c r="V195" s="45"/>
      <c r="W195" s="678">
        <v>1209</v>
      </c>
      <c r="X195" s="45"/>
      <c r="Y195" s="45"/>
      <c r="Z195" s="45"/>
      <c r="AA195" s="45"/>
      <c r="AB195" s="45">
        <v>12.09</v>
      </c>
      <c r="AC195" s="45">
        <v>74.957999999999998</v>
      </c>
      <c r="AD195" s="45">
        <v>33.852000000000004</v>
      </c>
      <c r="AE195" s="44"/>
      <c r="AF195" s="44"/>
      <c r="AG195" s="44"/>
      <c r="AH195" s="44"/>
      <c r="AI195" s="44"/>
      <c r="AJ195" s="44"/>
      <c r="AK195" s="44"/>
      <c r="AL195" s="44">
        <v>0</v>
      </c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680">
        <v>3125</v>
      </c>
      <c r="BF195" s="680">
        <v>1250</v>
      </c>
      <c r="BG195" s="680">
        <v>750</v>
      </c>
      <c r="BH195" s="44"/>
      <c r="BI195" s="44"/>
      <c r="BJ195" s="44"/>
      <c r="BK195" s="44"/>
      <c r="BL195" s="44"/>
      <c r="BM195" s="44"/>
      <c r="BN195" s="44"/>
      <c r="BO195" s="44"/>
      <c r="BP195" s="44"/>
      <c r="BQ195" s="678">
        <v>360</v>
      </c>
      <c r="BR195" s="44">
        <v>40</v>
      </c>
      <c r="BS195" s="44"/>
      <c r="BT195" s="44"/>
      <c r="BU195" s="44"/>
      <c r="BV195" s="44"/>
      <c r="BW195" s="44"/>
      <c r="BX195" s="44"/>
      <c r="BY195" s="44"/>
      <c r="BZ195" s="44"/>
      <c r="CA195" s="699"/>
      <c r="CB195" s="45">
        <f t="shared" si="241"/>
        <v>6854.9</v>
      </c>
      <c r="CC195" s="46">
        <f t="shared" si="242"/>
        <v>1209</v>
      </c>
      <c r="CD195" s="47">
        <f t="shared" si="243"/>
        <v>1209</v>
      </c>
      <c r="CE195" s="62"/>
      <c r="CF195" s="237" t="str">
        <f>VLOOKUP(A195,labo!B:C,2,FALSE)</f>
        <v>PROFESSIONS LIBERALES</v>
      </c>
      <c r="CG195" s="106">
        <f t="shared" si="244"/>
        <v>0</v>
      </c>
      <c r="CI195" s="51"/>
      <c r="CK195" s="251" t="str">
        <f t="shared" si="239"/>
        <v>P036012265777K</v>
      </c>
      <c r="CL195" s="323">
        <f t="shared" si="240"/>
        <v>0</v>
      </c>
      <c r="CM195" s="40"/>
      <c r="CN195" s="51"/>
      <c r="CO195" s="51"/>
      <c r="CP195" s="51"/>
      <c r="CQ195" s="51"/>
      <c r="CR195" s="51"/>
    </row>
    <row r="196" spans="1:96">
      <c r="A196" s="674" t="s">
        <v>2335</v>
      </c>
      <c r="B196" s="674" t="s">
        <v>2491</v>
      </c>
      <c r="C196" s="709" t="s">
        <v>408</v>
      </c>
      <c r="D196" s="676"/>
      <c r="E196" s="678"/>
      <c r="F196" s="677">
        <v>0</v>
      </c>
      <c r="G196" s="710"/>
      <c r="H196" s="710"/>
      <c r="I196" s="710"/>
      <c r="J196" s="77"/>
      <c r="K196" s="679"/>
      <c r="L196" s="45">
        <v>0</v>
      </c>
      <c r="M196" s="45">
        <v>0</v>
      </c>
      <c r="N196" s="45">
        <v>0</v>
      </c>
      <c r="O196" s="45">
        <v>1000</v>
      </c>
      <c r="P196" s="711"/>
      <c r="Q196" s="711"/>
      <c r="R196" s="45">
        <v>10</v>
      </c>
      <c r="S196" s="45">
        <v>62</v>
      </c>
      <c r="T196" s="45">
        <v>28</v>
      </c>
      <c r="U196" s="44"/>
      <c r="V196" s="44"/>
      <c r="W196" s="678">
        <v>8750</v>
      </c>
      <c r="X196" s="44"/>
      <c r="Y196" s="44"/>
      <c r="Z196" s="44"/>
      <c r="AA196" s="44"/>
      <c r="AB196" s="45">
        <v>87.5</v>
      </c>
      <c r="AC196" s="45">
        <v>542.5</v>
      </c>
      <c r="AD196" s="45">
        <v>245</v>
      </c>
      <c r="AE196" s="679"/>
      <c r="AF196" s="679"/>
      <c r="AG196" s="678"/>
      <c r="AH196" s="679"/>
      <c r="AI196" s="679"/>
      <c r="AJ196" s="679"/>
      <c r="AK196" s="679"/>
      <c r="AL196" s="44">
        <v>0</v>
      </c>
      <c r="AM196" s="679"/>
      <c r="AN196" s="679"/>
      <c r="AO196" s="679"/>
      <c r="AP196" s="679"/>
      <c r="AQ196" s="679"/>
      <c r="AR196" s="679"/>
      <c r="AS196" s="679"/>
      <c r="AT196" s="679"/>
      <c r="AU196" s="679"/>
      <c r="AV196" s="679"/>
      <c r="AW196" s="679"/>
      <c r="AX196" s="679"/>
      <c r="AY196" s="679"/>
      <c r="AZ196" s="679"/>
      <c r="BA196" s="679"/>
      <c r="BB196" s="679"/>
      <c r="BC196" s="679"/>
      <c r="BD196" s="679"/>
      <c r="BE196" s="680">
        <v>1250</v>
      </c>
      <c r="BF196" s="680">
        <v>500</v>
      </c>
      <c r="BG196" s="680"/>
      <c r="BH196" s="679"/>
      <c r="BI196" s="679"/>
      <c r="BJ196" s="679"/>
      <c r="BK196" s="679"/>
      <c r="BL196" s="679"/>
      <c r="BM196" s="44"/>
      <c r="BN196" s="679"/>
      <c r="BO196" s="679"/>
      <c r="BP196" s="679"/>
      <c r="BQ196" s="678">
        <v>153</v>
      </c>
      <c r="BR196" s="44">
        <v>17</v>
      </c>
      <c r="BS196" s="679"/>
      <c r="BT196" s="679"/>
      <c r="BU196" s="679"/>
      <c r="BV196" s="679"/>
      <c r="BW196" s="679"/>
      <c r="BX196" s="679"/>
      <c r="BY196" s="679"/>
      <c r="BZ196" s="679"/>
      <c r="CA196" s="712"/>
      <c r="CB196" s="45">
        <f t="shared" si="241"/>
        <v>12645</v>
      </c>
      <c r="CC196" s="46">
        <f t="shared" si="242"/>
        <v>8750</v>
      </c>
      <c r="CD196" s="47">
        <f t="shared" si="243"/>
        <v>9750</v>
      </c>
      <c r="CE196" s="62"/>
      <c r="CF196" s="237" t="str">
        <f>VLOOKUP(A196,labo!B:C,2,FALSE)</f>
        <v>AUTRES SERVICES</v>
      </c>
      <c r="CG196" s="106">
        <f t="shared" si="244"/>
        <v>0</v>
      </c>
      <c r="CI196" s="51"/>
      <c r="CK196" s="251" t="str">
        <f t="shared" si="239"/>
        <v>P117812263474B</v>
      </c>
      <c r="CL196" s="323">
        <f t="shared" si="240"/>
        <v>0</v>
      </c>
      <c r="CM196" s="40"/>
    </row>
    <row r="197" spans="1:96">
      <c r="A197" s="674" t="s">
        <v>688</v>
      </c>
      <c r="B197" s="675" t="s">
        <v>690</v>
      </c>
      <c r="C197" s="77" t="s">
        <v>408</v>
      </c>
      <c r="D197" s="676"/>
      <c r="E197" s="77"/>
      <c r="F197" s="677">
        <v>0</v>
      </c>
      <c r="G197" s="77"/>
      <c r="H197" s="77"/>
      <c r="I197" s="77"/>
      <c r="J197" s="77"/>
      <c r="K197" s="77"/>
      <c r="L197" s="44">
        <v>0</v>
      </c>
      <c r="M197" s="44">
        <v>0</v>
      </c>
      <c r="N197" s="44">
        <v>0</v>
      </c>
      <c r="O197" s="45"/>
      <c r="P197" s="77"/>
      <c r="Q197" s="77"/>
      <c r="R197" s="44">
        <v>0</v>
      </c>
      <c r="S197" s="44">
        <v>0</v>
      </c>
      <c r="T197" s="44">
        <v>0</v>
      </c>
      <c r="U197" s="77"/>
      <c r="V197" s="77"/>
      <c r="W197" s="678"/>
      <c r="X197" s="77"/>
      <c r="Y197" s="77"/>
      <c r="Z197" s="77"/>
      <c r="AA197" s="77"/>
      <c r="AB197" s="44">
        <v>0</v>
      </c>
      <c r="AC197" s="44">
        <v>0</v>
      </c>
      <c r="AD197" s="44">
        <v>0</v>
      </c>
      <c r="AE197" s="77"/>
      <c r="AF197" s="77"/>
      <c r="AG197" s="678"/>
      <c r="AH197" s="77"/>
      <c r="AI197" s="77"/>
      <c r="AJ197" s="77"/>
      <c r="AK197" s="77"/>
      <c r="AL197" s="679">
        <v>0</v>
      </c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680">
        <v>1300</v>
      </c>
      <c r="BF197" s="680">
        <v>520</v>
      </c>
      <c r="BG197" s="680">
        <v>750</v>
      </c>
      <c r="BH197" s="77"/>
      <c r="BI197" s="77"/>
      <c r="BJ197" s="77"/>
      <c r="BK197" s="77"/>
      <c r="BL197" s="77"/>
      <c r="BM197" s="44"/>
      <c r="BN197" s="77"/>
      <c r="BO197" s="77"/>
      <c r="BP197" s="77"/>
      <c r="BQ197" s="678">
        <v>225</v>
      </c>
      <c r="BR197" s="679">
        <v>25</v>
      </c>
      <c r="BS197" s="77"/>
      <c r="BT197" s="77"/>
      <c r="BU197" s="77"/>
      <c r="BV197" s="77"/>
      <c r="BW197" s="77"/>
      <c r="BX197" s="77"/>
      <c r="BY197" s="77"/>
      <c r="BZ197" s="77"/>
      <c r="CA197" s="681"/>
      <c r="CB197" s="45">
        <f t="shared" si="241"/>
        <v>2820</v>
      </c>
      <c r="CC197" s="46">
        <f t="shared" si="242"/>
        <v>0</v>
      </c>
      <c r="CD197" s="47">
        <f t="shared" si="243"/>
        <v>0</v>
      </c>
      <c r="CE197" s="62"/>
      <c r="CF197" s="237" t="str">
        <f>VLOOKUP(A197,labo!B:C,2,FALSE)</f>
        <v>PROFESSIONS LIBERALES</v>
      </c>
      <c r="CG197" s="106">
        <f t="shared" si="244"/>
        <v>0</v>
      </c>
      <c r="CI197" s="51"/>
      <c r="CK197" s="251" t="str">
        <f t="shared" si="239"/>
        <v>P026700220144K</v>
      </c>
      <c r="CL197" s="323">
        <f t="shared" si="240"/>
        <v>0</v>
      </c>
      <c r="CM197" s="40"/>
    </row>
    <row r="198" spans="1:96">
      <c r="A198" s="674" t="s">
        <v>718</v>
      </c>
      <c r="B198" s="674" t="s">
        <v>719</v>
      </c>
      <c r="C198" s="77" t="s">
        <v>408</v>
      </c>
      <c r="D198" s="676"/>
      <c r="E198" s="77"/>
      <c r="F198" s="677">
        <v>0</v>
      </c>
      <c r="G198" s="77"/>
      <c r="H198" s="77"/>
      <c r="I198" s="77"/>
      <c r="J198" s="77"/>
      <c r="K198" s="77"/>
      <c r="L198" s="44">
        <v>0</v>
      </c>
      <c r="M198" s="44">
        <v>0</v>
      </c>
      <c r="N198" s="44">
        <v>0</v>
      </c>
      <c r="O198" s="77"/>
      <c r="P198" s="77"/>
      <c r="Q198" s="77"/>
      <c r="R198" s="44">
        <v>0</v>
      </c>
      <c r="S198" s="44">
        <v>0</v>
      </c>
      <c r="T198" s="44">
        <v>0</v>
      </c>
      <c r="U198" s="77"/>
      <c r="V198" s="77"/>
      <c r="W198" s="678"/>
      <c r="X198" s="77"/>
      <c r="Y198" s="77"/>
      <c r="Z198" s="77"/>
      <c r="AA198" s="77"/>
      <c r="AB198" s="44">
        <v>0</v>
      </c>
      <c r="AC198" s="44">
        <v>0</v>
      </c>
      <c r="AD198" s="44">
        <v>0</v>
      </c>
      <c r="AE198" s="77"/>
      <c r="AF198" s="77"/>
      <c r="AG198" s="678"/>
      <c r="AH198" s="77"/>
      <c r="AI198" s="77"/>
      <c r="AJ198" s="77"/>
      <c r="AK198" s="77"/>
      <c r="AL198" s="679">
        <v>0</v>
      </c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680">
        <v>1000</v>
      </c>
      <c r="BF198" s="680">
        <v>800</v>
      </c>
      <c r="BG198" s="680"/>
      <c r="BH198" s="77"/>
      <c r="BI198" s="77"/>
      <c r="BJ198" s="77"/>
      <c r="BK198" s="77"/>
      <c r="BL198" s="77"/>
      <c r="BM198" s="44"/>
      <c r="BN198" s="77"/>
      <c r="BO198" s="77"/>
      <c r="BP198" s="77"/>
      <c r="BQ198" s="678">
        <v>225</v>
      </c>
      <c r="BR198" s="679">
        <v>25</v>
      </c>
      <c r="BS198" s="77"/>
      <c r="BT198" s="77"/>
      <c r="BU198" s="77"/>
      <c r="BV198" s="77"/>
      <c r="BW198" s="77"/>
      <c r="BX198" s="77"/>
      <c r="BY198" s="77"/>
      <c r="BZ198" s="77"/>
      <c r="CA198" s="681"/>
      <c r="CB198" s="45">
        <f t="shared" si="241"/>
        <v>2050</v>
      </c>
      <c r="CC198" s="46">
        <f t="shared" si="242"/>
        <v>0</v>
      </c>
      <c r="CD198" s="47">
        <f t="shared" si="243"/>
        <v>0</v>
      </c>
      <c r="CE198" s="62"/>
      <c r="CF198" s="237" t="str">
        <f>VLOOKUP(A198,labo!B:C,2,FALSE)</f>
        <v>PROFESSIONS LIBERALES</v>
      </c>
      <c r="CG198" s="106">
        <f t="shared" si="244"/>
        <v>0</v>
      </c>
      <c r="CI198" s="51"/>
      <c r="CK198" s="251" t="str">
        <f t="shared" si="239"/>
        <v>P056712299964S</v>
      </c>
      <c r="CL198" s="323">
        <f t="shared" si="240"/>
        <v>0</v>
      </c>
      <c r="CM198" s="40"/>
      <c r="CN198" s="51"/>
      <c r="CO198" s="51"/>
      <c r="CP198" s="51"/>
      <c r="CQ198" s="51"/>
      <c r="CR198" s="51"/>
    </row>
    <row r="199" spans="1:96">
      <c r="A199" s="674" t="s">
        <v>336</v>
      </c>
      <c r="B199" s="675" t="s">
        <v>851</v>
      </c>
      <c r="C199" s="77" t="s">
        <v>408</v>
      </c>
      <c r="D199" s="676"/>
      <c r="E199" s="77"/>
      <c r="F199" s="677">
        <v>0</v>
      </c>
      <c r="G199" s="77"/>
      <c r="H199" s="77"/>
      <c r="I199" s="77"/>
      <c r="J199" s="77"/>
      <c r="K199" s="77"/>
      <c r="L199" s="44">
        <v>0</v>
      </c>
      <c r="M199" s="44">
        <v>0</v>
      </c>
      <c r="N199" s="44">
        <v>0</v>
      </c>
      <c r="O199" s="45"/>
      <c r="P199" s="77"/>
      <c r="Q199" s="77"/>
      <c r="R199" s="44">
        <v>0</v>
      </c>
      <c r="S199" s="44">
        <v>0</v>
      </c>
      <c r="T199" s="44">
        <v>0</v>
      </c>
      <c r="U199" s="77"/>
      <c r="V199" s="77"/>
      <c r="W199" s="678">
        <v>1749</v>
      </c>
      <c r="X199" s="77"/>
      <c r="Y199" s="77"/>
      <c r="Z199" s="77"/>
      <c r="AA199" s="77"/>
      <c r="AB199" s="44">
        <v>17.490000000000002</v>
      </c>
      <c r="AC199" s="44">
        <v>108.438</v>
      </c>
      <c r="AD199" s="44">
        <v>48.972000000000001</v>
      </c>
      <c r="AE199" s="77"/>
      <c r="AF199" s="77"/>
      <c r="AG199" s="678"/>
      <c r="AH199" s="77"/>
      <c r="AI199" s="77"/>
      <c r="AJ199" s="77"/>
      <c r="AK199" s="77"/>
      <c r="AL199" s="679">
        <v>0</v>
      </c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680">
        <v>1850</v>
      </c>
      <c r="BF199" s="680">
        <v>740</v>
      </c>
      <c r="BG199" s="680">
        <v>750</v>
      </c>
      <c r="BH199" s="77"/>
      <c r="BI199" s="77"/>
      <c r="BJ199" s="77"/>
      <c r="BK199" s="77"/>
      <c r="BL199" s="77"/>
      <c r="BM199" s="44"/>
      <c r="BN199" s="77"/>
      <c r="BO199" s="77"/>
      <c r="BP199" s="77"/>
      <c r="BQ199" s="678">
        <v>405</v>
      </c>
      <c r="BR199" s="679">
        <v>45</v>
      </c>
      <c r="BS199" s="77"/>
      <c r="BT199" s="77"/>
      <c r="BU199" s="77"/>
      <c r="BV199" s="77"/>
      <c r="BW199" s="77"/>
      <c r="BX199" s="77"/>
      <c r="BY199" s="77"/>
      <c r="BZ199" s="77"/>
      <c r="CA199" s="681"/>
      <c r="CB199" s="45">
        <f t="shared" si="241"/>
        <v>5713.9</v>
      </c>
      <c r="CC199" s="46">
        <f t="shared" si="242"/>
        <v>1749</v>
      </c>
      <c r="CD199" s="47">
        <f t="shared" si="243"/>
        <v>1749</v>
      </c>
      <c r="CE199" s="62"/>
      <c r="CF199" s="237" t="str">
        <f>VLOOKUP(A199,labo!B:C,2,FALSE)</f>
        <v>BTP</v>
      </c>
      <c r="CG199" s="106">
        <f t="shared" si="244"/>
        <v>0</v>
      </c>
      <c r="CI199" s="51"/>
      <c r="CK199" s="251" t="str">
        <f t="shared" si="239"/>
        <v>P057700249343U</v>
      </c>
      <c r="CL199" s="323">
        <f t="shared" si="240"/>
        <v>0</v>
      </c>
      <c r="CM199" s="40"/>
      <c r="CN199" s="51"/>
      <c r="CO199" s="51"/>
      <c r="CP199" s="51"/>
      <c r="CQ199" s="51"/>
      <c r="CR199" s="51"/>
    </row>
    <row r="200" spans="1:96">
      <c r="A200" s="713" t="s">
        <v>3113</v>
      </c>
      <c r="B200" s="713" t="s">
        <v>3114</v>
      </c>
      <c r="C200" s="714" t="s">
        <v>408</v>
      </c>
      <c r="D200" s="714"/>
      <c r="E200" s="678"/>
      <c r="F200" s="677">
        <v>0</v>
      </c>
      <c r="G200" s="678"/>
      <c r="H200" s="678"/>
      <c r="I200" s="678"/>
      <c r="J200" s="77"/>
      <c r="K200" s="678"/>
      <c r="L200" s="44">
        <v>0</v>
      </c>
      <c r="M200" s="44">
        <v>0</v>
      </c>
      <c r="N200" s="44">
        <v>0</v>
      </c>
      <c r="O200" s="45"/>
      <c r="P200" s="77"/>
      <c r="Q200" s="77"/>
      <c r="R200" s="44">
        <v>0</v>
      </c>
      <c r="S200" s="44">
        <v>0</v>
      </c>
      <c r="T200" s="44">
        <v>0</v>
      </c>
      <c r="U200" s="77"/>
      <c r="V200" s="77"/>
      <c r="W200" s="678">
        <v>3810</v>
      </c>
      <c r="X200" s="77"/>
      <c r="Y200" s="77"/>
      <c r="Z200" s="77"/>
      <c r="AA200" s="678"/>
      <c r="AB200" s="679">
        <v>38.1</v>
      </c>
      <c r="AC200" s="679">
        <v>236.22</v>
      </c>
      <c r="AD200" s="679">
        <v>106.68</v>
      </c>
      <c r="AE200" s="678"/>
      <c r="AF200" s="678"/>
      <c r="AG200" s="678"/>
      <c r="AH200" s="77"/>
      <c r="AI200" s="77"/>
      <c r="AJ200" s="77"/>
      <c r="AK200" s="77"/>
      <c r="AL200" s="679">
        <v>0</v>
      </c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680">
        <v>2360</v>
      </c>
      <c r="BF200" s="680"/>
      <c r="BG200" s="680">
        <v>1950</v>
      </c>
      <c r="BH200" s="77"/>
      <c r="BI200" s="77"/>
      <c r="BJ200" s="77"/>
      <c r="BK200" s="77"/>
      <c r="BL200" s="77"/>
      <c r="BM200" s="77"/>
      <c r="BN200" s="77"/>
      <c r="BO200" s="77"/>
      <c r="BP200" s="77"/>
      <c r="BQ200" s="678">
        <v>8100</v>
      </c>
      <c r="BR200" s="44">
        <v>900</v>
      </c>
      <c r="BS200" s="664"/>
      <c r="BT200" s="664"/>
      <c r="BU200" s="664"/>
      <c r="BV200" s="664"/>
      <c r="BW200" s="664"/>
      <c r="BX200" s="664"/>
      <c r="BY200" s="664"/>
      <c r="BZ200" s="664"/>
      <c r="CA200" s="681"/>
      <c r="CB200" s="45">
        <f t="shared" si="241"/>
        <v>17501</v>
      </c>
      <c r="CC200" s="46">
        <f t="shared" si="242"/>
        <v>3810</v>
      </c>
      <c r="CD200" s="47">
        <f t="shared" si="243"/>
        <v>3810</v>
      </c>
      <c r="CE200" s="62"/>
      <c r="CF200" s="237" t="s">
        <v>1601</v>
      </c>
      <c r="CG200" s="106">
        <f t="shared" si="244"/>
        <v>0</v>
      </c>
      <c r="CI200" s="51"/>
      <c r="CK200" s="251" t="str">
        <f>+B200</f>
        <v>M051912772883B</v>
      </c>
      <c r="CL200" s="323">
        <f>CE200</f>
        <v>0</v>
      </c>
      <c r="CM200" s="40"/>
    </row>
    <row r="201" spans="1:96">
      <c r="A201" s="674" t="s">
        <v>3115</v>
      </c>
      <c r="B201" s="674" t="s">
        <v>2479</v>
      </c>
      <c r="C201" s="545" t="s">
        <v>408</v>
      </c>
      <c r="D201" s="676"/>
      <c r="E201" s="77"/>
      <c r="F201" s="677">
        <v>0</v>
      </c>
      <c r="G201" s="43"/>
      <c r="H201" s="43"/>
      <c r="I201" s="43"/>
      <c r="J201" s="77"/>
      <c r="K201" s="44"/>
      <c r="L201" s="45">
        <v>0</v>
      </c>
      <c r="M201" s="45">
        <v>0</v>
      </c>
      <c r="N201" s="45">
        <v>0</v>
      </c>
      <c r="O201" s="45">
        <v>38400</v>
      </c>
      <c r="P201" s="45"/>
      <c r="Q201" s="45"/>
      <c r="R201" s="45">
        <v>384</v>
      </c>
      <c r="S201" s="45">
        <v>2380.8000000000002</v>
      </c>
      <c r="T201" s="45">
        <v>1075.2</v>
      </c>
      <c r="U201" s="45"/>
      <c r="V201" s="45"/>
      <c r="W201" s="678">
        <v>4989</v>
      </c>
      <c r="X201" s="45"/>
      <c r="Y201" s="45"/>
      <c r="Z201" s="45"/>
      <c r="AA201" s="45"/>
      <c r="AB201" s="45">
        <v>49.89</v>
      </c>
      <c r="AC201" s="45">
        <v>309.31799999999998</v>
      </c>
      <c r="AD201" s="45">
        <v>139.69200000000001</v>
      </c>
      <c r="AE201" s="44"/>
      <c r="AF201" s="44"/>
      <c r="AG201" s="44"/>
      <c r="AH201" s="44"/>
      <c r="AI201" s="44"/>
      <c r="AJ201" s="44"/>
      <c r="AK201" s="44"/>
      <c r="AL201" s="44">
        <v>0</v>
      </c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680"/>
      <c r="BF201" s="680"/>
      <c r="BG201" s="680"/>
      <c r="BH201" s="44"/>
      <c r="BI201" s="44"/>
      <c r="BJ201" s="44"/>
      <c r="BK201" s="44"/>
      <c r="BL201" s="44"/>
      <c r="BM201" s="44"/>
      <c r="BN201" s="44"/>
      <c r="BO201" s="44"/>
      <c r="BP201" s="44"/>
      <c r="BQ201" s="678"/>
      <c r="BR201" s="44">
        <v>0</v>
      </c>
      <c r="BS201" s="44"/>
      <c r="BT201" s="44"/>
      <c r="BU201" s="44"/>
      <c r="BV201" s="44"/>
      <c r="BW201" s="44"/>
      <c r="BX201" s="44"/>
      <c r="BY201" s="44"/>
      <c r="BZ201" s="44"/>
      <c r="CA201" s="699"/>
      <c r="CB201" s="45">
        <f t="shared" si="241"/>
        <v>47727.9</v>
      </c>
      <c r="CC201" s="46">
        <f t="shared" si="242"/>
        <v>4989</v>
      </c>
      <c r="CD201" s="47">
        <f t="shared" si="243"/>
        <v>43389</v>
      </c>
      <c r="CE201" s="62"/>
      <c r="CF201" s="237" t="s">
        <v>1601</v>
      </c>
      <c r="CG201" s="106">
        <f t="shared" si="244"/>
        <v>0</v>
      </c>
      <c r="CI201" s="51"/>
      <c r="CK201" s="251" t="str">
        <f t="shared" si="239"/>
        <v>P126112753198A</v>
      </c>
      <c r="CL201" s="323">
        <f t="shared" si="240"/>
        <v>0</v>
      </c>
      <c r="CM201" s="40"/>
    </row>
    <row r="202" spans="1:96">
      <c r="A202" s="674" t="s">
        <v>3116</v>
      </c>
      <c r="B202" s="675" t="s">
        <v>655</v>
      </c>
      <c r="C202" s="77" t="s">
        <v>408</v>
      </c>
      <c r="D202" s="676"/>
      <c r="E202" s="77"/>
      <c r="F202" s="677">
        <v>0</v>
      </c>
      <c r="G202" s="77"/>
      <c r="H202" s="77"/>
      <c r="I202" s="77"/>
      <c r="J202" s="77"/>
      <c r="K202" s="77"/>
      <c r="L202" s="44">
        <v>0</v>
      </c>
      <c r="M202" s="44">
        <v>0</v>
      </c>
      <c r="N202" s="44">
        <v>0</v>
      </c>
      <c r="O202" s="45"/>
      <c r="P202" s="77"/>
      <c r="Q202" s="77"/>
      <c r="R202" s="44">
        <v>0</v>
      </c>
      <c r="S202" s="44">
        <v>0</v>
      </c>
      <c r="T202" s="44">
        <v>0</v>
      </c>
      <c r="U202" s="77"/>
      <c r="V202" s="44"/>
      <c r="W202" s="678"/>
      <c r="X202" s="77"/>
      <c r="Y202" s="77"/>
      <c r="Z202" s="77"/>
      <c r="AA202" s="77"/>
      <c r="AB202" s="44">
        <v>0</v>
      </c>
      <c r="AC202" s="44">
        <v>0</v>
      </c>
      <c r="AD202" s="44">
        <v>0</v>
      </c>
      <c r="AE202" s="77"/>
      <c r="AF202" s="77"/>
      <c r="AG202" s="678"/>
      <c r="AH202" s="77"/>
      <c r="AI202" s="77"/>
      <c r="AJ202" s="77"/>
      <c r="AK202" s="77"/>
      <c r="AL202" s="679">
        <v>0</v>
      </c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680">
        <v>1250</v>
      </c>
      <c r="BF202" s="680">
        <v>500</v>
      </c>
      <c r="BG202" s="680"/>
      <c r="BH202" s="77"/>
      <c r="BI202" s="77"/>
      <c r="BJ202" s="77"/>
      <c r="BK202" s="77"/>
      <c r="BL202" s="77"/>
      <c r="BM202" s="44"/>
      <c r="BN202" s="77"/>
      <c r="BO202" s="77"/>
      <c r="BP202" s="77"/>
      <c r="BQ202" s="678">
        <v>180</v>
      </c>
      <c r="BR202" s="679">
        <v>20</v>
      </c>
      <c r="BS202" s="77"/>
      <c r="BT202" s="77"/>
      <c r="BU202" s="77"/>
      <c r="BV202" s="77"/>
      <c r="BW202" s="77"/>
      <c r="BX202" s="77"/>
      <c r="BY202" s="77"/>
      <c r="BZ202" s="77"/>
      <c r="CA202" s="681"/>
      <c r="CB202" s="45">
        <f t="shared" si="241"/>
        <v>1950</v>
      </c>
      <c r="CC202" s="46">
        <f t="shared" si="242"/>
        <v>0</v>
      </c>
      <c r="CD202" s="47">
        <f t="shared" si="243"/>
        <v>0</v>
      </c>
      <c r="CE202" s="62"/>
      <c r="CF202" s="237" t="s">
        <v>1599</v>
      </c>
      <c r="CG202" s="106">
        <f t="shared" si="244"/>
        <v>0</v>
      </c>
      <c r="CI202" s="51"/>
      <c r="CK202" s="251" t="str">
        <f t="shared" si="239"/>
        <v>P066500194153K</v>
      </c>
      <c r="CL202" s="323">
        <f t="shared" si="240"/>
        <v>0</v>
      </c>
      <c r="CM202" s="40"/>
    </row>
    <row r="203" spans="1:96">
      <c r="A203" s="674" t="s">
        <v>644</v>
      </c>
      <c r="B203" s="675" t="s">
        <v>646</v>
      </c>
      <c r="C203" s="77" t="s">
        <v>408</v>
      </c>
      <c r="D203" s="676"/>
      <c r="E203" s="77"/>
      <c r="F203" s="677">
        <f t="shared" ref="F203" si="245">+E203*0.25</f>
        <v>0</v>
      </c>
      <c r="G203" s="77"/>
      <c r="H203" s="77"/>
      <c r="I203" s="77"/>
      <c r="J203" s="77"/>
      <c r="K203" s="77"/>
      <c r="L203" s="44">
        <f t="shared" ref="L203" si="246">(J203+K203)*0.01</f>
        <v>0</v>
      </c>
      <c r="M203" s="44">
        <f t="shared" ref="M203" si="247">(J203+K203)*0.062</f>
        <v>0</v>
      </c>
      <c r="N203" s="44">
        <f t="shared" ref="N203" si="248">(J203+K203)*0.028</f>
        <v>0</v>
      </c>
      <c r="O203" s="45"/>
      <c r="P203" s="77"/>
      <c r="Q203" s="77"/>
      <c r="R203" s="45">
        <f t="shared" ref="R203" si="249">(Q203+O203+P203)*0.01</f>
        <v>0</v>
      </c>
      <c r="S203" s="45">
        <f t="shared" ref="S203" si="250">(O203+Q203+P203)*0.062</f>
        <v>0</v>
      </c>
      <c r="T203" s="45">
        <f t="shared" ref="T203" si="251">(O203+P203+Q203)*0.028</f>
        <v>0</v>
      </c>
      <c r="U203" s="77"/>
      <c r="V203" s="44"/>
      <c r="W203" s="678">
        <v>1399</v>
      </c>
      <c r="X203" s="77"/>
      <c r="Y203" s="77"/>
      <c r="Z203" s="77"/>
      <c r="AA203" s="77"/>
      <c r="AB203" s="44">
        <f t="shared" ref="AB203" si="252">(U203+V203+W203+X203+Y203+Z203)*0.01</f>
        <v>13.99</v>
      </c>
      <c r="AC203" s="44">
        <f t="shared" ref="AC203" si="253">(U203+V203+W203+X203+Y203+Z203)*0.062</f>
        <v>86.738</v>
      </c>
      <c r="AD203" s="44">
        <f t="shared" ref="AD203" si="254">(U203+V203+W203+X203+Y203+Z203)*0.028</f>
        <v>39.172000000000004</v>
      </c>
      <c r="AE203" s="77"/>
      <c r="AF203" s="77"/>
      <c r="AG203" s="678"/>
      <c r="AH203" s="77"/>
      <c r="AI203" s="77"/>
      <c r="AJ203" s="77"/>
      <c r="AK203" s="77"/>
      <c r="AL203" s="679">
        <f t="shared" ref="AL203" si="255">+AK203</f>
        <v>0</v>
      </c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680">
        <v>1750</v>
      </c>
      <c r="BF203" s="680">
        <v>700</v>
      </c>
      <c r="BG203" s="680">
        <v>750</v>
      </c>
      <c r="BH203" s="77"/>
      <c r="BI203" s="77"/>
      <c r="BJ203" s="77"/>
      <c r="BK203" s="77"/>
      <c r="BL203" s="77"/>
      <c r="BM203" s="44"/>
      <c r="BN203" s="77"/>
      <c r="BO203" s="77"/>
      <c r="BP203" s="77"/>
      <c r="BQ203" s="678">
        <v>162</v>
      </c>
      <c r="BR203" s="679">
        <f t="shared" ref="BR203" si="256">BQ203/9</f>
        <v>18</v>
      </c>
      <c r="BS203" s="77"/>
      <c r="BT203" s="77"/>
      <c r="BU203" s="77"/>
      <c r="BV203" s="77"/>
      <c r="BW203" s="77"/>
      <c r="BX203" s="77"/>
      <c r="BY203" s="77"/>
      <c r="BZ203" s="77"/>
      <c r="CA203" s="681"/>
      <c r="CB203" s="45">
        <f t="shared" si="241"/>
        <v>4918.8999999999996</v>
      </c>
      <c r="CC203" s="46">
        <f t="shared" si="242"/>
        <v>1399</v>
      </c>
      <c r="CD203" s="47">
        <f t="shared" si="243"/>
        <v>1399</v>
      </c>
      <c r="CE203" s="62"/>
      <c r="CF203" s="237" t="str">
        <f>VLOOKUP(A203,labo!B:C,2,FALSE)</f>
        <v>PROFESSIONS LIBERALES</v>
      </c>
      <c r="CG203" s="106">
        <f t="shared" si="244"/>
        <v>0</v>
      </c>
      <c r="CI203" s="51"/>
      <c r="CK203" s="251" t="str">
        <f t="shared" si="239"/>
        <v>P046500146943D</v>
      </c>
      <c r="CL203" s="323">
        <f t="shared" si="240"/>
        <v>0</v>
      </c>
      <c r="CM203" s="40"/>
    </row>
    <row r="204" spans="1:96">
      <c r="A204" s="325" t="s">
        <v>612</v>
      </c>
      <c r="B204" s="41" t="str">
        <f>VLOOKUP(A204,'vs mars'!B:D,3,FALSE)</f>
        <v>P095700020017R</v>
      </c>
      <c r="C204" s="42" t="str">
        <f>VLOOKUP(A204,'vs mars'!B:AC,28,FALSE)</f>
        <v>ug5</v>
      </c>
      <c r="D204" s="77"/>
      <c r="E204" s="77"/>
      <c r="F204" s="43"/>
      <c r="G204" s="43"/>
      <c r="H204" s="43"/>
      <c r="I204" s="43"/>
      <c r="J204" s="44"/>
      <c r="K204" s="44"/>
      <c r="L204" s="45">
        <f t="shared" ref="L204:L257" si="257">(J204+K204)*0.01</f>
        <v>0</v>
      </c>
      <c r="M204" s="45">
        <f t="shared" ref="M204:M257" si="258">(J204+K204)*0.062</f>
        <v>0</v>
      </c>
      <c r="N204" s="45">
        <f t="shared" ref="N204:N257" si="259">(J204+K204)*0.028</f>
        <v>0</v>
      </c>
      <c r="O204" s="45"/>
      <c r="P204" s="45"/>
      <c r="Q204" s="45"/>
      <c r="R204" s="45">
        <f t="shared" ref="R204:R257" si="260">(Q204+O204+P204)*0.01</f>
        <v>0</v>
      </c>
      <c r="S204" s="45">
        <f t="shared" ref="S204:S257" si="261">(O204+Q204+P204)*0.062</f>
        <v>0</v>
      </c>
      <c r="T204" s="45">
        <f t="shared" ref="T204:T257" si="262">(O204+P204+Q204)*0.028</f>
        <v>0</v>
      </c>
      <c r="U204" s="45"/>
      <c r="V204" s="45"/>
      <c r="W204" s="45"/>
      <c r="X204" s="45"/>
      <c r="Y204" s="45"/>
      <c r="Z204" s="45"/>
      <c r="AA204" s="45"/>
      <c r="AB204" s="45">
        <f t="shared" ref="AB204:AB257" si="263">(U204+V204+W204+X204+Y204+Z204)*0.01</f>
        <v>0</v>
      </c>
      <c r="AC204" s="45">
        <f t="shared" ref="AC204:AC257" si="264">(U204+V204+W204+X204+Y204+Z204)*0.062</f>
        <v>0</v>
      </c>
      <c r="AD204" s="45">
        <f t="shared" ref="AD204:AD257" si="265">(U204+V204+W204+X204+Y204+Z204)*0.028</f>
        <v>0</v>
      </c>
      <c r="AE204" s="44"/>
      <c r="AF204" s="44"/>
      <c r="AG204" s="44"/>
      <c r="AH204" s="44"/>
      <c r="AI204" s="44">
        <v>8000</v>
      </c>
      <c r="AJ204" s="44"/>
      <c r="AK204" s="44"/>
      <c r="AL204" s="44">
        <f t="shared" ref="AL204:AL257" si="266">+AK204</f>
        <v>0</v>
      </c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>
        <f t="shared" ref="BR204:BR257" si="267">BQ204/9</f>
        <v>0</v>
      </c>
      <c r="BS204" s="312">
        <f t="shared" ref="BS204:BS257" si="268">CH204*0.1</f>
        <v>0</v>
      </c>
      <c r="BT204" s="312">
        <f t="shared" ref="BT204:BT257" si="269">CH204*0.18</f>
        <v>0</v>
      </c>
      <c r="BU204" s="312">
        <f t="shared" ref="BU204:BU257" si="270">CH204*0.18</f>
        <v>0</v>
      </c>
      <c r="BV204" s="312">
        <f t="shared" ref="BV204:BV257" si="271">CH204*0.54</f>
        <v>0</v>
      </c>
      <c r="BW204" s="313">
        <f t="shared" ref="BW204:BW257" si="272">CI204*0.1</f>
        <v>0</v>
      </c>
      <c r="BX204" s="313">
        <f t="shared" ref="BX204:BX257" si="273">CI204*0.18</f>
        <v>0</v>
      </c>
      <c r="BY204" s="313">
        <f t="shared" ref="BY204:BY257" si="274">CI204*0.18</f>
        <v>0</v>
      </c>
      <c r="BZ204" s="313">
        <f t="shared" ref="BZ204:BZ257" si="275">CI204*0.54</f>
        <v>0</v>
      </c>
      <c r="CA204" s="44"/>
      <c r="CB204" s="45">
        <f t="shared" si="241"/>
        <v>8000</v>
      </c>
      <c r="CC204" s="46">
        <f t="shared" si="242"/>
        <v>8000</v>
      </c>
      <c r="CD204" s="47">
        <f t="shared" si="243"/>
        <v>8000</v>
      </c>
      <c r="CE204" s="62"/>
      <c r="CF204" s="237" t="str">
        <f>VLOOKUP(A204,labo!B:C,2,FALSE)</f>
        <v>AUTRES SERVICES</v>
      </c>
      <c r="CG204" s="106">
        <f t="shared" si="244"/>
        <v>0</v>
      </c>
      <c r="CI204" s="51"/>
      <c r="CK204" s="251" t="str">
        <f t="shared" si="239"/>
        <v>P095700020017R</v>
      </c>
      <c r="CL204" s="323">
        <f t="shared" si="240"/>
        <v>0</v>
      </c>
      <c r="CM204" s="40"/>
    </row>
    <row r="205" spans="1:96">
      <c r="A205" s="1" t="s">
        <v>3117</v>
      </c>
      <c r="B205" s="41" t="e">
        <f>VLOOKUP(A205,'vs mars'!B:D,3,FALSE)</f>
        <v>#N/A</v>
      </c>
      <c r="C205" s="660" t="s">
        <v>1438</v>
      </c>
      <c r="D205" s="77"/>
      <c r="E205" s="77"/>
      <c r="F205" s="43"/>
      <c r="G205" s="43"/>
      <c r="H205" s="43"/>
      <c r="I205" s="43"/>
      <c r="J205" s="44"/>
      <c r="K205" s="44"/>
      <c r="L205" s="45">
        <f t="shared" si="257"/>
        <v>0</v>
      </c>
      <c r="M205" s="45">
        <f t="shared" si="258"/>
        <v>0</v>
      </c>
      <c r="N205" s="45">
        <f t="shared" si="259"/>
        <v>0</v>
      </c>
      <c r="O205" s="45"/>
      <c r="P205" s="45"/>
      <c r="Q205" s="45"/>
      <c r="R205" s="45">
        <f t="shared" si="260"/>
        <v>0</v>
      </c>
      <c r="S205" s="45">
        <f t="shared" si="261"/>
        <v>0</v>
      </c>
      <c r="T205" s="45">
        <f t="shared" si="262"/>
        <v>0</v>
      </c>
      <c r="U205" s="45"/>
      <c r="V205" s="45"/>
      <c r="W205" s="45"/>
      <c r="X205" s="45"/>
      <c r="Y205" s="45"/>
      <c r="Z205" s="45"/>
      <c r="AA205" s="45"/>
      <c r="AB205" s="45">
        <f t="shared" si="263"/>
        <v>0</v>
      </c>
      <c r="AC205" s="45">
        <f t="shared" si="264"/>
        <v>0</v>
      </c>
      <c r="AD205" s="45">
        <f t="shared" si="265"/>
        <v>0</v>
      </c>
      <c r="AE205" s="44"/>
      <c r="AF205" s="44"/>
      <c r="AG205" s="44"/>
      <c r="AH205" s="44"/>
      <c r="AI205" s="44"/>
      <c r="AJ205" s="44"/>
      <c r="AK205" s="44"/>
      <c r="AL205" s="44">
        <f t="shared" si="266"/>
        <v>0</v>
      </c>
      <c r="AM205" s="44"/>
      <c r="AN205" s="44"/>
      <c r="AO205" s="44"/>
      <c r="AP205" s="44"/>
      <c r="AQ205" s="44"/>
      <c r="AR205" s="44"/>
      <c r="AS205" s="44"/>
      <c r="AT205" s="44">
        <v>89841</v>
      </c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>
        <f t="shared" si="267"/>
        <v>0</v>
      </c>
      <c r="BS205" s="312">
        <f t="shared" si="268"/>
        <v>0</v>
      </c>
      <c r="BT205" s="312">
        <f t="shared" si="269"/>
        <v>0</v>
      </c>
      <c r="BU205" s="312">
        <f t="shared" si="270"/>
        <v>0</v>
      </c>
      <c r="BV205" s="312">
        <f t="shared" si="271"/>
        <v>0</v>
      </c>
      <c r="BW205" s="313">
        <f t="shared" si="272"/>
        <v>0</v>
      </c>
      <c r="BX205" s="313">
        <f t="shared" si="273"/>
        <v>0</v>
      </c>
      <c r="BY205" s="313">
        <f t="shared" si="274"/>
        <v>0</v>
      </c>
      <c r="BZ205" s="313">
        <f t="shared" si="275"/>
        <v>0</v>
      </c>
      <c r="CA205" s="44"/>
      <c r="CB205" s="45">
        <f t="shared" si="241"/>
        <v>89841</v>
      </c>
      <c r="CC205" s="46">
        <f t="shared" si="242"/>
        <v>89841</v>
      </c>
      <c r="CD205" s="47">
        <f t="shared" si="243"/>
        <v>89841</v>
      </c>
      <c r="CE205" s="62"/>
      <c r="CF205" s="237" t="s">
        <v>3049</v>
      </c>
      <c r="CG205" s="106">
        <f t="shared" si="244"/>
        <v>0</v>
      </c>
      <c r="CI205" s="51"/>
      <c r="CK205" s="251" t="e">
        <f t="shared" si="239"/>
        <v>#N/A</v>
      </c>
      <c r="CL205" s="323">
        <f t="shared" si="240"/>
        <v>0</v>
      </c>
      <c r="CM205" s="40"/>
    </row>
    <row r="206" spans="1:96">
      <c r="A206" s="674" t="s">
        <v>592</v>
      </c>
      <c r="B206" s="674" t="s">
        <v>594</v>
      </c>
      <c r="C206" s="545" t="s">
        <v>408</v>
      </c>
      <c r="D206" s="676"/>
      <c r="E206" s="77"/>
      <c r="F206" s="677">
        <f t="shared" ref="F206" si="276">+E206*0.25</f>
        <v>0</v>
      </c>
      <c r="G206" s="43"/>
      <c r="H206" s="43"/>
      <c r="I206" s="43"/>
      <c r="J206" s="77"/>
      <c r="K206" s="44"/>
      <c r="L206" s="45">
        <f t="shared" si="257"/>
        <v>0</v>
      </c>
      <c r="M206" s="45">
        <f t="shared" si="258"/>
        <v>0</v>
      </c>
      <c r="N206" s="45">
        <f t="shared" si="259"/>
        <v>0</v>
      </c>
      <c r="O206" s="45"/>
      <c r="P206" s="45"/>
      <c r="Q206" s="45"/>
      <c r="R206" s="45">
        <f t="shared" si="260"/>
        <v>0</v>
      </c>
      <c r="S206" s="45">
        <f t="shared" si="261"/>
        <v>0</v>
      </c>
      <c r="T206" s="45">
        <f t="shared" si="262"/>
        <v>0</v>
      </c>
      <c r="U206" s="45"/>
      <c r="V206" s="45"/>
      <c r="W206" s="45">
        <f>2000</f>
        <v>2000</v>
      </c>
      <c r="X206" s="45"/>
      <c r="Y206" s="45"/>
      <c r="Z206" s="45"/>
      <c r="AA206" s="45"/>
      <c r="AB206" s="45">
        <f t="shared" si="263"/>
        <v>20</v>
      </c>
      <c r="AC206" s="45">
        <f t="shared" si="264"/>
        <v>124</v>
      </c>
      <c r="AD206" s="45">
        <f t="shared" si="265"/>
        <v>56</v>
      </c>
      <c r="AE206" s="44"/>
      <c r="AF206" s="44"/>
      <c r="AG206" s="678"/>
      <c r="AH206" s="44"/>
      <c r="AI206" s="44"/>
      <c r="AJ206" s="44"/>
      <c r="AK206" s="44"/>
      <c r="AL206" s="44">
        <f t="shared" si="266"/>
        <v>0</v>
      </c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680">
        <v>1250</v>
      </c>
      <c r="BF206" s="680">
        <v>500</v>
      </c>
      <c r="BG206" s="680"/>
      <c r="BH206" s="44"/>
      <c r="BI206" s="44"/>
      <c r="BJ206" s="44"/>
      <c r="BK206" s="44"/>
      <c r="BL206" s="44"/>
      <c r="BM206" s="44"/>
      <c r="BN206" s="44"/>
      <c r="BO206" s="44"/>
      <c r="BP206" s="44"/>
      <c r="BQ206" s="678">
        <v>225</v>
      </c>
      <c r="BR206" s="44">
        <f t="shared" si="267"/>
        <v>25</v>
      </c>
      <c r="BS206" s="44"/>
      <c r="BT206" s="44"/>
      <c r="BU206" s="44"/>
      <c r="BV206" s="44"/>
      <c r="BW206" s="44"/>
      <c r="BX206" s="44"/>
      <c r="BY206" s="44"/>
      <c r="BZ206" s="44"/>
      <c r="CA206" s="699">
        <v>2</v>
      </c>
      <c r="CB206" s="45">
        <f t="shared" si="241"/>
        <v>4202</v>
      </c>
      <c r="CC206" s="46">
        <f t="shared" si="242"/>
        <v>2000</v>
      </c>
      <c r="CD206" s="47">
        <f t="shared" si="243"/>
        <v>2000</v>
      </c>
      <c r="CE206" s="62"/>
      <c r="CF206" s="237" t="str">
        <f>VLOOKUP(A206,labo!B:C,2,FALSE)</f>
        <v>PROFESSIONS LIBERALES</v>
      </c>
      <c r="CG206" s="106">
        <f t="shared" si="244"/>
        <v>0</v>
      </c>
      <c r="CI206" s="51"/>
      <c r="CK206" s="251" t="str">
        <f t="shared" si="239"/>
        <v>P026200122254B</v>
      </c>
      <c r="CL206" s="323">
        <f t="shared" si="240"/>
        <v>0</v>
      </c>
      <c r="CM206" s="40"/>
    </row>
    <row r="207" spans="1:96">
      <c r="A207" s="674" t="s">
        <v>3121</v>
      </c>
      <c r="B207" s="675" t="s">
        <v>3122</v>
      </c>
      <c r="C207" s="660" t="s">
        <v>408</v>
      </c>
      <c r="D207" s="77"/>
      <c r="E207" s="77"/>
      <c r="F207" s="43"/>
      <c r="G207" s="43"/>
      <c r="H207" s="43"/>
      <c r="I207" s="43"/>
      <c r="J207" s="44"/>
      <c r="K207" s="44"/>
      <c r="L207" s="45">
        <f t="shared" si="257"/>
        <v>0</v>
      </c>
      <c r="M207" s="45">
        <f t="shared" si="258"/>
        <v>0</v>
      </c>
      <c r="N207" s="45">
        <f t="shared" si="259"/>
        <v>0</v>
      </c>
      <c r="O207" s="45"/>
      <c r="P207" s="45"/>
      <c r="Q207" s="25">
        <f>130568/1.1</f>
        <v>118698.18181818181</v>
      </c>
      <c r="R207" s="45">
        <f t="shared" si="260"/>
        <v>1186.9818181818182</v>
      </c>
      <c r="S207" s="45">
        <f t="shared" si="261"/>
        <v>7359.2872727272725</v>
      </c>
      <c r="T207" s="45">
        <f t="shared" si="262"/>
        <v>3323.5490909090909</v>
      </c>
      <c r="U207" s="45"/>
      <c r="V207" s="45"/>
      <c r="W207" s="45"/>
      <c r="X207" s="45"/>
      <c r="Y207" s="45"/>
      <c r="Z207" s="45"/>
      <c r="AA207" s="45"/>
      <c r="AB207" s="45">
        <f t="shared" si="263"/>
        <v>0</v>
      </c>
      <c r="AC207" s="45">
        <f t="shared" si="264"/>
        <v>0</v>
      </c>
      <c r="AD207" s="45">
        <f t="shared" si="265"/>
        <v>0</v>
      </c>
      <c r="AE207" s="44"/>
      <c r="AF207" s="44"/>
      <c r="AG207" s="44"/>
      <c r="AH207" s="44"/>
      <c r="AI207" s="44"/>
      <c r="AJ207" s="44"/>
      <c r="AK207" s="44"/>
      <c r="AL207" s="44">
        <f t="shared" si="266"/>
        <v>0</v>
      </c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>
        <f t="shared" si="267"/>
        <v>0</v>
      </c>
      <c r="BS207" s="312">
        <f t="shared" si="268"/>
        <v>0</v>
      </c>
      <c r="BT207" s="312">
        <f t="shared" si="269"/>
        <v>0</v>
      </c>
      <c r="BU207" s="312">
        <f t="shared" si="270"/>
        <v>0</v>
      </c>
      <c r="BV207" s="312">
        <f t="shared" si="271"/>
        <v>0</v>
      </c>
      <c r="BW207" s="313">
        <f t="shared" si="272"/>
        <v>0</v>
      </c>
      <c r="BX207" s="313">
        <f t="shared" si="273"/>
        <v>0</v>
      </c>
      <c r="BY207" s="313">
        <f t="shared" si="274"/>
        <v>0</v>
      </c>
      <c r="BZ207" s="313">
        <f t="shared" si="275"/>
        <v>0</v>
      </c>
      <c r="CA207" s="44"/>
      <c r="CB207" s="45">
        <f t="shared" si="241"/>
        <v>130567.99999999999</v>
      </c>
      <c r="CC207" s="46">
        <f t="shared" si="242"/>
        <v>118698.18181818181</v>
      </c>
      <c r="CD207" s="47">
        <f t="shared" si="243"/>
        <v>118698.18181818181</v>
      </c>
      <c r="CE207" s="62"/>
      <c r="CF207" s="237" t="s">
        <v>1601</v>
      </c>
      <c r="CG207" s="106">
        <f t="shared" si="244"/>
        <v>118698.18181818181</v>
      </c>
      <c r="CI207" s="51"/>
      <c r="CK207" s="251" t="str">
        <f t="shared" ref="CK207" si="277">+B207</f>
        <v>P068112260229Y</v>
      </c>
      <c r="CL207" s="323">
        <f t="shared" ref="CL207" si="278">CE207</f>
        <v>0</v>
      </c>
      <c r="CM207" s="40"/>
    </row>
    <row r="208" spans="1:96">
      <c r="A208" s="511" t="s">
        <v>3124</v>
      </c>
      <c r="B208" s="41" t="e">
        <f>VLOOKUP(A208,'vs mars'!B:D,3,FALSE)</f>
        <v>#N/A</v>
      </c>
      <c r="C208" s="660" t="s">
        <v>408</v>
      </c>
      <c r="D208" s="77"/>
      <c r="E208" s="77"/>
      <c r="F208" s="43"/>
      <c r="G208" s="43"/>
      <c r="H208" s="43"/>
      <c r="I208" s="43"/>
      <c r="J208" s="44"/>
      <c r="K208" s="44"/>
      <c r="L208" s="45">
        <f t="shared" si="257"/>
        <v>0</v>
      </c>
      <c r="M208" s="45">
        <f t="shared" si="258"/>
        <v>0</v>
      </c>
      <c r="N208" s="45">
        <f t="shared" si="259"/>
        <v>0</v>
      </c>
      <c r="O208" s="45"/>
      <c r="P208" s="45"/>
      <c r="Q208" s="715">
        <f>113412/1.1</f>
        <v>103101.81818181818</v>
      </c>
      <c r="R208" s="45">
        <f t="shared" si="260"/>
        <v>1031.0181818181818</v>
      </c>
      <c r="S208" s="45">
        <f t="shared" si="261"/>
        <v>6392.312727272727</v>
      </c>
      <c r="T208" s="45">
        <f t="shared" si="262"/>
        <v>2886.8509090909092</v>
      </c>
      <c r="U208" s="45"/>
      <c r="V208" s="45"/>
      <c r="W208" s="45"/>
      <c r="X208" s="45"/>
      <c r="Y208" s="45"/>
      <c r="Z208" s="45"/>
      <c r="AA208" s="45"/>
      <c r="AB208" s="45">
        <f t="shared" si="263"/>
        <v>0</v>
      </c>
      <c r="AC208" s="45">
        <f t="shared" si="264"/>
        <v>0</v>
      </c>
      <c r="AD208" s="45">
        <f t="shared" si="265"/>
        <v>0</v>
      </c>
      <c r="AE208" s="44"/>
      <c r="AF208" s="44"/>
      <c r="AG208" s="44"/>
      <c r="AH208" s="44"/>
      <c r="AI208" s="44"/>
      <c r="AJ208" s="44"/>
      <c r="AK208" s="44"/>
      <c r="AL208" s="44">
        <f t="shared" si="266"/>
        <v>0</v>
      </c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>
        <f t="shared" si="267"/>
        <v>0</v>
      </c>
      <c r="BS208" s="312">
        <f t="shared" si="268"/>
        <v>0</v>
      </c>
      <c r="BT208" s="312">
        <f t="shared" si="269"/>
        <v>0</v>
      </c>
      <c r="BU208" s="312">
        <f t="shared" si="270"/>
        <v>0</v>
      </c>
      <c r="BV208" s="312">
        <f t="shared" si="271"/>
        <v>0</v>
      </c>
      <c r="BW208" s="313">
        <f t="shared" si="272"/>
        <v>0</v>
      </c>
      <c r="BX208" s="313">
        <f t="shared" si="273"/>
        <v>0</v>
      </c>
      <c r="BY208" s="313">
        <f t="shared" si="274"/>
        <v>0</v>
      </c>
      <c r="BZ208" s="313">
        <f t="shared" si="275"/>
        <v>0</v>
      </c>
      <c r="CA208" s="44"/>
      <c r="CB208" s="45">
        <f t="shared" si="241"/>
        <v>113412</v>
      </c>
      <c r="CC208" s="46">
        <f t="shared" si="242"/>
        <v>103101.81818181818</v>
      </c>
      <c r="CD208" s="47">
        <f t="shared" si="243"/>
        <v>103101.81818181818</v>
      </c>
      <c r="CE208" s="62"/>
      <c r="CF208" s="237" t="s">
        <v>1601</v>
      </c>
      <c r="CG208" s="106">
        <f t="shared" si="244"/>
        <v>103101.81818181818</v>
      </c>
      <c r="CI208" s="51"/>
      <c r="CK208" s="251" t="e">
        <f t="shared" si="239"/>
        <v>#N/A</v>
      </c>
      <c r="CL208" s="323">
        <f t="shared" si="240"/>
        <v>0</v>
      </c>
      <c r="CM208" s="40"/>
    </row>
    <row r="209" spans="1:91">
      <c r="A209" s="511" t="s">
        <v>3125</v>
      </c>
      <c r="B209" s="41" t="e">
        <f>VLOOKUP(A209,'vs mars'!B:D,3,FALSE)</f>
        <v>#N/A</v>
      </c>
      <c r="C209" s="660" t="s">
        <v>408</v>
      </c>
      <c r="D209" s="77"/>
      <c r="E209" s="77"/>
      <c r="F209" s="43"/>
      <c r="G209" s="43"/>
      <c r="H209" s="43"/>
      <c r="I209" s="43"/>
      <c r="J209" s="44"/>
      <c r="K209" s="44"/>
      <c r="L209" s="45">
        <f t="shared" si="257"/>
        <v>0</v>
      </c>
      <c r="M209" s="45">
        <f t="shared" si="258"/>
        <v>0</v>
      </c>
      <c r="N209" s="45">
        <f t="shared" si="259"/>
        <v>0</v>
      </c>
      <c r="O209" s="45"/>
      <c r="P209" s="45"/>
      <c r="Q209" s="715"/>
      <c r="R209" s="45">
        <f t="shared" si="260"/>
        <v>0</v>
      </c>
      <c r="S209" s="45">
        <f t="shared" si="261"/>
        <v>0</v>
      </c>
      <c r="T209" s="45">
        <f t="shared" si="262"/>
        <v>0</v>
      </c>
      <c r="U209" s="45"/>
      <c r="V209" s="45"/>
      <c r="W209" s="715">
        <f>5488/1.1</f>
        <v>4989.090909090909</v>
      </c>
      <c r="X209" s="45"/>
      <c r="Y209" s="45"/>
      <c r="Z209" s="45"/>
      <c r="AA209" s="45"/>
      <c r="AB209" s="45">
        <f t="shared" si="263"/>
        <v>49.890909090909091</v>
      </c>
      <c r="AC209" s="45">
        <f t="shared" si="264"/>
        <v>309.32363636363635</v>
      </c>
      <c r="AD209" s="45">
        <f t="shared" si="265"/>
        <v>139.69454545454545</v>
      </c>
      <c r="AE209" s="44"/>
      <c r="AF209" s="44"/>
      <c r="AG209" s="44"/>
      <c r="AH209" s="44"/>
      <c r="AI209" s="44"/>
      <c r="AJ209" s="44"/>
      <c r="AK209" s="44"/>
      <c r="AL209" s="44">
        <f t="shared" si="266"/>
        <v>0</v>
      </c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>
        <f t="shared" si="267"/>
        <v>0</v>
      </c>
      <c r="BS209" s="312">
        <f t="shared" si="268"/>
        <v>0</v>
      </c>
      <c r="BT209" s="312">
        <f t="shared" si="269"/>
        <v>0</v>
      </c>
      <c r="BU209" s="312">
        <f t="shared" si="270"/>
        <v>0</v>
      </c>
      <c r="BV209" s="312">
        <f t="shared" si="271"/>
        <v>0</v>
      </c>
      <c r="BW209" s="313">
        <f t="shared" si="272"/>
        <v>0</v>
      </c>
      <c r="BX209" s="313">
        <f t="shared" si="273"/>
        <v>0</v>
      </c>
      <c r="BY209" s="313">
        <f t="shared" si="274"/>
        <v>0</v>
      </c>
      <c r="BZ209" s="313">
        <f t="shared" si="275"/>
        <v>0</v>
      </c>
      <c r="CA209" s="44"/>
      <c r="CB209" s="45">
        <f t="shared" si="241"/>
        <v>5488</v>
      </c>
      <c r="CC209" s="46">
        <f t="shared" si="242"/>
        <v>4989.090909090909</v>
      </c>
      <c r="CD209" s="47">
        <f t="shared" si="243"/>
        <v>4989.090909090909</v>
      </c>
      <c r="CE209" s="62"/>
      <c r="CF209" s="237" t="s">
        <v>1601</v>
      </c>
      <c r="CG209" s="106">
        <f t="shared" si="244"/>
        <v>0</v>
      </c>
      <c r="CI209" s="51"/>
      <c r="CK209" s="251" t="e">
        <f t="shared" si="239"/>
        <v>#N/A</v>
      </c>
      <c r="CL209" s="323">
        <f t="shared" si="240"/>
        <v>0</v>
      </c>
      <c r="CM209" s="40"/>
    </row>
    <row r="210" spans="1:91">
      <c r="A210" s="511" t="s">
        <v>3126</v>
      </c>
      <c r="B210" s="41" t="e">
        <f>VLOOKUP(A210,'vs mars'!B:D,3,FALSE)</f>
        <v>#N/A</v>
      </c>
      <c r="C210" s="660" t="s">
        <v>408</v>
      </c>
      <c r="D210" s="77"/>
      <c r="E210" s="77"/>
      <c r="F210" s="43"/>
      <c r="G210" s="43"/>
      <c r="H210" s="43"/>
      <c r="I210" s="43"/>
      <c r="J210" s="44"/>
      <c r="K210" s="44"/>
      <c r="L210" s="45">
        <f t="shared" si="257"/>
        <v>0</v>
      </c>
      <c r="M210" s="45">
        <f t="shared" si="258"/>
        <v>0</v>
      </c>
      <c r="N210" s="45">
        <f t="shared" si="259"/>
        <v>0</v>
      </c>
      <c r="O210" s="45"/>
      <c r="P210" s="45"/>
      <c r="Q210" s="715">
        <f>84001/1.1</f>
        <v>76364.545454545441</v>
      </c>
      <c r="R210" s="45">
        <f t="shared" si="260"/>
        <v>763.64545454545441</v>
      </c>
      <c r="S210" s="45">
        <f t="shared" si="261"/>
        <v>4734.6018181818172</v>
      </c>
      <c r="T210" s="45">
        <f t="shared" si="262"/>
        <v>2138.2072727272725</v>
      </c>
      <c r="U210" s="45"/>
      <c r="V210" s="45"/>
      <c r="W210" s="45"/>
      <c r="X210" s="45"/>
      <c r="Y210" s="45"/>
      <c r="Z210" s="45"/>
      <c r="AA210" s="45"/>
      <c r="AB210" s="45">
        <f t="shared" si="263"/>
        <v>0</v>
      </c>
      <c r="AC210" s="45">
        <f t="shared" si="264"/>
        <v>0</v>
      </c>
      <c r="AD210" s="45">
        <f t="shared" si="265"/>
        <v>0</v>
      </c>
      <c r="AE210" s="44"/>
      <c r="AF210" s="44"/>
      <c r="AG210" s="44"/>
      <c r="AH210" s="44"/>
      <c r="AI210" s="44"/>
      <c r="AJ210" s="44"/>
      <c r="AK210" s="44"/>
      <c r="AL210" s="44">
        <f t="shared" si="266"/>
        <v>0</v>
      </c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>
        <f t="shared" si="267"/>
        <v>0</v>
      </c>
      <c r="BS210" s="312">
        <f t="shared" si="268"/>
        <v>0</v>
      </c>
      <c r="BT210" s="312">
        <f t="shared" si="269"/>
        <v>0</v>
      </c>
      <c r="BU210" s="312">
        <f t="shared" si="270"/>
        <v>0</v>
      </c>
      <c r="BV210" s="312">
        <f t="shared" si="271"/>
        <v>0</v>
      </c>
      <c r="BW210" s="313">
        <f t="shared" si="272"/>
        <v>0</v>
      </c>
      <c r="BX210" s="313">
        <f t="shared" si="273"/>
        <v>0</v>
      </c>
      <c r="BY210" s="313">
        <f t="shared" si="274"/>
        <v>0</v>
      </c>
      <c r="BZ210" s="313">
        <f t="shared" si="275"/>
        <v>0</v>
      </c>
      <c r="CA210" s="44"/>
      <c r="CB210" s="45">
        <f t="shared" si="241"/>
        <v>84000.999999999985</v>
      </c>
      <c r="CC210" s="46">
        <f t="shared" si="242"/>
        <v>76364.545454545441</v>
      </c>
      <c r="CD210" s="47">
        <f t="shared" si="243"/>
        <v>76364.545454545441</v>
      </c>
      <c r="CE210" s="62"/>
      <c r="CF210" s="237" t="s">
        <v>1601</v>
      </c>
      <c r="CG210" s="106">
        <f t="shared" si="244"/>
        <v>76364.545454545441</v>
      </c>
      <c r="CI210" s="51"/>
      <c r="CK210" s="251" t="e">
        <f t="shared" si="239"/>
        <v>#N/A</v>
      </c>
      <c r="CL210" s="323">
        <f t="shared" si="240"/>
        <v>0</v>
      </c>
      <c r="CM210" s="40"/>
    </row>
    <row r="211" spans="1:91">
      <c r="A211" s="77" t="s">
        <v>2940</v>
      </c>
      <c r="B211" s="41" t="s">
        <v>2726</v>
      </c>
      <c r="C211" s="660" t="s">
        <v>408</v>
      </c>
      <c r="D211" s="77"/>
      <c r="E211" s="77"/>
      <c r="F211" s="43"/>
      <c r="G211" s="43"/>
      <c r="H211" s="43"/>
      <c r="I211" s="43"/>
      <c r="J211" s="44"/>
      <c r="K211" s="44"/>
      <c r="L211" s="45">
        <f t="shared" si="257"/>
        <v>0</v>
      </c>
      <c r="M211" s="45">
        <f t="shared" si="258"/>
        <v>0</v>
      </c>
      <c r="N211" s="45">
        <f t="shared" si="259"/>
        <v>0</v>
      </c>
      <c r="O211" s="45"/>
      <c r="P211" s="45"/>
      <c r="Q211" s="45"/>
      <c r="R211" s="45">
        <f t="shared" si="260"/>
        <v>0</v>
      </c>
      <c r="S211" s="45">
        <f t="shared" si="261"/>
        <v>0</v>
      </c>
      <c r="T211" s="45">
        <f t="shared" si="262"/>
        <v>0</v>
      </c>
      <c r="U211" s="45"/>
      <c r="V211" s="45"/>
      <c r="W211" s="45">
        <f>(692477+35075+2514658)/1.1+911409/1.1+451446/1.1+913913/1.1</f>
        <v>5017252.7272727266</v>
      </c>
      <c r="X211" s="45"/>
      <c r="Y211" s="45"/>
      <c r="Z211" s="45"/>
      <c r="AA211" s="45"/>
      <c r="AB211" s="45">
        <f t="shared" si="263"/>
        <v>50172.527272727268</v>
      </c>
      <c r="AC211" s="45">
        <f t="shared" si="264"/>
        <v>311069.66909090907</v>
      </c>
      <c r="AD211" s="45">
        <f t="shared" si="265"/>
        <v>140483.07636363636</v>
      </c>
      <c r="AE211" s="44"/>
      <c r="AF211" s="44"/>
      <c r="AG211" s="44"/>
      <c r="AH211" s="44"/>
      <c r="AI211" s="44"/>
      <c r="AJ211" s="44"/>
      <c r="AK211" s="44"/>
      <c r="AL211" s="44">
        <f t="shared" si="266"/>
        <v>0</v>
      </c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>
        <f t="shared" si="267"/>
        <v>0</v>
      </c>
      <c r="BS211" s="312">
        <f t="shared" si="268"/>
        <v>0</v>
      </c>
      <c r="BT211" s="312">
        <f t="shared" si="269"/>
        <v>0</v>
      </c>
      <c r="BU211" s="312">
        <f t="shared" si="270"/>
        <v>0</v>
      </c>
      <c r="BV211" s="312">
        <f t="shared" si="271"/>
        <v>0</v>
      </c>
      <c r="BW211" s="313">
        <f t="shared" si="272"/>
        <v>0</v>
      </c>
      <c r="BX211" s="313">
        <f t="shared" si="273"/>
        <v>0</v>
      </c>
      <c r="BY211" s="313">
        <f t="shared" si="274"/>
        <v>0</v>
      </c>
      <c r="BZ211" s="313">
        <f t="shared" si="275"/>
        <v>0</v>
      </c>
      <c r="CA211" s="44"/>
      <c r="CB211" s="45">
        <f t="shared" si="241"/>
        <v>5518977.9999999991</v>
      </c>
      <c r="CC211" s="46">
        <f t="shared" si="242"/>
        <v>5017252.7272727266</v>
      </c>
      <c r="CD211" s="47">
        <f t="shared" si="243"/>
        <v>5017252.7272727266</v>
      </c>
      <c r="CE211" s="62"/>
      <c r="CF211" s="237" t="s">
        <v>1601</v>
      </c>
      <c r="CG211" s="106">
        <f t="shared" si="244"/>
        <v>0</v>
      </c>
      <c r="CI211" s="51"/>
      <c r="CK211" s="251" t="str">
        <f t="shared" si="239"/>
        <v>virement tresor</v>
      </c>
      <c r="CL211" s="323">
        <f t="shared" si="240"/>
        <v>0</v>
      </c>
      <c r="CM211" s="40"/>
    </row>
    <row r="212" spans="1:91">
      <c r="A212" s="77" t="s">
        <v>3129</v>
      </c>
      <c r="B212" s="41" t="s">
        <v>2726</v>
      </c>
      <c r="C212" s="660" t="s">
        <v>408</v>
      </c>
      <c r="D212" s="77"/>
      <c r="E212" s="77"/>
      <c r="F212" s="43"/>
      <c r="G212" s="43"/>
      <c r="H212" s="43"/>
      <c r="I212" s="43"/>
      <c r="J212" s="44"/>
      <c r="K212" s="44"/>
      <c r="L212" s="45">
        <f t="shared" si="257"/>
        <v>0</v>
      </c>
      <c r="M212" s="45">
        <f t="shared" si="258"/>
        <v>0</v>
      </c>
      <c r="N212" s="45">
        <f t="shared" si="259"/>
        <v>0</v>
      </c>
      <c r="O212" s="45"/>
      <c r="P212" s="45"/>
      <c r="Q212" s="45"/>
      <c r="R212" s="45">
        <f t="shared" si="260"/>
        <v>0</v>
      </c>
      <c r="S212" s="45">
        <f t="shared" si="261"/>
        <v>0</v>
      </c>
      <c r="T212" s="45">
        <f t="shared" si="262"/>
        <v>0</v>
      </c>
      <c r="U212" s="45"/>
      <c r="V212" s="45"/>
      <c r="W212" s="45">
        <f>159093/1.1</f>
        <v>144630</v>
      </c>
      <c r="X212" s="45"/>
      <c r="Y212" s="45"/>
      <c r="Z212" s="45"/>
      <c r="AA212" s="45"/>
      <c r="AB212" s="45">
        <f t="shared" si="263"/>
        <v>1446.3</v>
      </c>
      <c r="AC212" s="45">
        <f t="shared" si="264"/>
        <v>8967.06</v>
      </c>
      <c r="AD212" s="45">
        <f t="shared" si="265"/>
        <v>4049.64</v>
      </c>
      <c r="AE212" s="44"/>
      <c r="AF212" s="44"/>
      <c r="AG212" s="44"/>
      <c r="AH212" s="44"/>
      <c r="AI212" s="44"/>
      <c r="AJ212" s="44"/>
      <c r="AK212" s="44"/>
      <c r="AL212" s="44">
        <f t="shared" si="266"/>
        <v>0</v>
      </c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>
        <f t="shared" si="267"/>
        <v>0</v>
      </c>
      <c r="BS212" s="312">
        <f t="shared" si="268"/>
        <v>0</v>
      </c>
      <c r="BT212" s="312">
        <f t="shared" si="269"/>
        <v>0</v>
      </c>
      <c r="BU212" s="312">
        <f t="shared" si="270"/>
        <v>0</v>
      </c>
      <c r="BV212" s="312">
        <f t="shared" si="271"/>
        <v>0</v>
      </c>
      <c r="BW212" s="313">
        <f t="shared" si="272"/>
        <v>0</v>
      </c>
      <c r="BX212" s="313">
        <f t="shared" si="273"/>
        <v>0</v>
      </c>
      <c r="BY212" s="313">
        <f t="shared" si="274"/>
        <v>0</v>
      </c>
      <c r="BZ212" s="313">
        <f t="shared" si="275"/>
        <v>0</v>
      </c>
      <c r="CA212" s="44"/>
      <c r="CB212" s="45">
        <f t="shared" si="241"/>
        <v>159093</v>
      </c>
      <c r="CC212" s="46">
        <f t="shared" si="242"/>
        <v>144630</v>
      </c>
      <c r="CD212" s="47">
        <f t="shared" si="243"/>
        <v>144630</v>
      </c>
      <c r="CE212" s="62"/>
      <c r="CF212" s="237" t="s">
        <v>1601</v>
      </c>
      <c r="CG212" s="106">
        <f t="shared" si="244"/>
        <v>0</v>
      </c>
      <c r="CI212" s="51"/>
      <c r="CK212" s="251" t="str">
        <f t="shared" si="239"/>
        <v>virement tresor</v>
      </c>
      <c r="CL212" s="323">
        <f t="shared" si="240"/>
        <v>0</v>
      </c>
      <c r="CM212" s="40"/>
    </row>
    <row r="213" spans="1:91">
      <c r="A213" s="325" t="s">
        <v>3134</v>
      </c>
      <c r="B213" s="41" t="s">
        <v>1586</v>
      </c>
      <c r="C213" s="660" t="s">
        <v>1438</v>
      </c>
      <c r="D213" s="77"/>
      <c r="E213" s="77"/>
      <c r="F213" s="43"/>
      <c r="G213" s="43"/>
      <c r="H213" s="43"/>
      <c r="I213" s="43"/>
      <c r="J213" s="44">
        <f>11859220/1.1</f>
        <v>10781109.09090909</v>
      </c>
      <c r="K213" s="44"/>
      <c r="L213" s="45">
        <f t="shared" si="257"/>
        <v>107811.0909090909</v>
      </c>
      <c r="M213" s="45">
        <f t="shared" si="258"/>
        <v>668428.76363636355</v>
      </c>
      <c r="N213" s="45">
        <f t="shared" si="259"/>
        <v>301871.05454545451</v>
      </c>
      <c r="O213" s="45">
        <f>1686711/1.1</f>
        <v>1533373.6363636362</v>
      </c>
      <c r="P213" s="45"/>
      <c r="Q213" s="45"/>
      <c r="R213" s="45">
        <f t="shared" si="260"/>
        <v>15333.736363636363</v>
      </c>
      <c r="S213" s="45">
        <f t="shared" si="261"/>
        <v>95069.165454545451</v>
      </c>
      <c r="T213" s="45">
        <f t="shared" si="262"/>
        <v>42934.461818181815</v>
      </c>
      <c r="U213" s="45"/>
      <c r="V213" s="45">
        <f>612300/1.1</f>
        <v>556636.36363636365</v>
      </c>
      <c r="W213" s="45">
        <f>1267854/1.1</f>
        <v>1152594.5454545454</v>
      </c>
      <c r="X213" s="45"/>
      <c r="Y213" s="45"/>
      <c r="Z213" s="45"/>
      <c r="AA213" s="45"/>
      <c r="AB213" s="45">
        <f t="shared" si="263"/>
        <v>17092.309090909093</v>
      </c>
      <c r="AC213" s="45">
        <f t="shared" si="264"/>
        <v>105972.31636363638</v>
      </c>
      <c r="AD213" s="45">
        <f t="shared" si="265"/>
        <v>47858.465454545461</v>
      </c>
      <c r="AE213" s="44"/>
      <c r="AF213" s="44"/>
      <c r="AG213" s="44"/>
      <c r="AH213" s="44"/>
      <c r="AI213" s="44"/>
      <c r="AJ213" s="44"/>
      <c r="AK213" s="44"/>
      <c r="AL213" s="44">
        <f t="shared" si="266"/>
        <v>0</v>
      </c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>
        <f t="shared" si="267"/>
        <v>0</v>
      </c>
      <c r="BS213" s="312">
        <f t="shared" si="268"/>
        <v>0</v>
      </c>
      <c r="BT213" s="312">
        <f t="shared" si="269"/>
        <v>0</v>
      </c>
      <c r="BU213" s="312">
        <f t="shared" si="270"/>
        <v>0</v>
      </c>
      <c r="BV213" s="312">
        <f t="shared" si="271"/>
        <v>0</v>
      </c>
      <c r="BW213" s="313">
        <f t="shared" si="272"/>
        <v>0</v>
      </c>
      <c r="BX213" s="313">
        <f t="shared" si="273"/>
        <v>0</v>
      </c>
      <c r="BY213" s="313">
        <f t="shared" si="274"/>
        <v>0</v>
      </c>
      <c r="BZ213" s="313">
        <f t="shared" si="275"/>
        <v>0</v>
      </c>
      <c r="CA213" s="44"/>
      <c r="CB213" s="45">
        <f t="shared" si="241"/>
        <v>15426084.999999998</v>
      </c>
      <c r="CC213" s="46">
        <f t="shared" si="242"/>
        <v>1152594.5454545454</v>
      </c>
      <c r="CD213" s="47">
        <f t="shared" si="243"/>
        <v>14023713.636363635</v>
      </c>
      <c r="CE213" s="62"/>
      <c r="CF213" s="237" t="s">
        <v>2175</v>
      </c>
      <c r="CG213" s="106">
        <f t="shared" si="244"/>
        <v>0</v>
      </c>
      <c r="CI213" s="51"/>
      <c r="CK213" s="251" t="str">
        <f t="shared" si="239"/>
        <v>recettes dormantes</v>
      </c>
      <c r="CL213" s="323">
        <f t="shared" si="240"/>
        <v>0</v>
      </c>
      <c r="CM213" s="40"/>
    </row>
    <row r="214" spans="1:91">
      <c r="A214" s="325" t="s">
        <v>3139</v>
      </c>
      <c r="B214" s="41" t="s">
        <v>1586</v>
      </c>
      <c r="C214" s="660" t="s">
        <v>1438</v>
      </c>
      <c r="D214" s="77"/>
      <c r="E214" s="77"/>
      <c r="F214" s="43"/>
      <c r="G214" s="43"/>
      <c r="H214" s="43"/>
      <c r="I214" s="43"/>
      <c r="J214" s="44">
        <f>1903144/1.1</f>
        <v>1730130.9090909089</v>
      </c>
      <c r="K214" s="44"/>
      <c r="L214" s="45">
        <f t="shared" si="257"/>
        <v>17301.30909090909</v>
      </c>
      <c r="M214" s="45">
        <f t="shared" si="258"/>
        <v>107268.11636363635</v>
      </c>
      <c r="N214" s="45">
        <f t="shared" si="259"/>
        <v>48443.665454545451</v>
      </c>
      <c r="O214" s="45">
        <f>496331/1.1</f>
        <v>451209.99999999994</v>
      </c>
      <c r="P214" s="45"/>
      <c r="Q214" s="45"/>
      <c r="R214" s="45">
        <f t="shared" si="260"/>
        <v>4512.0999999999995</v>
      </c>
      <c r="S214" s="45">
        <f t="shared" si="261"/>
        <v>27975.019999999997</v>
      </c>
      <c r="T214" s="45">
        <f t="shared" si="262"/>
        <v>12633.88</v>
      </c>
      <c r="U214" s="45"/>
      <c r="V214" s="45"/>
      <c r="W214" s="45"/>
      <c r="X214" s="45"/>
      <c r="Y214" s="45"/>
      <c r="Z214" s="45"/>
      <c r="AA214" s="45"/>
      <c r="AB214" s="45">
        <f t="shared" si="263"/>
        <v>0</v>
      </c>
      <c r="AC214" s="45">
        <f t="shared" si="264"/>
        <v>0</v>
      </c>
      <c r="AD214" s="45">
        <f t="shared" si="265"/>
        <v>0</v>
      </c>
      <c r="AE214" s="44"/>
      <c r="AF214" s="44"/>
      <c r="AG214" s="44"/>
      <c r="AH214" s="44"/>
      <c r="AI214" s="44"/>
      <c r="AJ214" s="44"/>
      <c r="AK214" s="44"/>
      <c r="AL214" s="44">
        <f t="shared" si="266"/>
        <v>0</v>
      </c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>
        <f t="shared" si="267"/>
        <v>0</v>
      </c>
      <c r="BS214" s="312">
        <f t="shared" si="268"/>
        <v>0</v>
      </c>
      <c r="BT214" s="312">
        <f t="shared" si="269"/>
        <v>0</v>
      </c>
      <c r="BU214" s="312">
        <f t="shared" si="270"/>
        <v>0</v>
      </c>
      <c r="BV214" s="312">
        <f t="shared" si="271"/>
        <v>0</v>
      </c>
      <c r="BW214" s="313">
        <f t="shared" si="272"/>
        <v>0</v>
      </c>
      <c r="BX214" s="313">
        <f t="shared" si="273"/>
        <v>0</v>
      </c>
      <c r="BY214" s="313">
        <f t="shared" si="274"/>
        <v>0</v>
      </c>
      <c r="BZ214" s="313">
        <f t="shared" si="275"/>
        <v>0</v>
      </c>
      <c r="CA214" s="44"/>
      <c r="CB214" s="45">
        <f t="shared" si="241"/>
        <v>2399475</v>
      </c>
      <c r="CC214" s="46">
        <f t="shared" si="242"/>
        <v>0</v>
      </c>
      <c r="CD214" s="47">
        <f t="shared" si="243"/>
        <v>2181340.9090909087</v>
      </c>
      <c r="CE214" s="62"/>
      <c r="CF214" s="237" t="s">
        <v>2175</v>
      </c>
      <c r="CG214" s="106">
        <f t="shared" si="244"/>
        <v>0</v>
      </c>
      <c r="CI214" s="51"/>
      <c r="CK214" s="251" t="str">
        <f t="shared" ref="CK214" si="279">+B214</f>
        <v>recettes dormantes</v>
      </c>
      <c r="CL214" s="323">
        <f t="shared" ref="CL214" si="280">CE214</f>
        <v>0</v>
      </c>
      <c r="CM214" s="40"/>
    </row>
    <row r="215" spans="1:91">
      <c r="A215" s="325" t="s">
        <v>3140</v>
      </c>
      <c r="B215" s="41" t="s">
        <v>1586</v>
      </c>
      <c r="C215" s="660" t="s">
        <v>1438</v>
      </c>
      <c r="D215" s="77"/>
      <c r="E215" s="77"/>
      <c r="F215" s="43"/>
      <c r="G215" s="43"/>
      <c r="H215" s="43"/>
      <c r="I215" s="43"/>
      <c r="J215" s="44">
        <f>8225107/1.1</f>
        <v>7477369.9999999991</v>
      </c>
      <c r="K215" s="44"/>
      <c r="L215" s="45">
        <f t="shared" si="257"/>
        <v>74773.7</v>
      </c>
      <c r="M215" s="45">
        <f t="shared" si="258"/>
        <v>463596.93999999994</v>
      </c>
      <c r="N215" s="45">
        <f t="shared" si="259"/>
        <v>209366.36</v>
      </c>
      <c r="O215" s="45">
        <f>2720032/1.1</f>
        <v>2472756.3636363633</v>
      </c>
      <c r="P215" s="45"/>
      <c r="Q215" s="45"/>
      <c r="R215" s="45">
        <f t="shared" si="260"/>
        <v>24727.563636363633</v>
      </c>
      <c r="S215" s="45">
        <f t="shared" si="261"/>
        <v>153310.89454545453</v>
      </c>
      <c r="T215" s="45">
        <f t="shared" si="262"/>
        <v>69237.178181818177</v>
      </c>
      <c r="U215" s="45"/>
      <c r="V215" s="45"/>
      <c r="W215" s="45"/>
      <c r="X215" s="45"/>
      <c r="Y215" s="45"/>
      <c r="Z215" s="45"/>
      <c r="AA215" s="45"/>
      <c r="AB215" s="45">
        <f t="shared" si="263"/>
        <v>0</v>
      </c>
      <c r="AC215" s="45">
        <f t="shared" si="264"/>
        <v>0</v>
      </c>
      <c r="AD215" s="45">
        <f t="shared" si="265"/>
        <v>0</v>
      </c>
      <c r="AE215" s="44"/>
      <c r="AF215" s="44"/>
      <c r="AG215" s="44"/>
      <c r="AH215" s="44"/>
      <c r="AI215" s="44"/>
      <c r="AJ215" s="44"/>
      <c r="AK215" s="44"/>
      <c r="AL215" s="44">
        <f t="shared" si="266"/>
        <v>0</v>
      </c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>
        <f t="shared" si="267"/>
        <v>0</v>
      </c>
      <c r="BS215" s="312">
        <f t="shared" si="268"/>
        <v>0</v>
      </c>
      <c r="BT215" s="312">
        <f t="shared" si="269"/>
        <v>0</v>
      </c>
      <c r="BU215" s="312">
        <f t="shared" si="270"/>
        <v>0</v>
      </c>
      <c r="BV215" s="312">
        <f t="shared" si="271"/>
        <v>0</v>
      </c>
      <c r="BW215" s="313">
        <f t="shared" si="272"/>
        <v>0</v>
      </c>
      <c r="BX215" s="313">
        <f t="shared" si="273"/>
        <v>0</v>
      </c>
      <c r="BY215" s="313">
        <f t="shared" si="274"/>
        <v>0</v>
      </c>
      <c r="BZ215" s="313">
        <f t="shared" si="275"/>
        <v>0</v>
      </c>
      <c r="CA215" s="44"/>
      <c r="CB215" s="45">
        <f t="shared" si="241"/>
        <v>10945139</v>
      </c>
      <c r="CC215" s="46">
        <f t="shared" si="242"/>
        <v>0</v>
      </c>
      <c r="CD215" s="47">
        <f t="shared" si="243"/>
        <v>9950126.3636363633</v>
      </c>
      <c r="CE215" s="62"/>
      <c r="CF215" s="237" t="s">
        <v>2175</v>
      </c>
      <c r="CG215" s="106">
        <f t="shared" si="244"/>
        <v>0</v>
      </c>
      <c r="CI215" s="51"/>
      <c r="CK215" s="251" t="str">
        <f t="shared" si="239"/>
        <v>recettes dormantes</v>
      </c>
      <c r="CL215" s="323">
        <f t="shared" si="240"/>
        <v>0</v>
      </c>
      <c r="CM215" s="40"/>
    </row>
    <row r="216" spans="1:91">
      <c r="A216" s="325" t="s">
        <v>3141</v>
      </c>
      <c r="B216" s="41" t="s">
        <v>1586</v>
      </c>
      <c r="C216" s="660" t="s">
        <v>1438</v>
      </c>
      <c r="D216" s="77"/>
      <c r="E216" s="77"/>
      <c r="F216" s="43"/>
      <c r="G216" s="43"/>
      <c r="H216" s="43"/>
      <c r="I216" s="43"/>
      <c r="J216" s="44">
        <f>85773/1.1</f>
        <v>77975.454545454544</v>
      </c>
      <c r="K216" s="44"/>
      <c r="L216" s="45">
        <f t="shared" si="257"/>
        <v>779.75454545454545</v>
      </c>
      <c r="M216" s="45">
        <f t="shared" si="258"/>
        <v>4834.4781818181818</v>
      </c>
      <c r="N216" s="45">
        <f t="shared" si="259"/>
        <v>2183.3127272727274</v>
      </c>
      <c r="O216" s="45">
        <f>300205/1.1</f>
        <v>272913.63636363635</v>
      </c>
      <c r="P216" s="45"/>
      <c r="Q216" s="45"/>
      <c r="R216" s="45">
        <f t="shared" si="260"/>
        <v>2729.1363636363635</v>
      </c>
      <c r="S216" s="45">
        <f t="shared" si="261"/>
        <v>16920.645454545454</v>
      </c>
      <c r="T216" s="45">
        <f t="shared" si="262"/>
        <v>7641.5818181818177</v>
      </c>
      <c r="U216" s="45"/>
      <c r="V216" s="45"/>
      <c r="W216" s="45"/>
      <c r="X216" s="45"/>
      <c r="Y216" s="45"/>
      <c r="Z216" s="45"/>
      <c r="AA216" s="45"/>
      <c r="AB216" s="45">
        <f t="shared" si="263"/>
        <v>0</v>
      </c>
      <c r="AC216" s="45">
        <f t="shared" si="264"/>
        <v>0</v>
      </c>
      <c r="AD216" s="45">
        <f t="shared" si="265"/>
        <v>0</v>
      </c>
      <c r="AE216" s="44"/>
      <c r="AF216" s="44"/>
      <c r="AG216" s="44"/>
      <c r="AH216" s="44"/>
      <c r="AI216" s="44"/>
      <c r="AJ216" s="44"/>
      <c r="AK216" s="44"/>
      <c r="AL216" s="44">
        <f t="shared" si="266"/>
        <v>0</v>
      </c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>
        <f t="shared" si="267"/>
        <v>0</v>
      </c>
      <c r="BS216" s="312">
        <f t="shared" si="268"/>
        <v>0</v>
      </c>
      <c r="BT216" s="312">
        <f t="shared" si="269"/>
        <v>0</v>
      </c>
      <c r="BU216" s="312">
        <f t="shared" si="270"/>
        <v>0</v>
      </c>
      <c r="BV216" s="312">
        <f t="shared" si="271"/>
        <v>0</v>
      </c>
      <c r="BW216" s="313">
        <f t="shared" si="272"/>
        <v>0</v>
      </c>
      <c r="BX216" s="313">
        <f t="shared" si="273"/>
        <v>0</v>
      </c>
      <c r="BY216" s="313">
        <f t="shared" si="274"/>
        <v>0</v>
      </c>
      <c r="BZ216" s="313">
        <f t="shared" si="275"/>
        <v>0</v>
      </c>
      <c r="CA216" s="44"/>
      <c r="CB216" s="45">
        <f t="shared" si="241"/>
        <v>385978</v>
      </c>
      <c r="CC216" s="46">
        <f t="shared" si="242"/>
        <v>0</v>
      </c>
      <c r="CD216" s="47">
        <f t="shared" si="243"/>
        <v>350889.09090909088</v>
      </c>
      <c r="CE216" s="62"/>
      <c r="CF216" s="237" t="s">
        <v>2175</v>
      </c>
      <c r="CG216" s="106">
        <f t="shared" si="244"/>
        <v>0</v>
      </c>
      <c r="CI216" s="51"/>
      <c r="CK216" s="251" t="str">
        <f t="shared" si="239"/>
        <v>recettes dormantes</v>
      </c>
      <c r="CL216" s="323">
        <f t="shared" si="240"/>
        <v>0</v>
      </c>
      <c r="CM216" s="40"/>
    </row>
    <row r="217" spans="1:91">
      <c r="A217" s="77"/>
      <c r="B217" s="41" t="e">
        <f>VLOOKUP(A217,'vs mars'!B:D,3,FALSE)</f>
        <v>#N/A</v>
      </c>
      <c r="C217" s="660" t="s">
        <v>1438</v>
      </c>
      <c r="D217" s="77"/>
      <c r="E217" s="77"/>
      <c r="F217" s="43"/>
      <c r="G217" s="43"/>
      <c r="H217" s="43"/>
      <c r="I217" s="43"/>
      <c r="J217" s="44">
        <f>1765165/1.1</f>
        <v>1604695.4545454544</v>
      </c>
      <c r="K217" s="44"/>
      <c r="L217" s="45">
        <f t="shared" si="257"/>
        <v>16046.954545454544</v>
      </c>
      <c r="M217" s="45">
        <f t="shared" si="258"/>
        <v>99491.118181818165</v>
      </c>
      <c r="N217" s="45">
        <f t="shared" si="259"/>
        <v>44931.472727272725</v>
      </c>
      <c r="O217" s="45"/>
      <c r="P217" s="45"/>
      <c r="Q217" s="45"/>
      <c r="R217" s="45">
        <f t="shared" si="260"/>
        <v>0</v>
      </c>
      <c r="S217" s="45">
        <f t="shared" si="261"/>
        <v>0</v>
      </c>
      <c r="T217" s="45">
        <f t="shared" si="262"/>
        <v>0</v>
      </c>
      <c r="U217" s="45"/>
      <c r="V217" s="45"/>
      <c r="W217" s="45"/>
      <c r="X217" s="45"/>
      <c r="Y217" s="45"/>
      <c r="Z217" s="45"/>
      <c r="AA217" s="45"/>
      <c r="AB217" s="45">
        <f t="shared" si="263"/>
        <v>0</v>
      </c>
      <c r="AC217" s="45">
        <f t="shared" si="264"/>
        <v>0</v>
      </c>
      <c r="AD217" s="45">
        <f t="shared" si="265"/>
        <v>0</v>
      </c>
      <c r="AE217" s="44"/>
      <c r="AF217" s="44"/>
      <c r="AG217" s="44"/>
      <c r="AH217" s="44"/>
      <c r="AI217" s="44"/>
      <c r="AJ217" s="44"/>
      <c r="AK217" s="44"/>
      <c r="AL217" s="44">
        <f t="shared" si="266"/>
        <v>0</v>
      </c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>
        <f t="shared" si="267"/>
        <v>0</v>
      </c>
      <c r="BS217" s="312">
        <f t="shared" si="268"/>
        <v>0</v>
      </c>
      <c r="BT217" s="312">
        <f t="shared" si="269"/>
        <v>0</v>
      </c>
      <c r="BU217" s="312">
        <f t="shared" si="270"/>
        <v>0</v>
      </c>
      <c r="BV217" s="312">
        <f t="shared" si="271"/>
        <v>0</v>
      </c>
      <c r="BW217" s="313">
        <f t="shared" si="272"/>
        <v>0</v>
      </c>
      <c r="BX217" s="313">
        <f t="shared" si="273"/>
        <v>0</v>
      </c>
      <c r="BY217" s="313">
        <f t="shared" si="274"/>
        <v>0</v>
      </c>
      <c r="BZ217" s="313">
        <f t="shared" si="275"/>
        <v>0</v>
      </c>
      <c r="CA217" s="44"/>
      <c r="CB217" s="45">
        <f t="shared" si="241"/>
        <v>1765164.9999999998</v>
      </c>
      <c r="CC217" s="46">
        <f t="shared" si="242"/>
        <v>0</v>
      </c>
      <c r="CD217" s="47">
        <f t="shared" si="243"/>
        <v>1604695.4545454544</v>
      </c>
      <c r="CE217" s="62"/>
      <c r="CF217" s="237" t="s">
        <v>2175</v>
      </c>
      <c r="CG217" s="106">
        <f t="shared" si="244"/>
        <v>0</v>
      </c>
      <c r="CI217" s="51"/>
      <c r="CK217" s="251" t="e">
        <f t="shared" ref="CK217" si="281">+B217</f>
        <v>#N/A</v>
      </c>
      <c r="CL217" s="323">
        <f t="shared" ref="CL217" si="282">CE217</f>
        <v>0</v>
      </c>
      <c r="CM217" s="40"/>
    </row>
    <row r="218" spans="1:91">
      <c r="A218" s="77"/>
      <c r="B218" s="41" t="e">
        <f>VLOOKUP(A218,'vs mars'!B:D,3,FALSE)</f>
        <v>#N/A</v>
      </c>
      <c r="C218" s="42" t="e">
        <f>VLOOKUP(A218,'vs mars'!B:AC,28,FALSE)</f>
        <v>#N/A</v>
      </c>
      <c r="D218" s="77"/>
      <c r="E218" s="77"/>
      <c r="F218" s="43"/>
      <c r="G218" s="43"/>
      <c r="H218" s="43"/>
      <c r="I218" s="43"/>
      <c r="J218" s="44"/>
      <c r="K218" s="44"/>
      <c r="L218" s="45">
        <f t="shared" si="257"/>
        <v>0</v>
      </c>
      <c r="M218" s="45">
        <f t="shared" si="258"/>
        <v>0</v>
      </c>
      <c r="N218" s="45">
        <f t="shared" si="259"/>
        <v>0</v>
      </c>
      <c r="O218" s="45"/>
      <c r="P218" s="45"/>
      <c r="Q218" s="45"/>
      <c r="R218" s="45">
        <f t="shared" si="260"/>
        <v>0</v>
      </c>
      <c r="S218" s="45">
        <f t="shared" si="261"/>
        <v>0</v>
      </c>
      <c r="T218" s="45">
        <f t="shared" si="262"/>
        <v>0</v>
      </c>
      <c r="U218" s="45"/>
      <c r="V218" s="45"/>
      <c r="W218" s="45"/>
      <c r="X218" s="45"/>
      <c r="Y218" s="45"/>
      <c r="Z218" s="45"/>
      <c r="AA218" s="45"/>
      <c r="AB218" s="45">
        <f t="shared" si="263"/>
        <v>0</v>
      </c>
      <c r="AC218" s="45">
        <f t="shared" si="264"/>
        <v>0</v>
      </c>
      <c r="AD218" s="45">
        <f t="shared" si="265"/>
        <v>0</v>
      </c>
      <c r="AE218" s="44"/>
      <c r="AF218" s="44"/>
      <c r="AG218" s="44"/>
      <c r="AH218" s="44"/>
      <c r="AI218" s="44"/>
      <c r="AJ218" s="44"/>
      <c r="AK218" s="44"/>
      <c r="AL218" s="44">
        <f t="shared" si="266"/>
        <v>0</v>
      </c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>
        <f t="shared" si="267"/>
        <v>0</v>
      </c>
      <c r="BS218" s="312">
        <f t="shared" si="268"/>
        <v>0</v>
      </c>
      <c r="BT218" s="312">
        <f t="shared" si="269"/>
        <v>0</v>
      </c>
      <c r="BU218" s="312">
        <f t="shared" si="270"/>
        <v>0</v>
      </c>
      <c r="BV218" s="312">
        <f t="shared" si="271"/>
        <v>0</v>
      </c>
      <c r="BW218" s="313">
        <f t="shared" si="272"/>
        <v>0</v>
      </c>
      <c r="BX218" s="313">
        <f t="shared" si="273"/>
        <v>0</v>
      </c>
      <c r="BY218" s="313">
        <f t="shared" si="274"/>
        <v>0</v>
      </c>
      <c r="BZ218" s="313">
        <f t="shared" si="275"/>
        <v>0</v>
      </c>
      <c r="CA218" s="44"/>
      <c r="CB218" s="45">
        <f t="shared" si="241"/>
        <v>0</v>
      </c>
      <c r="CC218" s="46">
        <f t="shared" si="242"/>
        <v>0</v>
      </c>
      <c r="CD218" s="47">
        <f t="shared" si="243"/>
        <v>0</v>
      </c>
      <c r="CE218" s="62"/>
      <c r="CF218" s="237" t="e">
        <f>VLOOKUP(A218,labo!B:C,2,FALSE)</f>
        <v>#N/A</v>
      </c>
      <c r="CG218" s="106">
        <f t="shared" si="244"/>
        <v>0</v>
      </c>
      <c r="CI218" s="51"/>
      <c r="CK218" s="251" t="e">
        <f t="shared" si="239"/>
        <v>#N/A</v>
      </c>
      <c r="CL218" s="323">
        <f t="shared" si="240"/>
        <v>0</v>
      </c>
      <c r="CM218" s="40"/>
    </row>
    <row r="219" spans="1:91">
      <c r="A219" s="77"/>
      <c r="B219" s="41" t="e">
        <f>VLOOKUP(A219,'vs mars'!B:D,3,FALSE)</f>
        <v>#N/A</v>
      </c>
      <c r="C219" s="42" t="e">
        <f>VLOOKUP(A219,'vs mars'!B:AC,28,FALSE)</f>
        <v>#N/A</v>
      </c>
      <c r="D219" s="77"/>
      <c r="E219" s="77"/>
      <c r="F219" s="43"/>
      <c r="G219" s="43"/>
      <c r="H219" s="43"/>
      <c r="I219" s="43"/>
      <c r="J219" s="44"/>
      <c r="K219" s="44"/>
      <c r="L219" s="45">
        <f t="shared" si="257"/>
        <v>0</v>
      </c>
      <c r="M219" s="45">
        <f t="shared" si="258"/>
        <v>0</v>
      </c>
      <c r="N219" s="45">
        <f t="shared" si="259"/>
        <v>0</v>
      </c>
      <c r="O219" s="45"/>
      <c r="P219" s="45"/>
      <c r="Q219" s="45"/>
      <c r="R219" s="45">
        <f t="shared" si="260"/>
        <v>0</v>
      </c>
      <c r="S219" s="45">
        <f t="shared" si="261"/>
        <v>0</v>
      </c>
      <c r="T219" s="45">
        <f t="shared" si="262"/>
        <v>0</v>
      </c>
      <c r="U219" s="45"/>
      <c r="V219" s="45"/>
      <c r="W219" s="45"/>
      <c r="X219" s="45"/>
      <c r="Y219" s="45"/>
      <c r="Z219" s="45"/>
      <c r="AA219" s="45"/>
      <c r="AB219" s="45">
        <f t="shared" si="263"/>
        <v>0</v>
      </c>
      <c r="AC219" s="45">
        <f t="shared" si="264"/>
        <v>0</v>
      </c>
      <c r="AD219" s="45">
        <f t="shared" si="265"/>
        <v>0</v>
      </c>
      <c r="AE219" s="44"/>
      <c r="AF219" s="44"/>
      <c r="AG219" s="44"/>
      <c r="AH219" s="44"/>
      <c r="AI219" s="44"/>
      <c r="AJ219" s="44"/>
      <c r="AK219" s="44"/>
      <c r="AL219" s="44">
        <f t="shared" si="266"/>
        <v>0</v>
      </c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>
        <f t="shared" si="267"/>
        <v>0</v>
      </c>
      <c r="BS219" s="312">
        <f t="shared" si="268"/>
        <v>0</v>
      </c>
      <c r="BT219" s="312">
        <f t="shared" si="269"/>
        <v>0</v>
      </c>
      <c r="BU219" s="312">
        <f t="shared" si="270"/>
        <v>0</v>
      </c>
      <c r="BV219" s="312">
        <f t="shared" si="271"/>
        <v>0</v>
      </c>
      <c r="BW219" s="313">
        <f t="shared" si="272"/>
        <v>0</v>
      </c>
      <c r="BX219" s="313">
        <f t="shared" si="273"/>
        <v>0</v>
      </c>
      <c r="BY219" s="313">
        <f t="shared" si="274"/>
        <v>0</v>
      </c>
      <c r="BZ219" s="313">
        <f t="shared" si="275"/>
        <v>0</v>
      </c>
      <c r="CA219" s="44"/>
      <c r="CB219" s="45">
        <f t="shared" si="241"/>
        <v>0</v>
      </c>
      <c r="CC219" s="46">
        <f t="shared" si="242"/>
        <v>0</v>
      </c>
      <c r="CD219" s="47">
        <f t="shared" si="243"/>
        <v>0</v>
      </c>
      <c r="CE219" s="62"/>
      <c r="CF219" s="237" t="e">
        <f>VLOOKUP(A219,labo!B:C,2,FALSE)</f>
        <v>#N/A</v>
      </c>
      <c r="CG219" s="106">
        <f t="shared" si="244"/>
        <v>0</v>
      </c>
      <c r="CI219" s="51"/>
      <c r="CK219" s="251" t="e">
        <f t="shared" si="239"/>
        <v>#N/A</v>
      </c>
      <c r="CL219" s="323">
        <f t="shared" si="240"/>
        <v>0</v>
      </c>
      <c r="CM219" s="40"/>
    </row>
    <row r="220" spans="1:91">
      <c r="A220" s="77"/>
      <c r="B220" s="41" t="e">
        <f>VLOOKUP(A220,'vs mars'!B:D,3,FALSE)</f>
        <v>#N/A</v>
      </c>
      <c r="C220" s="42" t="e">
        <f>VLOOKUP(A220,'vs mars'!B:AC,28,FALSE)</f>
        <v>#N/A</v>
      </c>
      <c r="D220" s="77"/>
      <c r="E220" s="77"/>
      <c r="F220" s="43"/>
      <c r="G220" s="43"/>
      <c r="H220" s="43"/>
      <c r="I220" s="43"/>
      <c r="J220" s="44"/>
      <c r="K220" s="44"/>
      <c r="L220" s="45">
        <f t="shared" si="257"/>
        <v>0</v>
      </c>
      <c r="M220" s="45">
        <f t="shared" si="258"/>
        <v>0</v>
      </c>
      <c r="N220" s="45">
        <f t="shared" si="259"/>
        <v>0</v>
      </c>
      <c r="O220" s="45"/>
      <c r="P220" s="45"/>
      <c r="Q220" s="45"/>
      <c r="R220" s="45">
        <f t="shared" si="260"/>
        <v>0</v>
      </c>
      <c r="S220" s="45">
        <f t="shared" si="261"/>
        <v>0</v>
      </c>
      <c r="T220" s="45">
        <f t="shared" si="262"/>
        <v>0</v>
      </c>
      <c r="U220" s="45"/>
      <c r="V220" s="45"/>
      <c r="W220" s="45"/>
      <c r="X220" s="45"/>
      <c r="Y220" s="45"/>
      <c r="Z220" s="45"/>
      <c r="AA220" s="45"/>
      <c r="AB220" s="45">
        <f t="shared" si="263"/>
        <v>0</v>
      </c>
      <c r="AC220" s="45">
        <f t="shared" si="264"/>
        <v>0</v>
      </c>
      <c r="AD220" s="45">
        <f t="shared" si="265"/>
        <v>0</v>
      </c>
      <c r="AE220" s="44"/>
      <c r="AF220" s="44"/>
      <c r="AG220" s="44"/>
      <c r="AH220" s="44"/>
      <c r="AI220" s="44"/>
      <c r="AJ220" s="44"/>
      <c r="AK220" s="44"/>
      <c r="AL220" s="44">
        <f t="shared" si="266"/>
        <v>0</v>
      </c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>
        <f t="shared" si="267"/>
        <v>0</v>
      </c>
      <c r="BS220" s="312">
        <f t="shared" si="268"/>
        <v>0</v>
      </c>
      <c r="BT220" s="312">
        <f t="shared" si="269"/>
        <v>0</v>
      </c>
      <c r="BU220" s="312">
        <f t="shared" si="270"/>
        <v>0</v>
      </c>
      <c r="BV220" s="312">
        <f t="shared" si="271"/>
        <v>0</v>
      </c>
      <c r="BW220" s="313">
        <f t="shared" si="272"/>
        <v>0</v>
      </c>
      <c r="BX220" s="313">
        <f t="shared" si="273"/>
        <v>0</v>
      </c>
      <c r="BY220" s="313">
        <f t="shared" si="274"/>
        <v>0</v>
      </c>
      <c r="BZ220" s="313">
        <f t="shared" si="275"/>
        <v>0</v>
      </c>
      <c r="CA220" s="44"/>
      <c r="CB220" s="45">
        <f t="shared" si="241"/>
        <v>0</v>
      </c>
      <c r="CC220" s="46">
        <f t="shared" si="242"/>
        <v>0</v>
      </c>
      <c r="CD220" s="47">
        <f t="shared" si="243"/>
        <v>0</v>
      </c>
      <c r="CE220" s="62"/>
      <c r="CF220" s="237" t="e">
        <f>VLOOKUP(A220,labo!B:C,2,FALSE)</f>
        <v>#N/A</v>
      </c>
      <c r="CG220" s="106">
        <f t="shared" si="244"/>
        <v>0</v>
      </c>
      <c r="CI220" s="51"/>
      <c r="CK220" s="323">
        <f>CG220</f>
        <v>0</v>
      </c>
      <c r="CL220" s="349"/>
      <c r="CM220" s="40"/>
    </row>
    <row r="221" spans="1:91">
      <c r="A221" s="77"/>
      <c r="B221" s="41" t="e">
        <f>VLOOKUP(A221,'vs mars'!B:D,3,FALSE)</f>
        <v>#N/A</v>
      </c>
      <c r="C221" s="42" t="e">
        <f>VLOOKUP(A221,'vs mars'!B:AC,28,FALSE)</f>
        <v>#N/A</v>
      </c>
      <c r="D221" s="77"/>
      <c r="E221" s="77"/>
      <c r="F221" s="43"/>
      <c r="G221" s="43"/>
      <c r="H221" s="43"/>
      <c r="I221" s="43"/>
      <c r="J221" s="44">
        <v>11000</v>
      </c>
      <c r="K221" s="44"/>
      <c r="L221" s="45">
        <f t="shared" si="257"/>
        <v>110</v>
      </c>
      <c r="M221" s="45">
        <f t="shared" si="258"/>
        <v>682</v>
      </c>
      <c r="N221" s="45">
        <f t="shared" si="259"/>
        <v>308</v>
      </c>
      <c r="O221" s="45"/>
      <c r="P221" s="45"/>
      <c r="Q221" s="45"/>
      <c r="R221" s="45">
        <f t="shared" si="260"/>
        <v>0</v>
      </c>
      <c r="S221" s="45">
        <f t="shared" si="261"/>
        <v>0</v>
      </c>
      <c r="T221" s="45">
        <f t="shared" si="262"/>
        <v>0</v>
      </c>
      <c r="U221" s="45"/>
      <c r="V221" s="45"/>
      <c r="W221" s="45"/>
      <c r="X221" s="45"/>
      <c r="Y221" s="45"/>
      <c r="Z221" s="45"/>
      <c r="AA221" s="45"/>
      <c r="AB221" s="45">
        <f t="shared" si="263"/>
        <v>0</v>
      </c>
      <c r="AC221" s="45">
        <f t="shared" si="264"/>
        <v>0</v>
      </c>
      <c r="AD221" s="45">
        <f t="shared" si="265"/>
        <v>0</v>
      </c>
      <c r="AE221" s="44"/>
      <c r="AF221" s="44"/>
      <c r="AG221" s="44"/>
      <c r="AH221" s="44"/>
      <c r="AI221" s="44"/>
      <c r="AJ221" s="44"/>
      <c r="AK221" s="44"/>
      <c r="AL221" s="44">
        <f t="shared" si="266"/>
        <v>0</v>
      </c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>
        <f t="shared" si="267"/>
        <v>0</v>
      </c>
      <c r="BS221" s="312">
        <f t="shared" si="268"/>
        <v>0</v>
      </c>
      <c r="BT221" s="312">
        <f t="shared" si="269"/>
        <v>0</v>
      </c>
      <c r="BU221" s="312">
        <f t="shared" si="270"/>
        <v>0</v>
      </c>
      <c r="BV221" s="312">
        <f t="shared" si="271"/>
        <v>0</v>
      </c>
      <c r="BW221" s="313">
        <f t="shared" si="272"/>
        <v>0</v>
      </c>
      <c r="BX221" s="313">
        <f t="shared" si="273"/>
        <v>0</v>
      </c>
      <c r="BY221" s="313">
        <f t="shared" si="274"/>
        <v>0</v>
      </c>
      <c r="BZ221" s="313">
        <f t="shared" si="275"/>
        <v>0</v>
      </c>
      <c r="CA221" s="44"/>
      <c r="CB221" s="45">
        <f t="shared" si="241"/>
        <v>12100</v>
      </c>
      <c r="CC221" s="46">
        <f t="shared" si="242"/>
        <v>0</v>
      </c>
      <c r="CD221" s="47">
        <f t="shared" si="243"/>
        <v>11000</v>
      </c>
      <c r="CE221" s="62"/>
      <c r="CF221" s="237" t="e">
        <f>VLOOKUP(A221,labo!B:C,2,FALSE)</f>
        <v>#N/A</v>
      </c>
      <c r="CG221" s="106">
        <f t="shared" si="244"/>
        <v>0</v>
      </c>
      <c r="CI221" s="51"/>
      <c r="CK221" s="251" t="e">
        <f t="shared" si="239"/>
        <v>#N/A</v>
      </c>
      <c r="CL221" s="323">
        <f t="shared" si="240"/>
        <v>0</v>
      </c>
      <c r="CM221" s="40"/>
    </row>
    <row r="222" spans="1:91">
      <c r="A222" s="77"/>
      <c r="B222" s="41" t="e">
        <f>VLOOKUP(A222,'vs mars'!B:D,3,FALSE)</f>
        <v>#N/A</v>
      </c>
      <c r="C222" s="42" t="e">
        <f>VLOOKUP(A222,'vs mars'!B:AC,28,FALSE)</f>
        <v>#N/A</v>
      </c>
      <c r="D222" s="77"/>
      <c r="E222" s="77"/>
      <c r="F222" s="43"/>
      <c r="G222" s="43"/>
      <c r="H222" s="43"/>
      <c r="I222" s="43"/>
      <c r="J222" s="44"/>
      <c r="K222" s="44"/>
      <c r="L222" s="45">
        <f t="shared" si="257"/>
        <v>0</v>
      </c>
      <c r="M222" s="45">
        <f t="shared" si="258"/>
        <v>0</v>
      </c>
      <c r="N222" s="45">
        <f t="shared" si="259"/>
        <v>0</v>
      </c>
      <c r="O222" s="45"/>
      <c r="P222" s="45"/>
      <c r="Q222" s="45"/>
      <c r="R222" s="45">
        <f t="shared" si="260"/>
        <v>0</v>
      </c>
      <c r="S222" s="45">
        <f t="shared" si="261"/>
        <v>0</v>
      </c>
      <c r="T222" s="45">
        <f t="shared" si="262"/>
        <v>0</v>
      </c>
      <c r="U222" s="45"/>
      <c r="V222" s="45"/>
      <c r="W222" s="45"/>
      <c r="X222" s="45"/>
      <c r="Y222" s="45"/>
      <c r="Z222" s="45"/>
      <c r="AA222" s="45"/>
      <c r="AB222" s="45">
        <f t="shared" si="263"/>
        <v>0</v>
      </c>
      <c r="AC222" s="45">
        <f t="shared" si="264"/>
        <v>0</v>
      </c>
      <c r="AD222" s="45">
        <f t="shared" si="265"/>
        <v>0</v>
      </c>
      <c r="AE222" s="44"/>
      <c r="AF222" s="44"/>
      <c r="AG222" s="44"/>
      <c r="AH222" s="44"/>
      <c r="AI222" s="44"/>
      <c r="AJ222" s="44"/>
      <c r="AK222" s="44"/>
      <c r="AL222" s="44">
        <f t="shared" si="266"/>
        <v>0</v>
      </c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>
        <f t="shared" si="267"/>
        <v>0</v>
      </c>
      <c r="BS222" s="312">
        <f t="shared" si="268"/>
        <v>0</v>
      </c>
      <c r="BT222" s="312">
        <f t="shared" si="269"/>
        <v>0</v>
      </c>
      <c r="BU222" s="312">
        <f t="shared" si="270"/>
        <v>0</v>
      </c>
      <c r="BV222" s="312">
        <f t="shared" si="271"/>
        <v>0</v>
      </c>
      <c r="BW222" s="313">
        <f t="shared" si="272"/>
        <v>0</v>
      </c>
      <c r="BX222" s="313">
        <f t="shared" si="273"/>
        <v>0</v>
      </c>
      <c r="BY222" s="313">
        <f t="shared" si="274"/>
        <v>0</v>
      </c>
      <c r="BZ222" s="313">
        <f t="shared" si="275"/>
        <v>0</v>
      </c>
      <c r="CA222" s="44"/>
      <c r="CB222" s="45">
        <f t="shared" si="241"/>
        <v>0</v>
      </c>
      <c r="CC222" s="46">
        <f t="shared" si="242"/>
        <v>0</v>
      </c>
      <c r="CD222" s="47">
        <f t="shared" si="243"/>
        <v>0</v>
      </c>
      <c r="CE222" s="62"/>
      <c r="CF222" s="237" t="e">
        <f>VLOOKUP(A222,labo!B:C,2,FALSE)</f>
        <v>#N/A</v>
      </c>
      <c r="CG222" s="106">
        <f t="shared" si="244"/>
        <v>0</v>
      </c>
      <c r="CI222" s="51"/>
      <c r="CK222" s="251"/>
      <c r="CL222" s="323"/>
      <c r="CM222" s="40"/>
    </row>
    <row r="223" spans="1:91">
      <c r="A223" s="77"/>
      <c r="B223" s="41" t="e">
        <f>VLOOKUP(A223,'vs mars'!B:D,3,FALSE)</f>
        <v>#N/A</v>
      </c>
      <c r="C223" s="42" t="e">
        <f>VLOOKUP(A223,'vs mars'!B:AC,28,FALSE)</f>
        <v>#N/A</v>
      </c>
      <c r="D223" s="77"/>
      <c r="E223" s="77"/>
      <c r="F223" s="43"/>
      <c r="G223" s="43"/>
      <c r="H223" s="43"/>
      <c r="I223" s="43"/>
      <c r="J223" s="44"/>
      <c r="K223" s="44"/>
      <c r="L223" s="45">
        <f t="shared" si="257"/>
        <v>0</v>
      </c>
      <c r="M223" s="45">
        <f t="shared" si="258"/>
        <v>0</v>
      </c>
      <c r="N223" s="45">
        <f t="shared" si="259"/>
        <v>0</v>
      </c>
      <c r="O223" s="45"/>
      <c r="P223" s="45"/>
      <c r="Q223" s="45"/>
      <c r="R223" s="45">
        <f t="shared" si="260"/>
        <v>0</v>
      </c>
      <c r="S223" s="45">
        <f t="shared" si="261"/>
        <v>0</v>
      </c>
      <c r="T223" s="45">
        <f t="shared" si="262"/>
        <v>0</v>
      </c>
      <c r="U223" s="45"/>
      <c r="V223" s="45"/>
      <c r="W223" s="45"/>
      <c r="X223" s="45"/>
      <c r="Y223" s="45"/>
      <c r="Z223" s="45"/>
      <c r="AA223" s="45"/>
      <c r="AB223" s="45">
        <f t="shared" si="263"/>
        <v>0</v>
      </c>
      <c r="AC223" s="45">
        <f t="shared" si="264"/>
        <v>0</v>
      </c>
      <c r="AD223" s="45">
        <f t="shared" si="265"/>
        <v>0</v>
      </c>
      <c r="AE223" s="44"/>
      <c r="AF223" s="44"/>
      <c r="AG223" s="44"/>
      <c r="AH223" s="44"/>
      <c r="AI223" s="44"/>
      <c r="AJ223" s="44"/>
      <c r="AK223" s="44"/>
      <c r="AL223" s="44">
        <f t="shared" si="266"/>
        <v>0</v>
      </c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>
        <f t="shared" si="267"/>
        <v>0</v>
      </c>
      <c r="BS223" s="312">
        <f t="shared" si="268"/>
        <v>0</v>
      </c>
      <c r="BT223" s="312">
        <f t="shared" si="269"/>
        <v>0</v>
      </c>
      <c r="BU223" s="312">
        <f t="shared" si="270"/>
        <v>0</v>
      </c>
      <c r="BV223" s="312">
        <f t="shared" si="271"/>
        <v>0</v>
      </c>
      <c r="BW223" s="313">
        <f t="shared" si="272"/>
        <v>0</v>
      </c>
      <c r="BX223" s="313">
        <f t="shared" si="273"/>
        <v>0</v>
      </c>
      <c r="BY223" s="313">
        <f t="shared" si="274"/>
        <v>0</v>
      </c>
      <c r="BZ223" s="313">
        <f t="shared" si="275"/>
        <v>0</v>
      </c>
      <c r="CA223" s="44"/>
      <c r="CB223" s="45">
        <f t="shared" si="241"/>
        <v>0</v>
      </c>
      <c r="CC223" s="46">
        <f t="shared" si="242"/>
        <v>0</v>
      </c>
      <c r="CD223" s="47">
        <f t="shared" si="243"/>
        <v>0</v>
      </c>
      <c r="CE223" s="62"/>
      <c r="CF223" s="237" t="e">
        <f>VLOOKUP(A223,labo!B:C,2,FALSE)</f>
        <v>#N/A</v>
      </c>
      <c r="CG223" s="106">
        <f t="shared" si="244"/>
        <v>0</v>
      </c>
      <c r="CI223" s="51"/>
      <c r="CK223" s="251"/>
      <c r="CL223" s="323"/>
      <c r="CM223" s="40"/>
    </row>
    <row r="224" spans="1:91">
      <c r="A224" s="77"/>
      <c r="B224" s="41" t="e">
        <f>VLOOKUP(A224,'vs mars'!B:D,3,FALSE)</f>
        <v>#N/A</v>
      </c>
      <c r="C224" s="42" t="e">
        <f>VLOOKUP(A224,'vs mars'!B:AC,28,FALSE)</f>
        <v>#N/A</v>
      </c>
      <c r="D224" s="77"/>
      <c r="E224" s="77"/>
      <c r="F224" s="43"/>
      <c r="G224" s="43"/>
      <c r="H224" s="43"/>
      <c r="I224" s="43"/>
      <c r="J224" s="44"/>
      <c r="K224" s="44"/>
      <c r="L224" s="45">
        <f t="shared" si="257"/>
        <v>0</v>
      </c>
      <c r="M224" s="45">
        <f t="shared" si="258"/>
        <v>0</v>
      </c>
      <c r="N224" s="45">
        <f t="shared" si="259"/>
        <v>0</v>
      </c>
      <c r="O224" s="45"/>
      <c r="P224" s="45"/>
      <c r="Q224" s="45"/>
      <c r="R224" s="45">
        <f t="shared" si="260"/>
        <v>0</v>
      </c>
      <c r="S224" s="45">
        <f t="shared" si="261"/>
        <v>0</v>
      </c>
      <c r="T224" s="45">
        <f t="shared" si="262"/>
        <v>0</v>
      </c>
      <c r="U224" s="45"/>
      <c r="V224" s="45"/>
      <c r="W224" s="45"/>
      <c r="X224" s="45"/>
      <c r="Y224" s="45"/>
      <c r="Z224" s="45"/>
      <c r="AA224" s="45"/>
      <c r="AB224" s="45">
        <f t="shared" si="263"/>
        <v>0</v>
      </c>
      <c r="AC224" s="45">
        <f t="shared" si="264"/>
        <v>0</v>
      </c>
      <c r="AD224" s="45">
        <f t="shared" si="265"/>
        <v>0</v>
      </c>
      <c r="AE224" s="44"/>
      <c r="AF224" s="44"/>
      <c r="AG224" s="44"/>
      <c r="AH224" s="44"/>
      <c r="AI224" s="44"/>
      <c r="AJ224" s="44"/>
      <c r="AK224" s="44"/>
      <c r="AL224" s="44">
        <f t="shared" si="266"/>
        <v>0</v>
      </c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>
        <f t="shared" si="267"/>
        <v>0</v>
      </c>
      <c r="BS224" s="312">
        <f t="shared" si="268"/>
        <v>0</v>
      </c>
      <c r="BT224" s="312">
        <f t="shared" si="269"/>
        <v>0</v>
      </c>
      <c r="BU224" s="312">
        <f t="shared" si="270"/>
        <v>0</v>
      </c>
      <c r="BV224" s="312">
        <f t="shared" si="271"/>
        <v>0</v>
      </c>
      <c r="BW224" s="313">
        <f t="shared" si="272"/>
        <v>0</v>
      </c>
      <c r="BX224" s="313">
        <f t="shared" si="273"/>
        <v>0</v>
      </c>
      <c r="BY224" s="313">
        <f t="shared" si="274"/>
        <v>0</v>
      </c>
      <c r="BZ224" s="313">
        <f t="shared" si="275"/>
        <v>0</v>
      </c>
      <c r="CA224" s="44"/>
      <c r="CB224" s="45">
        <f t="shared" si="241"/>
        <v>0</v>
      </c>
      <c r="CC224" s="46">
        <f t="shared" si="242"/>
        <v>0</v>
      </c>
      <c r="CD224" s="47">
        <f t="shared" si="243"/>
        <v>0</v>
      </c>
      <c r="CE224" s="62"/>
      <c r="CF224" s="237" t="e">
        <f>VLOOKUP(A224,labo!B:C,2,FALSE)</f>
        <v>#N/A</v>
      </c>
      <c r="CG224" s="106">
        <f t="shared" si="244"/>
        <v>0</v>
      </c>
      <c r="CI224" s="51"/>
      <c r="CK224" s="251"/>
      <c r="CL224" s="323"/>
      <c r="CM224" s="40"/>
    </row>
    <row r="225" spans="1:91">
      <c r="A225" s="77"/>
      <c r="B225" s="41" t="e">
        <f>VLOOKUP(A225,'vs mars'!B:D,3,FALSE)</f>
        <v>#N/A</v>
      </c>
      <c r="C225" s="42" t="e">
        <f>VLOOKUP(A225,'vs mars'!B:AC,28,FALSE)</f>
        <v>#N/A</v>
      </c>
      <c r="D225" s="77"/>
      <c r="E225" s="77"/>
      <c r="F225" s="43"/>
      <c r="G225" s="43"/>
      <c r="H225" s="43"/>
      <c r="I225" s="43"/>
      <c r="J225" s="44"/>
      <c r="K225" s="44"/>
      <c r="L225" s="45">
        <f t="shared" si="257"/>
        <v>0</v>
      </c>
      <c r="M225" s="45">
        <f t="shared" si="258"/>
        <v>0</v>
      </c>
      <c r="N225" s="45">
        <f t="shared" si="259"/>
        <v>0</v>
      </c>
      <c r="O225" s="45"/>
      <c r="P225" s="45"/>
      <c r="Q225" s="45"/>
      <c r="R225" s="45">
        <f t="shared" si="260"/>
        <v>0</v>
      </c>
      <c r="S225" s="45">
        <f t="shared" si="261"/>
        <v>0</v>
      </c>
      <c r="T225" s="45">
        <f t="shared" si="262"/>
        <v>0</v>
      </c>
      <c r="U225" s="45"/>
      <c r="V225" s="45"/>
      <c r="W225" s="45"/>
      <c r="X225" s="45"/>
      <c r="Y225" s="45"/>
      <c r="Z225" s="45"/>
      <c r="AA225" s="45"/>
      <c r="AB225" s="45">
        <f t="shared" si="263"/>
        <v>0</v>
      </c>
      <c r="AC225" s="45">
        <f t="shared" si="264"/>
        <v>0</v>
      </c>
      <c r="AD225" s="45">
        <f t="shared" si="265"/>
        <v>0</v>
      </c>
      <c r="AE225" s="44"/>
      <c r="AF225" s="44"/>
      <c r="AG225" s="44"/>
      <c r="AH225" s="44"/>
      <c r="AI225" s="44"/>
      <c r="AJ225" s="44"/>
      <c r="AK225" s="44"/>
      <c r="AL225" s="44">
        <f t="shared" si="266"/>
        <v>0</v>
      </c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  <c r="BK225" s="44"/>
      <c r="BL225" s="44"/>
      <c r="BM225" s="44"/>
      <c r="BN225" s="44"/>
      <c r="BO225" s="44"/>
      <c r="BP225" s="44"/>
      <c r="BQ225" s="44"/>
      <c r="BR225" s="44">
        <f t="shared" si="267"/>
        <v>0</v>
      </c>
      <c r="BS225" s="312">
        <f t="shared" si="268"/>
        <v>0</v>
      </c>
      <c r="BT225" s="312">
        <f t="shared" si="269"/>
        <v>0</v>
      </c>
      <c r="BU225" s="312">
        <f t="shared" si="270"/>
        <v>0</v>
      </c>
      <c r="BV225" s="312">
        <f t="shared" si="271"/>
        <v>0</v>
      </c>
      <c r="BW225" s="313">
        <f t="shared" si="272"/>
        <v>0</v>
      </c>
      <c r="BX225" s="313">
        <f t="shared" si="273"/>
        <v>0</v>
      </c>
      <c r="BY225" s="313">
        <f t="shared" si="274"/>
        <v>0</v>
      </c>
      <c r="BZ225" s="313">
        <f t="shared" si="275"/>
        <v>0</v>
      </c>
      <c r="CA225" s="44"/>
      <c r="CB225" s="45">
        <f t="shared" si="241"/>
        <v>0</v>
      </c>
      <c r="CC225" s="46">
        <f t="shared" si="242"/>
        <v>0</v>
      </c>
      <c r="CD225" s="47">
        <f t="shared" si="243"/>
        <v>0</v>
      </c>
      <c r="CE225" s="62"/>
      <c r="CF225" s="237" t="e">
        <f>VLOOKUP(A225,labo!B:C,2,FALSE)</f>
        <v>#N/A</v>
      </c>
      <c r="CG225" s="106">
        <f t="shared" si="244"/>
        <v>0</v>
      </c>
      <c r="CI225" s="51"/>
      <c r="CK225" s="251"/>
      <c r="CL225" s="323"/>
      <c r="CM225" s="40"/>
    </row>
    <row r="226" spans="1:91">
      <c r="A226" s="77"/>
      <c r="B226" s="41" t="e">
        <f>VLOOKUP(A226,'vs mars'!B:D,3,FALSE)</f>
        <v>#N/A</v>
      </c>
      <c r="C226" s="42" t="e">
        <f>VLOOKUP(A226,'vs mars'!B:AC,28,FALSE)</f>
        <v>#N/A</v>
      </c>
      <c r="D226" s="77"/>
      <c r="E226" s="77"/>
      <c r="F226" s="43"/>
      <c r="G226" s="43"/>
      <c r="H226" s="43"/>
      <c r="I226" s="43"/>
      <c r="J226" s="44"/>
      <c r="K226" s="44"/>
      <c r="L226" s="45">
        <f t="shared" si="257"/>
        <v>0</v>
      </c>
      <c r="M226" s="45">
        <f t="shared" si="258"/>
        <v>0</v>
      </c>
      <c r="N226" s="45">
        <f t="shared" si="259"/>
        <v>0</v>
      </c>
      <c r="O226" s="45"/>
      <c r="P226" s="45"/>
      <c r="Q226" s="45"/>
      <c r="R226" s="45">
        <f t="shared" si="260"/>
        <v>0</v>
      </c>
      <c r="S226" s="45">
        <f t="shared" si="261"/>
        <v>0</v>
      </c>
      <c r="T226" s="45">
        <f t="shared" si="262"/>
        <v>0</v>
      </c>
      <c r="U226" s="45"/>
      <c r="V226" s="45"/>
      <c r="W226" s="45"/>
      <c r="X226" s="45"/>
      <c r="Y226" s="45"/>
      <c r="Z226" s="45"/>
      <c r="AA226" s="45"/>
      <c r="AB226" s="45">
        <f t="shared" si="263"/>
        <v>0</v>
      </c>
      <c r="AC226" s="45">
        <f t="shared" si="264"/>
        <v>0</v>
      </c>
      <c r="AD226" s="45">
        <f t="shared" si="265"/>
        <v>0</v>
      </c>
      <c r="AE226" s="44"/>
      <c r="AF226" s="44"/>
      <c r="AG226" s="44"/>
      <c r="AH226" s="44"/>
      <c r="AI226" s="44"/>
      <c r="AJ226" s="44"/>
      <c r="AK226" s="44"/>
      <c r="AL226" s="44">
        <f t="shared" si="266"/>
        <v>0</v>
      </c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>
        <f t="shared" si="267"/>
        <v>0</v>
      </c>
      <c r="BS226" s="312">
        <f t="shared" si="268"/>
        <v>0</v>
      </c>
      <c r="BT226" s="312">
        <f t="shared" si="269"/>
        <v>0</v>
      </c>
      <c r="BU226" s="312">
        <f t="shared" si="270"/>
        <v>0</v>
      </c>
      <c r="BV226" s="312">
        <f t="shared" si="271"/>
        <v>0</v>
      </c>
      <c r="BW226" s="313">
        <f t="shared" si="272"/>
        <v>0</v>
      </c>
      <c r="BX226" s="313">
        <f t="shared" si="273"/>
        <v>0</v>
      </c>
      <c r="BY226" s="313">
        <f t="shared" si="274"/>
        <v>0</v>
      </c>
      <c r="BZ226" s="313">
        <f t="shared" si="275"/>
        <v>0</v>
      </c>
      <c r="CA226" s="44"/>
      <c r="CB226" s="45">
        <f t="shared" si="241"/>
        <v>0</v>
      </c>
      <c r="CC226" s="46">
        <f t="shared" si="242"/>
        <v>0</v>
      </c>
      <c r="CD226" s="47">
        <f t="shared" si="243"/>
        <v>0</v>
      </c>
      <c r="CE226" s="62"/>
      <c r="CF226" s="237" t="e">
        <f>VLOOKUP(A226,labo!B:C,2,FALSE)</f>
        <v>#N/A</v>
      </c>
      <c r="CG226" s="106">
        <f t="shared" si="244"/>
        <v>0</v>
      </c>
      <c r="CI226" s="51"/>
      <c r="CK226" s="251"/>
      <c r="CL226" s="323"/>
      <c r="CM226" s="40"/>
    </row>
    <row r="227" spans="1:91">
      <c r="A227" s="77"/>
      <c r="B227" s="41" t="e">
        <f>VLOOKUP(A227,'vs mars'!B:D,3,FALSE)</f>
        <v>#N/A</v>
      </c>
      <c r="C227" s="42" t="e">
        <f>VLOOKUP(A227,'vs mars'!B:AC,28,FALSE)</f>
        <v>#N/A</v>
      </c>
      <c r="D227" s="77"/>
      <c r="E227" s="77"/>
      <c r="F227" s="43"/>
      <c r="G227" s="43"/>
      <c r="H227" s="43"/>
      <c r="I227" s="43"/>
      <c r="J227" s="44"/>
      <c r="K227" s="44"/>
      <c r="L227" s="45">
        <f t="shared" si="257"/>
        <v>0</v>
      </c>
      <c r="M227" s="45">
        <f t="shared" si="258"/>
        <v>0</v>
      </c>
      <c r="N227" s="45">
        <f t="shared" si="259"/>
        <v>0</v>
      </c>
      <c r="O227" s="45"/>
      <c r="P227" s="45"/>
      <c r="Q227" s="45"/>
      <c r="R227" s="45">
        <f t="shared" si="260"/>
        <v>0</v>
      </c>
      <c r="S227" s="45">
        <f t="shared" si="261"/>
        <v>0</v>
      </c>
      <c r="T227" s="45">
        <f t="shared" si="262"/>
        <v>0</v>
      </c>
      <c r="U227" s="45"/>
      <c r="V227" s="45"/>
      <c r="W227" s="45"/>
      <c r="X227" s="45"/>
      <c r="Y227" s="45"/>
      <c r="Z227" s="45"/>
      <c r="AA227" s="45"/>
      <c r="AB227" s="45">
        <f t="shared" si="263"/>
        <v>0</v>
      </c>
      <c r="AC227" s="45">
        <f t="shared" si="264"/>
        <v>0</v>
      </c>
      <c r="AD227" s="45">
        <f t="shared" si="265"/>
        <v>0</v>
      </c>
      <c r="AE227" s="44"/>
      <c r="AF227" s="44"/>
      <c r="AG227" s="44"/>
      <c r="AH227" s="44"/>
      <c r="AI227" s="44"/>
      <c r="AJ227" s="44"/>
      <c r="AK227" s="44"/>
      <c r="AL227" s="44">
        <f t="shared" si="266"/>
        <v>0</v>
      </c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>
        <f t="shared" si="267"/>
        <v>0</v>
      </c>
      <c r="BS227" s="312">
        <f t="shared" si="268"/>
        <v>0</v>
      </c>
      <c r="BT227" s="312">
        <f t="shared" si="269"/>
        <v>0</v>
      </c>
      <c r="BU227" s="312">
        <f t="shared" si="270"/>
        <v>0</v>
      </c>
      <c r="BV227" s="312">
        <f t="shared" si="271"/>
        <v>0</v>
      </c>
      <c r="BW227" s="313">
        <f t="shared" si="272"/>
        <v>0</v>
      </c>
      <c r="BX227" s="313">
        <f t="shared" si="273"/>
        <v>0</v>
      </c>
      <c r="BY227" s="313">
        <f t="shared" si="274"/>
        <v>0</v>
      </c>
      <c r="BZ227" s="313">
        <f t="shared" si="275"/>
        <v>0</v>
      </c>
      <c r="CA227" s="44"/>
      <c r="CB227" s="45">
        <f t="shared" si="241"/>
        <v>0</v>
      </c>
      <c r="CC227" s="46">
        <f t="shared" si="242"/>
        <v>0</v>
      </c>
      <c r="CD227" s="47">
        <f t="shared" si="243"/>
        <v>0</v>
      </c>
      <c r="CE227" s="62"/>
      <c r="CF227" s="237" t="e">
        <f>VLOOKUP(A227,labo!B:C,2,FALSE)</f>
        <v>#N/A</v>
      </c>
      <c r="CG227" s="106">
        <f t="shared" si="244"/>
        <v>0</v>
      </c>
      <c r="CI227" s="51"/>
      <c r="CK227" s="251" t="e">
        <f t="shared" ref="CK227:CK228" si="283">+B227</f>
        <v>#N/A</v>
      </c>
      <c r="CL227" s="323">
        <f t="shared" ref="CL227:CL228" si="284">CE227</f>
        <v>0</v>
      </c>
      <c r="CM227" s="40"/>
    </row>
    <row r="228" spans="1:91">
      <c r="A228" s="77"/>
      <c r="B228" s="41" t="e">
        <f>VLOOKUP(A228,'vs mars'!B:D,3,FALSE)</f>
        <v>#N/A</v>
      </c>
      <c r="C228" s="42" t="e">
        <f>VLOOKUP(A228,'vs mars'!B:AC,28,FALSE)</f>
        <v>#N/A</v>
      </c>
      <c r="D228" s="77"/>
      <c r="E228" s="77"/>
      <c r="F228" s="43"/>
      <c r="G228" s="43"/>
      <c r="H228" s="43"/>
      <c r="I228" s="43"/>
      <c r="J228" s="44"/>
      <c r="K228" s="44"/>
      <c r="L228" s="45">
        <f t="shared" si="257"/>
        <v>0</v>
      </c>
      <c r="M228" s="45">
        <f t="shared" si="258"/>
        <v>0</v>
      </c>
      <c r="N228" s="45">
        <f t="shared" si="259"/>
        <v>0</v>
      </c>
      <c r="O228" s="45"/>
      <c r="P228" s="45"/>
      <c r="Q228" s="45"/>
      <c r="R228" s="45">
        <f t="shared" si="260"/>
        <v>0</v>
      </c>
      <c r="S228" s="45">
        <f t="shared" si="261"/>
        <v>0</v>
      </c>
      <c r="T228" s="45">
        <f t="shared" si="262"/>
        <v>0</v>
      </c>
      <c r="U228" s="45"/>
      <c r="V228" s="45"/>
      <c r="W228" s="45"/>
      <c r="X228" s="45"/>
      <c r="Y228" s="45"/>
      <c r="Z228" s="45"/>
      <c r="AA228" s="45"/>
      <c r="AB228" s="45">
        <f t="shared" si="263"/>
        <v>0</v>
      </c>
      <c r="AC228" s="45">
        <f t="shared" si="264"/>
        <v>0</v>
      </c>
      <c r="AD228" s="45">
        <f t="shared" si="265"/>
        <v>0</v>
      </c>
      <c r="AE228" s="44"/>
      <c r="AF228" s="44"/>
      <c r="AG228" s="44"/>
      <c r="AH228" s="44"/>
      <c r="AI228" s="44"/>
      <c r="AJ228" s="44"/>
      <c r="AK228" s="44"/>
      <c r="AL228" s="44">
        <f t="shared" si="266"/>
        <v>0</v>
      </c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>
        <f t="shared" si="267"/>
        <v>0</v>
      </c>
      <c r="BS228" s="312">
        <f t="shared" si="268"/>
        <v>0</v>
      </c>
      <c r="BT228" s="312">
        <f t="shared" si="269"/>
        <v>0</v>
      </c>
      <c r="BU228" s="312">
        <f t="shared" si="270"/>
        <v>0</v>
      </c>
      <c r="BV228" s="312">
        <f t="shared" si="271"/>
        <v>0</v>
      </c>
      <c r="BW228" s="313">
        <f t="shared" si="272"/>
        <v>0</v>
      </c>
      <c r="BX228" s="313">
        <f t="shared" si="273"/>
        <v>0</v>
      </c>
      <c r="BY228" s="313">
        <f t="shared" si="274"/>
        <v>0</v>
      </c>
      <c r="BZ228" s="313">
        <f t="shared" si="275"/>
        <v>0</v>
      </c>
      <c r="CA228" s="44"/>
      <c r="CB228" s="45">
        <f t="shared" si="241"/>
        <v>0</v>
      </c>
      <c r="CC228" s="46">
        <f t="shared" si="242"/>
        <v>0</v>
      </c>
      <c r="CD228" s="47">
        <f t="shared" si="243"/>
        <v>0</v>
      </c>
      <c r="CE228" s="62"/>
      <c r="CF228" s="237" t="e">
        <f>VLOOKUP(A228,labo!B:C,2,FALSE)</f>
        <v>#N/A</v>
      </c>
      <c r="CG228" s="106">
        <f t="shared" si="244"/>
        <v>0</v>
      </c>
      <c r="CI228" s="51"/>
      <c r="CK228" s="251" t="e">
        <f t="shared" si="283"/>
        <v>#N/A</v>
      </c>
      <c r="CL228" s="323">
        <f t="shared" si="284"/>
        <v>0</v>
      </c>
      <c r="CM228" s="40"/>
    </row>
    <row r="229" spans="1:91" s="497" customFormat="1">
      <c r="A229" s="77"/>
      <c r="B229" s="41" t="e">
        <f>VLOOKUP(A229,'vs mars'!B:D,3,FALSE)</f>
        <v>#N/A</v>
      </c>
      <c r="C229" s="42" t="e">
        <f>VLOOKUP(A229,'vs mars'!B:AC,28,FALSE)</f>
        <v>#N/A</v>
      </c>
      <c r="D229" s="77"/>
      <c r="E229" s="77"/>
      <c r="F229" s="43"/>
      <c r="G229" s="43"/>
      <c r="H229" s="43"/>
      <c r="I229" s="43"/>
      <c r="J229" s="44"/>
      <c r="K229" s="44"/>
      <c r="L229" s="45">
        <f t="shared" si="257"/>
        <v>0</v>
      </c>
      <c r="M229" s="45">
        <f t="shared" si="258"/>
        <v>0</v>
      </c>
      <c r="N229" s="45">
        <f t="shared" si="259"/>
        <v>0</v>
      </c>
      <c r="O229" s="45"/>
      <c r="P229" s="45"/>
      <c r="Q229" s="45"/>
      <c r="R229" s="45">
        <f t="shared" si="260"/>
        <v>0</v>
      </c>
      <c r="S229" s="45">
        <f t="shared" si="261"/>
        <v>0</v>
      </c>
      <c r="T229" s="45">
        <f t="shared" si="262"/>
        <v>0</v>
      </c>
      <c r="U229" s="45"/>
      <c r="V229" s="45"/>
      <c r="W229" s="45"/>
      <c r="X229" s="45"/>
      <c r="Y229" s="45"/>
      <c r="Z229" s="45"/>
      <c r="AA229" s="45"/>
      <c r="AB229" s="45">
        <f t="shared" si="263"/>
        <v>0</v>
      </c>
      <c r="AC229" s="45">
        <f t="shared" si="264"/>
        <v>0</v>
      </c>
      <c r="AD229" s="45">
        <f t="shared" si="265"/>
        <v>0</v>
      </c>
      <c r="AE229" s="44"/>
      <c r="AF229" s="44"/>
      <c r="AG229" s="44"/>
      <c r="AH229" s="44"/>
      <c r="AI229" s="44"/>
      <c r="AJ229" s="44"/>
      <c r="AK229" s="44"/>
      <c r="AL229" s="44">
        <f t="shared" si="266"/>
        <v>0</v>
      </c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>
        <f t="shared" si="267"/>
        <v>0</v>
      </c>
      <c r="BS229" s="312">
        <f t="shared" si="268"/>
        <v>0</v>
      </c>
      <c r="BT229" s="312">
        <f t="shared" si="269"/>
        <v>0</v>
      </c>
      <c r="BU229" s="312">
        <f t="shared" si="270"/>
        <v>0</v>
      </c>
      <c r="BV229" s="312">
        <f t="shared" si="271"/>
        <v>0</v>
      </c>
      <c r="BW229" s="313">
        <f t="shared" si="272"/>
        <v>0</v>
      </c>
      <c r="BX229" s="313">
        <f t="shared" si="273"/>
        <v>0</v>
      </c>
      <c r="BY229" s="313">
        <f t="shared" si="274"/>
        <v>0</v>
      </c>
      <c r="BZ229" s="313">
        <f t="shared" si="275"/>
        <v>0</v>
      </c>
      <c r="CA229" s="44"/>
      <c r="CB229" s="45">
        <f t="shared" si="241"/>
        <v>0</v>
      </c>
      <c r="CC229" s="46">
        <f t="shared" si="242"/>
        <v>0</v>
      </c>
      <c r="CD229" s="47">
        <f t="shared" si="243"/>
        <v>0</v>
      </c>
      <c r="CE229" s="62"/>
      <c r="CF229" s="237" t="e">
        <f>VLOOKUP(A229,labo!B:C,2,FALSE)</f>
        <v>#N/A</v>
      </c>
      <c r="CG229" s="106">
        <f t="shared" si="244"/>
        <v>0</v>
      </c>
      <c r="CH229" s="40"/>
      <c r="CI229" s="51"/>
      <c r="CJ229" s="40"/>
      <c r="CK229" s="499"/>
      <c r="CL229" s="500"/>
    </row>
    <row r="230" spans="1:91" s="497" customFormat="1">
      <c r="A230" s="77"/>
      <c r="B230" s="41" t="e">
        <f>VLOOKUP(A230,'vs mars'!B:D,3,FALSE)</f>
        <v>#N/A</v>
      </c>
      <c r="C230" s="42" t="e">
        <f>VLOOKUP(A230,'vs mars'!B:AC,28,FALSE)</f>
        <v>#N/A</v>
      </c>
      <c r="D230" s="77"/>
      <c r="E230" s="77"/>
      <c r="F230" s="43"/>
      <c r="G230" s="43"/>
      <c r="H230" s="43"/>
      <c r="I230" s="43"/>
      <c r="J230" s="44"/>
      <c r="K230" s="44"/>
      <c r="L230" s="45">
        <f t="shared" si="257"/>
        <v>0</v>
      </c>
      <c r="M230" s="45">
        <f t="shared" si="258"/>
        <v>0</v>
      </c>
      <c r="N230" s="45">
        <f t="shared" si="259"/>
        <v>0</v>
      </c>
      <c r="O230" s="45"/>
      <c r="P230" s="45"/>
      <c r="Q230" s="45"/>
      <c r="R230" s="45">
        <f t="shared" si="260"/>
        <v>0</v>
      </c>
      <c r="S230" s="45">
        <f t="shared" si="261"/>
        <v>0</v>
      </c>
      <c r="T230" s="45">
        <f t="shared" si="262"/>
        <v>0</v>
      </c>
      <c r="U230" s="45"/>
      <c r="V230" s="45"/>
      <c r="W230" s="45"/>
      <c r="X230" s="45"/>
      <c r="Y230" s="45"/>
      <c r="Z230" s="45"/>
      <c r="AA230" s="45"/>
      <c r="AB230" s="45">
        <f t="shared" si="263"/>
        <v>0</v>
      </c>
      <c r="AC230" s="45">
        <f t="shared" si="264"/>
        <v>0</v>
      </c>
      <c r="AD230" s="45">
        <f t="shared" si="265"/>
        <v>0</v>
      </c>
      <c r="AE230" s="44"/>
      <c r="AF230" s="44"/>
      <c r="AG230" s="44"/>
      <c r="AH230" s="44"/>
      <c r="AI230" s="44"/>
      <c r="AJ230" s="44"/>
      <c r="AK230" s="44"/>
      <c r="AL230" s="44">
        <f t="shared" si="266"/>
        <v>0</v>
      </c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>
        <f t="shared" si="267"/>
        <v>0</v>
      </c>
      <c r="BS230" s="312">
        <f t="shared" si="268"/>
        <v>0</v>
      </c>
      <c r="BT230" s="312">
        <f t="shared" si="269"/>
        <v>0</v>
      </c>
      <c r="BU230" s="312">
        <f t="shared" si="270"/>
        <v>0</v>
      </c>
      <c r="BV230" s="312">
        <f t="shared" si="271"/>
        <v>0</v>
      </c>
      <c r="BW230" s="313">
        <f t="shared" si="272"/>
        <v>0</v>
      </c>
      <c r="BX230" s="313">
        <f t="shared" si="273"/>
        <v>0</v>
      </c>
      <c r="BY230" s="313">
        <f t="shared" si="274"/>
        <v>0</v>
      </c>
      <c r="BZ230" s="313">
        <f t="shared" si="275"/>
        <v>0</v>
      </c>
      <c r="CA230" s="44"/>
      <c r="CB230" s="45">
        <f t="shared" si="241"/>
        <v>0</v>
      </c>
      <c r="CC230" s="46">
        <f t="shared" si="242"/>
        <v>0</v>
      </c>
      <c r="CD230" s="47">
        <f t="shared" si="243"/>
        <v>0</v>
      </c>
      <c r="CE230" s="62"/>
      <c r="CF230" s="237" t="e">
        <f>VLOOKUP(A230,labo!B:C,2,FALSE)</f>
        <v>#N/A</v>
      </c>
      <c r="CG230" s="106">
        <f t="shared" si="244"/>
        <v>0</v>
      </c>
      <c r="CH230" s="40"/>
      <c r="CI230" s="51"/>
      <c r="CJ230" s="40"/>
      <c r="CK230" s="499"/>
      <c r="CL230" s="500"/>
    </row>
    <row r="231" spans="1:91">
      <c r="A231" s="77"/>
      <c r="B231" s="41" t="e">
        <f>VLOOKUP(A231,'vs mars'!B:D,3,FALSE)</f>
        <v>#N/A</v>
      </c>
      <c r="C231" s="42" t="e">
        <f>VLOOKUP(A231,'vs mars'!B:AC,28,FALSE)</f>
        <v>#N/A</v>
      </c>
      <c r="D231" s="77"/>
      <c r="E231" s="77"/>
      <c r="F231" s="43"/>
      <c r="G231" s="43"/>
      <c r="H231" s="43"/>
      <c r="I231" s="43"/>
      <c r="J231" s="44"/>
      <c r="K231" s="44"/>
      <c r="L231" s="45">
        <f t="shared" si="257"/>
        <v>0</v>
      </c>
      <c r="M231" s="45">
        <f t="shared" si="258"/>
        <v>0</v>
      </c>
      <c r="N231" s="45">
        <f t="shared" si="259"/>
        <v>0</v>
      </c>
      <c r="O231" s="45"/>
      <c r="P231" s="45"/>
      <c r="Q231" s="45"/>
      <c r="R231" s="45">
        <f t="shared" si="260"/>
        <v>0</v>
      </c>
      <c r="S231" s="45">
        <f t="shared" si="261"/>
        <v>0</v>
      </c>
      <c r="T231" s="45">
        <f t="shared" si="262"/>
        <v>0</v>
      </c>
      <c r="U231" s="45"/>
      <c r="V231" s="45"/>
      <c r="W231" s="45"/>
      <c r="X231" s="45"/>
      <c r="Y231" s="45"/>
      <c r="Z231" s="45"/>
      <c r="AA231" s="45"/>
      <c r="AB231" s="45">
        <f t="shared" si="263"/>
        <v>0</v>
      </c>
      <c r="AC231" s="45">
        <f t="shared" si="264"/>
        <v>0</v>
      </c>
      <c r="AD231" s="45">
        <f t="shared" si="265"/>
        <v>0</v>
      </c>
      <c r="AE231" s="44"/>
      <c r="AF231" s="44"/>
      <c r="AG231" s="44"/>
      <c r="AH231" s="44"/>
      <c r="AI231" s="44"/>
      <c r="AJ231" s="44"/>
      <c r="AK231" s="44"/>
      <c r="AL231" s="44">
        <f t="shared" si="266"/>
        <v>0</v>
      </c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>
        <f t="shared" si="267"/>
        <v>0</v>
      </c>
      <c r="BS231" s="312">
        <f t="shared" si="268"/>
        <v>0</v>
      </c>
      <c r="BT231" s="312">
        <f t="shared" si="269"/>
        <v>0</v>
      </c>
      <c r="BU231" s="312">
        <f t="shared" si="270"/>
        <v>0</v>
      </c>
      <c r="BV231" s="312">
        <f t="shared" si="271"/>
        <v>0</v>
      </c>
      <c r="BW231" s="313">
        <f t="shared" si="272"/>
        <v>0</v>
      </c>
      <c r="BX231" s="313">
        <f t="shared" si="273"/>
        <v>0</v>
      </c>
      <c r="BY231" s="313">
        <f t="shared" si="274"/>
        <v>0</v>
      </c>
      <c r="BZ231" s="313">
        <f t="shared" si="275"/>
        <v>0</v>
      </c>
      <c r="CA231" s="44"/>
      <c r="CB231" s="45">
        <f t="shared" si="241"/>
        <v>0</v>
      </c>
      <c r="CC231" s="46">
        <f t="shared" si="242"/>
        <v>0</v>
      </c>
      <c r="CD231" s="47">
        <f t="shared" si="243"/>
        <v>0</v>
      </c>
      <c r="CE231" s="62"/>
      <c r="CF231" s="237" t="e">
        <f>VLOOKUP(A231,labo!B:C,2,FALSE)</f>
        <v>#N/A</v>
      </c>
      <c r="CG231" s="106">
        <f t="shared" si="244"/>
        <v>0</v>
      </c>
      <c r="CI231" s="51"/>
      <c r="CK231" s="251"/>
      <c r="CL231" s="323"/>
      <c r="CM231" s="40"/>
    </row>
    <row r="232" spans="1:91">
      <c r="A232" s="77"/>
      <c r="B232" s="41" t="e">
        <f>VLOOKUP(A232,'vs mars'!B:D,3,FALSE)</f>
        <v>#N/A</v>
      </c>
      <c r="C232" s="42" t="e">
        <f>VLOOKUP(A232,'vs mars'!B:AC,28,FALSE)</f>
        <v>#N/A</v>
      </c>
      <c r="D232" s="77"/>
      <c r="E232" s="77"/>
      <c r="F232" s="43"/>
      <c r="G232" s="43"/>
      <c r="H232" s="43"/>
      <c r="I232" s="43"/>
      <c r="J232" s="44"/>
      <c r="K232" s="44"/>
      <c r="L232" s="45">
        <f t="shared" si="257"/>
        <v>0</v>
      </c>
      <c r="M232" s="45">
        <f t="shared" si="258"/>
        <v>0</v>
      </c>
      <c r="N232" s="45">
        <f t="shared" si="259"/>
        <v>0</v>
      </c>
      <c r="O232" s="45"/>
      <c r="P232" s="45"/>
      <c r="Q232" s="45"/>
      <c r="R232" s="45">
        <f t="shared" si="260"/>
        <v>0</v>
      </c>
      <c r="S232" s="45">
        <f t="shared" si="261"/>
        <v>0</v>
      </c>
      <c r="T232" s="45">
        <f t="shared" si="262"/>
        <v>0</v>
      </c>
      <c r="U232" s="45"/>
      <c r="V232" s="45"/>
      <c r="W232" s="45"/>
      <c r="X232" s="45"/>
      <c r="Y232" s="45"/>
      <c r="Z232" s="45"/>
      <c r="AA232" s="45"/>
      <c r="AB232" s="45">
        <f t="shared" si="263"/>
        <v>0</v>
      </c>
      <c r="AC232" s="45">
        <f t="shared" si="264"/>
        <v>0</v>
      </c>
      <c r="AD232" s="45">
        <f t="shared" si="265"/>
        <v>0</v>
      </c>
      <c r="AE232" s="44"/>
      <c r="AF232" s="44"/>
      <c r="AG232" s="44"/>
      <c r="AH232" s="44"/>
      <c r="AI232" s="44"/>
      <c r="AJ232" s="44"/>
      <c r="AK232" s="44"/>
      <c r="AL232" s="44">
        <f t="shared" si="266"/>
        <v>0</v>
      </c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>
        <f t="shared" si="267"/>
        <v>0</v>
      </c>
      <c r="BS232" s="312">
        <f t="shared" si="268"/>
        <v>0</v>
      </c>
      <c r="BT232" s="312">
        <f t="shared" si="269"/>
        <v>0</v>
      </c>
      <c r="BU232" s="312">
        <f t="shared" si="270"/>
        <v>0</v>
      </c>
      <c r="BV232" s="312">
        <f t="shared" si="271"/>
        <v>0</v>
      </c>
      <c r="BW232" s="313">
        <f t="shared" si="272"/>
        <v>0</v>
      </c>
      <c r="BX232" s="313">
        <f t="shared" si="273"/>
        <v>0</v>
      </c>
      <c r="BY232" s="313">
        <f t="shared" si="274"/>
        <v>0</v>
      </c>
      <c r="BZ232" s="313">
        <f t="shared" si="275"/>
        <v>0</v>
      </c>
      <c r="CA232" s="44"/>
      <c r="CB232" s="45">
        <f t="shared" si="241"/>
        <v>0</v>
      </c>
      <c r="CC232" s="46">
        <f t="shared" si="242"/>
        <v>0</v>
      </c>
      <c r="CD232" s="47">
        <f t="shared" si="243"/>
        <v>0</v>
      </c>
      <c r="CE232" s="62"/>
      <c r="CF232" s="237" t="e">
        <f>VLOOKUP(A232,labo!B:C,2,FALSE)</f>
        <v>#N/A</v>
      </c>
      <c r="CG232" s="106">
        <f t="shared" si="244"/>
        <v>0</v>
      </c>
      <c r="CI232" s="51"/>
      <c r="CK232" s="251"/>
      <c r="CL232" s="323"/>
      <c r="CM232" s="40"/>
    </row>
    <row r="233" spans="1:91">
      <c r="A233" s="77"/>
      <c r="B233" s="41" t="e">
        <f>VLOOKUP(A233,'vs mars'!B:D,3,FALSE)</f>
        <v>#N/A</v>
      </c>
      <c r="C233" s="42" t="e">
        <f>VLOOKUP(A233,'vs mars'!B:AC,28,FALSE)</f>
        <v>#N/A</v>
      </c>
      <c r="D233" s="77"/>
      <c r="E233" s="77"/>
      <c r="F233" s="43"/>
      <c r="G233" s="43"/>
      <c r="H233" s="43"/>
      <c r="I233" s="43"/>
      <c r="J233" s="44"/>
      <c r="K233" s="44"/>
      <c r="L233" s="45">
        <f t="shared" si="257"/>
        <v>0</v>
      </c>
      <c r="M233" s="45">
        <f t="shared" si="258"/>
        <v>0</v>
      </c>
      <c r="N233" s="45">
        <f t="shared" si="259"/>
        <v>0</v>
      </c>
      <c r="O233" s="45"/>
      <c r="P233" s="45"/>
      <c r="Q233" s="45"/>
      <c r="R233" s="45">
        <f t="shared" si="260"/>
        <v>0</v>
      </c>
      <c r="S233" s="45">
        <f t="shared" si="261"/>
        <v>0</v>
      </c>
      <c r="T233" s="45">
        <f t="shared" si="262"/>
        <v>0</v>
      </c>
      <c r="U233" s="45"/>
      <c r="V233" s="45"/>
      <c r="W233" s="45"/>
      <c r="X233" s="45"/>
      <c r="Y233" s="45"/>
      <c r="Z233" s="45"/>
      <c r="AA233" s="45"/>
      <c r="AB233" s="45">
        <f t="shared" si="263"/>
        <v>0</v>
      </c>
      <c r="AC233" s="45">
        <f t="shared" si="264"/>
        <v>0</v>
      </c>
      <c r="AD233" s="45">
        <f t="shared" si="265"/>
        <v>0</v>
      </c>
      <c r="AE233" s="44"/>
      <c r="AF233" s="44"/>
      <c r="AG233" s="44"/>
      <c r="AH233" s="44"/>
      <c r="AI233" s="44"/>
      <c r="AJ233" s="44"/>
      <c r="AK233" s="44"/>
      <c r="AL233" s="44">
        <f t="shared" si="266"/>
        <v>0</v>
      </c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>
        <f t="shared" si="267"/>
        <v>0</v>
      </c>
      <c r="BS233" s="312">
        <f t="shared" si="268"/>
        <v>0</v>
      </c>
      <c r="BT233" s="312">
        <f t="shared" si="269"/>
        <v>0</v>
      </c>
      <c r="BU233" s="312">
        <f t="shared" si="270"/>
        <v>0</v>
      </c>
      <c r="BV233" s="312">
        <f t="shared" si="271"/>
        <v>0</v>
      </c>
      <c r="BW233" s="313">
        <f t="shared" si="272"/>
        <v>0</v>
      </c>
      <c r="BX233" s="313">
        <f t="shared" si="273"/>
        <v>0</v>
      </c>
      <c r="BY233" s="313">
        <f t="shared" si="274"/>
        <v>0</v>
      </c>
      <c r="BZ233" s="313">
        <f t="shared" si="275"/>
        <v>0</v>
      </c>
      <c r="CA233" s="44"/>
      <c r="CB233" s="45">
        <f t="shared" si="241"/>
        <v>0</v>
      </c>
      <c r="CC233" s="46">
        <f t="shared" si="242"/>
        <v>0</v>
      </c>
      <c r="CD233" s="47">
        <f t="shared" si="243"/>
        <v>0</v>
      </c>
      <c r="CE233" s="62"/>
      <c r="CF233" s="237" t="e">
        <f>VLOOKUP(A233,labo!B:C,2,FALSE)</f>
        <v>#N/A</v>
      </c>
      <c r="CG233" s="106">
        <f t="shared" si="244"/>
        <v>0</v>
      </c>
      <c r="CI233" s="51"/>
      <c r="CK233" s="251"/>
      <c r="CL233" s="323"/>
      <c r="CM233" s="40"/>
    </row>
    <row r="234" spans="1:91">
      <c r="A234" s="77"/>
      <c r="B234" s="41" t="e">
        <f>VLOOKUP(A234,'vs mars'!B:D,3,FALSE)</f>
        <v>#N/A</v>
      </c>
      <c r="C234" s="42" t="e">
        <f>VLOOKUP(A234,'vs mars'!B:AC,28,FALSE)</f>
        <v>#N/A</v>
      </c>
      <c r="D234" s="77"/>
      <c r="E234" s="77"/>
      <c r="F234" s="43"/>
      <c r="G234" s="43"/>
      <c r="H234" s="43"/>
      <c r="I234" s="43"/>
      <c r="J234" s="44"/>
      <c r="K234" s="44"/>
      <c r="L234" s="45">
        <f t="shared" si="257"/>
        <v>0</v>
      </c>
      <c r="M234" s="45">
        <f t="shared" si="258"/>
        <v>0</v>
      </c>
      <c r="N234" s="45">
        <f t="shared" si="259"/>
        <v>0</v>
      </c>
      <c r="O234" s="45"/>
      <c r="P234" s="45"/>
      <c r="Q234" s="45"/>
      <c r="R234" s="45">
        <f t="shared" si="260"/>
        <v>0</v>
      </c>
      <c r="S234" s="45">
        <f t="shared" si="261"/>
        <v>0</v>
      </c>
      <c r="T234" s="45">
        <f t="shared" si="262"/>
        <v>0</v>
      </c>
      <c r="U234" s="45"/>
      <c r="V234" s="45"/>
      <c r="W234" s="45"/>
      <c r="X234" s="45"/>
      <c r="Y234" s="45"/>
      <c r="Z234" s="45"/>
      <c r="AA234" s="45"/>
      <c r="AB234" s="45">
        <f t="shared" si="263"/>
        <v>0</v>
      </c>
      <c r="AC234" s="45">
        <f t="shared" si="264"/>
        <v>0</v>
      </c>
      <c r="AD234" s="45">
        <f t="shared" si="265"/>
        <v>0</v>
      </c>
      <c r="AE234" s="44"/>
      <c r="AF234" s="44"/>
      <c r="AG234" s="44"/>
      <c r="AH234" s="44"/>
      <c r="AI234" s="44"/>
      <c r="AJ234" s="44"/>
      <c r="AK234" s="44"/>
      <c r="AL234" s="44">
        <f t="shared" si="266"/>
        <v>0</v>
      </c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>
        <f t="shared" si="267"/>
        <v>0</v>
      </c>
      <c r="BS234" s="312">
        <f t="shared" si="268"/>
        <v>0</v>
      </c>
      <c r="BT234" s="312">
        <f t="shared" si="269"/>
        <v>0</v>
      </c>
      <c r="BU234" s="312">
        <f t="shared" si="270"/>
        <v>0</v>
      </c>
      <c r="BV234" s="312">
        <f t="shared" si="271"/>
        <v>0</v>
      </c>
      <c r="BW234" s="313">
        <f t="shared" si="272"/>
        <v>0</v>
      </c>
      <c r="BX234" s="313">
        <f t="shared" si="273"/>
        <v>0</v>
      </c>
      <c r="BY234" s="313">
        <f t="shared" si="274"/>
        <v>0</v>
      </c>
      <c r="BZ234" s="313">
        <f t="shared" si="275"/>
        <v>0</v>
      </c>
      <c r="CA234" s="44"/>
      <c r="CB234" s="45">
        <f t="shared" si="241"/>
        <v>0</v>
      </c>
      <c r="CC234" s="46">
        <f t="shared" si="242"/>
        <v>0</v>
      </c>
      <c r="CD234" s="47">
        <f t="shared" si="243"/>
        <v>0</v>
      </c>
      <c r="CE234" s="62"/>
      <c r="CF234" s="237" t="e">
        <f>VLOOKUP(A234,labo!B:C,2,FALSE)</f>
        <v>#N/A</v>
      </c>
      <c r="CG234" s="106">
        <f t="shared" si="244"/>
        <v>0</v>
      </c>
      <c r="CI234" s="51"/>
      <c r="CK234" s="251"/>
      <c r="CL234" s="323"/>
      <c r="CM234" s="40"/>
    </row>
    <row r="235" spans="1:91">
      <c r="A235" s="77"/>
      <c r="B235" s="41" t="e">
        <f>VLOOKUP(A235,'vs mars'!B:D,3,FALSE)</f>
        <v>#N/A</v>
      </c>
      <c r="C235" s="42" t="e">
        <f>VLOOKUP(A235,'vs mars'!B:AC,28,FALSE)</f>
        <v>#N/A</v>
      </c>
      <c r="D235" s="77"/>
      <c r="E235" s="77"/>
      <c r="F235" s="43"/>
      <c r="G235" s="43"/>
      <c r="H235" s="43"/>
      <c r="I235" s="43"/>
      <c r="J235" s="44"/>
      <c r="K235" s="44"/>
      <c r="L235" s="45">
        <f t="shared" si="257"/>
        <v>0</v>
      </c>
      <c r="M235" s="45">
        <f t="shared" si="258"/>
        <v>0</v>
      </c>
      <c r="N235" s="45">
        <f t="shared" si="259"/>
        <v>0</v>
      </c>
      <c r="O235" s="45"/>
      <c r="P235" s="45"/>
      <c r="Q235" s="45"/>
      <c r="R235" s="45">
        <f t="shared" si="260"/>
        <v>0</v>
      </c>
      <c r="S235" s="45">
        <f t="shared" si="261"/>
        <v>0</v>
      </c>
      <c r="T235" s="45">
        <f t="shared" si="262"/>
        <v>0</v>
      </c>
      <c r="U235" s="45"/>
      <c r="V235" s="45"/>
      <c r="W235" s="45"/>
      <c r="X235" s="45"/>
      <c r="Y235" s="45"/>
      <c r="Z235" s="45"/>
      <c r="AA235" s="45"/>
      <c r="AB235" s="45">
        <f t="shared" si="263"/>
        <v>0</v>
      </c>
      <c r="AC235" s="45">
        <f t="shared" si="264"/>
        <v>0</v>
      </c>
      <c r="AD235" s="45">
        <f t="shared" si="265"/>
        <v>0</v>
      </c>
      <c r="AE235" s="44"/>
      <c r="AF235" s="44"/>
      <c r="AG235" s="44"/>
      <c r="AH235" s="44"/>
      <c r="AI235" s="44"/>
      <c r="AJ235" s="44"/>
      <c r="AK235" s="44"/>
      <c r="AL235" s="44">
        <f t="shared" si="266"/>
        <v>0</v>
      </c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>
        <f t="shared" si="267"/>
        <v>0</v>
      </c>
      <c r="BS235" s="312">
        <f t="shared" si="268"/>
        <v>0</v>
      </c>
      <c r="BT235" s="312">
        <f t="shared" si="269"/>
        <v>0</v>
      </c>
      <c r="BU235" s="312">
        <f t="shared" si="270"/>
        <v>0</v>
      </c>
      <c r="BV235" s="312">
        <f t="shared" si="271"/>
        <v>0</v>
      </c>
      <c r="BW235" s="313">
        <f t="shared" si="272"/>
        <v>0</v>
      </c>
      <c r="BX235" s="313">
        <f t="shared" si="273"/>
        <v>0</v>
      </c>
      <c r="BY235" s="313">
        <f t="shared" si="274"/>
        <v>0</v>
      </c>
      <c r="BZ235" s="313">
        <f t="shared" si="275"/>
        <v>0</v>
      </c>
      <c r="CA235" s="44"/>
      <c r="CB235" s="45">
        <f t="shared" si="241"/>
        <v>0</v>
      </c>
      <c r="CC235" s="46">
        <f t="shared" si="242"/>
        <v>0</v>
      </c>
      <c r="CD235" s="47">
        <f t="shared" si="243"/>
        <v>0</v>
      </c>
      <c r="CE235" s="62"/>
      <c r="CF235" s="237" t="e">
        <f>VLOOKUP(A235,labo!B:C,2,FALSE)</f>
        <v>#N/A</v>
      </c>
      <c r="CG235" s="106">
        <f t="shared" si="244"/>
        <v>0</v>
      </c>
      <c r="CI235" s="51"/>
      <c r="CK235" s="251" t="e">
        <f t="shared" si="239"/>
        <v>#N/A</v>
      </c>
      <c r="CL235" s="323">
        <f t="shared" si="240"/>
        <v>0</v>
      </c>
      <c r="CM235" s="40"/>
    </row>
    <row r="236" spans="1:91">
      <c r="A236" s="77"/>
      <c r="B236" s="41" t="e">
        <f>VLOOKUP(A236,'vs mars'!B:D,3,FALSE)</f>
        <v>#N/A</v>
      </c>
      <c r="C236" s="42" t="e">
        <f>VLOOKUP(A236,'vs mars'!B:AC,28,FALSE)</f>
        <v>#N/A</v>
      </c>
      <c r="D236" s="77"/>
      <c r="E236" s="77"/>
      <c r="F236" s="43"/>
      <c r="G236" s="43"/>
      <c r="H236" s="43"/>
      <c r="I236" s="43"/>
      <c r="J236" s="44"/>
      <c r="K236" s="44"/>
      <c r="L236" s="45">
        <f t="shared" si="257"/>
        <v>0</v>
      </c>
      <c r="M236" s="45">
        <f t="shared" si="258"/>
        <v>0</v>
      </c>
      <c r="N236" s="45">
        <f t="shared" si="259"/>
        <v>0</v>
      </c>
      <c r="O236" s="45"/>
      <c r="P236" s="45"/>
      <c r="Q236" s="45"/>
      <c r="R236" s="45">
        <f t="shared" si="260"/>
        <v>0</v>
      </c>
      <c r="S236" s="45">
        <f t="shared" si="261"/>
        <v>0</v>
      </c>
      <c r="T236" s="45">
        <f t="shared" si="262"/>
        <v>0</v>
      </c>
      <c r="U236" s="45"/>
      <c r="V236" s="45"/>
      <c r="W236" s="45"/>
      <c r="X236" s="45"/>
      <c r="Y236" s="45"/>
      <c r="Z236" s="45"/>
      <c r="AA236" s="45"/>
      <c r="AB236" s="45">
        <f t="shared" si="263"/>
        <v>0</v>
      </c>
      <c r="AC236" s="45">
        <f t="shared" si="264"/>
        <v>0</v>
      </c>
      <c r="AD236" s="45">
        <f t="shared" si="265"/>
        <v>0</v>
      </c>
      <c r="AE236" s="44"/>
      <c r="AF236" s="44"/>
      <c r="AG236" s="44"/>
      <c r="AH236" s="44"/>
      <c r="AI236" s="44"/>
      <c r="AJ236" s="44"/>
      <c r="AK236" s="44"/>
      <c r="AL236" s="44">
        <f t="shared" si="266"/>
        <v>0</v>
      </c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>
        <f t="shared" si="267"/>
        <v>0</v>
      </c>
      <c r="BS236" s="312">
        <f t="shared" si="268"/>
        <v>0</v>
      </c>
      <c r="BT236" s="312">
        <f t="shared" si="269"/>
        <v>0</v>
      </c>
      <c r="BU236" s="312">
        <f t="shared" si="270"/>
        <v>0</v>
      </c>
      <c r="BV236" s="312">
        <f t="shared" si="271"/>
        <v>0</v>
      </c>
      <c r="BW236" s="313">
        <f t="shared" si="272"/>
        <v>0</v>
      </c>
      <c r="BX236" s="313">
        <f t="shared" si="273"/>
        <v>0</v>
      </c>
      <c r="BY236" s="313">
        <f t="shared" si="274"/>
        <v>0</v>
      </c>
      <c r="BZ236" s="313">
        <f t="shared" si="275"/>
        <v>0</v>
      </c>
      <c r="CA236" s="44"/>
      <c r="CB236" s="45">
        <f t="shared" si="241"/>
        <v>0</v>
      </c>
      <c r="CC236" s="46">
        <f t="shared" si="242"/>
        <v>0</v>
      </c>
      <c r="CD236" s="47">
        <f t="shared" si="243"/>
        <v>0</v>
      </c>
      <c r="CE236" s="62"/>
      <c r="CF236" s="237" t="e">
        <f>VLOOKUP(A236,labo!B:C,2,FALSE)</f>
        <v>#N/A</v>
      </c>
      <c r="CG236" s="106">
        <f t="shared" si="244"/>
        <v>0</v>
      </c>
      <c r="CI236" s="51"/>
      <c r="CK236" s="251" t="e">
        <f t="shared" ref="CK236" si="285">+B236</f>
        <v>#N/A</v>
      </c>
      <c r="CL236" s="323">
        <f t="shared" ref="CL236" si="286">CE236</f>
        <v>0</v>
      </c>
      <c r="CM236" s="40"/>
    </row>
    <row r="237" spans="1:91">
      <c r="A237" s="77"/>
      <c r="B237" s="41" t="e">
        <f>VLOOKUP(A237,'vs mars'!B:D,3,FALSE)</f>
        <v>#N/A</v>
      </c>
      <c r="C237" s="42" t="e">
        <f>VLOOKUP(A237,'vs mars'!B:AC,28,FALSE)</f>
        <v>#N/A</v>
      </c>
      <c r="D237" s="77"/>
      <c r="E237" s="77"/>
      <c r="F237" s="43"/>
      <c r="G237" s="43"/>
      <c r="H237" s="43"/>
      <c r="I237" s="43"/>
      <c r="J237" s="44"/>
      <c r="K237" s="44"/>
      <c r="L237" s="45">
        <f t="shared" si="257"/>
        <v>0</v>
      </c>
      <c r="M237" s="45">
        <f t="shared" si="258"/>
        <v>0</v>
      </c>
      <c r="N237" s="45">
        <f t="shared" si="259"/>
        <v>0</v>
      </c>
      <c r="O237" s="45"/>
      <c r="P237" s="45"/>
      <c r="Q237" s="45"/>
      <c r="R237" s="45">
        <f t="shared" si="260"/>
        <v>0</v>
      </c>
      <c r="S237" s="45">
        <f t="shared" si="261"/>
        <v>0</v>
      </c>
      <c r="T237" s="45">
        <f t="shared" si="262"/>
        <v>0</v>
      </c>
      <c r="U237" s="45"/>
      <c r="V237" s="45"/>
      <c r="W237" s="45"/>
      <c r="X237" s="45"/>
      <c r="Y237" s="45"/>
      <c r="Z237" s="45"/>
      <c r="AA237" s="45"/>
      <c r="AB237" s="45">
        <f t="shared" si="263"/>
        <v>0</v>
      </c>
      <c r="AC237" s="45">
        <f t="shared" si="264"/>
        <v>0</v>
      </c>
      <c r="AD237" s="45">
        <f t="shared" si="265"/>
        <v>0</v>
      </c>
      <c r="AE237" s="44"/>
      <c r="AF237" s="44"/>
      <c r="AG237" s="44"/>
      <c r="AH237" s="44"/>
      <c r="AI237" s="44"/>
      <c r="AJ237" s="44"/>
      <c r="AK237" s="44"/>
      <c r="AL237" s="44">
        <f t="shared" si="266"/>
        <v>0</v>
      </c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>
        <f t="shared" si="267"/>
        <v>0</v>
      </c>
      <c r="BS237" s="312">
        <f t="shared" si="268"/>
        <v>0</v>
      </c>
      <c r="BT237" s="312">
        <f t="shared" si="269"/>
        <v>0</v>
      </c>
      <c r="BU237" s="312">
        <f t="shared" si="270"/>
        <v>0</v>
      </c>
      <c r="BV237" s="312">
        <f t="shared" si="271"/>
        <v>0</v>
      </c>
      <c r="BW237" s="313">
        <f t="shared" si="272"/>
        <v>0</v>
      </c>
      <c r="BX237" s="313">
        <f t="shared" si="273"/>
        <v>0</v>
      </c>
      <c r="BY237" s="313">
        <f t="shared" si="274"/>
        <v>0</v>
      </c>
      <c r="BZ237" s="313">
        <f t="shared" si="275"/>
        <v>0</v>
      </c>
      <c r="CA237" s="44"/>
      <c r="CB237" s="45">
        <f t="shared" si="241"/>
        <v>0</v>
      </c>
      <c r="CC237" s="46">
        <f t="shared" si="242"/>
        <v>0</v>
      </c>
      <c r="CD237" s="47">
        <f t="shared" si="243"/>
        <v>0</v>
      </c>
      <c r="CE237" s="62"/>
      <c r="CF237" s="237" t="e">
        <f>VLOOKUP(A237,labo!B:C,2,FALSE)</f>
        <v>#N/A</v>
      </c>
      <c r="CG237" s="106">
        <f t="shared" si="244"/>
        <v>0</v>
      </c>
      <c r="CI237" s="51"/>
      <c r="CK237" s="251" t="e">
        <f t="shared" si="239"/>
        <v>#N/A</v>
      </c>
      <c r="CL237" s="323">
        <f t="shared" si="240"/>
        <v>0</v>
      </c>
      <c r="CM237" s="40"/>
    </row>
    <row r="238" spans="1:91">
      <c r="A238" s="77"/>
      <c r="B238" s="41" t="e">
        <f>VLOOKUP(A238,'vs mars'!B:D,3,FALSE)</f>
        <v>#N/A</v>
      </c>
      <c r="C238" s="42" t="e">
        <f>VLOOKUP(A238,'vs mars'!B:AC,28,FALSE)</f>
        <v>#N/A</v>
      </c>
      <c r="D238" s="77"/>
      <c r="E238" s="77"/>
      <c r="F238" s="43"/>
      <c r="G238" s="43"/>
      <c r="H238" s="43"/>
      <c r="I238" s="43"/>
      <c r="J238" s="44"/>
      <c r="K238" s="44"/>
      <c r="L238" s="45">
        <f t="shared" si="257"/>
        <v>0</v>
      </c>
      <c r="M238" s="45">
        <f t="shared" si="258"/>
        <v>0</v>
      </c>
      <c r="N238" s="45">
        <f t="shared" si="259"/>
        <v>0</v>
      </c>
      <c r="O238" s="45"/>
      <c r="P238" s="45"/>
      <c r="Q238" s="45"/>
      <c r="R238" s="45">
        <f t="shared" si="260"/>
        <v>0</v>
      </c>
      <c r="S238" s="45">
        <f t="shared" si="261"/>
        <v>0</v>
      </c>
      <c r="T238" s="45">
        <f t="shared" si="262"/>
        <v>0</v>
      </c>
      <c r="U238" s="45"/>
      <c r="V238" s="45"/>
      <c r="W238" s="45"/>
      <c r="X238" s="45"/>
      <c r="Y238" s="45"/>
      <c r="Z238" s="45"/>
      <c r="AA238" s="45"/>
      <c r="AB238" s="45">
        <f t="shared" si="263"/>
        <v>0</v>
      </c>
      <c r="AC238" s="45">
        <f t="shared" si="264"/>
        <v>0</v>
      </c>
      <c r="AD238" s="45">
        <f t="shared" si="265"/>
        <v>0</v>
      </c>
      <c r="AE238" s="44"/>
      <c r="AF238" s="44"/>
      <c r="AG238" s="44"/>
      <c r="AH238" s="44"/>
      <c r="AI238" s="44"/>
      <c r="AJ238" s="44"/>
      <c r="AK238" s="44"/>
      <c r="AL238" s="44">
        <f t="shared" si="266"/>
        <v>0</v>
      </c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>
        <f t="shared" si="267"/>
        <v>0</v>
      </c>
      <c r="BS238" s="312">
        <f t="shared" si="268"/>
        <v>0</v>
      </c>
      <c r="BT238" s="312">
        <f t="shared" si="269"/>
        <v>0</v>
      </c>
      <c r="BU238" s="312">
        <f t="shared" si="270"/>
        <v>0</v>
      </c>
      <c r="BV238" s="312">
        <f t="shared" si="271"/>
        <v>0</v>
      </c>
      <c r="BW238" s="313">
        <f t="shared" si="272"/>
        <v>0</v>
      </c>
      <c r="BX238" s="313">
        <f t="shared" si="273"/>
        <v>0</v>
      </c>
      <c r="BY238" s="313">
        <f t="shared" si="274"/>
        <v>0</v>
      </c>
      <c r="BZ238" s="313">
        <f t="shared" si="275"/>
        <v>0</v>
      </c>
      <c r="CA238" s="44"/>
      <c r="CB238" s="45">
        <f t="shared" si="241"/>
        <v>0</v>
      </c>
      <c r="CC238" s="46">
        <f t="shared" si="242"/>
        <v>0</v>
      </c>
      <c r="CD238" s="47">
        <f t="shared" si="243"/>
        <v>0</v>
      </c>
      <c r="CE238" s="62"/>
      <c r="CF238" s="237" t="e">
        <f>VLOOKUP(A238,labo!B:C,2,FALSE)</f>
        <v>#N/A</v>
      </c>
      <c r="CG238" s="106">
        <f t="shared" si="244"/>
        <v>0</v>
      </c>
      <c r="CI238" s="51"/>
      <c r="CK238" s="251" t="e">
        <f t="shared" ref="CK238" si="287">+B238</f>
        <v>#N/A</v>
      </c>
      <c r="CL238" s="323">
        <f t="shared" ref="CL238" si="288">CE238</f>
        <v>0</v>
      </c>
      <c r="CM238" s="40"/>
    </row>
    <row r="239" spans="1:91">
      <c r="A239" s="77"/>
      <c r="B239" s="41" t="e">
        <f>VLOOKUP(A239,'vs mars'!B:D,3,FALSE)</f>
        <v>#N/A</v>
      </c>
      <c r="C239" s="42" t="e">
        <f>VLOOKUP(A239,'vs mars'!B:AC,28,FALSE)</f>
        <v>#N/A</v>
      </c>
      <c r="D239" s="77"/>
      <c r="E239" s="77"/>
      <c r="F239" s="43"/>
      <c r="G239" s="43"/>
      <c r="H239" s="43"/>
      <c r="I239" s="43"/>
      <c r="J239" s="44"/>
      <c r="K239" s="44"/>
      <c r="L239" s="45">
        <f t="shared" si="257"/>
        <v>0</v>
      </c>
      <c r="M239" s="45">
        <f t="shared" si="258"/>
        <v>0</v>
      </c>
      <c r="N239" s="45">
        <f t="shared" si="259"/>
        <v>0</v>
      </c>
      <c r="O239" s="45"/>
      <c r="P239" s="45"/>
      <c r="Q239" s="45"/>
      <c r="R239" s="45">
        <f t="shared" si="260"/>
        <v>0</v>
      </c>
      <c r="S239" s="45">
        <f t="shared" si="261"/>
        <v>0</v>
      </c>
      <c r="T239" s="45">
        <f t="shared" si="262"/>
        <v>0</v>
      </c>
      <c r="U239" s="45"/>
      <c r="V239" s="45"/>
      <c r="W239" s="45"/>
      <c r="X239" s="45"/>
      <c r="Y239" s="45"/>
      <c r="Z239" s="45"/>
      <c r="AA239" s="45"/>
      <c r="AB239" s="45">
        <f t="shared" si="263"/>
        <v>0</v>
      </c>
      <c r="AC239" s="45">
        <f t="shared" si="264"/>
        <v>0</v>
      </c>
      <c r="AD239" s="45">
        <f t="shared" si="265"/>
        <v>0</v>
      </c>
      <c r="AE239" s="44"/>
      <c r="AF239" s="44"/>
      <c r="AG239" s="44"/>
      <c r="AH239" s="44"/>
      <c r="AI239" s="44"/>
      <c r="AJ239" s="44"/>
      <c r="AK239" s="44"/>
      <c r="AL239" s="44">
        <f t="shared" si="266"/>
        <v>0</v>
      </c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>
        <f t="shared" si="267"/>
        <v>0</v>
      </c>
      <c r="BS239" s="312">
        <f t="shared" si="268"/>
        <v>0</v>
      </c>
      <c r="BT239" s="312">
        <f t="shared" si="269"/>
        <v>0</v>
      </c>
      <c r="BU239" s="312">
        <f t="shared" si="270"/>
        <v>0</v>
      </c>
      <c r="BV239" s="312">
        <f t="shared" si="271"/>
        <v>0</v>
      </c>
      <c r="BW239" s="313">
        <f t="shared" si="272"/>
        <v>0</v>
      </c>
      <c r="BX239" s="313">
        <f t="shared" si="273"/>
        <v>0</v>
      </c>
      <c r="BY239" s="313">
        <f t="shared" si="274"/>
        <v>0</v>
      </c>
      <c r="BZ239" s="313">
        <f t="shared" si="275"/>
        <v>0</v>
      </c>
      <c r="CA239" s="44"/>
      <c r="CB239" s="45">
        <f t="shared" si="241"/>
        <v>0</v>
      </c>
      <c r="CC239" s="46">
        <f t="shared" si="242"/>
        <v>0</v>
      </c>
      <c r="CD239" s="47">
        <f t="shared" si="243"/>
        <v>0</v>
      </c>
      <c r="CE239" s="62"/>
      <c r="CF239" s="237" t="e">
        <f>VLOOKUP(A239,labo!B:C,2,FALSE)</f>
        <v>#N/A</v>
      </c>
      <c r="CG239" s="106">
        <f t="shared" si="244"/>
        <v>0</v>
      </c>
      <c r="CI239" s="51"/>
      <c r="CK239" s="251" t="e">
        <f t="shared" si="239"/>
        <v>#N/A</v>
      </c>
      <c r="CL239" s="323">
        <f t="shared" si="240"/>
        <v>0</v>
      </c>
      <c r="CM239" s="40"/>
    </row>
    <row r="240" spans="1:91">
      <c r="A240" s="77"/>
      <c r="B240" s="41" t="e">
        <f>VLOOKUP(A240,'vs mars'!B:D,3,FALSE)</f>
        <v>#N/A</v>
      </c>
      <c r="C240" s="42" t="e">
        <f>VLOOKUP(A240,'vs mars'!B:AC,28,FALSE)</f>
        <v>#N/A</v>
      </c>
      <c r="D240" s="77"/>
      <c r="E240" s="77"/>
      <c r="F240" s="43"/>
      <c r="G240" s="43"/>
      <c r="H240" s="43"/>
      <c r="I240" s="43"/>
      <c r="J240" s="44"/>
      <c r="K240" s="44"/>
      <c r="L240" s="45">
        <f t="shared" si="257"/>
        <v>0</v>
      </c>
      <c r="M240" s="45">
        <f t="shared" si="258"/>
        <v>0</v>
      </c>
      <c r="N240" s="45">
        <f t="shared" si="259"/>
        <v>0</v>
      </c>
      <c r="O240" s="45"/>
      <c r="P240" s="45"/>
      <c r="Q240" s="45"/>
      <c r="R240" s="45">
        <f t="shared" si="260"/>
        <v>0</v>
      </c>
      <c r="S240" s="45">
        <f t="shared" si="261"/>
        <v>0</v>
      </c>
      <c r="T240" s="45">
        <f t="shared" si="262"/>
        <v>0</v>
      </c>
      <c r="U240" s="45"/>
      <c r="V240" s="45"/>
      <c r="W240" s="45"/>
      <c r="X240" s="45"/>
      <c r="Y240" s="45"/>
      <c r="Z240" s="45"/>
      <c r="AA240" s="45"/>
      <c r="AB240" s="45">
        <f t="shared" si="263"/>
        <v>0</v>
      </c>
      <c r="AC240" s="45">
        <f t="shared" si="264"/>
        <v>0</v>
      </c>
      <c r="AD240" s="45">
        <f t="shared" si="265"/>
        <v>0</v>
      </c>
      <c r="AE240" s="44"/>
      <c r="AF240" s="44"/>
      <c r="AG240" s="44"/>
      <c r="AH240" s="44"/>
      <c r="AI240" s="44"/>
      <c r="AJ240" s="44"/>
      <c r="AK240" s="44"/>
      <c r="AL240" s="44">
        <f t="shared" si="266"/>
        <v>0</v>
      </c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>
        <f t="shared" si="267"/>
        <v>0</v>
      </c>
      <c r="BS240" s="312">
        <f t="shared" si="268"/>
        <v>0</v>
      </c>
      <c r="BT240" s="312">
        <f t="shared" si="269"/>
        <v>0</v>
      </c>
      <c r="BU240" s="312">
        <f t="shared" si="270"/>
        <v>0</v>
      </c>
      <c r="BV240" s="312">
        <f t="shared" si="271"/>
        <v>0</v>
      </c>
      <c r="BW240" s="313">
        <f t="shared" si="272"/>
        <v>0</v>
      </c>
      <c r="BX240" s="313">
        <f t="shared" si="273"/>
        <v>0</v>
      </c>
      <c r="BY240" s="313">
        <f t="shared" si="274"/>
        <v>0</v>
      </c>
      <c r="BZ240" s="313">
        <f t="shared" si="275"/>
        <v>0</v>
      </c>
      <c r="CA240" s="44"/>
      <c r="CB240" s="45">
        <f t="shared" si="241"/>
        <v>0</v>
      </c>
      <c r="CC240" s="46">
        <f t="shared" si="242"/>
        <v>0</v>
      </c>
      <c r="CD240" s="47">
        <f t="shared" si="243"/>
        <v>0</v>
      </c>
      <c r="CE240" s="62"/>
      <c r="CF240" s="237" t="e">
        <f>VLOOKUP(A240,labo!B:C,2,FALSE)</f>
        <v>#N/A</v>
      </c>
      <c r="CG240" s="106">
        <f t="shared" si="244"/>
        <v>0</v>
      </c>
      <c r="CI240" s="51"/>
      <c r="CK240" s="251" t="e">
        <f t="shared" si="239"/>
        <v>#N/A</v>
      </c>
      <c r="CL240" s="323">
        <f t="shared" si="240"/>
        <v>0</v>
      </c>
      <c r="CM240" s="40"/>
    </row>
    <row r="241" spans="1:91">
      <c r="A241" s="77"/>
      <c r="B241" s="41" t="e">
        <f>VLOOKUP(A241,'vs mars'!B:D,3,FALSE)</f>
        <v>#N/A</v>
      </c>
      <c r="C241" s="42" t="e">
        <f>VLOOKUP(A241,'vs mars'!B:AC,28,FALSE)</f>
        <v>#N/A</v>
      </c>
      <c r="D241" s="77"/>
      <c r="E241" s="77"/>
      <c r="F241" s="43"/>
      <c r="G241" s="43"/>
      <c r="H241" s="43"/>
      <c r="I241" s="43"/>
      <c r="J241" s="44"/>
      <c r="K241" s="44"/>
      <c r="L241" s="45">
        <f t="shared" si="257"/>
        <v>0</v>
      </c>
      <c r="M241" s="45">
        <f t="shared" si="258"/>
        <v>0</v>
      </c>
      <c r="N241" s="45">
        <f t="shared" si="259"/>
        <v>0</v>
      </c>
      <c r="O241" s="45"/>
      <c r="P241" s="45"/>
      <c r="Q241" s="45"/>
      <c r="R241" s="45">
        <f t="shared" si="260"/>
        <v>0</v>
      </c>
      <c r="S241" s="45">
        <f t="shared" si="261"/>
        <v>0</v>
      </c>
      <c r="T241" s="45">
        <f t="shared" si="262"/>
        <v>0</v>
      </c>
      <c r="U241" s="45"/>
      <c r="V241" s="45"/>
      <c r="W241" s="45"/>
      <c r="X241" s="45"/>
      <c r="Y241" s="45"/>
      <c r="Z241" s="45"/>
      <c r="AA241" s="45"/>
      <c r="AB241" s="45">
        <f t="shared" si="263"/>
        <v>0</v>
      </c>
      <c r="AC241" s="45">
        <f t="shared" si="264"/>
        <v>0</v>
      </c>
      <c r="AD241" s="45">
        <f t="shared" si="265"/>
        <v>0</v>
      </c>
      <c r="AE241" s="44"/>
      <c r="AF241" s="44"/>
      <c r="AG241" s="44"/>
      <c r="AH241" s="44"/>
      <c r="AI241" s="44"/>
      <c r="AJ241" s="44"/>
      <c r="AK241" s="44"/>
      <c r="AL241" s="44">
        <f t="shared" si="266"/>
        <v>0</v>
      </c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>
        <f t="shared" si="267"/>
        <v>0</v>
      </c>
      <c r="BS241" s="312">
        <f t="shared" si="268"/>
        <v>0</v>
      </c>
      <c r="BT241" s="312">
        <f t="shared" si="269"/>
        <v>0</v>
      </c>
      <c r="BU241" s="312">
        <f t="shared" si="270"/>
        <v>0</v>
      </c>
      <c r="BV241" s="312">
        <f t="shared" si="271"/>
        <v>0</v>
      </c>
      <c r="BW241" s="313">
        <f t="shared" si="272"/>
        <v>0</v>
      </c>
      <c r="BX241" s="313">
        <f t="shared" si="273"/>
        <v>0</v>
      </c>
      <c r="BY241" s="313">
        <f t="shared" si="274"/>
        <v>0</v>
      </c>
      <c r="BZ241" s="313">
        <f t="shared" si="275"/>
        <v>0</v>
      </c>
      <c r="CA241" s="44"/>
      <c r="CB241" s="45">
        <f t="shared" si="241"/>
        <v>0</v>
      </c>
      <c r="CC241" s="46">
        <f t="shared" si="242"/>
        <v>0</v>
      </c>
      <c r="CD241" s="47">
        <f t="shared" si="243"/>
        <v>0</v>
      </c>
      <c r="CE241" s="62"/>
      <c r="CF241" s="237" t="e">
        <f>VLOOKUP(A241,labo!B:C,2,FALSE)</f>
        <v>#N/A</v>
      </c>
      <c r="CG241" s="106">
        <f t="shared" si="244"/>
        <v>0</v>
      </c>
      <c r="CI241" s="51"/>
      <c r="CK241" s="251" t="e">
        <f t="shared" si="239"/>
        <v>#N/A</v>
      </c>
      <c r="CL241" s="323">
        <f t="shared" si="240"/>
        <v>0</v>
      </c>
      <c r="CM241" s="349"/>
    </row>
    <row r="242" spans="1:91">
      <c r="A242" s="77"/>
      <c r="B242" s="41" t="e">
        <f>VLOOKUP(A242,'vs mars'!B:D,3,FALSE)</f>
        <v>#N/A</v>
      </c>
      <c r="C242" s="42" t="e">
        <f>VLOOKUP(A242,'vs mars'!B:AC,28,FALSE)</f>
        <v>#N/A</v>
      </c>
      <c r="D242" s="77"/>
      <c r="E242" s="77"/>
      <c r="F242" s="43"/>
      <c r="G242" s="43"/>
      <c r="H242" s="43"/>
      <c r="I242" s="43"/>
      <c r="J242" s="44"/>
      <c r="K242" s="44"/>
      <c r="L242" s="45">
        <f t="shared" si="257"/>
        <v>0</v>
      </c>
      <c r="M242" s="45">
        <f t="shared" si="258"/>
        <v>0</v>
      </c>
      <c r="N242" s="45">
        <f t="shared" si="259"/>
        <v>0</v>
      </c>
      <c r="O242" s="45"/>
      <c r="P242" s="45"/>
      <c r="Q242" s="45"/>
      <c r="R242" s="45">
        <f t="shared" si="260"/>
        <v>0</v>
      </c>
      <c r="S242" s="45">
        <f t="shared" si="261"/>
        <v>0</v>
      </c>
      <c r="T242" s="45">
        <f t="shared" si="262"/>
        <v>0</v>
      </c>
      <c r="U242" s="45"/>
      <c r="V242" s="45"/>
      <c r="W242" s="45"/>
      <c r="X242" s="45"/>
      <c r="Y242" s="45"/>
      <c r="Z242" s="45"/>
      <c r="AA242" s="45"/>
      <c r="AB242" s="45">
        <f t="shared" si="263"/>
        <v>0</v>
      </c>
      <c r="AC242" s="45">
        <f t="shared" si="264"/>
        <v>0</v>
      </c>
      <c r="AD242" s="45">
        <f t="shared" si="265"/>
        <v>0</v>
      </c>
      <c r="AE242" s="44"/>
      <c r="AF242" s="44"/>
      <c r="AG242" s="44"/>
      <c r="AH242" s="44"/>
      <c r="AI242" s="44"/>
      <c r="AJ242" s="44"/>
      <c r="AK242" s="44"/>
      <c r="AL242" s="44">
        <f t="shared" si="266"/>
        <v>0</v>
      </c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>
        <f t="shared" si="267"/>
        <v>0</v>
      </c>
      <c r="BS242" s="312">
        <f t="shared" si="268"/>
        <v>0</v>
      </c>
      <c r="BT242" s="312">
        <f t="shared" si="269"/>
        <v>0</v>
      </c>
      <c r="BU242" s="312">
        <f t="shared" si="270"/>
        <v>0</v>
      </c>
      <c r="BV242" s="312">
        <f t="shared" si="271"/>
        <v>0</v>
      </c>
      <c r="BW242" s="313">
        <f t="shared" si="272"/>
        <v>0</v>
      </c>
      <c r="BX242" s="313">
        <f t="shared" si="273"/>
        <v>0</v>
      </c>
      <c r="BY242" s="313">
        <f t="shared" si="274"/>
        <v>0</v>
      </c>
      <c r="BZ242" s="313">
        <f t="shared" si="275"/>
        <v>0</v>
      </c>
      <c r="CA242" s="44"/>
      <c r="CB242" s="45">
        <f t="shared" si="241"/>
        <v>0</v>
      </c>
      <c r="CC242" s="46">
        <f t="shared" si="242"/>
        <v>0</v>
      </c>
      <c r="CD242" s="47">
        <f t="shared" si="243"/>
        <v>0</v>
      </c>
      <c r="CE242" s="62"/>
      <c r="CF242" s="237" t="e">
        <f>VLOOKUP(A242,labo!B:C,2,FALSE)</f>
        <v>#N/A</v>
      </c>
      <c r="CG242" s="106">
        <f t="shared" si="244"/>
        <v>0</v>
      </c>
      <c r="CI242" s="51"/>
      <c r="CK242" s="251" t="e">
        <f t="shared" si="239"/>
        <v>#N/A</v>
      </c>
      <c r="CL242" s="323">
        <f t="shared" si="240"/>
        <v>0</v>
      </c>
      <c r="CM242" s="349"/>
    </row>
    <row r="243" spans="1:91">
      <c r="A243" s="77"/>
      <c r="B243" s="41" t="e">
        <f>VLOOKUP(A243,'vs mars'!B:D,3,FALSE)</f>
        <v>#N/A</v>
      </c>
      <c r="C243" s="42" t="e">
        <f>VLOOKUP(A243,'vs mars'!B:AC,28,FALSE)</f>
        <v>#N/A</v>
      </c>
      <c r="D243" s="77"/>
      <c r="E243" s="77"/>
      <c r="F243" s="43"/>
      <c r="G243" s="43"/>
      <c r="H243" s="43"/>
      <c r="I243" s="43"/>
      <c r="J243" s="44"/>
      <c r="K243" s="44"/>
      <c r="L243" s="45">
        <f t="shared" si="257"/>
        <v>0</v>
      </c>
      <c r="M243" s="45">
        <f t="shared" si="258"/>
        <v>0</v>
      </c>
      <c r="N243" s="45">
        <f t="shared" si="259"/>
        <v>0</v>
      </c>
      <c r="O243" s="45"/>
      <c r="P243" s="45"/>
      <c r="Q243" s="45"/>
      <c r="R243" s="45">
        <f t="shared" si="260"/>
        <v>0</v>
      </c>
      <c r="S243" s="45">
        <f t="shared" si="261"/>
        <v>0</v>
      </c>
      <c r="T243" s="45">
        <f t="shared" si="262"/>
        <v>0</v>
      </c>
      <c r="U243" s="45"/>
      <c r="V243" s="45"/>
      <c r="W243" s="45"/>
      <c r="X243" s="45"/>
      <c r="Y243" s="45"/>
      <c r="Z243" s="45"/>
      <c r="AA243" s="45"/>
      <c r="AB243" s="45">
        <f t="shared" si="263"/>
        <v>0</v>
      </c>
      <c r="AC243" s="45">
        <f t="shared" si="264"/>
        <v>0</v>
      </c>
      <c r="AD243" s="45">
        <f t="shared" si="265"/>
        <v>0</v>
      </c>
      <c r="AE243" s="44"/>
      <c r="AF243" s="44"/>
      <c r="AG243" s="44"/>
      <c r="AH243" s="44"/>
      <c r="AI243" s="44"/>
      <c r="AJ243" s="44"/>
      <c r="AK243" s="44"/>
      <c r="AL243" s="44">
        <f t="shared" si="266"/>
        <v>0</v>
      </c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>
        <f t="shared" si="267"/>
        <v>0</v>
      </c>
      <c r="BS243" s="312">
        <f t="shared" si="268"/>
        <v>0</v>
      </c>
      <c r="BT243" s="312">
        <f t="shared" si="269"/>
        <v>0</v>
      </c>
      <c r="BU243" s="312">
        <f t="shared" si="270"/>
        <v>0</v>
      </c>
      <c r="BV243" s="312">
        <f t="shared" si="271"/>
        <v>0</v>
      </c>
      <c r="BW243" s="313">
        <f t="shared" si="272"/>
        <v>0</v>
      </c>
      <c r="BX243" s="313">
        <f t="shared" si="273"/>
        <v>0</v>
      </c>
      <c r="BY243" s="313">
        <f t="shared" si="274"/>
        <v>0</v>
      </c>
      <c r="BZ243" s="313">
        <f t="shared" si="275"/>
        <v>0</v>
      </c>
      <c r="CA243" s="44"/>
      <c r="CB243" s="45">
        <f t="shared" si="241"/>
        <v>0</v>
      </c>
      <c r="CC243" s="46">
        <f t="shared" si="242"/>
        <v>0</v>
      </c>
      <c r="CD243" s="47">
        <f t="shared" si="243"/>
        <v>0</v>
      </c>
      <c r="CE243" s="62"/>
      <c r="CF243" s="237" t="e">
        <f>VLOOKUP(A243,labo!B:C,2,FALSE)</f>
        <v>#N/A</v>
      </c>
      <c r="CG243" s="106">
        <f t="shared" si="244"/>
        <v>0</v>
      </c>
      <c r="CI243" s="51"/>
      <c r="CK243" s="251" t="e">
        <f t="shared" si="239"/>
        <v>#N/A</v>
      </c>
      <c r="CL243" s="323">
        <f t="shared" si="240"/>
        <v>0</v>
      </c>
      <c r="CM243" s="349"/>
    </row>
    <row r="244" spans="1:91">
      <c r="A244" s="77"/>
      <c r="B244" s="41" t="e">
        <f>VLOOKUP(A244,'vs mars'!B:D,3,FALSE)</f>
        <v>#N/A</v>
      </c>
      <c r="C244" s="42" t="e">
        <f>VLOOKUP(A244,'vs mars'!B:AC,28,FALSE)</f>
        <v>#N/A</v>
      </c>
      <c r="D244" s="77"/>
      <c r="E244" s="77"/>
      <c r="F244" s="43"/>
      <c r="G244" s="43"/>
      <c r="H244" s="43"/>
      <c r="I244" s="43"/>
      <c r="J244" s="44"/>
      <c r="K244" s="44"/>
      <c r="L244" s="45">
        <f t="shared" si="257"/>
        <v>0</v>
      </c>
      <c r="M244" s="45">
        <f t="shared" si="258"/>
        <v>0</v>
      </c>
      <c r="N244" s="45">
        <f t="shared" si="259"/>
        <v>0</v>
      </c>
      <c r="O244" s="45"/>
      <c r="P244" s="45"/>
      <c r="Q244" s="45"/>
      <c r="R244" s="45">
        <f t="shared" si="260"/>
        <v>0</v>
      </c>
      <c r="S244" s="45">
        <f t="shared" si="261"/>
        <v>0</v>
      </c>
      <c r="T244" s="45">
        <f t="shared" si="262"/>
        <v>0</v>
      </c>
      <c r="U244" s="45"/>
      <c r="V244" s="45"/>
      <c r="W244" s="45"/>
      <c r="X244" s="45"/>
      <c r="Y244" s="45"/>
      <c r="Z244" s="45"/>
      <c r="AA244" s="45"/>
      <c r="AB244" s="45">
        <f t="shared" si="263"/>
        <v>0</v>
      </c>
      <c r="AC244" s="45">
        <f t="shared" si="264"/>
        <v>0</v>
      </c>
      <c r="AD244" s="45">
        <f t="shared" si="265"/>
        <v>0</v>
      </c>
      <c r="AE244" s="44"/>
      <c r="AF244" s="44"/>
      <c r="AG244" s="44"/>
      <c r="AH244" s="44"/>
      <c r="AI244" s="44"/>
      <c r="AJ244" s="44"/>
      <c r="AK244" s="44"/>
      <c r="AL244" s="44">
        <f t="shared" si="266"/>
        <v>0</v>
      </c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  <c r="BL244" s="44"/>
      <c r="BM244" s="44"/>
      <c r="BN244" s="44"/>
      <c r="BO244" s="44"/>
      <c r="BP244" s="44"/>
      <c r="BQ244" s="44"/>
      <c r="BR244" s="44">
        <f t="shared" si="267"/>
        <v>0</v>
      </c>
      <c r="BS244" s="312">
        <f t="shared" si="268"/>
        <v>0</v>
      </c>
      <c r="BT244" s="312">
        <f t="shared" si="269"/>
        <v>0</v>
      </c>
      <c r="BU244" s="312">
        <f t="shared" si="270"/>
        <v>0</v>
      </c>
      <c r="BV244" s="312">
        <f t="shared" si="271"/>
        <v>0</v>
      </c>
      <c r="BW244" s="313">
        <f t="shared" si="272"/>
        <v>0</v>
      </c>
      <c r="BX244" s="313">
        <f t="shared" si="273"/>
        <v>0</v>
      </c>
      <c r="BY244" s="313">
        <f t="shared" si="274"/>
        <v>0</v>
      </c>
      <c r="BZ244" s="313">
        <f t="shared" si="275"/>
        <v>0</v>
      </c>
      <c r="CA244" s="44"/>
      <c r="CB244" s="45">
        <f t="shared" si="241"/>
        <v>0</v>
      </c>
      <c r="CC244" s="46">
        <f t="shared" si="242"/>
        <v>0</v>
      </c>
      <c r="CD244" s="47">
        <f t="shared" si="243"/>
        <v>0</v>
      </c>
      <c r="CE244" s="62"/>
      <c r="CF244" s="237" t="e">
        <f>VLOOKUP(A244,labo!B:C,2,FALSE)</f>
        <v>#N/A</v>
      </c>
      <c r="CG244" s="106">
        <f t="shared" si="244"/>
        <v>0</v>
      </c>
      <c r="CI244" s="51"/>
      <c r="CK244" s="251" t="e">
        <f t="shared" si="239"/>
        <v>#N/A</v>
      </c>
      <c r="CL244" s="323">
        <f t="shared" si="240"/>
        <v>0</v>
      </c>
      <c r="CM244" s="349"/>
    </row>
    <row r="245" spans="1:91">
      <c r="A245" s="77"/>
      <c r="B245" s="41" t="e">
        <f>VLOOKUP(A245,'vs mars'!B:D,3,FALSE)</f>
        <v>#N/A</v>
      </c>
      <c r="C245" s="42" t="e">
        <f>VLOOKUP(A245,'vs mars'!B:AC,28,FALSE)</f>
        <v>#N/A</v>
      </c>
      <c r="D245" s="77"/>
      <c r="E245" s="77"/>
      <c r="F245" s="43"/>
      <c r="G245" s="43"/>
      <c r="H245" s="43"/>
      <c r="I245" s="43"/>
      <c r="J245" s="44"/>
      <c r="K245" s="44"/>
      <c r="L245" s="45">
        <f t="shared" si="257"/>
        <v>0</v>
      </c>
      <c r="M245" s="45">
        <f t="shared" si="258"/>
        <v>0</v>
      </c>
      <c r="N245" s="45">
        <f t="shared" si="259"/>
        <v>0</v>
      </c>
      <c r="O245" s="45"/>
      <c r="P245" s="45"/>
      <c r="Q245" s="45"/>
      <c r="R245" s="45">
        <f t="shared" si="260"/>
        <v>0</v>
      </c>
      <c r="S245" s="45">
        <f t="shared" si="261"/>
        <v>0</v>
      </c>
      <c r="T245" s="45">
        <f t="shared" si="262"/>
        <v>0</v>
      </c>
      <c r="U245" s="45"/>
      <c r="V245" s="45"/>
      <c r="W245" s="45"/>
      <c r="X245" s="45"/>
      <c r="Y245" s="45"/>
      <c r="Z245" s="45"/>
      <c r="AA245" s="45"/>
      <c r="AB245" s="45">
        <f t="shared" si="263"/>
        <v>0</v>
      </c>
      <c r="AC245" s="45">
        <f t="shared" si="264"/>
        <v>0</v>
      </c>
      <c r="AD245" s="45">
        <f t="shared" si="265"/>
        <v>0</v>
      </c>
      <c r="AE245" s="44"/>
      <c r="AF245" s="44"/>
      <c r="AG245" s="44"/>
      <c r="AH245" s="44"/>
      <c r="AI245" s="44"/>
      <c r="AJ245" s="44"/>
      <c r="AK245" s="44"/>
      <c r="AL245" s="44">
        <f t="shared" si="266"/>
        <v>0</v>
      </c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>
        <f t="shared" si="267"/>
        <v>0</v>
      </c>
      <c r="BS245" s="312">
        <f t="shared" si="268"/>
        <v>0</v>
      </c>
      <c r="BT245" s="312">
        <f t="shared" si="269"/>
        <v>0</v>
      </c>
      <c r="BU245" s="312">
        <f t="shared" si="270"/>
        <v>0</v>
      </c>
      <c r="BV245" s="312">
        <f t="shared" si="271"/>
        <v>0</v>
      </c>
      <c r="BW245" s="313">
        <f t="shared" si="272"/>
        <v>0</v>
      </c>
      <c r="BX245" s="313">
        <f t="shared" si="273"/>
        <v>0</v>
      </c>
      <c r="BY245" s="313">
        <f t="shared" si="274"/>
        <v>0</v>
      </c>
      <c r="BZ245" s="313">
        <f t="shared" si="275"/>
        <v>0</v>
      </c>
      <c r="CA245" s="44"/>
      <c r="CB245" s="45">
        <f t="shared" si="241"/>
        <v>0</v>
      </c>
      <c r="CC245" s="46">
        <f t="shared" si="242"/>
        <v>0</v>
      </c>
      <c r="CD245" s="47">
        <f t="shared" si="243"/>
        <v>0</v>
      </c>
      <c r="CE245" s="62"/>
      <c r="CF245" s="237" t="e">
        <f>VLOOKUP(A245,labo!B:C,2,FALSE)</f>
        <v>#N/A</v>
      </c>
      <c r="CG245" s="106">
        <f t="shared" si="244"/>
        <v>0</v>
      </c>
      <c r="CI245" s="51"/>
      <c r="CK245" s="251" t="e">
        <f t="shared" si="239"/>
        <v>#N/A</v>
      </c>
      <c r="CL245" s="323">
        <f t="shared" si="240"/>
        <v>0</v>
      </c>
      <c r="CM245" s="349"/>
    </row>
    <row r="246" spans="1:91">
      <c r="A246" s="77"/>
      <c r="B246" s="41" t="e">
        <f>VLOOKUP(A246,'vs mars'!B:D,3,FALSE)</f>
        <v>#N/A</v>
      </c>
      <c r="C246" s="42" t="e">
        <f>VLOOKUP(A246,'vs mars'!B:AC,28,FALSE)</f>
        <v>#N/A</v>
      </c>
      <c r="D246" s="77"/>
      <c r="E246" s="77"/>
      <c r="F246" s="43"/>
      <c r="G246" s="43"/>
      <c r="H246" s="43"/>
      <c r="I246" s="43"/>
      <c r="J246" s="44"/>
      <c r="K246" s="44"/>
      <c r="L246" s="45">
        <f t="shared" si="257"/>
        <v>0</v>
      </c>
      <c r="M246" s="45">
        <f t="shared" si="258"/>
        <v>0</v>
      </c>
      <c r="N246" s="45">
        <f t="shared" si="259"/>
        <v>0</v>
      </c>
      <c r="O246" s="45"/>
      <c r="P246" s="45"/>
      <c r="Q246" s="45"/>
      <c r="R246" s="45">
        <f t="shared" si="260"/>
        <v>0</v>
      </c>
      <c r="S246" s="45">
        <f t="shared" si="261"/>
        <v>0</v>
      </c>
      <c r="T246" s="45">
        <f t="shared" si="262"/>
        <v>0</v>
      </c>
      <c r="U246" s="45"/>
      <c r="V246" s="45"/>
      <c r="W246" s="45"/>
      <c r="X246" s="45"/>
      <c r="Y246" s="45"/>
      <c r="Z246" s="45"/>
      <c r="AA246" s="45"/>
      <c r="AB246" s="45">
        <f t="shared" si="263"/>
        <v>0</v>
      </c>
      <c r="AC246" s="45">
        <f t="shared" si="264"/>
        <v>0</v>
      </c>
      <c r="AD246" s="45">
        <f t="shared" si="265"/>
        <v>0</v>
      </c>
      <c r="AE246" s="44"/>
      <c r="AF246" s="44"/>
      <c r="AG246" s="44"/>
      <c r="AH246" s="44"/>
      <c r="AI246" s="44"/>
      <c r="AJ246" s="44"/>
      <c r="AK246" s="44"/>
      <c r="AL246" s="44">
        <f t="shared" si="266"/>
        <v>0</v>
      </c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>
        <f t="shared" si="267"/>
        <v>0</v>
      </c>
      <c r="BS246" s="312">
        <f t="shared" si="268"/>
        <v>0</v>
      </c>
      <c r="BT246" s="312">
        <f t="shared" si="269"/>
        <v>0</v>
      </c>
      <c r="BU246" s="312">
        <f t="shared" si="270"/>
        <v>0</v>
      </c>
      <c r="BV246" s="312">
        <f t="shared" si="271"/>
        <v>0</v>
      </c>
      <c r="BW246" s="313">
        <f t="shared" si="272"/>
        <v>0</v>
      </c>
      <c r="BX246" s="313">
        <f t="shared" si="273"/>
        <v>0</v>
      </c>
      <c r="BY246" s="313">
        <f t="shared" si="274"/>
        <v>0</v>
      </c>
      <c r="BZ246" s="313">
        <f t="shared" si="275"/>
        <v>0</v>
      </c>
      <c r="CA246" s="44"/>
      <c r="CB246" s="45">
        <f t="shared" si="241"/>
        <v>0</v>
      </c>
      <c r="CC246" s="46">
        <f t="shared" si="242"/>
        <v>0</v>
      </c>
      <c r="CD246" s="47">
        <f t="shared" si="243"/>
        <v>0</v>
      </c>
      <c r="CE246" s="62"/>
      <c r="CF246" s="237" t="e">
        <f>VLOOKUP(A246,labo!B:C,2,FALSE)</f>
        <v>#N/A</v>
      </c>
      <c r="CG246" s="106">
        <f t="shared" si="244"/>
        <v>0</v>
      </c>
      <c r="CI246" s="51"/>
      <c r="CK246" s="251" t="e">
        <f t="shared" si="239"/>
        <v>#N/A</v>
      </c>
      <c r="CL246" s="323">
        <f t="shared" si="240"/>
        <v>0</v>
      </c>
      <c r="CM246" s="349"/>
    </row>
    <row r="247" spans="1:91">
      <c r="A247" s="77"/>
      <c r="B247" s="41" t="e">
        <f>VLOOKUP(A247,'vs mars'!B:D,3,FALSE)</f>
        <v>#N/A</v>
      </c>
      <c r="C247" s="42" t="e">
        <f>VLOOKUP(A247,'vs mars'!B:AC,28,FALSE)</f>
        <v>#N/A</v>
      </c>
      <c r="D247" s="77"/>
      <c r="E247" s="77"/>
      <c r="F247" s="43"/>
      <c r="G247" s="43"/>
      <c r="H247" s="43"/>
      <c r="I247" s="43"/>
      <c r="J247" s="44"/>
      <c r="K247" s="44"/>
      <c r="L247" s="45">
        <f t="shared" si="257"/>
        <v>0</v>
      </c>
      <c r="M247" s="45">
        <f t="shared" si="258"/>
        <v>0</v>
      </c>
      <c r="N247" s="45">
        <f t="shared" si="259"/>
        <v>0</v>
      </c>
      <c r="O247" s="45"/>
      <c r="P247" s="45"/>
      <c r="Q247" s="45"/>
      <c r="R247" s="45">
        <f t="shared" si="260"/>
        <v>0</v>
      </c>
      <c r="S247" s="45">
        <f t="shared" si="261"/>
        <v>0</v>
      </c>
      <c r="T247" s="45">
        <f t="shared" si="262"/>
        <v>0</v>
      </c>
      <c r="U247" s="45"/>
      <c r="V247" s="45"/>
      <c r="W247" s="45"/>
      <c r="X247" s="45"/>
      <c r="Y247" s="45"/>
      <c r="Z247" s="45"/>
      <c r="AA247" s="45"/>
      <c r="AB247" s="45">
        <f t="shared" si="263"/>
        <v>0</v>
      </c>
      <c r="AC247" s="45">
        <f t="shared" si="264"/>
        <v>0</v>
      </c>
      <c r="AD247" s="45">
        <f t="shared" si="265"/>
        <v>0</v>
      </c>
      <c r="AE247" s="44"/>
      <c r="AF247" s="44"/>
      <c r="AG247" s="44"/>
      <c r="AH247" s="44"/>
      <c r="AI247" s="44"/>
      <c r="AJ247" s="44"/>
      <c r="AK247" s="44"/>
      <c r="AL247" s="44">
        <f t="shared" si="266"/>
        <v>0</v>
      </c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>
        <f t="shared" si="267"/>
        <v>0</v>
      </c>
      <c r="BS247" s="312">
        <f t="shared" si="268"/>
        <v>0</v>
      </c>
      <c r="BT247" s="312">
        <f t="shared" si="269"/>
        <v>0</v>
      </c>
      <c r="BU247" s="312">
        <f t="shared" si="270"/>
        <v>0</v>
      </c>
      <c r="BV247" s="312">
        <f t="shared" si="271"/>
        <v>0</v>
      </c>
      <c r="BW247" s="313">
        <f t="shared" si="272"/>
        <v>0</v>
      </c>
      <c r="BX247" s="313">
        <f t="shared" si="273"/>
        <v>0</v>
      </c>
      <c r="BY247" s="313">
        <f t="shared" si="274"/>
        <v>0</v>
      </c>
      <c r="BZ247" s="313">
        <f t="shared" si="275"/>
        <v>0</v>
      </c>
      <c r="CA247" s="44"/>
      <c r="CB247" s="45">
        <f t="shared" si="241"/>
        <v>0</v>
      </c>
      <c r="CC247" s="46">
        <f t="shared" si="242"/>
        <v>0</v>
      </c>
      <c r="CD247" s="47">
        <f t="shared" si="243"/>
        <v>0</v>
      </c>
      <c r="CE247" s="62"/>
      <c r="CF247" s="237" t="e">
        <f>VLOOKUP(A247,labo!B:C,2,FALSE)</f>
        <v>#N/A</v>
      </c>
      <c r="CG247" s="106">
        <f t="shared" si="244"/>
        <v>0</v>
      </c>
      <c r="CI247" s="51"/>
      <c r="CK247" s="251" t="e">
        <f t="shared" si="239"/>
        <v>#N/A</v>
      </c>
      <c r="CL247" s="323">
        <f t="shared" si="240"/>
        <v>0</v>
      </c>
      <c r="CM247" s="349"/>
    </row>
    <row r="248" spans="1:91">
      <c r="A248" s="77"/>
      <c r="B248" s="41" t="e">
        <f>VLOOKUP(A248,'vs mars'!B:D,3,FALSE)</f>
        <v>#N/A</v>
      </c>
      <c r="C248" s="42" t="e">
        <f>VLOOKUP(A248,'vs mars'!B:AC,28,FALSE)</f>
        <v>#N/A</v>
      </c>
      <c r="D248" s="77"/>
      <c r="E248" s="77"/>
      <c r="F248" s="43"/>
      <c r="G248" s="43"/>
      <c r="H248" s="43"/>
      <c r="I248" s="43"/>
      <c r="J248" s="44"/>
      <c r="K248" s="44"/>
      <c r="L248" s="45">
        <f t="shared" si="257"/>
        <v>0</v>
      </c>
      <c r="M248" s="45">
        <f t="shared" si="258"/>
        <v>0</v>
      </c>
      <c r="N248" s="45">
        <f t="shared" si="259"/>
        <v>0</v>
      </c>
      <c r="O248" s="45"/>
      <c r="P248" s="45"/>
      <c r="Q248" s="45"/>
      <c r="R248" s="45">
        <f t="shared" si="260"/>
        <v>0</v>
      </c>
      <c r="S248" s="45">
        <f t="shared" si="261"/>
        <v>0</v>
      </c>
      <c r="T248" s="45">
        <f t="shared" si="262"/>
        <v>0</v>
      </c>
      <c r="U248" s="45"/>
      <c r="V248" s="45"/>
      <c r="W248" s="45"/>
      <c r="X248" s="45"/>
      <c r="Y248" s="45"/>
      <c r="Z248" s="45"/>
      <c r="AA248" s="45"/>
      <c r="AB248" s="45">
        <f t="shared" si="263"/>
        <v>0</v>
      </c>
      <c r="AC248" s="45">
        <f t="shared" si="264"/>
        <v>0</v>
      </c>
      <c r="AD248" s="45">
        <f t="shared" si="265"/>
        <v>0</v>
      </c>
      <c r="AE248" s="44"/>
      <c r="AF248" s="44"/>
      <c r="AG248" s="44"/>
      <c r="AH248" s="44"/>
      <c r="AI248" s="44"/>
      <c r="AJ248" s="44"/>
      <c r="AK248" s="44"/>
      <c r="AL248" s="44">
        <f t="shared" si="266"/>
        <v>0</v>
      </c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>
        <f t="shared" si="267"/>
        <v>0</v>
      </c>
      <c r="BS248" s="312">
        <f t="shared" si="268"/>
        <v>0</v>
      </c>
      <c r="BT248" s="312">
        <f t="shared" si="269"/>
        <v>0</v>
      </c>
      <c r="BU248" s="312">
        <f t="shared" si="270"/>
        <v>0</v>
      </c>
      <c r="BV248" s="312">
        <f t="shared" si="271"/>
        <v>0</v>
      </c>
      <c r="BW248" s="313">
        <f t="shared" si="272"/>
        <v>0</v>
      </c>
      <c r="BX248" s="313">
        <f t="shared" si="273"/>
        <v>0</v>
      </c>
      <c r="BY248" s="313">
        <f t="shared" si="274"/>
        <v>0</v>
      </c>
      <c r="BZ248" s="313">
        <f t="shared" si="275"/>
        <v>0</v>
      </c>
      <c r="CA248" s="44"/>
      <c r="CB248" s="45">
        <f t="shared" si="241"/>
        <v>0</v>
      </c>
      <c r="CC248" s="46">
        <f t="shared" si="242"/>
        <v>0</v>
      </c>
      <c r="CD248" s="47">
        <f t="shared" si="243"/>
        <v>0</v>
      </c>
      <c r="CE248" s="62"/>
      <c r="CF248" s="237" t="e">
        <f>VLOOKUP(A248,labo!B:C,2,FALSE)</f>
        <v>#N/A</v>
      </c>
      <c r="CG248" s="106">
        <f t="shared" si="244"/>
        <v>0</v>
      </c>
      <c r="CI248" s="51"/>
      <c r="CK248" s="251" t="e">
        <f t="shared" ref="CK248" si="289">+B248</f>
        <v>#N/A</v>
      </c>
      <c r="CL248" s="323">
        <f t="shared" ref="CL248" si="290">CE248</f>
        <v>0</v>
      </c>
      <c r="CM248" s="349"/>
    </row>
    <row r="249" spans="1:91">
      <c r="A249" s="77"/>
      <c r="B249" s="41" t="e">
        <f>VLOOKUP(A249,'vs mars'!B:D,3,FALSE)</f>
        <v>#N/A</v>
      </c>
      <c r="C249" s="42" t="e">
        <f>VLOOKUP(A249,'vs mars'!B:AC,28,FALSE)</f>
        <v>#N/A</v>
      </c>
      <c r="D249" s="77"/>
      <c r="E249" s="77"/>
      <c r="F249" s="43"/>
      <c r="G249" s="43"/>
      <c r="H249" s="43"/>
      <c r="I249" s="43"/>
      <c r="J249" s="44"/>
      <c r="K249" s="44"/>
      <c r="L249" s="45">
        <f t="shared" si="257"/>
        <v>0</v>
      </c>
      <c r="M249" s="45">
        <f t="shared" si="258"/>
        <v>0</v>
      </c>
      <c r="N249" s="45">
        <f t="shared" si="259"/>
        <v>0</v>
      </c>
      <c r="O249" s="45"/>
      <c r="P249" s="45"/>
      <c r="Q249" s="45"/>
      <c r="R249" s="45">
        <f t="shared" si="260"/>
        <v>0</v>
      </c>
      <c r="S249" s="45">
        <f t="shared" si="261"/>
        <v>0</v>
      </c>
      <c r="T249" s="45">
        <f t="shared" si="262"/>
        <v>0</v>
      </c>
      <c r="U249" s="45"/>
      <c r="V249" s="45"/>
      <c r="W249" s="45"/>
      <c r="X249" s="45"/>
      <c r="Y249" s="45"/>
      <c r="Z249" s="45"/>
      <c r="AA249" s="45"/>
      <c r="AB249" s="45">
        <f t="shared" si="263"/>
        <v>0</v>
      </c>
      <c r="AC249" s="45">
        <f t="shared" si="264"/>
        <v>0</v>
      </c>
      <c r="AD249" s="45">
        <f t="shared" si="265"/>
        <v>0</v>
      </c>
      <c r="AE249" s="44"/>
      <c r="AF249" s="44"/>
      <c r="AG249" s="44"/>
      <c r="AH249" s="44"/>
      <c r="AI249" s="44"/>
      <c r="AJ249" s="44"/>
      <c r="AK249" s="44"/>
      <c r="AL249" s="44">
        <f t="shared" si="266"/>
        <v>0</v>
      </c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>
        <f t="shared" si="267"/>
        <v>0</v>
      </c>
      <c r="BS249" s="312">
        <f t="shared" si="268"/>
        <v>0</v>
      </c>
      <c r="BT249" s="312">
        <f t="shared" si="269"/>
        <v>0</v>
      </c>
      <c r="BU249" s="312">
        <f t="shared" si="270"/>
        <v>0</v>
      </c>
      <c r="BV249" s="312">
        <f t="shared" si="271"/>
        <v>0</v>
      </c>
      <c r="BW249" s="313">
        <f t="shared" si="272"/>
        <v>0</v>
      </c>
      <c r="BX249" s="313">
        <f t="shared" si="273"/>
        <v>0</v>
      </c>
      <c r="BY249" s="313">
        <f t="shared" si="274"/>
        <v>0</v>
      </c>
      <c r="BZ249" s="313">
        <f t="shared" si="275"/>
        <v>0</v>
      </c>
      <c r="CA249" s="44"/>
      <c r="CB249" s="45">
        <f t="shared" si="241"/>
        <v>0</v>
      </c>
      <c r="CC249" s="46">
        <f t="shared" si="242"/>
        <v>0</v>
      </c>
      <c r="CD249" s="47">
        <f t="shared" si="243"/>
        <v>0</v>
      </c>
      <c r="CE249" s="62"/>
      <c r="CF249" s="237" t="e">
        <f>VLOOKUP(A249,labo!B:C,2,FALSE)</f>
        <v>#N/A</v>
      </c>
      <c r="CG249" s="106">
        <f t="shared" si="244"/>
        <v>0</v>
      </c>
      <c r="CI249" s="51"/>
      <c r="CK249" s="251" t="e">
        <f t="shared" si="239"/>
        <v>#N/A</v>
      </c>
      <c r="CL249" s="323">
        <f t="shared" si="240"/>
        <v>0</v>
      </c>
      <c r="CM249" s="349"/>
    </row>
    <row r="250" spans="1:91">
      <c r="A250" s="77"/>
      <c r="B250" s="41" t="e">
        <f>VLOOKUP(A250,'vs mars'!B:D,3,FALSE)</f>
        <v>#N/A</v>
      </c>
      <c r="C250" s="42" t="e">
        <f>VLOOKUP(A250,'vs mars'!B:AC,28,FALSE)</f>
        <v>#N/A</v>
      </c>
      <c r="D250" s="77"/>
      <c r="E250" s="77"/>
      <c r="F250" s="43"/>
      <c r="G250" s="43"/>
      <c r="H250" s="43"/>
      <c r="I250" s="43"/>
      <c r="J250" s="44"/>
      <c r="K250" s="44"/>
      <c r="L250" s="45">
        <f t="shared" si="257"/>
        <v>0</v>
      </c>
      <c r="M250" s="45">
        <f t="shared" si="258"/>
        <v>0</v>
      </c>
      <c r="N250" s="45">
        <f t="shared" si="259"/>
        <v>0</v>
      </c>
      <c r="O250" s="45"/>
      <c r="P250" s="45"/>
      <c r="Q250" s="45"/>
      <c r="R250" s="45">
        <f t="shared" si="260"/>
        <v>0</v>
      </c>
      <c r="S250" s="45">
        <f t="shared" si="261"/>
        <v>0</v>
      </c>
      <c r="T250" s="45">
        <f t="shared" si="262"/>
        <v>0</v>
      </c>
      <c r="U250" s="45"/>
      <c r="V250" s="45"/>
      <c r="W250" s="45"/>
      <c r="X250" s="45"/>
      <c r="Y250" s="45"/>
      <c r="Z250" s="45"/>
      <c r="AA250" s="45"/>
      <c r="AB250" s="45">
        <f t="shared" si="263"/>
        <v>0</v>
      </c>
      <c r="AC250" s="45">
        <f t="shared" si="264"/>
        <v>0</v>
      </c>
      <c r="AD250" s="45">
        <f t="shared" si="265"/>
        <v>0</v>
      </c>
      <c r="AE250" s="44"/>
      <c r="AF250" s="44"/>
      <c r="AG250" s="44"/>
      <c r="AH250" s="44"/>
      <c r="AI250" s="44"/>
      <c r="AJ250" s="44"/>
      <c r="AK250" s="44"/>
      <c r="AL250" s="44">
        <f t="shared" si="266"/>
        <v>0</v>
      </c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>
        <f t="shared" si="267"/>
        <v>0</v>
      </c>
      <c r="BS250" s="312">
        <f t="shared" si="268"/>
        <v>0</v>
      </c>
      <c r="BT250" s="312">
        <f t="shared" si="269"/>
        <v>0</v>
      </c>
      <c r="BU250" s="312">
        <f t="shared" si="270"/>
        <v>0</v>
      </c>
      <c r="BV250" s="312">
        <f t="shared" si="271"/>
        <v>0</v>
      </c>
      <c r="BW250" s="313">
        <f t="shared" si="272"/>
        <v>0</v>
      </c>
      <c r="BX250" s="313">
        <f t="shared" si="273"/>
        <v>0</v>
      </c>
      <c r="BY250" s="313">
        <f t="shared" si="274"/>
        <v>0</v>
      </c>
      <c r="BZ250" s="313">
        <f t="shared" si="275"/>
        <v>0</v>
      </c>
      <c r="CA250" s="44"/>
      <c r="CB250" s="45">
        <f t="shared" si="241"/>
        <v>0</v>
      </c>
      <c r="CC250" s="46">
        <f t="shared" si="242"/>
        <v>0</v>
      </c>
      <c r="CD250" s="47">
        <f t="shared" si="243"/>
        <v>0</v>
      </c>
      <c r="CE250" s="62"/>
      <c r="CF250" s="237" t="e">
        <f>VLOOKUP(A250,labo!B:C,2,FALSE)</f>
        <v>#N/A</v>
      </c>
      <c r="CG250" s="106">
        <f t="shared" si="244"/>
        <v>0</v>
      </c>
      <c r="CI250" s="51"/>
      <c r="CK250" s="251" t="e">
        <f t="shared" si="239"/>
        <v>#N/A</v>
      </c>
      <c r="CL250" s="323">
        <f t="shared" si="240"/>
        <v>0</v>
      </c>
      <c r="CM250" s="349"/>
    </row>
    <row r="251" spans="1:91">
      <c r="A251" s="77"/>
      <c r="B251" s="41" t="e">
        <f>VLOOKUP(A251,'vs mars'!B:D,3,FALSE)</f>
        <v>#N/A</v>
      </c>
      <c r="C251" s="42" t="e">
        <f>VLOOKUP(A251,'vs mars'!B:AC,28,FALSE)</f>
        <v>#N/A</v>
      </c>
      <c r="D251" s="77"/>
      <c r="E251" s="77"/>
      <c r="F251" s="43"/>
      <c r="G251" s="43"/>
      <c r="H251" s="43"/>
      <c r="I251" s="43"/>
      <c r="J251" s="44"/>
      <c r="K251" s="44"/>
      <c r="L251" s="45">
        <f t="shared" si="257"/>
        <v>0</v>
      </c>
      <c r="M251" s="45">
        <f t="shared" si="258"/>
        <v>0</v>
      </c>
      <c r="N251" s="45">
        <f t="shared" si="259"/>
        <v>0</v>
      </c>
      <c r="O251" s="45"/>
      <c r="P251" s="45"/>
      <c r="Q251" s="45"/>
      <c r="R251" s="45">
        <f t="shared" si="260"/>
        <v>0</v>
      </c>
      <c r="S251" s="45">
        <f t="shared" si="261"/>
        <v>0</v>
      </c>
      <c r="T251" s="45">
        <f t="shared" si="262"/>
        <v>0</v>
      </c>
      <c r="U251" s="45"/>
      <c r="V251" s="45"/>
      <c r="W251" s="45"/>
      <c r="X251" s="45"/>
      <c r="Y251" s="45"/>
      <c r="Z251" s="45"/>
      <c r="AA251" s="45"/>
      <c r="AB251" s="45">
        <f t="shared" si="263"/>
        <v>0</v>
      </c>
      <c r="AC251" s="45">
        <f t="shared" si="264"/>
        <v>0</v>
      </c>
      <c r="AD251" s="45">
        <f t="shared" si="265"/>
        <v>0</v>
      </c>
      <c r="AE251" s="44"/>
      <c r="AF251" s="44"/>
      <c r="AG251" s="44"/>
      <c r="AH251" s="44"/>
      <c r="AI251" s="44"/>
      <c r="AJ251" s="44"/>
      <c r="AK251" s="44"/>
      <c r="AL251" s="44">
        <f t="shared" si="266"/>
        <v>0</v>
      </c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>
        <f t="shared" si="267"/>
        <v>0</v>
      </c>
      <c r="BS251" s="312">
        <f t="shared" si="268"/>
        <v>0</v>
      </c>
      <c r="BT251" s="312">
        <f t="shared" si="269"/>
        <v>0</v>
      </c>
      <c r="BU251" s="312">
        <f t="shared" si="270"/>
        <v>0</v>
      </c>
      <c r="BV251" s="312">
        <f t="shared" si="271"/>
        <v>0</v>
      </c>
      <c r="BW251" s="313">
        <f t="shared" si="272"/>
        <v>0</v>
      </c>
      <c r="BX251" s="313">
        <f t="shared" si="273"/>
        <v>0</v>
      </c>
      <c r="BY251" s="313">
        <f t="shared" si="274"/>
        <v>0</v>
      </c>
      <c r="BZ251" s="313">
        <f t="shared" si="275"/>
        <v>0</v>
      </c>
      <c r="CA251" s="44"/>
      <c r="CB251" s="45">
        <f t="shared" si="241"/>
        <v>0</v>
      </c>
      <c r="CC251" s="46">
        <f t="shared" si="242"/>
        <v>0</v>
      </c>
      <c r="CD251" s="47">
        <f t="shared" si="243"/>
        <v>0</v>
      </c>
      <c r="CE251" s="62"/>
      <c r="CF251" s="237" t="e">
        <f>VLOOKUP(A251,labo!B:C,2,FALSE)</f>
        <v>#N/A</v>
      </c>
      <c r="CG251" s="106">
        <f t="shared" si="244"/>
        <v>0</v>
      </c>
      <c r="CI251" s="51"/>
      <c r="CK251" s="251" t="e">
        <f t="shared" si="239"/>
        <v>#N/A</v>
      </c>
      <c r="CL251" s="323">
        <f t="shared" si="240"/>
        <v>0</v>
      </c>
      <c r="CM251" s="349"/>
    </row>
    <row r="252" spans="1:91">
      <c r="A252" s="77"/>
      <c r="B252" s="41" t="e">
        <f>VLOOKUP(A252,'vs mars'!B:D,3,FALSE)</f>
        <v>#N/A</v>
      </c>
      <c r="C252" s="42" t="e">
        <f>VLOOKUP(A252,'vs mars'!B:AC,28,FALSE)</f>
        <v>#N/A</v>
      </c>
      <c r="D252" s="77"/>
      <c r="E252" s="77"/>
      <c r="F252" s="43"/>
      <c r="G252" s="43"/>
      <c r="H252" s="43"/>
      <c r="I252" s="43"/>
      <c r="J252" s="44"/>
      <c r="K252" s="44"/>
      <c r="L252" s="45">
        <f t="shared" si="257"/>
        <v>0</v>
      </c>
      <c r="M252" s="45">
        <f t="shared" si="258"/>
        <v>0</v>
      </c>
      <c r="N252" s="45">
        <f t="shared" si="259"/>
        <v>0</v>
      </c>
      <c r="O252" s="45"/>
      <c r="P252" s="45"/>
      <c r="Q252" s="45"/>
      <c r="R252" s="45">
        <f t="shared" si="260"/>
        <v>0</v>
      </c>
      <c r="S252" s="45">
        <f t="shared" si="261"/>
        <v>0</v>
      </c>
      <c r="T252" s="45">
        <f t="shared" si="262"/>
        <v>0</v>
      </c>
      <c r="U252" s="45"/>
      <c r="V252" s="45"/>
      <c r="W252" s="45"/>
      <c r="X252" s="45"/>
      <c r="Y252" s="45"/>
      <c r="Z252" s="45"/>
      <c r="AA252" s="45"/>
      <c r="AB252" s="45">
        <f t="shared" si="263"/>
        <v>0</v>
      </c>
      <c r="AC252" s="45">
        <f t="shared" si="264"/>
        <v>0</v>
      </c>
      <c r="AD252" s="45">
        <f t="shared" si="265"/>
        <v>0</v>
      </c>
      <c r="AE252" s="44"/>
      <c r="AF252" s="44"/>
      <c r="AG252" s="44"/>
      <c r="AH252" s="44"/>
      <c r="AI252" s="44"/>
      <c r="AJ252" s="44"/>
      <c r="AK252" s="44"/>
      <c r="AL252" s="44">
        <f t="shared" si="266"/>
        <v>0</v>
      </c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>
        <f t="shared" si="267"/>
        <v>0</v>
      </c>
      <c r="BS252" s="312">
        <f t="shared" si="268"/>
        <v>0</v>
      </c>
      <c r="BT252" s="312">
        <f t="shared" si="269"/>
        <v>0</v>
      </c>
      <c r="BU252" s="312">
        <f t="shared" si="270"/>
        <v>0</v>
      </c>
      <c r="BV252" s="312">
        <f t="shared" si="271"/>
        <v>0</v>
      </c>
      <c r="BW252" s="313">
        <f t="shared" si="272"/>
        <v>0</v>
      </c>
      <c r="BX252" s="313">
        <f t="shared" si="273"/>
        <v>0</v>
      </c>
      <c r="BY252" s="313">
        <f t="shared" si="274"/>
        <v>0</v>
      </c>
      <c r="BZ252" s="313">
        <f t="shared" si="275"/>
        <v>0</v>
      </c>
      <c r="CA252" s="44"/>
      <c r="CB252" s="45">
        <f t="shared" si="241"/>
        <v>0</v>
      </c>
      <c r="CC252" s="46">
        <f t="shared" si="242"/>
        <v>0</v>
      </c>
      <c r="CD252" s="47">
        <f t="shared" si="243"/>
        <v>0</v>
      </c>
      <c r="CE252" s="62"/>
      <c r="CF252" s="237" t="e">
        <f>VLOOKUP(A252,labo!B:C,2,FALSE)</f>
        <v>#N/A</v>
      </c>
      <c r="CG252" s="106">
        <f t="shared" si="244"/>
        <v>0</v>
      </c>
      <c r="CI252" s="51"/>
      <c r="CK252" s="251" t="e">
        <f t="shared" si="239"/>
        <v>#N/A</v>
      </c>
      <c r="CL252" s="323">
        <f t="shared" si="240"/>
        <v>0</v>
      </c>
      <c r="CM252" s="40">
        <v>27701308</v>
      </c>
    </row>
    <row r="253" spans="1:91">
      <c r="A253" s="77"/>
      <c r="B253" s="41" t="e">
        <f>VLOOKUP(A253,'vs mars'!B:D,3,FALSE)</f>
        <v>#N/A</v>
      </c>
      <c r="C253" s="42" t="e">
        <f>VLOOKUP(A253,'vs mars'!B:AC,28,FALSE)</f>
        <v>#N/A</v>
      </c>
      <c r="D253" s="77"/>
      <c r="E253" s="77"/>
      <c r="F253" s="43"/>
      <c r="G253" s="43"/>
      <c r="H253" s="43"/>
      <c r="I253" s="43"/>
      <c r="J253" s="44"/>
      <c r="K253" s="44"/>
      <c r="L253" s="45">
        <f t="shared" si="257"/>
        <v>0</v>
      </c>
      <c r="M253" s="45">
        <f t="shared" si="258"/>
        <v>0</v>
      </c>
      <c r="N253" s="45">
        <f t="shared" si="259"/>
        <v>0</v>
      </c>
      <c r="O253" s="45"/>
      <c r="P253" s="45"/>
      <c r="Q253" s="45"/>
      <c r="R253" s="45">
        <f t="shared" si="260"/>
        <v>0</v>
      </c>
      <c r="S253" s="45">
        <f t="shared" si="261"/>
        <v>0</v>
      </c>
      <c r="T253" s="45">
        <f t="shared" si="262"/>
        <v>0</v>
      </c>
      <c r="U253" s="45"/>
      <c r="V253" s="45"/>
      <c r="W253" s="45"/>
      <c r="X253" s="45"/>
      <c r="Y253" s="45"/>
      <c r="Z253" s="45"/>
      <c r="AA253" s="45"/>
      <c r="AB253" s="45">
        <f t="shared" si="263"/>
        <v>0</v>
      </c>
      <c r="AC253" s="45">
        <f t="shared" si="264"/>
        <v>0</v>
      </c>
      <c r="AD253" s="45">
        <f t="shared" si="265"/>
        <v>0</v>
      </c>
      <c r="AE253" s="44"/>
      <c r="AF253" s="44"/>
      <c r="AG253" s="44"/>
      <c r="AH253" s="44"/>
      <c r="AI253" s="44"/>
      <c r="AJ253" s="44"/>
      <c r="AK253" s="44"/>
      <c r="AL253" s="44">
        <f t="shared" si="266"/>
        <v>0</v>
      </c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>
        <f t="shared" si="267"/>
        <v>0</v>
      </c>
      <c r="BS253" s="312">
        <f t="shared" si="268"/>
        <v>0</v>
      </c>
      <c r="BT253" s="312">
        <f t="shared" si="269"/>
        <v>0</v>
      </c>
      <c r="BU253" s="312">
        <f t="shared" si="270"/>
        <v>0</v>
      </c>
      <c r="BV253" s="312">
        <f t="shared" si="271"/>
        <v>0</v>
      </c>
      <c r="BW253" s="313">
        <f t="shared" si="272"/>
        <v>0</v>
      </c>
      <c r="BX253" s="313">
        <f t="shared" si="273"/>
        <v>0</v>
      </c>
      <c r="BY253" s="313">
        <f t="shared" si="274"/>
        <v>0</v>
      </c>
      <c r="BZ253" s="313">
        <f t="shared" si="275"/>
        <v>0</v>
      </c>
      <c r="CA253" s="44"/>
      <c r="CB253" s="45">
        <f t="shared" si="241"/>
        <v>0</v>
      </c>
      <c r="CC253" s="46">
        <f t="shared" si="242"/>
        <v>0</v>
      </c>
      <c r="CD253" s="47">
        <f t="shared" si="243"/>
        <v>0</v>
      </c>
      <c r="CE253" s="62"/>
      <c r="CF253" s="237" t="e">
        <f>VLOOKUP(A253,labo!B:C,2,FALSE)</f>
        <v>#N/A</v>
      </c>
      <c r="CG253" s="106">
        <f t="shared" si="244"/>
        <v>0</v>
      </c>
      <c r="CI253" s="51"/>
      <c r="CK253" s="251" t="e">
        <f t="shared" ref="CK253" si="291">+B253</f>
        <v>#N/A</v>
      </c>
      <c r="CL253" s="323">
        <f t="shared" ref="CL253" si="292">CE253</f>
        <v>0</v>
      </c>
      <c r="CM253" s="349"/>
    </row>
    <row r="254" spans="1:91">
      <c r="A254" s="77"/>
      <c r="B254" s="41" t="e">
        <f>VLOOKUP(A254,'vs mars'!B:D,3,FALSE)</f>
        <v>#N/A</v>
      </c>
      <c r="C254" s="42" t="e">
        <f>VLOOKUP(A254,'vs mars'!B:AC,28,FALSE)</f>
        <v>#N/A</v>
      </c>
      <c r="D254" s="77"/>
      <c r="E254" s="77"/>
      <c r="F254" s="43"/>
      <c r="G254" s="43"/>
      <c r="H254" s="43"/>
      <c r="I254" s="43"/>
      <c r="J254" s="44"/>
      <c r="K254" s="44"/>
      <c r="L254" s="45">
        <f t="shared" si="257"/>
        <v>0</v>
      </c>
      <c r="M254" s="45">
        <f t="shared" si="258"/>
        <v>0</v>
      </c>
      <c r="N254" s="45">
        <f t="shared" si="259"/>
        <v>0</v>
      </c>
      <c r="O254" s="45"/>
      <c r="P254" s="45"/>
      <c r="Q254" s="45"/>
      <c r="R254" s="45">
        <f t="shared" si="260"/>
        <v>0</v>
      </c>
      <c r="S254" s="45">
        <f t="shared" si="261"/>
        <v>0</v>
      </c>
      <c r="T254" s="45">
        <f t="shared" si="262"/>
        <v>0</v>
      </c>
      <c r="U254" s="45"/>
      <c r="V254" s="45"/>
      <c r="W254" s="45"/>
      <c r="X254" s="45"/>
      <c r="Y254" s="45"/>
      <c r="Z254" s="45"/>
      <c r="AA254" s="45"/>
      <c r="AB254" s="45">
        <f t="shared" si="263"/>
        <v>0</v>
      </c>
      <c r="AC254" s="45">
        <f t="shared" si="264"/>
        <v>0</v>
      </c>
      <c r="AD254" s="45">
        <f t="shared" si="265"/>
        <v>0</v>
      </c>
      <c r="AE254" s="44"/>
      <c r="AF254" s="44"/>
      <c r="AG254" s="44"/>
      <c r="AH254" s="44"/>
      <c r="AI254" s="44"/>
      <c r="AJ254" s="44"/>
      <c r="AK254" s="44"/>
      <c r="AL254" s="44">
        <f t="shared" si="266"/>
        <v>0</v>
      </c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>
        <f t="shared" si="267"/>
        <v>0</v>
      </c>
      <c r="BS254" s="312">
        <f t="shared" si="268"/>
        <v>0</v>
      </c>
      <c r="BT254" s="312">
        <f t="shared" si="269"/>
        <v>0</v>
      </c>
      <c r="BU254" s="312">
        <f t="shared" si="270"/>
        <v>0</v>
      </c>
      <c r="BV254" s="312">
        <f t="shared" si="271"/>
        <v>0</v>
      </c>
      <c r="BW254" s="313">
        <f t="shared" si="272"/>
        <v>0</v>
      </c>
      <c r="BX254" s="313">
        <f t="shared" si="273"/>
        <v>0</v>
      </c>
      <c r="BY254" s="313">
        <f t="shared" si="274"/>
        <v>0</v>
      </c>
      <c r="BZ254" s="313">
        <f t="shared" si="275"/>
        <v>0</v>
      </c>
      <c r="CA254" s="44"/>
      <c r="CB254" s="45">
        <f t="shared" si="241"/>
        <v>0</v>
      </c>
      <c r="CC254" s="46">
        <f t="shared" si="242"/>
        <v>0</v>
      </c>
      <c r="CD254" s="47">
        <f t="shared" si="243"/>
        <v>0</v>
      </c>
      <c r="CE254" s="62"/>
      <c r="CF254" s="237" t="e">
        <f>VLOOKUP(A254,labo!B:C,2,FALSE)</f>
        <v>#N/A</v>
      </c>
      <c r="CG254" s="106">
        <f t="shared" si="244"/>
        <v>0</v>
      </c>
      <c r="CI254" s="51"/>
      <c r="CK254" s="251" t="e">
        <f t="shared" si="239"/>
        <v>#N/A</v>
      </c>
      <c r="CL254" s="323">
        <f t="shared" si="240"/>
        <v>0</v>
      </c>
      <c r="CM254" s="349"/>
    </row>
    <row r="255" spans="1:91">
      <c r="A255" s="77"/>
      <c r="B255" s="41" t="e">
        <f>VLOOKUP(A255,'vs mars'!B:D,3,FALSE)</f>
        <v>#N/A</v>
      </c>
      <c r="C255" s="42" t="e">
        <f>VLOOKUP(A255,'vs mars'!B:AC,28,FALSE)</f>
        <v>#N/A</v>
      </c>
      <c r="D255" s="77"/>
      <c r="E255" s="77"/>
      <c r="F255" s="43"/>
      <c r="G255" s="43"/>
      <c r="H255" s="43"/>
      <c r="I255" s="43"/>
      <c r="J255" s="44"/>
      <c r="K255" s="44"/>
      <c r="L255" s="45">
        <f t="shared" si="257"/>
        <v>0</v>
      </c>
      <c r="M255" s="45">
        <f t="shared" si="258"/>
        <v>0</v>
      </c>
      <c r="N255" s="45">
        <f t="shared" si="259"/>
        <v>0</v>
      </c>
      <c r="O255" s="45"/>
      <c r="P255" s="45"/>
      <c r="Q255" s="45"/>
      <c r="R255" s="45">
        <f t="shared" si="260"/>
        <v>0</v>
      </c>
      <c r="S255" s="45">
        <f t="shared" si="261"/>
        <v>0</v>
      </c>
      <c r="T255" s="45">
        <f t="shared" si="262"/>
        <v>0</v>
      </c>
      <c r="U255" s="45"/>
      <c r="V255" s="45"/>
      <c r="W255" s="45"/>
      <c r="X255" s="45"/>
      <c r="Y255" s="45"/>
      <c r="Z255" s="45"/>
      <c r="AA255" s="45"/>
      <c r="AB255" s="45">
        <f t="shared" si="263"/>
        <v>0</v>
      </c>
      <c r="AC255" s="45">
        <f t="shared" si="264"/>
        <v>0</v>
      </c>
      <c r="AD255" s="45">
        <f t="shared" si="265"/>
        <v>0</v>
      </c>
      <c r="AE255" s="44"/>
      <c r="AF255" s="44"/>
      <c r="AG255" s="44"/>
      <c r="AH255" s="44"/>
      <c r="AI255" s="44"/>
      <c r="AJ255" s="44"/>
      <c r="AK255" s="44"/>
      <c r="AL255" s="44">
        <f t="shared" si="266"/>
        <v>0</v>
      </c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>
        <f t="shared" si="267"/>
        <v>0</v>
      </c>
      <c r="BS255" s="312">
        <f t="shared" si="268"/>
        <v>0</v>
      </c>
      <c r="BT255" s="312">
        <f t="shared" si="269"/>
        <v>0</v>
      </c>
      <c r="BU255" s="312">
        <f t="shared" si="270"/>
        <v>0</v>
      </c>
      <c r="BV255" s="312">
        <f t="shared" si="271"/>
        <v>0</v>
      </c>
      <c r="BW255" s="313">
        <f t="shared" si="272"/>
        <v>0</v>
      </c>
      <c r="BX255" s="313">
        <f t="shared" si="273"/>
        <v>0</v>
      </c>
      <c r="BY255" s="313">
        <f t="shared" si="274"/>
        <v>0</v>
      </c>
      <c r="BZ255" s="313">
        <f t="shared" si="275"/>
        <v>0</v>
      </c>
      <c r="CA255" s="44"/>
      <c r="CB255" s="45">
        <f t="shared" si="241"/>
        <v>0</v>
      </c>
      <c r="CC255" s="46">
        <f t="shared" si="242"/>
        <v>0</v>
      </c>
      <c r="CD255" s="47">
        <f t="shared" si="243"/>
        <v>0</v>
      </c>
      <c r="CE255" s="62"/>
      <c r="CF255" s="237" t="e">
        <f>VLOOKUP(A255,labo!B:C,2,FALSE)</f>
        <v>#N/A</v>
      </c>
      <c r="CG255" s="106">
        <f t="shared" si="244"/>
        <v>0</v>
      </c>
      <c r="CI255" s="51"/>
      <c r="CK255" s="251" t="e">
        <f t="shared" si="239"/>
        <v>#N/A</v>
      </c>
      <c r="CL255" s="323">
        <f t="shared" si="240"/>
        <v>0</v>
      </c>
      <c r="CM255" s="349"/>
    </row>
    <row r="256" spans="1:91">
      <c r="A256" s="77"/>
      <c r="B256" s="41" t="e">
        <f>VLOOKUP(A256,'vs mars'!B:D,3,FALSE)</f>
        <v>#N/A</v>
      </c>
      <c r="C256" s="42" t="e">
        <f>VLOOKUP(A256,'vs mars'!B:AC,28,FALSE)</f>
        <v>#N/A</v>
      </c>
      <c r="D256" s="77"/>
      <c r="E256" s="77"/>
      <c r="F256" s="43"/>
      <c r="G256" s="43"/>
      <c r="H256" s="43"/>
      <c r="I256" s="43"/>
      <c r="J256" s="44"/>
      <c r="K256" s="44"/>
      <c r="L256" s="45">
        <f t="shared" si="257"/>
        <v>0</v>
      </c>
      <c r="M256" s="45">
        <f t="shared" si="258"/>
        <v>0</v>
      </c>
      <c r="N256" s="45">
        <f t="shared" si="259"/>
        <v>0</v>
      </c>
      <c r="O256" s="45"/>
      <c r="P256" s="45"/>
      <c r="Q256" s="45"/>
      <c r="R256" s="45">
        <f t="shared" si="260"/>
        <v>0</v>
      </c>
      <c r="S256" s="45">
        <f t="shared" si="261"/>
        <v>0</v>
      </c>
      <c r="T256" s="45">
        <f t="shared" si="262"/>
        <v>0</v>
      </c>
      <c r="U256" s="45"/>
      <c r="V256" s="45"/>
      <c r="W256" s="45"/>
      <c r="X256" s="45"/>
      <c r="Y256" s="45"/>
      <c r="Z256" s="45"/>
      <c r="AA256" s="45"/>
      <c r="AB256" s="45">
        <f t="shared" si="263"/>
        <v>0</v>
      </c>
      <c r="AC256" s="45">
        <f t="shared" si="264"/>
        <v>0</v>
      </c>
      <c r="AD256" s="45">
        <f t="shared" si="265"/>
        <v>0</v>
      </c>
      <c r="AE256" s="44"/>
      <c r="AF256" s="44"/>
      <c r="AG256" s="44"/>
      <c r="AH256" s="44"/>
      <c r="AI256" s="44"/>
      <c r="AJ256" s="44"/>
      <c r="AK256" s="44"/>
      <c r="AL256" s="44">
        <f t="shared" si="266"/>
        <v>0</v>
      </c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>
        <f t="shared" si="267"/>
        <v>0</v>
      </c>
      <c r="BS256" s="312">
        <f t="shared" si="268"/>
        <v>0</v>
      </c>
      <c r="BT256" s="312">
        <f t="shared" si="269"/>
        <v>0</v>
      </c>
      <c r="BU256" s="312">
        <f t="shared" si="270"/>
        <v>0</v>
      </c>
      <c r="BV256" s="312">
        <f t="shared" si="271"/>
        <v>0</v>
      </c>
      <c r="BW256" s="313">
        <f t="shared" si="272"/>
        <v>0</v>
      </c>
      <c r="BX256" s="313">
        <f t="shared" si="273"/>
        <v>0</v>
      </c>
      <c r="BY256" s="313">
        <f t="shared" si="274"/>
        <v>0</v>
      </c>
      <c r="BZ256" s="313">
        <f t="shared" si="275"/>
        <v>0</v>
      </c>
      <c r="CA256" s="44"/>
      <c r="CB256" s="45">
        <f t="shared" si="241"/>
        <v>0</v>
      </c>
      <c r="CC256" s="46">
        <f t="shared" si="242"/>
        <v>0</v>
      </c>
      <c r="CD256" s="47">
        <f t="shared" si="243"/>
        <v>0</v>
      </c>
      <c r="CE256" s="62"/>
      <c r="CF256" s="237" t="e">
        <f>VLOOKUP(A256,labo!B:C,2,FALSE)</f>
        <v>#N/A</v>
      </c>
      <c r="CG256" s="106">
        <f t="shared" si="244"/>
        <v>0</v>
      </c>
      <c r="CI256" s="51"/>
      <c r="CJ256" s="51"/>
      <c r="CK256" s="251" t="e">
        <f t="shared" ref="CK256:CK319" si="293">+B256</f>
        <v>#N/A</v>
      </c>
      <c r="CL256" s="323">
        <f t="shared" ref="CL256:CL319" si="294">CE256</f>
        <v>0</v>
      </c>
      <c r="CM256" s="349"/>
    </row>
    <row r="257" spans="1:95">
      <c r="A257" s="77"/>
      <c r="B257" s="41" t="e">
        <f>VLOOKUP(A257,'vs mars'!B:D,3,FALSE)</f>
        <v>#N/A</v>
      </c>
      <c r="C257" s="42" t="e">
        <f>VLOOKUP(A257,'vs mars'!B:AC,28,FALSE)</f>
        <v>#N/A</v>
      </c>
      <c r="D257" s="77"/>
      <c r="E257" s="77"/>
      <c r="F257" s="43"/>
      <c r="G257" s="43"/>
      <c r="H257" s="43"/>
      <c r="I257" s="43"/>
      <c r="J257" s="44"/>
      <c r="K257" s="44"/>
      <c r="L257" s="45">
        <f t="shared" si="257"/>
        <v>0</v>
      </c>
      <c r="M257" s="45">
        <f t="shared" si="258"/>
        <v>0</v>
      </c>
      <c r="N257" s="45">
        <f t="shared" si="259"/>
        <v>0</v>
      </c>
      <c r="O257" s="45"/>
      <c r="P257" s="45"/>
      <c r="Q257" s="45"/>
      <c r="R257" s="45">
        <f t="shared" si="260"/>
        <v>0</v>
      </c>
      <c r="S257" s="45">
        <f t="shared" si="261"/>
        <v>0</v>
      </c>
      <c r="T257" s="45">
        <f t="shared" si="262"/>
        <v>0</v>
      </c>
      <c r="U257" s="45"/>
      <c r="V257" s="45"/>
      <c r="W257" s="45"/>
      <c r="X257" s="45"/>
      <c r="Y257" s="45"/>
      <c r="Z257" s="45"/>
      <c r="AA257" s="45"/>
      <c r="AB257" s="45">
        <f t="shared" si="263"/>
        <v>0</v>
      </c>
      <c r="AC257" s="45">
        <f t="shared" si="264"/>
        <v>0</v>
      </c>
      <c r="AD257" s="45">
        <f t="shared" si="265"/>
        <v>0</v>
      </c>
      <c r="AE257" s="44"/>
      <c r="AF257" s="44"/>
      <c r="AG257" s="44"/>
      <c r="AH257" s="44"/>
      <c r="AI257" s="44"/>
      <c r="AJ257" s="44"/>
      <c r="AK257" s="44"/>
      <c r="AL257" s="44">
        <f t="shared" si="266"/>
        <v>0</v>
      </c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>
        <f t="shared" si="267"/>
        <v>0</v>
      </c>
      <c r="BS257" s="312">
        <f t="shared" si="268"/>
        <v>0</v>
      </c>
      <c r="BT257" s="312">
        <f t="shared" si="269"/>
        <v>0</v>
      </c>
      <c r="BU257" s="312">
        <f t="shared" si="270"/>
        <v>0</v>
      </c>
      <c r="BV257" s="312">
        <f t="shared" si="271"/>
        <v>0</v>
      </c>
      <c r="BW257" s="313">
        <f t="shared" si="272"/>
        <v>0</v>
      </c>
      <c r="BX257" s="313">
        <f t="shared" si="273"/>
        <v>0</v>
      </c>
      <c r="BY257" s="313">
        <f t="shared" si="274"/>
        <v>0</v>
      </c>
      <c r="BZ257" s="313">
        <f t="shared" si="275"/>
        <v>0</v>
      </c>
      <c r="CA257" s="44"/>
      <c r="CB257" s="45">
        <f t="shared" si="241"/>
        <v>0</v>
      </c>
      <c r="CC257" s="46">
        <f t="shared" si="242"/>
        <v>0</v>
      </c>
      <c r="CD257" s="47">
        <f t="shared" si="243"/>
        <v>0</v>
      </c>
      <c r="CE257" s="62"/>
      <c r="CF257" s="237" t="e">
        <f>VLOOKUP(A257,labo!B:C,2,FALSE)</f>
        <v>#N/A</v>
      </c>
      <c r="CG257" s="106">
        <f t="shared" si="244"/>
        <v>0</v>
      </c>
      <c r="CI257" s="51"/>
      <c r="CJ257" s="51"/>
      <c r="CK257" s="251" t="e">
        <f t="shared" si="293"/>
        <v>#N/A</v>
      </c>
      <c r="CL257" s="323">
        <f t="shared" si="294"/>
        <v>0</v>
      </c>
      <c r="CM257" s="349"/>
    </row>
    <row r="258" spans="1:95">
      <c r="A258" s="77"/>
      <c r="B258" s="41" t="e">
        <f>VLOOKUP(A258,'vs mars'!B:D,3,FALSE)</f>
        <v>#N/A</v>
      </c>
      <c r="C258" s="42" t="e">
        <f>VLOOKUP(A258,'vs mars'!B:AC,28,FALSE)</f>
        <v>#N/A</v>
      </c>
      <c r="D258" s="77"/>
      <c r="E258" s="77"/>
      <c r="F258" s="43"/>
      <c r="G258" s="43"/>
      <c r="H258" s="43"/>
      <c r="I258" s="43"/>
      <c r="J258" s="44"/>
      <c r="K258" s="44"/>
      <c r="L258" s="45">
        <f t="shared" ref="L258:L296" si="295">(J258+K258)*0.01</f>
        <v>0</v>
      </c>
      <c r="M258" s="45">
        <f t="shared" ref="M258:M296" si="296">(J258+K258)*0.062</f>
        <v>0</v>
      </c>
      <c r="N258" s="45">
        <f t="shared" ref="N258:N296" si="297">(J258+K258)*0.028</f>
        <v>0</v>
      </c>
      <c r="O258" s="45"/>
      <c r="P258" s="45"/>
      <c r="Q258" s="45"/>
      <c r="R258" s="45">
        <f t="shared" ref="R258:R296" si="298">(Q258+O258+P258)*0.01</f>
        <v>0</v>
      </c>
      <c r="S258" s="45">
        <f t="shared" ref="S258:S296" si="299">(O258+Q258+P258)*0.062</f>
        <v>0</v>
      </c>
      <c r="T258" s="45">
        <f t="shared" ref="T258:T296" si="300">(O258+P258+Q258)*0.028</f>
        <v>0</v>
      </c>
      <c r="U258" s="45"/>
      <c r="V258" s="45"/>
      <c r="W258" s="45"/>
      <c r="X258" s="45"/>
      <c r="Y258" s="45"/>
      <c r="Z258" s="45"/>
      <c r="AA258" s="45"/>
      <c r="AB258" s="45">
        <f t="shared" ref="AB258:AB296" si="301">(U258+V258+W258+X258+Y258+Z258)*0.01</f>
        <v>0</v>
      </c>
      <c r="AC258" s="45">
        <f t="shared" ref="AC258:AC296" si="302">(U258+V258+W258+X258+Y258+Z258)*0.062</f>
        <v>0</v>
      </c>
      <c r="AD258" s="45">
        <f t="shared" ref="AD258:AD296" si="303">(U258+V258+W258+X258+Y258+Z258)*0.028</f>
        <v>0</v>
      </c>
      <c r="AE258" s="44"/>
      <c r="AF258" s="44"/>
      <c r="AG258" s="44"/>
      <c r="AH258" s="44"/>
      <c r="AI258" s="44"/>
      <c r="AJ258" s="44"/>
      <c r="AK258" s="44"/>
      <c r="AL258" s="44">
        <f t="shared" ref="AL258:AL296" si="304">+AK258</f>
        <v>0</v>
      </c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>
        <f t="shared" ref="BR258:BR296" si="305">BQ258/9</f>
        <v>0</v>
      </c>
      <c r="BS258" s="312">
        <f t="shared" ref="BS258:BS296" si="306">CH258*0.1</f>
        <v>0</v>
      </c>
      <c r="BT258" s="312">
        <f t="shared" ref="BT258:BT296" si="307">CH258*0.18</f>
        <v>0</v>
      </c>
      <c r="BU258" s="312">
        <f t="shared" ref="BU258:BU296" si="308">CH258*0.18</f>
        <v>0</v>
      </c>
      <c r="BV258" s="312">
        <f t="shared" ref="BV258:BV296" si="309">CH258*0.54</f>
        <v>0</v>
      </c>
      <c r="BW258" s="313">
        <f t="shared" ref="BW258:BW296" si="310">CI258*0.1</f>
        <v>0</v>
      </c>
      <c r="BX258" s="313">
        <f t="shared" ref="BX258:BX296" si="311">CI258*0.18</f>
        <v>0</v>
      </c>
      <c r="BY258" s="313">
        <f t="shared" ref="BY258:BY296" si="312">CI258*0.18</f>
        <v>0</v>
      </c>
      <c r="BZ258" s="313">
        <f t="shared" ref="BZ258:BZ296" si="313">CI258*0.54</f>
        <v>0</v>
      </c>
      <c r="CA258" s="44"/>
      <c r="CB258" s="45">
        <f t="shared" ref="CB258:CB296" si="314">SUM(E258:CA258)</f>
        <v>0</v>
      </c>
      <c r="CC258" s="46">
        <f t="shared" ref="CC258:CC296" si="315">E258+H258+I258+K258+P258+Q258+W258+X258+Y258+Z258+AA258+AE258+AG258+AH258+AI258+AJ258+AN258+AO258+AS258+AT258+AU258+AV258+AW258+AY258+BB258</f>
        <v>0</v>
      </c>
      <c r="CD258" s="47">
        <f t="shared" ref="CD258:CD296" si="316">E258+H258+I258+J258+K258+O258+P258+Q258+U258+V258+W258+X258+Y258+Z258+AA258+AE258+AF258+AG258+AH258+AI258+AJ258+AN258+AO258+AT258+AU258+AV258+AW258+AY258+BA258+BB258</f>
        <v>0</v>
      </c>
      <c r="CE258" s="62"/>
      <c r="CF258" s="237" t="e">
        <f>VLOOKUP(A258,labo!B:C,2,FALSE)</f>
        <v>#N/A</v>
      </c>
      <c r="CG258" s="106">
        <f t="shared" ref="CG258:CG296" si="317">K258+Q258+X258+Y258+Z258+AF258</f>
        <v>0</v>
      </c>
      <c r="CI258" s="51"/>
      <c r="CJ258" s="51"/>
      <c r="CK258" s="251" t="e">
        <f t="shared" si="293"/>
        <v>#N/A</v>
      </c>
      <c r="CL258" s="323">
        <f t="shared" si="294"/>
        <v>0</v>
      </c>
      <c r="CM258" s="349"/>
    </row>
    <row r="259" spans="1:95">
      <c r="A259" s="77"/>
      <c r="B259" s="41" t="e">
        <f>VLOOKUP(A259,'vs mars'!B:D,3,FALSE)</f>
        <v>#N/A</v>
      </c>
      <c r="C259" s="42" t="e">
        <f>VLOOKUP(A259,'vs mars'!B:AC,28,FALSE)</f>
        <v>#N/A</v>
      </c>
      <c r="D259" s="77"/>
      <c r="E259" s="77"/>
      <c r="F259" s="43"/>
      <c r="G259" s="43"/>
      <c r="H259" s="43"/>
      <c r="I259" s="43"/>
      <c r="J259" s="44"/>
      <c r="K259" s="44"/>
      <c r="L259" s="45">
        <f t="shared" si="295"/>
        <v>0</v>
      </c>
      <c r="M259" s="45">
        <f t="shared" si="296"/>
        <v>0</v>
      </c>
      <c r="N259" s="45">
        <f t="shared" si="297"/>
        <v>0</v>
      </c>
      <c r="O259" s="45"/>
      <c r="P259" s="45"/>
      <c r="Q259" s="45"/>
      <c r="R259" s="45">
        <f t="shared" si="298"/>
        <v>0</v>
      </c>
      <c r="S259" s="45">
        <f t="shared" si="299"/>
        <v>0</v>
      </c>
      <c r="T259" s="45">
        <f t="shared" si="300"/>
        <v>0</v>
      </c>
      <c r="U259" s="45"/>
      <c r="V259" s="45"/>
      <c r="W259" s="45"/>
      <c r="X259" s="45"/>
      <c r="Y259" s="45"/>
      <c r="Z259" s="45"/>
      <c r="AA259" s="45"/>
      <c r="AB259" s="45">
        <f t="shared" si="301"/>
        <v>0</v>
      </c>
      <c r="AC259" s="45">
        <f t="shared" si="302"/>
        <v>0</v>
      </c>
      <c r="AD259" s="45">
        <f t="shared" si="303"/>
        <v>0</v>
      </c>
      <c r="AE259" s="44"/>
      <c r="AF259" s="44"/>
      <c r="AG259" s="44"/>
      <c r="AH259" s="44"/>
      <c r="AI259" s="44"/>
      <c r="AJ259" s="44"/>
      <c r="AK259" s="44"/>
      <c r="AL259" s="44">
        <f t="shared" si="304"/>
        <v>0</v>
      </c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>
        <f t="shared" si="305"/>
        <v>0</v>
      </c>
      <c r="BS259" s="312">
        <f t="shared" si="306"/>
        <v>0</v>
      </c>
      <c r="BT259" s="312">
        <f t="shared" si="307"/>
        <v>0</v>
      </c>
      <c r="BU259" s="312">
        <f t="shared" si="308"/>
        <v>0</v>
      </c>
      <c r="BV259" s="312">
        <f t="shared" si="309"/>
        <v>0</v>
      </c>
      <c r="BW259" s="313">
        <f t="shared" si="310"/>
        <v>0</v>
      </c>
      <c r="BX259" s="313">
        <f t="shared" si="311"/>
        <v>0</v>
      </c>
      <c r="BY259" s="313">
        <f t="shared" si="312"/>
        <v>0</v>
      </c>
      <c r="BZ259" s="313">
        <f t="shared" si="313"/>
        <v>0</v>
      </c>
      <c r="CA259" s="44"/>
      <c r="CB259" s="45">
        <f t="shared" si="314"/>
        <v>0</v>
      </c>
      <c r="CC259" s="46">
        <f t="shared" si="315"/>
        <v>0</v>
      </c>
      <c r="CD259" s="47">
        <f t="shared" si="316"/>
        <v>0</v>
      </c>
      <c r="CE259" s="62"/>
      <c r="CF259" s="237" t="e">
        <f>VLOOKUP(A259,labo!B:C,2,FALSE)</f>
        <v>#N/A</v>
      </c>
      <c r="CG259" s="106">
        <f t="shared" si="317"/>
        <v>0</v>
      </c>
      <c r="CI259" s="51"/>
      <c r="CJ259" s="51"/>
      <c r="CK259" s="251" t="e">
        <f t="shared" si="293"/>
        <v>#N/A</v>
      </c>
      <c r="CL259" s="323">
        <f t="shared" si="294"/>
        <v>0</v>
      </c>
      <c r="CM259" s="349"/>
    </row>
    <row r="260" spans="1:95">
      <c r="A260" s="77"/>
      <c r="B260" s="41" t="e">
        <f>VLOOKUP(A260,'vs mars'!B:D,3,FALSE)</f>
        <v>#N/A</v>
      </c>
      <c r="C260" s="42" t="e">
        <f>VLOOKUP(A260,'vs mars'!B:AC,28,FALSE)</f>
        <v>#N/A</v>
      </c>
      <c r="D260" s="77"/>
      <c r="E260" s="77"/>
      <c r="F260" s="43"/>
      <c r="G260" s="43"/>
      <c r="H260" s="43"/>
      <c r="I260" s="43"/>
      <c r="J260" s="44"/>
      <c r="K260" s="44"/>
      <c r="L260" s="45">
        <f t="shared" si="295"/>
        <v>0</v>
      </c>
      <c r="M260" s="45">
        <f t="shared" si="296"/>
        <v>0</v>
      </c>
      <c r="N260" s="45">
        <f t="shared" si="297"/>
        <v>0</v>
      </c>
      <c r="O260" s="45"/>
      <c r="P260" s="45"/>
      <c r="Q260" s="45"/>
      <c r="R260" s="45">
        <f t="shared" si="298"/>
        <v>0</v>
      </c>
      <c r="S260" s="45">
        <f t="shared" si="299"/>
        <v>0</v>
      </c>
      <c r="T260" s="45">
        <f t="shared" si="300"/>
        <v>0</v>
      </c>
      <c r="U260" s="45"/>
      <c r="V260" s="45"/>
      <c r="W260" s="45"/>
      <c r="X260" s="45"/>
      <c r="Y260" s="45"/>
      <c r="Z260" s="45"/>
      <c r="AA260" s="45"/>
      <c r="AB260" s="45">
        <f t="shared" si="301"/>
        <v>0</v>
      </c>
      <c r="AC260" s="45">
        <f t="shared" si="302"/>
        <v>0</v>
      </c>
      <c r="AD260" s="45">
        <f t="shared" si="303"/>
        <v>0</v>
      </c>
      <c r="AE260" s="44"/>
      <c r="AF260" s="44"/>
      <c r="AG260" s="44"/>
      <c r="AH260" s="44"/>
      <c r="AI260" s="44"/>
      <c r="AJ260" s="44"/>
      <c r="AK260" s="44"/>
      <c r="AL260" s="44">
        <f t="shared" si="304"/>
        <v>0</v>
      </c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>
        <f t="shared" si="305"/>
        <v>0</v>
      </c>
      <c r="BS260" s="312">
        <f t="shared" si="306"/>
        <v>0</v>
      </c>
      <c r="BT260" s="312">
        <f t="shared" si="307"/>
        <v>0</v>
      </c>
      <c r="BU260" s="312">
        <f t="shared" si="308"/>
        <v>0</v>
      </c>
      <c r="BV260" s="312">
        <f t="shared" si="309"/>
        <v>0</v>
      </c>
      <c r="BW260" s="313">
        <f t="shared" si="310"/>
        <v>0</v>
      </c>
      <c r="BX260" s="313">
        <f t="shared" si="311"/>
        <v>0</v>
      </c>
      <c r="BY260" s="313">
        <f t="shared" si="312"/>
        <v>0</v>
      </c>
      <c r="BZ260" s="313">
        <f t="shared" si="313"/>
        <v>0</v>
      </c>
      <c r="CA260" s="44"/>
      <c r="CB260" s="45">
        <f t="shared" si="314"/>
        <v>0</v>
      </c>
      <c r="CC260" s="46">
        <f t="shared" si="315"/>
        <v>0</v>
      </c>
      <c r="CD260" s="47">
        <f t="shared" si="316"/>
        <v>0</v>
      </c>
      <c r="CE260" s="62"/>
      <c r="CF260" s="237" t="e">
        <f>VLOOKUP(A260,labo!B:C,2,FALSE)</f>
        <v>#N/A</v>
      </c>
      <c r="CG260" s="106">
        <f t="shared" si="317"/>
        <v>0</v>
      </c>
      <c r="CI260" s="51"/>
      <c r="CJ260" s="51"/>
      <c r="CK260" s="251" t="e">
        <f t="shared" si="293"/>
        <v>#N/A</v>
      </c>
      <c r="CL260" s="323">
        <f t="shared" si="294"/>
        <v>0</v>
      </c>
      <c r="CM260" s="349"/>
    </row>
    <row r="261" spans="1:95">
      <c r="A261" s="77"/>
      <c r="B261" s="41" t="e">
        <f>VLOOKUP(A261,'vs mars'!B:D,3,FALSE)</f>
        <v>#N/A</v>
      </c>
      <c r="C261" s="42" t="e">
        <f>VLOOKUP(A261,'vs mars'!B:AC,28,FALSE)</f>
        <v>#N/A</v>
      </c>
      <c r="D261" s="77"/>
      <c r="E261" s="77"/>
      <c r="F261" s="43"/>
      <c r="G261" s="43"/>
      <c r="H261" s="43"/>
      <c r="I261" s="43"/>
      <c r="J261" s="44"/>
      <c r="K261" s="44"/>
      <c r="L261" s="45">
        <f t="shared" si="295"/>
        <v>0</v>
      </c>
      <c r="M261" s="45">
        <f t="shared" si="296"/>
        <v>0</v>
      </c>
      <c r="N261" s="45">
        <f t="shared" si="297"/>
        <v>0</v>
      </c>
      <c r="O261" s="45"/>
      <c r="P261" s="45"/>
      <c r="Q261" s="45"/>
      <c r="R261" s="45">
        <f t="shared" si="298"/>
        <v>0</v>
      </c>
      <c r="S261" s="45">
        <f t="shared" si="299"/>
        <v>0</v>
      </c>
      <c r="T261" s="45">
        <f t="shared" si="300"/>
        <v>0</v>
      </c>
      <c r="U261" s="45"/>
      <c r="V261" s="45"/>
      <c r="W261" s="45"/>
      <c r="X261" s="45"/>
      <c r="Y261" s="45"/>
      <c r="Z261" s="45"/>
      <c r="AA261" s="45"/>
      <c r="AB261" s="45">
        <f t="shared" si="301"/>
        <v>0</v>
      </c>
      <c r="AC261" s="45">
        <f t="shared" si="302"/>
        <v>0</v>
      </c>
      <c r="AD261" s="45">
        <f t="shared" si="303"/>
        <v>0</v>
      </c>
      <c r="AE261" s="44"/>
      <c r="AF261" s="44"/>
      <c r="AG261" s="44"/>
      <c r="AH261" s="44"/>
      <c r="AI261" s="44"/>
      <c r="AJ261" s="44"/>
      <c r="AK261" s="44"/>
      <c r="AL261" s="44">
        <f t="shared" si="304"/>
        <v>0</v>
      </c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>
        <f t="shared" si="305"/>
        <v>0</v>
      </c>
      <c r="BS261" s="312">
        <f t="shared" si="306"/>
        <v>0</v>
      </c>
      <c r="BT261" s="312">
        <f t="shared" si="307"/>
        <v>0</v>
      </c>
      <c r="BU261" s="312">
        <f t="shared" si="308"/>
        <v>0</v>
      </c>
      <c r="BV261" s="312">
        <f t="shared" si="309"/>
        <v>0</v>
      </c>
      <c r="BW261" s="313">
        <f t="shared" si="310"/>
        <v>0</v>
      </c>
      <c r="BX261" s="313">
        <f t="shared" si="311"/>
        <v>0</v>
      </c>
      <c r="BY261" s="313">
        <f t="shared" si="312"/>
        <v>0</v>
      </c>
      <c r="BZ261" s="313">
        <f t="shared" si="313"/>
        <v>0</v>
      </c>
      <c r="CA261" s="44"/>
      <c r="CB261" s="45">
        <f t="shared" si="314"/>
        <v>0</v>
      </c>
      <c r="CC261" s="46">
        <f t="shared" si="315"/>
        <v>0</v>
      </c>
      <c r="CD261" s="47">
        <f t="shared" si="316"/>
        <v>0</v>
      </c>
      <c r="CE261" s="62"/>
      <c r="CF261" s="237" t="e">
        <f>VLOOKUP(A261,labo!B:C,2,FALSE)</f>
        <v>#N/A</v>
      </c>
      <c r="CG261" s="106">
        <f t="shared" si="317"/>
        <v>0</v>
      </c>
      <c r="CI261" s="51"/>
      <c r="CJ261" s="51"/>
      <c r="CK261" s="251" t="e">
        <f t="shared" si="293"/>
        <v>#N/A</v>
      </c>
      <c r="CL261" s="323">
        <f t="shared" si="294"/>
        <v>0</v>
      </c>
      <c r="CM261" s="349"/>
    </row>
    <row r="262" spans="1:95">
      <c r="A262" s="77"/>
      <c r="B262" s="41" t="e">
        <f>VLOOKUP(A262,'vs mars'!B:D,3,FALSE)</f>
        <v>#N/A</v>
      </c>
      <c r="C262" s="42" t="e">
        <f>VLOOKUP(A262,'vs mars'!B:AC,28,FALSE)</f>
        <v>#N/A</v>
      </c>
      <c r="D262" s="77"/>
      <c r="E262" s="77"/>
      <c r="F262" s="43"/>
      <c r="G262" s="43"/>
      <c r="H262" s="43"/>
      <c r="I262" s="43"/>
      <c r="J262" s="44"/>
      <c r="K262" s="44"/>
      <c r="L262" s="45">
        <f t="shared" si="295"/>
        <v>0</v>
      </c>
      <c r="M262" s="45">
        <f t="shared" si="296"/>
        <v>0</v>
      </c>
      <c r="N262" s="45">
        <f t="shared" si="297"/>
        <v>0</v>
      </c>
      <c r="O262" s="45"/>
      <c r="P262" s="45"/>
      <c r="Q262" s="45"/>
      <c r="R262" s="45">
        <f t="shared" si="298"/>
        <v>0</v>
      </c>
      <c r="S262" s="45">
        <f t="shared" si="299"/>
        <v>0</v>
      </c>
      <c r="T262" s="45">
        <f t="shared" si="300"/>
        <v>0</v>
      </c>
      <c r="U262" s="45"/>
      <c r="V262" s="45"/>
      <c r="W262" s="45"/>
      <c r="X262" s="45"/>
      <c r="Y262" s="45"/>
      <c r="Z262" s="45"/>
      <c r="AA262" s="45"/>
      <c r="AB262" s="45">
        <f t="shared" si="301"/>
        <v>0</v>
      </c>
      <c r="AC262" s="45">
        <f t="shared" si="302"/>
        <v>0</v>
      </c>
      <c r="AD262" s="45">
        <f t="shared" si="303"/>
        <v>0</v>
      </c>
      <c r="AE262" s="44"/>
      <c r="AF262" s="44"/>
      <c r="AG262" s="44"/>
      <c r="AH262" s="44"/>
      <c r="AI262" s="44"/>
      <c r="AJ262" s="44"/>
      <c r="AK262" s="44"/>
      <c r="AL262" s="44">
        <f t="shared" si="304"/>
        <v>0</v>
      </c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>
        <f t="shared" si="305"/>
        <v>0</v>
      </c>
      <c r="BS262" s="312">
        <f t="shared" si="306"/>
        <v>0</v>
      </c>
      <c r="BT262" s="312">
        <f t="shared" si="307"/>
        <v>0</v>
      </c>
      <c r="BU262" s="312">
        <f t="shared" si="308"/>
        <v>0</v>
      </c>
      <c r="BV262" s="312">
        <f t="shared" si="309"/>
        <v>0</v>
      </c>
      <c r="BW262" s="313">
        <f t="shared" si="310"/>
        <v>0</v>
      </c>
      <c r="BX262" s="313">
        <f t="shared" si="311"/>
        <v>0</v>
      </c>
      <c r="BY262" s="313">
        <f t="shared" si="312"/>
        <v>0</v>
      </c>
      <c r="BZ262" s="313">
        <f t="shared" si="313"/>
        <v>0</v>
      </c>
      <c r="CA262" s="44"/>
      <c r="CB262" s="45">
        <f t="shared" si="314"/>
        <v>0</v>
      </c>
      <c r="CC262" s="46">
        <f t="shared" si="315"/>
        <v>0</v>
      </c>
      <c r="CD262" s="47">
        <f t="shared" si="316"/>
        <v>0</v>
      </c>
      <c r="CE262" s="62"/>
      <c r="CF262" s="237" t="e">
        <f>VLOOKUP(A262,labo!B:C,2,FALSE)</f>
        <v>#N/A</v>
      </c>
      <c r="CG262" s="106">
        <f t="shared" si="317"/>
        <v>0</v>
      </c>
      <c r="CI262" s="51"/>
      <c r="CJ262" s="51"/>
      <c r="CK262" s="51"/>
      <c r="CL262" s="51"/>
      <c r="CM262" s="51"/>
    </row>
    <row r="263" spans="1:95" ht="14.25" customHeight="1">
      <c r="A263" s="77"/>
      <c r="B263" s="41" t="e">
        <f>VLOOKUP(A263,'vs mars'!B:D,3,FALSE)</f>
        <v>#N/A</v>
      </c>
      <c r="C263" s="42" t="e">
        <f>VLOOKUP(A263,'vs mars'!B:AC,28,FALSE)</f>
        <v>#N/A</v>
      </c>
      <c r="D263" s="77"/>
      <c r="E263" s="77"/>
      <c r="F263" s="43"/>
      <c r="G263" s="43"/>
      <c r="H263" s="43"/>
      <c r="I263" s="43"/>
      <c r="J263" s="44"/>
      <c r="K263" s="44"/>
      <c r="L263" s="45">
        <f t="shared" si="295"/>
        <v>0</v>
      </c>
      <c r="M263" s="45">
        <f t="shared" si="296"/>
        <v>0</v>
      </c>
      <c r="N263" s="45">
        <f t="shared" si="297"/>
        <v>0</v>
      </c>
      <c r="O263" s="45"/>
      <c r="P263" s="45"/>
      <c r="Q263" s="45"/>
      <c r="R263" s="45">
        <f t="shared" si="298"/>
        <v>0</v>
      </c>
      <c r="S263" s="45">
        <f t="shared" si="299"/>
        <v>0</v>
      </c>
      <c r="T263" s="45">
        <f t="shared" si="300"/>
        <v>0</v>
      </c>
      <c r="U263" s="45"/>
      <c r="V263" s="45"/>
      <c r="W263" s="45"/>
      <c r="X263" s="45"/>
      <c r="Y263" s="45"/>
      <c r="Z263" s="45"/>
      <c r="AA263" s="45"/>
      <c r="AB263" s="45">
        <f t="shared" si="301"/>
        <v>0</v>
      </c>
      <c r="AC263" s="45">
        <f t="shared" si="302"/>
        <v>0</v>
      </c>
      <c r="AD263" s="45">
        <f t="shared" si="303"/>
        <v>0</v>
      </c>
      <c r="AE263" s="44"/>
      <c r="AF263" s="44"/>
      <c r="AG263" s="44"/>
      <c r="AH263" s="44"/>
      <c r="AI263" s="44"/>
      <c r="AJ263" s="44"/>
      <c r="AK263" s="44"/>
      <c r="AL263" s="44">
        <f t="shared" si="304"/>
        <v>0</v>
      </c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>
        <f t="shared" si="305"/>
        <v>0</v>
      </c>
      <c r="BS263" s="312">
        <f t="shared" si="306"/>
        <v>0</v>
      </c>
      <c r="BT263" s="312">
        <f t="shared" si="307"/>
        <v>0</v>
      </c>
      <c r="BU263" s="312">
        <f t="shared" si="308"/>
        <v>0</v>
      </c>
      <c r="BV263" s="312">
        <f t="shared" si="309"/>
        <v>0</v>
      </c>
      <c r="BW263" s="313">
        <f t="shared" si="310"/>
        <v>0</v>
      </c>
      <c r="BX263" s="313">
        <f t="shared" si="311"/>
        <v>0</v>
      </c>
      <c r="BY263" s="313">
        <f t="shared" si="312"/>
        <v>0</v>
      </c>
      <c r="BZ263" s="313">
        <f t="shared" si="313"/>
        <v>0</v>
      </c>
      <c r="CA263" s="44"/>
      <c r="CB263" s="45">
        <f t="shared" si="314"/>
        <v>0</v>
      </c>
      <c r="CC263" s="46">
        <f t="shared" si="315"/>
        <v>0</v>
      </c>
      <c r="CD263" s="47">
        <f t="shared" si="316"/>
        <v>0</v>
      </c>
      <c r="CE263" s="62"/>
      <c r="CF263" s="237" t="e">
        <f>VLOOKUP(A263,labo!B:C,2,FALSE)</f>
        <v>#N/A</v>
      </c>
      <c r="CG263" s="106">
        <f t="shared" si="317"/>
        <v>0</v>
      </c>
      <c r="CI263" s="51"/>
      <c r="CJ263" s="51"/>
      <c r="CK263" s="51"/>
      <c r="CL263" s="51"/>
      <c r="CM263" s="51"/>
      <c r="CN263" s="51"/>
      <c r="CO263" s="51"/>
      <c r="CP263" s="51"/>
      <c r="CQ263" s="51"/>
    </row>
    <row r="264" spans="1:95">
      <c r="A264" s="77"/>
      <c r="B264" s="41" t="e">
        <f>VLOOKUP(A264,'vs mars'!B:D,3,FALSE)</f>
        <v>#N/A</v>
      </c>
      <c r="C264" s="42" t="e">
        <f>VLOOKUP(A264,'vs mars'!B:AC,28,FALSE)</f>
        <v>#N/A</v>
      </c>
      <c r="D264" s="77"/>
      <c r="E264" s="77"/>
      <c r="F264" s="43"/>
      <c r="G264" s="43"/>
      <c r="H264" s="43"/>
      <c r="I264" s="43"/>
      <c r="J264" s="44"/>
      <c r="K264" s="44"/>
      <c r="L264" s="45">
        <f t="shared" si="295"/>
        <v>0</v>
      </c>
      <c r="M264" s="45">
        <f t="shared" si="296"/>
        <v>0</v>
      </c>
      <c r="N264" s="45">
        <f t="shared" si="297"/>
        <v>0</v>
      </c>
      <c r="O264" s="45"/>
      <c r="P264" s="45"/>
      <c r="Q264" s="45"/>
      <c r="R264" s="45">
        <f t="shared" si="298"/>
        <v>0</v>
      </c>
      <c r="S264" s="45">
        <f t="shared" si="299"/>
        <v>0</v>
      </c>
      <c r="T264" s="45">
        <f t="shared" si="300"/>
        <v>0</v>
      </c>
      <c r="U264" s="45"/>
      <c r="V264" s="45"/>
      <c r="W264" s="45"/>
      <c r="X264" s="45"/>
      <c r="Y264" s="45"/>
      <c r="Z264" s="45"/>
      <c r="AA264" s="45"/>
      <c r="AB264" s="45">
        <f t="shared" si="301"/>
        <v>0</v>
      </c>
      <c r="AC264" s="45">
        <f t="shared" si="302"/>
        <v>0</v>
      </c>
      <c r="AD264" s="45">
        <f t="shared" si="303"/>
        <v>0</v>
      </c>
      <c r="AE264" s="44"/>
      <c r="AF264" s="44"/>
      <c r="AG264" s="44"/>
      <c r="AH264" s="44"/>
      <c r="AI264" s="44"/>
      <c r="AJ264" s="44"/>
      <c r="AK264" s="44"/>
      <c r="AL264" s="44">
        <f t="shared" si="304"/>
        <v>0</v>
      </c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>
        <f t="shared" si="305"/>
        <v>0</v>
      </c>
      <c r="BS264" s="312">
        <f t="shared" si="306"/>
        <v>0</v>
      </c>
      <c r="BT264" s="312">
        <f t="shared" si="307"/>
        <v>0</v>
      </c>
      <c r="BU264" s="312">
        <f t="shared" si="308"/>
        <v>0</v>
      </c>
      <c r="BV264" s="312">
        <f t="shared" si="309"/>
        <v>0</v>
      </c>
      <c r="BW264" s="313">
        <f t="shared" si="310"/>
        <v>0</v>
      </c>
      <c r="BX264" s="313">
        <f t="shared" si="311"/>
        <v>0</v>
      </c>
      <c r="BY264" s="313">
        <f t="shared" si="312"/>
        <v>0</v>
      </c>
      <c r="BZ264" s="313">
        <f t="shared" si="313"/>
        <v>0</v>
      </c>
      <c r="CA264" s="44"/>
      <c r="CB264" s="45">
        <f t="shared" si="314"/>
        <v>0</v>
      </c>
      <c r="CC264" s="46">
        <f t="shared" si="315"/>
        <v>0</v>
      </c>
      <c r="CD264" s="47">
        <f t="shared" si="316"/>
        <v>0</v>
      </c>
      <c r="CE264" s="62"/>
      <c r="CF264" s="237" t="e">
        <f>VLOOKUP(A264,labo!B:C,2,FALSE)</f>
        <v>#N/A</v>
      </c>
      <c r="CG264" s="106">
        <f t="shared" si="317"/>
        <v>0</v>
      </c>
      <c r="CI264" s="51"/>
      <c r="CJ264" s="51"/>
      <c r="CK264" s="51"/>
      <c r="CL264" s="51"/>
      <c r="CM264" s="51"/>
      <c r="CN264" s="51"/>
      <c r="CO264" s="51"/>
      <c r="CP264" s="51"/>
      <c r="CQ264" s="51"/>
    </row>
    <row r="265" spans="1:95">
      <c r="A265" s="77"/>
      <c r="B265" s="41" t="e">
        <f>VLOOKUP(A265,'vs mars'!B:D,3,FALSE)</f>
        <v>#N/A</v>
      </c>
      <c r="C265" s="42" t="e">
        <f>VLOOKUP(A265,'vs mars'!B:AC,28,FALSE)</f>
        <v>#N/A</v>
      </c>
      <c r="D265" s="77"/>
      <c r="E265" s="77"/>
      <c r="F265" s="43"/>
      <c r="G265" s="43"/>
      <c r="H265" s="43"/>
      <c r="I265" s="43"/>
      <c r="J265" s="44"/>
      <c r="K265" s="44"/>
      <c r="L265" s="45">
        <f t="shared" si="295"/>
        <v>0</v>
      </c>
      <c r="M265" s="45">
        <f t="shared" si="296"/>
        <v>0</v>
      </c>
      <c r="N265" s="45">
        <f t="shared" si="297"/>
        <v>0</v>
      </c>
      <c r="O265" s="45"/>
      <c r="P265" s="45"/>
      <c r="Q265" s="45"/>
      <c r="R265" s="45">
        <f t="shared" si="298"/>
        <v>0</v>
      </c>
      <c r="S265" s="45">
        <f t="shared" si="299"/>
        <v>0</v>
      </c>
      <c r="T265" s="45">
        <f t="shared" si="300"/>
        <v>0</v>
      </c>
      <c r="U265" s="45"/>
      <c r="V265" s="45"/>
      <c r="W265" s="45"/>
      <c r="X265" s="45"/>
      <c r="Y265" s="45"/>
      <c r="Z265" s="45"/>
      <c r="AA265" s="45"/>
      <c r="AB265" s="45">
        <f t="shared" si="301"/>
        <v>0</v>
      </c>
      <c r="AC265" s="45">
        <f t="shared" si="302"/>
        <v>0</v>
      </c>
      <c r="AD265" s="45">
        <f t="shared" si="303"/>
        <v>0</v>
      </c>
      <c r="AE265" s="44"/>
      <c r="AF265" s="44"/>
      <c r="AG265" s="44"/>
      <c r="AH265" s="44"/>
      <c r="AI265" s="44"/>
      <c r="AJ265" s="44"/>
      <c r="AK265" s="44"/>
      <c r="AL265" s="44">
        <f t="shared" si="304"/>
        <v>0</v>
      </c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>
        <f t="shared" si="305"/>
        <v>0</v>
      </c>
      <c r="BS265" s="312">
        <f t="shared" si="306"/>
        <v>0</v>
      </c>
      <c r="BT265" s="312">
        <f t="shared" si="307"/>
        <v>0</v>
      </c>
      <c r="BU265" s="312">
        <f t="shared" si="308"/>
        <v>0</v>
      </c>
      <c r="BV265" s="312">
        <f t="shared" si="309"/>
        <v>0</v>
      </c>
      <c r="BW265" s="313">
        <f t="shared" si="310"/>
        <v>0</v>
      </c>
      <c r="BX265" s="313">
        <f t="shared" si="311"/>
        <v>0</v>
      </c>
      <c r="BY265" s="313">
        <f t="shared" si="312"/>
        <v>0</v>
      </c>
      <c r="BZ265" s="313">
        <f t="shared" si="313"/>
        <v>0</v>
      </c>
      <c r="CA265" s="44"/>
      <c r="CB265" s="45">
        <f t="shared" si="314"/>
        <v>0</v>
      </c>
      <c r="CC265" s="46">
        <f t="shared" si="315"/>
        <v>0</v>
      </c>
      <c r="CD265" s="47">
        <f t="shared" si="316"/>
        <v>0</v>
      </c>
      <c r="CE265" s="62"/>
      <c r="CF265" s="237" t="e">
        <f>VLOOKUP(A265,labo!B:C,2,FALSE)</f>
        <v>#N/A</v>
      </c>
      <c r="CG265" s="106">
        <f t="shared" si="317"/>
        <v>0</v>
      </c>
      <c r="CI265" s="51"/>
      <c r="CJ265" s="51"/>
      <c r="CK265" s="251" t="e">
        <f t="shared" si="293"/>
        <v>#N/A</v>
      </c>
      <c r="CL265" s="323">
        <f t="shared" si="294"/>
        <v>0</v>
      </c>
      <c r="CM265" s="349"/>
    </row>
    <row r="266" spans="1:95">
      <c r="A266" s="77"/>
      <c r="B266" s="41" t="e">
        <f>VLOOKUP(A266,'vs mars'!B:D,3,FALSE)</f>
        <v>#N/A</v>
      </c>
      <c r="C266" s="42" t="e">
        <f>VLOOKUP(A266,'vs mars'!B:AC,28,FALSE)</f>
        <v>#N/A</v>
      </c>
      <c r="D266" s="77"/>
      <c r="E266" s="77"/>
      <c r="F266" s="43"/>
      <c r="G266" s="43"/>
      <c r="H266" s="43"/>
      <c r="I266" s="43"/>
      <c r="J266" s="44"/>
      <c r="K266" s="44"/>
      <c r="L266" s="45">
        <f t="shared" si="295"/>
        <v>0</v>
      </c>
      <c r="M266" s="45">
        <f t="shared" si="296"/>
        <v>0</v>
      </c>
      <c r="N266" s="45">
        <f t="shared" si="297"/>
        <v>0</v>
      </c>
      <c r="O266" s="45"/>
      <c r="P266" s="45"/>
      <c r="Q266" s="45"/>
      <c r="R266" s="45">
        <f t="shared" si="298"/>
        <v>0</v>
      </c>
      <c r="S266" s="45">
        <f t="shared" si="299"/>
        <v>0</v>
      </c>
      <c r="T266" s="45">
        <f t="shared" si="300"/>
        <v>0</v>
      </c>
      <c r="U266" s="45"/>
      <c r="V266" s="45"/>
      <c r="W266" s="45"/>
      <c r="X266" s="45"/>
      <c r="Y266" s="45"/>
      <c r="Z266" s="45"/>
      <c r="AA266" s="45"/>
      <c r="AB266" s="45">
        <f t="shared" si="301"/>
        <v>0</v>
      </c>
      <c r="AC266" s="45">
        <f t="shared" si="302"/>
        <v>0</v>
      </c>
      <c r="AD266" s="45">
        <f t="shared" si="303"/>
        <v>0</v>
      </c>
      <c r="AE266" s="44"/>
      <c r="AF266" s="44"/>
      <c r="AG266" s="44"/>
      <c r="AH266" s="44"/>
      <c r="AI266" s="44"/>
      <c r="AJ266" s="44"/>
      <c r="AK266" s="44"/>
      <c r="AL266" s="44">
        <f t="shared" si="304"/>
        <v>0</v>
      </c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>
        <f t="shared" si="305"/>
        <v>0</v>
      </c>
      <c r="BS266" s="312">
        <f t="shared" si="306"/>
        <v>0</v>
      </c>
      <c r="BT266" s="312">
        <f t="shared" si="307"/>
        <v>0</v>
      </c>
      <c r="BU266" s="312">
        <f t="shared" si="308"/>
        <v>0</v>
      </c>
      <c r="BV266" s="312">
        <f t="shared" si="309"/>
        <v>0</v>
      </c>
      <c r="BW266" s="313">
        <f t="shared" si="310"/>
        <v>0</v>
      </c>
      <c r="BX266" s="313">
        <f t="shared" si="311"/>
        <v>0</v>
      </c>
      <c r="BY266" s="313">
        <f t="shared" si="312"/>
        <v>0</v>
      </c>
      <c r="BZ266" s="313">
        <f t="shared" si="313"/>
        <v>0</v>
      </c>
      <c r="CA266" s="44"/>
      <c r="CB266" s="45">
        <f t="shared" si="314"/>
        <v>0</v>
      </c>
      <c r="CC266" s="46">
        <f t="shared" si="315"/>
        <v>0</v>
      </c>
      <c r="CD266" s="47">
        <f t="shared" si="316"/>
        <v>0</v>
      </c>
      <c r="CE266" s="62"/>
      <c r="CF266" s="237" t="e">
        <f>VLOOKUP(A266,labo!B:C,2,FALSE)</f>
        <v>#N/A</v>
      </c>
      <c r="CG266" s="106">
        <f t="shared" si="317"/>
        <v>0</v>
      </c>
      <c r="CI266" s="51"/>
      <c r="CJ266" s="51"/>
      <c r="CK266" s="251" t="e">
        <f t="shared" si="293"/>
        <v>#N/A</v>
      </c>
      <c r="CL266" s="323">
        <f t="shared" si="294"/>
        <v>0</v>
      </c>
      <c r="CM266" s="349"/>
    </row>
    <row r="267" spans="1:95">
      <c r="A267" s="77"/>
      <c r="B267" s="41" t="e">
        <f>VLOOKUP(A267,'vs mars'!B:D,3,FALSE)</f>
        <v>#N/A</v>
      </c>
      <c r="C267" s="42" t="e">
        <f>VLOOKUP(A267,'vs mars'!B:AC,28,FALSE)</f>
        <v>#N/A</v>
      </c>
      <c r="D267" s="77"/>
      <c r="E267" s="77"/>
      <c r="F267" s="43"/>
      <c r="G267" s="43"/>
      <c r="H267" s="43"/>
      <c r="I267" s="43"/>
      <c r="J267" s="44"/>
      <c r="K267" s="44"/>
      <c r="L267" s="45">
        <f t="shared" si="295"/>
        <v>0</v>
      </c>
      <c r="M267" s="45">
        <f t="shared" si="296"/>
        <v>0</v>
      </c>
      <c r="N267" s="45">
        <f t="shared" si="297"/>
        <v>0</v>
      </c>
      <c r="O267" s="45"/>
      <c r="P267" s="45"/>
      <c r="Q267" s="45"/>
      <c r="R267" s="45">
        <f t="shared" si="298"/>
        <v>0</v>
      </c>
      <c r="S267" s="45">
        <f t="shared" si="299"/>
        <v>0</v>
      </c>
      <c r="T267" s="45">
        <f t="shared" si="300"/>
        <v>0</v>
      </c>
      <c r="U267" s="45"/>
      <c r="V267" s="45"/>
      <c r="W267" s="45"/>
      <c r="X267" s="45"/>
      <c r="Y267" s="45"/>
      <c r="Z267" s="45"/>
      <c r="AA267" s="45"/>
      <c r="AB267" s="45">
        <f t="shared" si="301"/>
        <v>0</v>
      </c>
      <c r="AC267" s="45">
        <f t="shared" si="302"/>
        <v>0</v>
      </c>
      <c r="AD267" s="45">
        <f t="shared" si="303"/>
        <v>0</v>
      </c>
      <c r="AE267" s="44"/>
      <c r="AF267" s="44"/>
      <c r="AG267" s="44"/>
      <c r="AH267" s="44"/>
      <c r="AI267" s="44"/>
      <c r="AJ267" s="44"/>
      <c r="AK267" s="44"/>
      <c r="AL267" s="44">
        <f t="shared" si="304"/>
        <v>0</v>
      </c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>
        <f t="shared" si="305"/>
        <v>0</v>
      </c>
      <c r="BS267" s="312">
        <f t="shared" si="306"/>
        <v>0</v>
      </c>
      <c r="BT267" s="312">
        <f t="shared" si="307"/>
        <v>0</v>
      </c>
      <c r="BU267" s="312">
        <f t="shared" si="308"/>
        <v>0</v>
      </c>
      <c r="BV267" s="312">
        <f t="shared" si="309"/>
        <v>0</v>
      </c>
      <c r="BW267" s="313">
        <f t="shared" si="310"/>
        <v>0</v>
      </c>
      <c r="BX267" s="313">
        <f t="shared" si="311"/>
        <v>0</v>
      </c>
      <c r="BY267" s="313">
        <f t="shared" si="312"/>
        <v>0</v>
      </c>
      <c r="BZ267" s="313">
        <f t="shared" si="313"/>
        <v>0</v>
      </c>
      <c r="CA267" s="44"/>
      <c r="CB267" s="45">
        <f t="shared" si="314"/>
        <v>0</v>
      </c>
      <c r="CC267" s="46">
        <f t="shared" si="315"/>
        <v>0</v>
      </c>
      <c r="CD267" s="47">
        <f t="shared" si="316"/>
        <v>0</v>
      </c>
      <c r="CE267" s="62"/>
      <c r="CF267" s="237" t="e">
        <f>VLOOKUP(A267,labo!B:C,2,FALSE)</f>
        <v>#N/A</v>
      </c>
      <c r="CG267" s="106">
        <f t="shared" si="317"/>
        <v>0</v>
      </c>
      <c r="CI267" s="51"/>
      <c r="CJ267" s="51"/>
      <c r="CK267" s="251" t="e">
        <f t="shared" si="293"/>
        <v>#N/A</v>
      </c>
      <c r="CL267" s="323">
        <f t="shared" si="294"/>
        <v>0</v>
      </c>
      <c r="CM267" s="349"/>
    </row>
    <row r="268" spans="1:95">
      <c r="A268" s="77"/>
      <c r="B268" s="41" t="e">
        <f>VLOOKUP(A268,'vs mars'!B:D,3,FALSE)</f>
        <v>#N/A</v>
      </c>
      <c r="C268" s="42" t="e">
        <f>VLOOKUP(A268,'vs mars'!B:AC,28,FALSE)</f>
        <v>#N/A</v>
      </c>
      <c r="D268" s="77"/>
      <c r="E268" s="77"/>
      <c r="F268" s="43"/>
      <c r="G268" s="43"/>
      <c r="H268" s="43"/>
      <c r="I268" s="43"/>
      <c r="J268" s="44"/>
      <c r="K268" s="44"/>
      <c r="L268" s="45">
        <f t="shared" si="295"/>
        <v>0</v>
      </c>
      <c r="M268" s="45">
        <f t="shared" si="296"/>
        <v>0</v>
      </c>
      <c r="N268" s="45">
        <f t="shared" si="297"/>
        <v>0</v>
      </c>
      <c r="O268" s="45"/>
      <c r="P268" s="45"/>
      <c r="Q268" s="45"/>
      <c r="R268" s="45">
        <f t="shared" si="298"/>
        <v>0</v>
      </c>
      <c r="S268" s="45">
        <f t="shared" si="299"/>
        <v>0</v>
      </c>
      <c r="T268" s="45">
        <f t="shared" si="300"/>
        <v>0</v>
      </c>
      <c r="U268" s="45"/>
      <c r="V268" s="45"/>
      <c r="W268" s="45"/>
      <c r="X268" s="45"/>
      <c r="Y268" s="45"/>
      <c r="Z268" s="45"/>
      <c r="AA268" s="45"/>
      <c r="AB268" s="45">
        <f t="shared" si="301"/>
        <v>0</v>
      </c>
      <c r="AC268" s="45">
        <f t="shared" si="302"/>
        <v>0</v>
      </c>
      <c r="AD268" s="45">
        <f t="shared" si="303"/>
        <v>0</v>
      </c>
      <c r="AE268" s="44"/>
      <c r="AF268" s="44"/>
      <c r="AG268" s="44"/>
      <c r="AH268" s="44"/>
      <c r="AI268" s="44"/>
      <c r="AJ268" s="44"/>
      <c r="AK268" s="44"/>
      <c r="AL268" s="44">
        <f t="shared" si="304"/>
        <v>0</v>
      </c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  <c r="BL268" s="44"/>
      <c r="BM268" s="44"/>
      <c r="BN268" s="44"/>
      <c r="BO268" s="44"/>
      <c r="BP268" s="44"/>
      <c r="BQ268" s="44"/>
      <c r="BR268" s="44">
        <f t="shared" si="305"/>
        <v>0</v>
      </c>
      <c r="BS268" s="312">
        <f t="shared" si="306"/>
        <v>0</v>
      </c>
      <c r="BT268" s="312">
        <f t="shared" si="307"/>
        <v>0</v>
      </c>
      <c r="BU268" s="312">
        <f t="shared" si="308"/>
        <v>0</v>
      </c>
      <c r="BV268" s="312">
        <f t="shared" si="309"/>
        <v>0</v>
      </c>
      <c r="BW268" s="313">
        <f t="shared" si="310"/>
        <v>0</v>
      </c>
      <c r="BX268" s="313">
        <f t="shared" si="311"/>
        <v>0</v>
      </c>
      <c r="BY268" s="313">
        <f t="shared" si="312"/>
        <v>0</v>
      </c>
      <c r="BZ268" s="313">
        <f t="shared" si="313"/>
        <v>0</v>
      </c>
      <c r="CA268" s="44"/>
      <c r="CB268" s="45">
        <f t="shared" si="314"/>
        <v>0</v>
      </c>
      <c r="CC268" s="46">
        <f t="shared" si="315"/>
        <v>0</v>
      </c>
      <c r="CD268" s="47">
        <f t="shared" si="316"/>
        <v>0</v>
      </c>
      <c r="CE268" s="62"/>
      <c r="CF268" s="237" t="e">
        <f>VLOOKUP(A268,labo!B:C,2,FALSE)</f>
        <v>#N/A</v>
      </c>
      <c r="CG268" s="106">
        <f t="shared" si="317"/>
        <v>0</v>
      </c>
      <c r="CI268" s="51"/>
      <c r="CJ268" s="51"/>
      <c r="CK268" s="251" t="e">
        <f t="shared" si="293"/>
        <v>#N/A</v>
      </c>
      <c r="CL268" s="323">
        <f t="shared" si="294"/>
        <v>0</v>
      </c>
      <c r="CM268" s="349"/>
    </row>
    <row r="269" spans="1:95">
      <c r="A269" s="77"/>
      <c r="B269" s="41" t="e">
        <f>VLOOKUP(A269,'vs mars'!B:D,3,FALSE)</f>
        <v>#N/A</v>
      </c>
      <c r="C269" s="42" t="e">
        <f>VLOOKUP(A269,'vs mars'!B:AC,28,FALSE)</f>
        <v>#N/A</v>
      </c>
      <c r="D269" s="77"/>
      <c r="E269" s="77"/>
      <c r="F269" s="43"/>
      <c r="G269" s="43"/>
      <c r="H269" s="43"/>
      <c r="I269" s="43"/>
      <c r="J269" s="44"/>
      <c r="K269" s="44"/>
      <c r="L269" s="45">
        <f t="shared" si="295"/>
        <v>0</v>
      </c>
      <c r="M269" s="45">
        <f t="shared" si="296"/>
        <v>0</v>
      </c>
      <c r="N269" s="45">
        <f t="shared" si="297"/>
        <v>0</v>
      </c>
      <c r="O269" s="45"/>
      <c r="P269" s="45"/>
      <c r="Q269" s="45"/>
      <c r="R269" s="45">
        <f t="shared" si="298"/>
        <v>0</v>
      </c>
      <c r="S269" s="45">
        <f t="shared" si="299"/>
        <v>0</v>
      </c>
      <c r="T269" s="45">
        <f t="shared" si="300"/>
        <v>0</v>
      </c>
      <c r="U269" s="45"/>
      <c r="V269" s="45"/>
      <c r="W269" s="45"/>
      <c r="X269" s="45"/>
      <c r="Y269" s="45"/>
      <c r="Z269" s="45"/>
      <c r="AA269" s="45"/>
      <c r="AB269" s="45">
        <f t="shared" si="301"/>
        <v>0</v>
      </c>
      <c r="AC269" s="45">
        <f t="shared" si="302"/>
        <v>0</v>
      </c>
      <c r="AD269" s="45">
        <f t="shared" si="303"/>
        <v>0</v>
      </c>
      <c r="AE269" s="44"/>
      <c r="AF269" s="44"/>
      <c r="AG269" s="44"/>
      <c r="AH269" s="44"/>
      <c r="AI269" s="44"/>
      <c r="AJ269" s="44"/>
      <c r="AK269" s="44"/>
      <c r="AL269" s="44">
        <f t="shared" si="304"/>
        <v>0</v>
      </c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>
        <f t="shared" si="305"/>
        <v>0</v>
      </c>
      <c r="BS269" s="312">
        <f t="shared" si="306"/>
        <v>0</v>
      </c>
      <c r="BT269" s="312">
        <f t="shared" si="307"/>
        <v>0</v>
      </c>
      <c r="BU269" s="312">
        <f t="shared" si="308"/>
        <v>0</v>
      </c>
      <c r="BV269" s="312">
        <f t="shared" si="309"/>
        <v>0</v>
      </c>
      <c r="BW269" s="313">
        <f t="shared" si="310"/>
        <v>0</v>
      </c>
      <c r="BX269" s="313">
        <f t="shared" si="311"/>
        <v>0</v>
      </c>
      <c r="BY269" s="313">
        <f t="shared" si="312"/>
        <v>0</v>
      </c>
      <c r="BZ269" s="313">
        <f t="shared" si="313"/>
        <v>0</v>
      </c>
      <c r="CA269" s="44"/>
      <c r="CB269" s="45">
        <f t="shared" si="314"/>
        <v>0</v>
      </c>
      <c r="CC269" s="46">
        <f t="shared" si="315"/>
        <v>0</v>
      </c>
      <c r="CD269" s="47">
        <f t="shared" si="316"/>
        <v>0</v>
      </c>
      <c r="CE269" s="62"/>
      <c r="CF269" s="237" t="e">
        <f>VLOOKUP(A269,labo!B:C,2,FALSE)</f>
        <v>#N/A</v>
      </c>
      <c r="CG269" s="106">
        <f t="shared" si="317"/>
        <v>0</v>
      </c>
      <c r="CI269" s="51"/>
      <c r="CJ269" s="51"/>
      <c r="CK269" s="251" t="e">
        <f t="shared" si="293"/>
        <v>#N/A</v>
      </c>
      <c r="CL269" s="323">
        <f t="shared" si="294"/>
        <v>0</v>
      </c>
      <c r="CM269" s="349"/>
    </row>
    <row r="270" spans="1:95">
      <c r="A270" s="77"/>
      <c r="B270" s="41" t="e">
        <f>VLOOKUP(A270,'vs mars'!B:D,3,FALSE)</f>
        <v>#N/A</v>
      </c>
      <c r="C270" s="42" t="e">
        <f>VLOOKUP(A270,'vs mars'!B:AC,28,FALSE)</f>
        <v>#N/A</v>
      </c>
      <c r="D270" s="77"/>
      <c r="E270" s="77"/>
      <c r="F270" s="43"/>
      <c r="G270" s="43"/>
      <c r="H270" s="43"/>
      <c r="I270" s="43"/>
      <c r="J270" s="44"/>
      <c r="K270" s="44"/>
      <c r="L270" s="45">
        <f t="shared" si="295"/>
        <v>0</v>
      </c>
      <c r="M270" s="45">
        <f t="shared" si="296"/>
        <v>0</v>
      </c>
      <c r="N270" s="45">
        <f t="shared" si="297"/>
        <v>0</v>
      </c>
      <c r="O270" s="45"/>
      <c r="P270" s="45"/>
      <c r="Q270" s="45"/>
      <c r="R270" s="45">
        <f t="shared" si="298"/>
        <v>0</v>
      </c>
      <c r="S270" s="45">
        <f t="shared" si="299"/>
        <v>0</v>
      </c>
      <c r="T270" s="45">
        <f t="shared" si="300"/>
        <v>0</v>
      </c>
      <c r="U270" s="45"/>
      <c r="V270" s="45"/>
      <c r="W270" s="45"/>
      <c r="X270" s="45"/>
      <c r="Y270" s="45"/>
      <c r="Z270" s="45"/>
      <c r="AA270" s="45"/>
      <c r="AB270" s="45">
        <f t="shared" si="301"/>
        <v>0</v>
      </c>
      <c r="AC270" s="45">
        <f t="shared" si="302"/>
        <v>0</v>
      </c>
      <c r="AD270" s="45">
        <f t="shared" si="303"/>
        <v>0</v>
      </c>
      <c r="AE270" s="44"/>
      <c r="AF270" s="44"/>
      <c r="AG270" s="44"/>
      <c r="AH270" s="44"/>
      <c r="AI270" s="44"/>
      <c r="AJ270" s="44"/>
      <c r="AK270" s="44"/>
      <c r="AL270" s="44">
        <f t="shared" si="304"/>
        <v>0</v>
      </c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>
        <f t="shared" si="305"/>
        <v>0</v>
      </c>
      <c r="BS270" s="312">
        <f t="shared" si="306"/>
        <v>0</v>
      </c>
      <c r="BT270" s="312">
        <f t="shared" si="307"/>
        <v>0</v>
      </c>
      <c r="BU270" s="312">
        <f t="shared" si="308"/>
        <v>0</v>
      </c>
      <c r="BV270" s="312">
        <f t="shared" si="309"/>
        <v>0</v>
      </c>
      <c r="BW270" s="313">
        <f t="shared" si="310"/>
        <v>0</v>
      </c>
      <c r="BX270" s="313">
        <f t="shared" si="311"/>
        <v>0</v>
      </c>
      <c r="BY270" s="313">
        <f t="shared" si="312"/>
        <v>0</v>
      </c>
      <c r="BZ270" s="313">
        <f t="shared" si="313"/>
        <v>0</v>
      </c>
      <c r="CA270" s="44"/>
      <c r="CB270" s="45">
        <f t="shared" si="314"/>
        <v>0</v>
      </c>
      <c r="CC270" s="46">
        <f t="shared" si="315"/>
        <v>0</v>
      </c>
      <c r="CD270" s="47">
        <f t="shared" si="316"/>
        <v>0</v>
      </c>
      <c r="CE270" s="62"/>
      <c r="CF270" s="237" t="e">
        <f>VLOOKUP(A270,labo!B:C,2,FALSE)</f>
        <v>#N/A</v>
      </c>
      <c r="CG270" s="106">
        <f t="shared" si="317"/>
        <v>0</v>
      </c>
      <c r="CI270" s="51"/>
      <c r="CJ270" s="51"/>
      <c r="CK270" s="251" t="e">
        <f t="shared" si="293"/>
        <v>#N/A</v>
      </c>
      <c r="CL270" s="323">
        <f t="shared" si="294"/>
        <v>0</v>
      </c>
      <c r="CM270" s="349"/>
    </row>
    <row r="271" spans="1:95">
      <c r="A271" s="77"/>
      <c r="B271" s="41" t="e">
        <f>VLOOKUP(A271,'vs mars'!B:D,3,FALSE)</f>
        <v>#N/A</v>
      </c>
      <c r="C271" s="42" t="e">
        <f>VLOOKUP(A271,'vs mars'!B:AC,28,FALSE)</f>
        <v>#N/A</v>
      </c>
      <c r="D271" s="77"/>
      <c r="E271" s="77"/>
      <c r="F271" s="43"/>
      <c r="G271" s="43"/>
      <c r="H271" s="43"/>
      <c r="I271" s="43"/>
      <c r="J271" s="44"/>
      <c r="K271" s="44"/>
      <c r="L271" s="45">
        <f t="shared" si="295"/>
        <v>0</v>
      </c>
      <c r="M271" s="45">
        <f t="shared" si="296"/>
        <v>0</v>
      </c>
      <c r="N271" s="45">
        <f t="shared" si="297"/>
        <v>0</v>
      </c>
      <c r="O271" s="45"/>
      <c r="P271" s="45"/>
      <c r="Q271" s="45"/>
      <c r="R271" s="45">
        <f t="shared" si="298"/>
        <v>0</v>
      </c>
      <c r="S271" s="45">
        <f t="shared" si="299"/>
        <v>0</v>
      </c>
      <c r="T271" s="45">
        <f t="shared" si="300"/>
        <v>0</v>
      </c>
      <c r="U271" s="45"/>
      <c r="V271" s="45"/>
      <c r="W271" s="45"/>
      <c r="X271" s="45"/>
      <c r="Y271" s="45"/>
      <c r="Z271" s="45"/>
      <c r="AA271" s="45"/>
      <c r="AB271" s="45">
        <f t="shared" si="301"/>
        <v>0</v>
      </c>
      <c r="AC271" s="45">
        <f t="shared" si="302"/>
        <v>0</v>
      </c>
      <c r="AD271" s="45">
        <f t="shared" si="303"/>
        <v>0</v>
      </c>
      <c r="AE271" s="44"/>
      <c r="AF271" s="44"/>
      <c r="AG271" s="44"/>
      <c r="AH271" s="44"/>
      <c r="AI271" s="44"/>
      <c r="AJ271" s="44"/>
      <c r="AK271" s="44"/>
      <c r="AL271" s="44">
        <f t="shared" si="304"/>
        <v>0</v>
      </c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>
        <f t="shared" si="305"/>
        <v>0</v>
      </c>
      <c r="BS271" s="312">
        <f t="shared" si="306"/>
        <v>0</v>
      </c>
      <c r="BT271" s="312">
        <f t="shared" si="307"/>
        <v>0</v>
      </c>
      <c r="BU271" s="312">
        <f t="shared" si="308"/>
        <v>0</v>
      </c>
      <c r="BV271" s="312">
        <f t="shared" si="309"/>
        <v>0</v>
      </c>
      <c r="BW271" s="313">
        <f t="shared" si="310"/>
        <v>0</v>
      </c>
      <c r="BX271" s="313">
        <f t="shared" si="311"/>
        <v>0</v>
      </c>
      <c r="BY271" s="313">
        <f t="shared" si="312"/>
        <v>0</v>
      </c>
      <c r="BZ271" s="313">
        <f t="shared" si="313"/>
        <v>0</v>
      </c>
      <c r="CA271" s="44"/>
      <c r="CB271" s="45">
        <f t="shared" si="314"/>
        <v>0</v>
      </c>
      <c r="CC271" s="46">
        <f t="shared" si="315"/>
        <v>0</v>
      </c>
      <c r="CD271" s="47">
        <f t="shared" si="316"/>
        <v>0</v>
      </c>
      <c r="CE271" s="62"/>
      <c r="CF271" s="237" t="e">
        <f>VLOOKUP(A271,labo!B:C,2,FALSE)</f>
        <v>#N/A</v>
      </c>
      <c r="CG271" s="106">
        <f t="shared" si="317"/>
        <v>0</v>
      </c>
      <c r="CI271" s="51"/>
      <c r="CJ271" s="51"/>
      <c r="CK271" s="251" t="e">
        <f t="shared" ref="CK271" si="318">+B271</f>
        <v>#N/A</v>
      </c>
      <c r="CL271" s="323">
        <f t="shared" ref="CL271" si="319">CE271</f>
        <v>0</v>
      </c>
      <c r="CM271" s="349"/>
    </row>
    <row r="272" spans="1:95">
      <c r="A272" s="77"/>
      <c r="B272" s="41" t="e">
        <f>VLOOKUP(A272,'vs mars'!B:D,3,FALSE)</f>
        <v>#N/A</v>
      </c>
      <c r="C272" s="42" t="e">
        <f>VLOOKUP(A272,'vs mars'!B:AC,28,FALSE)</f>
        <v>#N/A</v>
      </c>
      <c r="D272" s="77"/>
      <c r="E272" s="77"/>
      <c r="F272" s="43"/>
      <c r="G272" s="43"/>
      <c r="H272" s="43"/>
      <c r="I272" s="43"/>
      <c r="J272" s="44"/>
      <c r="K272" s="44"/>
      <c r="L272" s="45">
        <f t="shared" si="295"/>
        <v>0</v>
      </c>
      <c r="M272" s="45">
        <f t="shared" si="296"/>
        <v>0</v>
      </c>
      <c r="N272" s="45">
        <f t="shared" si="297"/>
        <v>0</v>
      </c>
      <c r="O272" s="45"/>
      <c r="P272" s="45"/>
      <c r="Q272" s="45"/>
      <c r="R272" s="45">
        <f t="shared" si="298"/>
        <v>0</v>
      </c>
      <c r="S272" s="45">
        <f t="shared" si="299"/>
        <v>0</v>
      </c>
      <c r="T272" s="45">
        <f t="shared" si="300"/>
        <v>0</v>
      </c>
      <c r="U272" s="45"/>
      <c r="V272" s="45"/>
      <c r="W272" s="45"/>
      <c r="X272" s="45"/>
      <c r="Y272" s="45"/>
      <c r="Z272" s="45"/>
      <c r="AA272" s="45"/>
      <c r="AB272" s="45">
        <f t="shared" si="301"/>
        <v>0</v>
      </c>
      <c r="AC272" s="45">
        <f t="shared" si="302"/>
        <v>0</v>
      </c>
      <c r="AD272" s="45">
        <f t="shared" si="303"/>
        <v>0</v>
      </c>
      <c r="AE272" s="44"/>
      <c r="AF272" s="44"/>
      <c r="AG272" s="44"/>
      <c r="AH272" s="44"/>
      <c r="AI272" s="44"/>
      <c r="AJ272" s="44"/>
      <c r="AK272" s="44"/>
      <c r="AL272" s="44">
        <f t="shared" si="304"/>
        <v>0</v>
      </c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>
        <f t="shared" si="305"/>
        <v>0</v>
      </c>
      <c r="BS272" s="312">
        <f t="shared" si="306"/>
        <v>0</v>
      </c>
      <c r="BT272" s="312">
        <f t="shared" si="307"/>
        <v>0</v>
      </c>
      <c r="BU272" s="312">
        <f t="shared" si="308"/>
        <v>0</v>
      </c>
      <c r="BV272" s="312">
        <f t="shared" si="309"/>
        <v>0</v>
      </c>
      <c r="BW272" s="313">
        <f t="shared" si="310"/>
        <v>0</v>
      </c>
      <c r="BX272" s="313">
        <f t="shared" si="311"/>
        <v>0</v>
      </c>
      <c r="BY272" s="313">
        <f t="shared" si="312"/>
        <v>0</v>
      </c>
      <c r="BZ272" s="313">
        <f t="shared" si="313"/>
        <v>0</v>
      </c>
      <c r="CA272" s="44"/>
      <c r="CB272" s="45">
        <f t="shared" si="314"/>
        <v>0</v>
      </c>
      <c r="CC272" s="46">
        <f t="shared" si="315"/>
        <v>0</v>
      </c>
      <c r="CD272" s="47">
        <f t="shared" si="316"/>
        <v>0</v>
      </c>
      <c r="CE272" s="62"/>
      <c r="CF272" s="237" t="e">
        <f>VLOOKUP(A272,labo!B:C,2,FALSE)</f>
        <v>#N/A</v>
      </c>
      <c r="CG272" s="106">
        <f t="shared" si="317"/>
        <v>0</v>
      </c>
      <c r="CI272" s="51"/>
      <c r="CJ272" s="51"/>
      <c r="CK272" s="251" t="e">
        <f t="shared" si="293"/>
        <v>#N/A</v>
      </c>
      <c r="CL272" s="323">
        <f t="shared" si="294"/>
        <v>0</v>
      </c>
      <c r="CM272" s="349"/>
    </row>
    <row r="273" spans="1:97">
      <c r="A273" s="77"/>
      <c r="B273" s="41" t="e">
        <f>VLOOKUP(A273,'vs mars'!B:D,3,FALSE)</f>
        <v>#N/A</v>
      </c>
      <c r="C273" s="42" t="e">
        <f>VLOOKUP(A273,'vs mars'!B:AC,28,FALSE)</f>
        <v>#N/A</v>
      </c>
      <c r="D273" s="77"/>
      <c r="E273" s="77"/>
      <c r="F273" s="43"/>
      <c r="G273" s="43"/>
      <c r="H273" s="43"/>
      <c r="I273" s="43"/>
      <c r="J273" s="44"/>
      <c r="K273" s="44"/>
      <c r="L273" s="45">
        <f t="shared" si="295"/>
        <v>0</v>
      </c>
      <c r="M273" s="45">
        <f t="shared" si="296"/>
        <v>0</v>
      </c>
      <c r="N273" s="45">
        <f t="shared" si="297"/>
        <v>0</v>
      </c>
      <c r="O273" s="45"/>
      <c r="P273" s="45"/>
      <c r="Q273" s="45"/>
      <c r="R273" s="45">
        <f t="shared" si="298"/>
        <v>0</v>
      </c>
      <c r="S273" s="45">
        <f t="shared" si="299"/>
        <v>0</v>
      </c>
      <c r="T273" s="45">
        <f t="shared" si="300"/>
        <v>0</v>
      </c>
      <c r="U273" s="45"/>
      <c r="V273" s="45"/>
      <c r="W273" s="45"/>
      <c r="X273" s="45"/>
      <c r="Y273" s="45"/>
      <c r="Z273" s="45"/>
      <c r="AA273" s="45"/>
      <c r="AB273" s="45">
        <f t="shared" si="301"/>
        <v>0</v>
      </c>
      <c r="AC273" s="45">
        <f t="shared" si="302"/>
        <v>0</v>
      </c>
      <c r="AD273" s="45">
        <f t="shared" si="303"/>
        <v>0</v>
      </c>
      <c r="AE273" s="44"/>
      <c r="AF273" s="44"/>
      <c r="AG273" s="44"/>
      <c r="AH273" s="44"/>
      <c r="AI273" s="44"/>
      <c r="AJ273" s="44"/>
      <c r="AK273" s="44"/>
      <c r="AL273" s="44">
        <f t="shared" si="304"/>
        <v>0</v>
      </c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>
        <f t="shared" si="305"/>
        <v>0</v>
      </c>
      <c r="BS273" s="312">
        <f t="shared" si="306"/>
        <v>0</v>
      </c>
      <c r="BT273" s="312">
        <f t="shared" si="307"/>
        <v>0</v>
      </c>
      <c r="BU273" s="312">
        <f t="shared" si="308"/>
        <v>0</v>
      </c>
      <c r="BV273" s="312">
        <f t="shared" si="309"/>
        <v>0</v>
      </c>
      <c r="BW273" s="313">
        <f t="shared" si="310"/>
        <v>0</v>
      </c>
      <c r="BX273" s="313">
        <f t="shared" si="311"/>
        <v>0</v>
      </c>
      <c r="BY273" s="313">
        <f t="shared" si="312"/>
        <v>0</v>
      </c>
      <c r="BZ273" s="313">
        <f t="shared" si="313"/>
        <v>0</v>
      </c>
      <c r="CA273" s="44"/>
      <c r="CB273" s="45">
        <f t="shared" si="314"/>
        <v>0</v>
      </c>
      <c r="CC273" s="46">
        <f t="shared" si="315"/>
        <v>0</v>
      </c>
      <c r="CD273" s="47">
        <f t="shared" si="316"/>
        <v>0</v>
      </c>
      <c r="CE273" s="62"/>
      <c r="CF273" s="237" t="e">
        <f>VLOOKUP(A273,labo!B:C,2,FALSE)</f>
        <v>#N/A</v>
      </c>
      <c r="CG273" s="106">
        <f t="shared" si="317"/>
        <v>0</v>
      </c>
      <c r="CI273" s="51"/>
      <c r="CJ273" s="51"/>
      <c r="CK273" s="251" t="e">
        <f t="shared" si="293"/>
        <v>#N/A</v>
      </c>
      <c r="CL273" s="323">
        <f t="shared" si="294"/>
        <v>0</v>
      </c>
      <c r="CM273" s="349"/>
    </row>
    <row r="274" spans="1:97">
      <c r="A274" s="77"/>
      <c r="B274" s="41" t="e">
        <f>VLOOKUP(A274,'vs mars'!B:D,3,FALSE)</f>
        <v>#N/A</v>
      </c>
      <c r="C274" s="42" t="e">
        <f>VLOOKUP(A274,'vs mars'!B:AC,28,FALSE)</f>
        <v>#N/A</v>
      </c>
      <c r="D274" s="77"/>
      <c r="E274" s="77"/>
      <c r="F274" s="43"/>
      <c r="G274" s="43"/>
      <c r="H274" s="43"/>
      <c r="I274" s="43"/>
      <c r="J274" s="44"/>
      <c r="K274" s="44"/>
      <c r="L274" s="45">
        <f t="shared" si="295"/>
        <v>0</v>
      </c>
      <c r="M274" s="45">
        <f t="shared" si="296"/>
        <v>0</v>
      </c>
      <c r="N274" s="45">
        <f t="shared" si="297"/>
        <v>0</v>
      </c>
      <c r="O274" s="45"/>
      <c r="P274" s="45"/>
      <c r="Q274" s="45"/>
      <c r="R274" s="45">
        <f t="shared" si="298"/>
        <v>0</v>
      </c>
      <c r="S274" s="45">
        <f t="shared" si="299"/>
        <v>0</v>
      </c>
      <c r="T274" s="45">
        <f t="shared" si="300"/>
        <v>0</v>
      </c>
      <c r="U274" s="45"/>
      <c r="V274" s="45"/>
      <c r="W274" s="45"/>
      <c r="X274" s="45"/>
      <c r="Y274" s="45"/>
      <c r="Z274" s="45"/>
      <c r="AA274" s="45"/>
      <c r="AB274" s="45">
        <f t="shared" si="301"/>
        <v>0</v>
      </c>
      <c r="AC274" s="45">
        <f t="shared" si="302"/>
        <v>0</v>
      </c>
      <c r="AD274" s="45">
        <f t="shared" si="303"/>
        <v>0</v>
      </c>
      <c r="AE274" s="44"/>
      <c r="AF274" s="44"/>
      <c r="AG274" s="44"/>
      <c r="AH274" s="44"/>
      <c r="AI274" s="44"/>
      <c r="AJ274" s="44"/>
      <c r="AK274" s="44"/>
      <c r="AL274" s="44">
        <f t="shared" si="304"/>
        <v>0</v>
      </c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>
        <f t="shared" si="305"/>
        <v>0</v>
      </c>
      <c r="BS274" s="312">
        <f t="shared" si="306"/>
        <v>0</v>
      </c>
      <c r="BT274" s="312">
        <f t="shared" si="307"/>
        <v>0</v>
      </c>
      <c r="BU274" s="312">
        <f t="shared" si="308"/>
        <v>0</v>
      </c>
      <c r="BV274" s="312">
        <f t="shared" si="309"/>
        <v>0</v>
      </c>
      <c r="BW274" s="313">
        <f t="shared" si="310"/>
        <v>0</v>
      </c>
      <c r="BX274" s="313">
        <f t="shared" si="311"/>
        <v>0</v>
      </c>
      <c r="BY274" s="313">
        <f t="shared" si="312"/>
        <v>0</v>
      </c>
      <c r="BZ274" s="313">
        <f t="shared" si="313"/>
        <v>0</v>
      </c>
      <c r="CA274" s="44"/>
      <c r="CB274" s="45">
        <f t="shared" si="314"/>
        <v>0</v>
      </c>
      <c r="CC274" s="46">
        <f t="shared" si="315"/>
        <v>0</v>
      </c>
      <c r="CD274" s="47">
        <f t="shared" si="316"/>
        <v>0</v>
      </c>
      <c r="CE274" s="62"/>
      <c r="CF274" s="237" t="e">
        <f>VLOOKUP(A274,labo!B:C,2,FALSE)</f>
        <v>#N/A</v>
      </c>
      <c r="CG274" s="106">
        <f t="shared" si="317"/>
        <v>0</v>
      </c>
      <c r="CI274" s="51"/>
      <c r="CJ274" s="51"/>
      <c r="CK274" s="251" t="e">
        <f t="shared" si="293"/>
        <v>#N/A</v>
      </c>
      <c r="CL274" s="323">
        <f t="shared" si="294"/>
        <v>0</v>
      </c>
      <c r="CM274" s="349"/>
    </row>
    <row r="275" spans="1:97">
      <c r="A275" s="77"/>
      <c r="B275" s="41" t="e">
        <f>VLOOKUP(A275,'vs mars'!B:D,3,FALSE)</f>
        <v>#N/A</v>
      </c>
      <c r="C275" s="42" t="e">
        <f>VLOOKUP(A275,'vs mars'!B:AC,28,FALSE)</f>
        <v>#N/A</v>
      </c>
      <c r="D275" s="77"/>
      <c r="E275" s="77"/>
      <c r="F275" s="43"/>
      <c r="G275" s="43"/>
      <c r="H275" s="43"/>
      <c r="I275" s="43"/>
      <c r="J275" s="44"/>
      <c r="K275" s="44"/>
      <c r="L275" s="45">
        <f t="shared" si="295"/>
        <v>0</v>
      </c>
      <c r="M275" s="45">
        <f t="shared" si="296"/>
        <v>0</v>
      </c>
      <c r="N275" s="45">
        <f t="shared" si="297"/>
        <v>0</v>
      </c>
      <c r="O275" s="45"/>
      <c r="P275" s="45"/>
      <c r="Q275" s="45"/>
      <c r="R275" s="45">
        <f t="shared" si="298"/>
        <v>0</v>
      </c>
      <c r="S275" s="45">
        <f t="shared" si="299"/>
        <v>0</v>
      </c>
      <c r="T275" s="45">
        <f t="shared" si="300"/>
        <v>0</v>
      </c>
      <c r="U275" s="45"/>
      <c r="V275" s="45"/>
      <c r="W275" s="45"/>
      <c r="X275" s="45"/>
      <c r="Y275" s="45"/>
      <c r="Z275" s="45"/>
      <c r="AA275" s="45"/>
      <c r="AB275" s="45">
        <f t="shared" si="301"/>
        <v>0</v>
      </c>
      <c r="AC275" s="45">
        <f t="shared" si="302"/>
        <v>0</v>
      </c>
      <c r="AD275" s="45">
        <f t="shared" si="303"/>
        <v>0</v>
      </c>
      <c r="AE275" s="44"/>
      <c r="AF275" s="44"/>
      <c r="AG275" s="44"/>
      <c r="AH275" s="44"/>
      <c r="AI275" s="44"/>
      <c r="AJ275" s="44"/>
      <c r="AK275" s="44"/>
      <c r="AL275" s="44">
        <f t="shared" si="304"/>
        <v>0</v>
      </c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>
        <f t="shared" si="305"/>
        <v>0</v>
      </c>
      <c r="BS275" s="312">
        <f t="shared" si="306"/>
        <v>0</v>
      </c>
      <c r="BT275" s="312">
        <f t="shared" si="307"/>
        <v>0</v>
      </c>
      <c r="BU275" s="312">
        <f t="shared" si="308"/>
        <v>0</v>
      </c>
      <c r="BV275" s="312">
        <f t="shared" si="309"/>
        <v>0</v>
      </c>
      <c r="BW275" s="313">
        <f t="shared" si="310"/>
        <v>0</v>
      </c>
      <c r="BX275" s="313">
        <f t="shared" si="311"/>
        <v>0</v>
      </c>
      <c r="BY275" s="313">
        <f t="shared" si="312"/>
        <v>0</v>
      </c>
      <c r="BZ275" s="313">
        <f t="shared" si="313"/>
        <v>0</v>
      </c>
      <c r="CA275" s="44"/>
      <c r="CB275" s="45">
        <f t="shared" si="314"/>
        <v>0</v>
      </c>
      <c r="CC275" s="46">
        <f t="shared" si="315"/>
        <v>0</v>
      </c>
      <c r="CD275" s="47">
        <f t="shared" si="316"/>
        <v>0</v>
      </c>
      <c r="CE275" s="62"/>
      <c r="CF275" s="237" t="e">
        <f>VLOOKUP(A275,labo!B:C,2,FALSE)</f>
        <v>#N/A</v>
      </c>
      <c r="CG275" s="106">
        <f t="shared" si="317"/>
        <v>0</v>
      </c>
      <c r="CI275" s="51"/>
      <c r="CJ275" s="51"/>
      <c r="CK275" s="251" t="e">
        <f t="shared" si="293"/>
        <v>#N/A</v>
      </c>
      <c r="CL275" s="323">
        <f t="shared" si="294"/>
        <v>0</v>
      </c>
      <c r="CM275" s="349"/>
    </row>
    <row r="276" spans="1:97">
      <c r="A276" s="77"/>
      <c r="B276" s="41" t="e">
        <f>VLOOKUP(A276,'vs mars'!B:D,3,FALSE)</f>
        <v>#N/A</v>
      </c>
      <c r="C276" s="42" t="e">
        <f>VLOOKUP(A276,'vs mars'!B:AC,28,FALSE)</f>
        <v>#N/A</v>
      </c>
      <c r="D276" s="77"/>
      <c r="E276" s="77"/>
      <c r="F276" s="43"/>
      <c r="G276" s="43"/>
      <c r="H276" s="43"/>
      <c r="I276" s="43"/>
      <c r="J276" s="44"/>
      <c r="K276" s="44"/>
      <c r="L276" s="45">
        <f t="shared" si="295"/>
        <v>0</v>
      </c>
      <c r="M276" s="45">
        <f t="shared" si="296"/>
        <v>0</v>
      </c>
      <c r="N276" s="45">
        <f t="shared" si="297"/>
        <v>0</v>
      </c>
      <c r="O276" s="45"/>
      <c r="P276" s="45"/>
      <c r="Q276" s="45"/>
      <c r="R276" s="45">
        <f t="shared" si="298"/>
        <v>0</v>
      </c>
      <c r="S276" s="45">
        <f t="shared" si="299"/>
        <v>0</v>
      </c>
      <c r="T276" s="45">
        <f t="shared" si="300"/>
        <v>0</v>
      </c>
      <c r="U276" s="45"/>
      <c r="V276" s="45"/>
      <c r="W276" s="45"/>
      <c r="X276" s="45"/>
      <c r="Y276" s="45"/>
      <c r="Z276" s="45"/>
      <c r="AA276" s="45"/>
      <c r="AB276" s="45">
        <f t="shared" si="301"/>
        <v>0</v>
      </c>
      <c r="AC276" s="45">
        <f t="shared" si="302"/>
        <v>0</v>
      </c>
      <c r="AD276" s="45">
        <f t="shared" si="303"/>
        <v>0</v>
      </c>
      <c r="AE276" s="44"/>
      <c r="AF276" s="44"/>
      <c r="AG276" s="44"/>
      <c r="AH276" s="44"/>
      <c r="AI276" s="44"/>
      <c r="AJ276" s="44"/>
      <c r="AK276" s="44"/>
      <c r="AL276" s="44">
        <f t="shared" si="304"/>
        <v>0</v>
      </c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>
        <f t="shared" si="305"/>
        <v>0</v>
      </c>
      <c r="BS276" s="312">
        <f t="shared" si="306"/>
        <v>0</v>
      </c>
      <c r="BT276" s="312">
        <f t="shared" si="307"/>
        <v>0</v>
      </c>
      <c r="BU276" s="312">
        <f t="shared" si="308"/>
        <v>0</v>
      </c>
      <c r="BV276" s="312">
        <f t="shared" si="309"/>
        <v>0</v>
      </c>
      <c r="BW276" s="313">
        <f t="shared" si="310"/>
        <v>0</v>
      </c>
      <c r="BX276" s="313">
        <f t="shared" si="311"/>
        <v>0</v>
      </c>
      <c r="BY276" s="313">
        <f t="shared" si="312"/>
        <v>0</v>
      </c>
      <c r="BZ276" s="313">
        <f t="shared" si="313"/>
        <v>0</v>
      </c>
      <c r="CA276" s="44"/>
      <c r="CB276" s="45">
        <f t="shared" si="314"/>
        <v>0</v>
      </c>
      <c r="CC276" s="46">
        <f t="shared" si="315"/>
        <v>0</v>
      </c>
      <c r="CD276" s="47">
        <f t="shared" si="316"/>
        <v>0</v>
      </c>
      <c r="CE276" s="62"/>
      <c r="CF276" s="237" t="e">
        <f>VLOOKUP(A276,labo!B:C,2,FALSE)</f>
        <v>#N/A</v>
      </c>
      <c r="CG276" s="106">
        <f t="shared" si="317"/>
        <v>0</v>
      </c>
      <c r="CI276" s="51"/>
      <c r="CJ276" s="51"/>
      <c r="CK276" s="251" t="e">
        <f t="shared" si="293"/>
        <v>#N/A</v>
      </c>
      <c r="CL276" s="323">
        <f t="shared" si="294"/>
        <v>0</v>
      </c>
      <c r="CM276" s="349"/>
    </row>
    <row r="277" spans="1:97">
      <c r="A277" s="77"/>
      <c r="B277" s="41" t="e">
        <f>VLOOKUP(A277,'vs mars'!B:D,3,FALSE)</f>
        <v>#N/A</v>
      </c>
      <c r="C277" s="42" t="e">
        <f>VLOOKUP(A277,'vs mars'!B:AC,28,FALSE)</f>
        <v>#N/A</v>
      </c>
      <c r="D277" s="77"/>
      <c r="E277" s="77"/>
      <c r="F277" s="43"/>
      <c r="G277" s="43"/>
      <c r="H277" s="43"/>
      <c r="I277" s="43"/>
      <c r="J277" s="44"/>
      <c r="K277" s="44"/>
      <c r="L277" s="45">
        <f t="shared" si="295"/>
        <v>0</v>
      </c>
      <c r="M277" s="45">
        <f t="shared" si="296"/>
        <v>0</v>
      </c>
      <c r="N277" s="45">
        <f t="shared" si="297"/>
        <v>0</v>
      </c>
      <c r="O277" s="45"/>
      <c r="P277" s="45"/>
      <c r="Q277" s="45"/>
      <c r="R277" s="45">
        <f t="shared" si="298"/>
        <v>0</v>
      </c>
      <c r="S277" s="45">
        <f t="shared" si="299"/>
        <v>0</v>
      </c>
      <c r="T277" s="45">
        <f t="shared" si="300"/>
        <v>0</v>
      </c>
      <c r="U277" s="45"/>
      <c r="V277" s="45"/>
      <c r="W277" s="45"/>
      <c r="X277" s="45"/>
      <c r="Y277" s="45"/>
      <c r="Z277" s="45"/>
      <c r="AA277" s="45"/>
      <c r="AB277" s="45">
        <f t="shared" si="301"/>
        <v>0</v>
      </c>
      <c r="AC277" s="45">
        <f t="shared" si="302"/>
        <v>0</v>
      </c>
      <c r="AD277" s="45">
        <f t="shared" si="303"/>
        <v>0</v>
      </c>
      <c r="AE277" s="44"/>
      <c r="AF277" s="44"/>
      <c r="AG277" s="44"/>
      <c r="AH277" s="44"/>
      <c r="AI277" s="44"/>
      <c r="AJ277" s="44"/>
      <c r="AK277" s="44"/>
      <c r="AL277" s="44">
        <f t="shared" si="304"/>
        <v>0</v>
      </c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>
        <f t="shared" si="305"/>
        <v>0</v>
      </c>
      <c r="BS277" s="312">
        <f t="shared" si="306"/>
        <v>0</v>
      </c>
      <c r="BT277" s="312">
        <f t="shared" si="307"/>
        <v>0</v>
      </c>
      <c r="BU277" s="312">
        <f t="shared" si="308"/>
        <v>0</v>
      </c>
      <c r="BV277" s="312">
        <f t="shared" si="309"/>
        <v>0</v>
      </c>
      <c r="BW277" s="313">
        <f t="shared" si="310"/>
        <v>0</v>
      </c>
      <c r="BX277" s="313">
        <f t="shared" si="311"/>
        <v>0</v>
      </c>
      <c r="BY277" s="313">
        <f t="shared" si="312"/>
        <v>0</v>
      </c>
      <c r="BZ277" s="313">
        <f t="shared" si="313"/>
        <v>0</v>
      </c>
      <c r="CA277" s="44"/>
      <c r="CB277" s="45">
        <f t="shared" si="314"/>
        <v>0</v>
      </c>
      <c r="CC277" s="46">
        <f t="shared" si="315"/>
        <v>0</v>
      </c>
      <c r="CD277" s="47">
        <f t="shared" si="316"/>
        <v>0</v>
      </c>
      <c r="CE277" s="62"/>
      <c r="CF277" s="237" t="e">
        <f>VLOOKUP(A277,labo!B:C,2,FALSE)</f>
        <v>#N/A</v>
      </c>
      <c r="CG277" s="106">
        <f t="shared" si="317"/>
        <v>0</v>
      </c>
      <c r="CI277" s="51"/>
      <c r="CJ277" s="51"/>
      <c r="CK277" s="251" t="e">
        <f t="shared" si="293"/>
        <v>#N/A</v>
      </c>
      <c r="CL277" s="323">
        <f t="shared" si="294"/>
        <v>0</v>
      </c>
      <c r="CM277" s="349"/>
    </row>
    <row r="278" spans="1:97">
      <c r="A278" s="77"/>
      <c r="B278" s="41" t="e">
        <f>VLOOKUP(A278,'vs mars'!B:D,3,FALSE)</f>
        <v>#N/A</v>
      </c>
      <c r="C278" s="42" t="e">
        <f>VLOOKUP(A278,'vs mars'!B:AC,28,FALSE)</f>
        <v>#N/A</v>
      </c>
      <c r="D278" s="77"/>
      <c r="E278" s="77"/>
      <c r="F278" s="43"/>
      <c r="G278" s="43"/>
      <c r="H278" s="43"/>
      <c r="I278" s="43"/>
      <c r="J278" s="44"/>
      <c r="K278" s="44"/>
      <c r="L278" s="45">
        <f t="shared" si="295"/>
        <v>0</v>
      </c>
      <c r="M278" s="45">
        <f t="shared" si="296"/>
        <v>0</v>
      </c>
      <c r="N278" s="45">
        <f t="shared" si="297"/>
        <v>0</v>
      </c>
      <c r="O278" s="45"/>
      <c r="P278" s="45"/>
      <c r="Q278" s="45"/>
      <c r="R278" s="45">
        <f t="shared" si="298"/>
        <v>0</v>
      </c>
      <c r="S278" s="45">
        <f t="shared" si="299"/>
        <v>0</v>
      </c>
      <c r="T278" s="45">
        <f t="shared" si="300"/>
        <v>0</v>
      </c>
      <c r="U278" s="45"/>
      <c r="V278" s="45"/>
      <c r="W278" s="45"/>
      <c r="X278" s="45"/>
      <c r="Y278" s="45"/>
      <c r="Z278" s="45"/>
      <c r="AA278" s="45"/>
      <c r="AB278" s="45">
        <f t="shared" si="301"/>
        <v>0</v>
      </c>
      <c r="AC278" s="45">
        <f t="shared" si="302"/>
        <v>0</v>
      </c>
      <c r="AD278" s="45">
        <f t="shared" si="303"/>
        <v>0</v>
      </c>
      <c r="AE278" s="44"/>
      <c r="AF278" s="44"/>
      <c r="AG278" s="44"/>
      <c r="AH278" s="44"/>
      <c r="AI278" s="44"/>
      <c r="AJ278" s="44"/>
      <c r="AK278" s="44"/>
      <c r="AL278" s="44">
        <f t="shared" si="304"/>
        <v>0</v>
      </c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>
        <f t="shared" si="305"/>
        <v>0</v>
      </c>
      <c r="BS278" s="312">
        <f t="shared" si="306"/>
        <v>0</v>
      </c>
      <c r="BT278" s="312">
        <f t="shared" si="307"/>
        <v>0</v>
      </c>
      <c r="BU278" s="312">
        <f t="shared" si="308"/>
        <v>0</v>
      </c>
      <c r="BV278" s="312">
        <f t="shared" si="309"/>
        <v>0</v>
      </c>
      <c r="BW278" s="313">
        <f t="shared" si="310"/>
        <v>0</v>
      </c>
      <c r="BX278" s="313">
        <f t="shared" si="311"/>
        <v>0</v>
      </c>
      <c r="BY278" s="313">
        <f t="shared" si="312"/>
        <v>0</v>
      </c>
      <c r="BZ278" s="313">
        <f t="shared" si="313"/>
        <v>0</v>
      </c>
      <c r="CA278" s="44"/>
      <c r="CB278" s="45">
        <f t="shared" si="314"/>
        <v>0</v>
      </c>
      <c r="CC278" s="46">
        <f t="shared" si="315"/>
        <v>0</v>
      </c>
      <c r="CD278" s="47">
        <f t="shared" si="316"/>
        <v>0</v>
      </c>
      <c r="CE278" s="62"/>
      <c r="CF278" s="237" t="e">
        <f>VLOOKUP(A278,labo!B:C,2,FALSE)</f>
        <v>#N/A</v>
      </c>
      <c r="CG278" s="106">
        <f t="shared" si="317"/>
        <v>0</v>
      </c>
      <c r="CI278" s="51"/>
      <c r="CJ278" s="51"/>
      <c r="CK278" s="251" t="e">
        <f t="shared" si="293"/>
        <v>#N/A</v>
      </c>
      <c r="CL278" s="323">
        <f t="shared" si="294"/>
        <v>0</v>
      </c>
      <c r="CM278" s="349"/>
    </row>
    <row r="279" spans="1:97" customFormat="1">
      <c r="A279" s="77"/>
      <c r="B279" s="41" t="e">
        <f>VLOOKUP(A279,'vs mars'!B:D,3,FALSE)</f>
        <v>#N/A</v>
      </c>
      <c r="C279" s="42" t="e">
        <f>VLOOKUP(A279,'vs mars'!B:AC,28,FALSE)</f>
        <v>#N/A</v>
      </c>
      <c r="D279" s="77"/>
      <c r="E279" s="77"/>
      <c r="F279" s="43"/>
      <c r="G279" s="43"/>
      <c r="H279" s="43"/>
      <c r="I279" s="43"/>
      <c r="J279" s="44"/>
      <c r="K279" s="44"/>
      <c r="L279" s="45">
        <f t="shared" si="295"/>
        <v>0</v>
      </c>
      <c r="M279" s="45">
        <f t="shared" si="296"/>
        <v>0</v>
      </c>
      <c r="N279" s="45">
        <f t="shared" si="297"/>
        <v>0</v>
      </c>
      <c r="O279" s="45"/>
      <c r="P279" s="45"/>
      <c r="Q279" s="45"/>
      <c r="R279" s="45">
        <f t="shared" si="298"/>
        <v>0</v>
      </c>
      <c r="S279" s="45">
        <f t="shared" si="299"/>
        <v>0</v>
      </c>
      <c r="T279" s="45">
        <f t="shared" si="300"/>
        <v>0</v>
      </c>
      <c r="U279" s="45"/>
      <c r="V279" s="45"/>
      <c r="W279" s="45"/>
      <c r="X279" s="45"/>
      <c r="Y279" s="45"/>
      <c r="Z279" s="45"/>
      <c r="AA279" s="45"/>
      <c r="AB279" s="45">
        <f t="shared" si="301"/>
        <v>0</v>
      </c>
      <c r="AC279" s="45">
        <f t="shared" si="302"/>
        <v>0</v>
      </c>
      <c r="AD279" s="45">
        <f t="shared" si="303"/>
        <v>0</v>
      </c>
      <c r="AE279" s="44"/>
      <c r="AF279" s="44"/>
      <c r="AG279" s="44"/>
      <c r="AH279" s="44"/>
      <c r="AI279" s="44"/>
      <c r="AJ279" s="44"/>
      <c r="AK279" s="44"/>
      <c r="AL279" s="44">
        <f t="shared" si="304"/>
        <v>0</v>
      </c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>
        <f t="shared" si="305"/>
        <v>0</v>
      </c>
      <c r="BS279" s="312">
        <f t="shared" si="306"/>
        <v>0</v>
      </c>
      <c r="BT279" s="312">
        <f t="shared" si="307"/>
        <v>0</v>
      </c>
      <c r="BU279" s="312">
        <f t="shared" si="308"/>
        <v>0</v>
      </c>
      <c r="BV279" s="312">
        <f t="shared" si="309"/>
        <v>0</v>
      </c>
      <c r="BW279" s="313">
        <f t="shared" si="310"/>
        <v>0</v>
      </c>
      <c r="BX279" s="313">
        <f t="shared" si="311"/>
        <v>0</v>
      </c>
      <c r="BY279" s="313">
        <f t="shared" si="312"/>
        <v>0</v>
      </c>
      <c r="BZ279" s="313">
        <f t="shared" si="313"/>
        <v>0</v>
      </c>
      <c r="CA279" s="44"/>
      <c r="CB279" s="45">
        <f t="shared" si="314"/>
        <v>0</v>
      </c>
      <c r="CC279" s="46">
        <f t="shared" si="315"/>
        <v>0</v>
      </c>
      <c r="CD279" s="47">
        <f t="shared" si="316"/>
        <v>0</v>
      </c>
      <c r="CE279" s="62"/>
      <c r="CF279" s="237" t="e">
        <f>VLOOKUP(A279,labo!B:C,2,FALSE)</f>
        <v>#N/A</v>
      </c>
      <c r="CG279" s="106">
        <f t="shared" si="317"/>
        <v>0</v>
      </c>
      <c r="CH279" s="40"/>
      <c r="CI279" s="51"/>
      <c r="CJ279" s="619"/>
      <c r="CK279" s="619">
        <v>5418750</v>
      </c>
      <c r="CL279" s="620"/>
      <c r="CM279" s="621"/>
      <c r="CN279" s="77"/>
      <c r="CO279" s="545"/>
      <c r="CP279" s="545"/>
      <c r="CQ279" s="622" t="s">
        <v>2905</v>
      </c>
      <c r="CR279" s="623" t="str">
        <f t="shared" ref="CR279" si="320">IF(CE279="oui","penalités","princ+penalités")</f>
        <v>princ+penalités</v>
      </c>
      <c r="CS279" s="623">
        <f t="shared" ref="CS279" si="321">IF(CE279="oui",CB279*11.5/100,CB279+CB279*11.5/100)</f>
        <v>0</v>
      </c>
    </row>
    <row r="280" spans="1:97">
      <c r="A280" s="77"/>
      <c r="B280" s="41" t="e">
        <f>VLOOKUP(A280,'vs mars'!B:D,3,FALSE)</f>
        <v>#N/A</v>
      </c>
      <c r="C280" s="42" t="e">
        <f>VLOOKUP(A280,'vs mars'!B:AC,28,FALSE)</f>
        <v>#N/A</v>
      </c>
      <c r="D280" s="77"/>
      <c r="E280" s="77"/>
      <c r="F280" s="43"/>
      <c r="G280" s="43"/>
      <c r="H280" s="43"/>
      <c r="I280" s="43"/>
      <c r="J280" s="44"/>
      <c r="K280" s="44"/>
      <c r="L280" s="45">
        <f t="shared" si="295"/>
        <v>0</v>
      </c>
      <c r="M280" s="45">
        <f t="shared" si="296"/>
        <v>0</v>
      </c>
      <c r="N280" s="45">
        <f t="shared" si="297"/>
        <v>0</v>
      </c>
      <c r="O280" s="45"/>
      <c r="P280" s="45"/>
      <c r="Q280" s="45"/>
      <c r="R280" s="45">
        <f t="shared" si="298"/>
        <v>0</v>
      </c>
      <c r="S280" s="45">
        <f t="shared" si="299"/>
        <v>0</v>
      </c>
      <c r="T280" s="45">
        <f t="shared" si="300"/>
        <v>0</v>
      </c>
      <c r="U280" s="45"/>
      <c r="V280" s="45"/>
      <c r="W280" s="45"/>
      <c r="X280" s="45"/>
      <c r="Y280" s="45"/>
      <c r="Z280" s="45"/>
      <c r="AA280" s="45"/>
      <c r="AB280" s="45">
        <f t="shared" si="301"/>
        <v>0</v>
      </c>
      <c r="AC280" s="45">
        <f t="shared" si="302"/>
        <v>0</v>
      </c>
      <c r="AD280" s="45">
        <f t="shared" si="303"/>
        <v>0</v>
      </c>
      <c r="AE280" s="44"/>
      <c r="AF280" s="44"/>
      <c r="AG280" s="44"/>
      <c r="AH280" s="44"/>
      <c r="AI280" s="44"/>
      <c r="AJ280" s="44"/>
      <c r="AK280" s="44"/>
      <c r="AL280" s="44">
        <f t="shared" si="304"/>
        <v>0</v>
      </c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>
        <f t="shared" si="305"/>
        <v>0</v>
      </c>
      <c r="BS280" s="312">
        <f t="shared" si="306"/>
        <v>0</v>
      </c>
      <c r="BT280" s="312">
        <f t="shared" si="307"/>
        <v>0</v>
      </c>
      <c r="BU280" s="312">
        <f t="shared" si="308"/>
        <v>0</v>
      </c>
      <c r="BV280" s="312">
        <f t="shared" si="309"/>
        <v>0</v>
      </c>
      <c r="BW280" s="313">
        <f t="shared" si="310"/>
        <v>0</v>
      </c>
      <c r="BX280" s="313">
        <f t="shared" si="311"/>
        <v>0</v>
      </c>
      <c r="BY280" s="313">
        <f t="shared" si="312"/>
        <v>0</v>
      </c>
      <c r="BZ280" s="313">
        <f t="shared" si="313"/>
        <v>0</v>
      </c>
      <c r="CA280" s="44"/>
      <c r="CB280" s="45">
        <f t="shared" si="314"/>
        <v>0</v>
      </c>
      <c r="CC280" s="46">
        <f t="shared" si="315"/>
        <v>0</v>
      </c>
      <c r="CD280" s="47">
        <f t="shared" si="316"/>
        <v>0</v>
      </c>
      <c r="CE280" s="62"/>
      <c r="CF280" s="237" t="e">
        <f>VLOOKUP(A280,labo!B:C,2,FALSE)</f>
        <v>#N/A</v>
      </c>
      <c r="CG280" s="106">
        <f t="shared" si="317"/>
        <v>0</v>
      </c>
      <c r="CI280" s="51"/>
      <c r="CJ280" s="51"/>
      <c r="CK280" s="251" t="e">
        <f t="shared" si="293"/>
        <v>#N/A</v>
      </c>
      <c r="CL280" s="323">
        <f t="shared" si="294"/>
        <v>0</v>
      </c>
      <c r="CM280" s="349"/>
    </row>
    <row r="281" spans="1:97">
      <c r="A281" s="77"/>
      <c r="B281" s="41" t="e">
        <f>VLOOKUP(A281,'vs mars'!B:D,3,FALSE)</f>
        <v>#N/A</v>
      </c>
      <c r="C281" s="42" t="e">
        <f>VLOOKUP(A281,'vs mars'!B:AC,28,FALSE)</f>
        <v>#N/A</v>
      </c>
      <c r="D281" s="77"/>
      <c r="E281" s="77"/>
      <c r="F281" s="43"/>
      <c r="G281" s="43"/>
      <c r="H281" s="43"/>
      <c r="I281" s="43"/>
      <c r="J281" s="44"/>
      <c r="K281" s="44"/>
      <c r="L281" s="45">
        <f t="shared" si="295"/>
        <v>0</v>
      </c>
      <c r="M281" s="45">
        <f t="shared" si="296"/>
        <v>0</v>
      </c>
      <c r="N281" s="45">
        <f t="shared" si="297"/>
        <v>0</v>
      </c>
      <c r="O281" s="45"/>
      <c r="P281" s="45"/>
      <c r="Q281" s="45"/>
      <c r="R281" s="45">
        <f t="shared" si="298"/>
        <v>0</v>
      </c>
      <c r="S281" s="45">
        <f t="shared" si="299"/>
        <v>0</v>
      </c>
      <c r="T281" s="45">
        <f t="shared" si="300"/>
        <v>0</v>
      </c>
      <c r="U281" s="45"/>
      <c r="V281" s="45"/>
      <c r="W281" s="45"/>
      <c r="X281" s="45"/>
      <c r="Y281" s="45"/>
      <c r="Z281" s="45"/>
      <c r="AA281" s="45"/>
      <c r="AB281" s="45">
        <f t="shared" si="301"/>
        <v>0</v>
      </c>
      <c r="AC281" s="45">
        <f t="shared" si="302"/>
        <v>0</v>
      </c>
      <c r="AD281" s="45">
        <f t="shared" si="303"/>
        <v>0</v>
      </c>
      <c r="AE281" s="44"/>
      <c r="AF281" s="44"/>
      <c r="AG281" s="44"/>
      <c r="AH281" s="44"/>
      <c r="AI281" s="44"/>
      <c r="AJ281" s="44"/>
      <c r="AK281" s="44"/>
      <c r="AL281" s="44">
        <f t="shared" si="304"/>
        <v>0</v>
      </c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>
        <f t="shared" si="305"/>
        <v>0</v>
      </c>
      <c r="BS281" s="312">
        <f t="shared" si="306"/>
        <v>0</v>
      </c>
      <c r="BT281" s="312">
        <f t="shared" si="307"/>
        <v>0</v>
      </c>
      <c r="BU281" s="312">
        <f t="shared" si="308"/>
        <v>0</v>
      </c>
      <c r="BV281" s="312">
        <f t="shared" si="309"/>
        <v>0</v>
      </c>
      <c r="BW281" s="313">
        <f t="shared" si="310"/>
        <v>0</v>
      </c>
      <c r="BX281" s="313">
        <f t="shared" si="311"/>
        <v>0</v>
      </c>
      <c r="BY281" s="313">
        <f t="shared" si="312"/>
        <v>0</v>
      </c>
      <c r="BZ281" s="313">
        <f t="shared" si="313"/>
        <v>0</v>
      </c>
      <c r="CA281" s="44"/>
      <c r="CB281" s="45">
        <f t="shared" si="314"/>
        <v>0</v>
      </c>
      <c r="CC281" s="46">
        <f t="shared" si="315"/>
        <v>0</v>
      </c>
      <c r="CD281" s="47">
        <f t="shared" si="316"/>
        <v>0</v>
      </c>
      <c r="CE281" s="62"/>
      <c r="CF281" s="237" t="e">
        <f>VLOOKUP(A281,labo!B:C,2,FALSE)</f>
        <v>#N/A</v>
      </c>
      <c r="CG281" s="106">
        <f t="shared" si="317"/>
        <v>0</v>
      </c>
      <c r="CI281" s="51"/>
      <c r="CJ281" s="51"/>
      <c r="CK281" s="251" t="e">
        <f t="shared" si="293"/>
        <v>#N/A</v>
      </c>
      <c r="CL281" s="323">
        <f t="shared" si="294"/>
        <v>0</v>
      </c>
      <c r="CM281" s="349"/>
    </row>
    <row r="282" spans="1:97">
      <c r="A282" s="77"/>
      <c r="B282" s="41" t="e">
        <f>VLOOKUP(A282,'vs mars'!B:D,3,FALSE)</f>
        <v>#N/A</v>
      </c>
      <c r="C282" s="42" t="e">
        <f>VLOOKUP(A282,'vs mars'!B:AC,28,FALSE)</f>
        <v>#N/A</v>
      </c>
      <c r="D282" s="77"/>
      <c r="E282" s="77"/>
      <c r="F282" s="43"/>
      <c r="G282" s="43"/>
      <c r="H282" s="43"/>
      <c r="I282" s="43"/>
      <c r="J282" s="44"/>
      <c r="K282" s="44"/>
      <c r="L282" s="45">
        <f t="shared" si="295"/>
        <v>0</v>
      </c>
      <c r="M282" s="45">
        <f t="shared" si="296"/>
        <v>0</v>
      </c>
      <c r="N282" s="45">
        <f t="shared" si="297"/>
        <v>0</v>
      </c>
      <c r="O282" s="45"/>
      <c r="P282" s="45"/>
      <c r="Q282" s="45"/>
      <c r="R282" s="45">
        <f t="shared" si="298"/>
        <v>0</v>
      </c>
      <c r="S282" s="45">
        <f t="shared" si="299"/>
        <v>0</v>
      </c>
      <c r="T282" s="45">
        <f t="shared" si="300"/>
        <v>0</v>
      </c>
      <c r="U282" s="45"/>
      <c r="V282" s="45"/>
      <c r="W282" s="45"/>
      <c r="X282" s="45"/>
      <c r="Y282" s="45"/>
      <c r="Z282" s="45"/>
      <c r="AA282" s="45"/>
      <c r="AB282" s="45">
        <f t="shared" si="301"/>
        <v>0</v>
      </c>
      <c r="AC282" s="45">
        <f t="shared" si="302"/>
        <v>0</v>
      </c>
      <c r="AD282" s="45">
        <f t="shared" si="303"/>
        <v>0</v>
      </c>
      <c r="AE282" s="44"/>
      <c r="AF282" s="44"/>
      <c r="AG282" s="44"/>
      <c r="AH282" s="44"/>
      <c r="AI282" s="44"/>
      <c r="AJ282" s="44"/>
      <c r="AK282" s="44"/>
      <c r="AL282" s="44">
        <f t="shared" si="304"/>
        <v>0</v>
      </c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>
        <f t="shared" si="305"/>
        <v>0</v>
      </c>
      <c r="BS282" s="312">
        <f t="shared" si="306"/>
        <v>0</v>
      </c>
      <c r="BT282" s="312">
        <f t="shared" si="307"/>
        <v>0</v>
      </c>
      <c r="BU282" s="312">
        <f t="shared" si="308"/>
        <v>0</v>
      </c>
      <c r="BV282" s="312">
        <f t="shared" si="309"/>
        <v>0</v>
      </c>
      <c r="BW282" s="313">
        <f t="shared" si="310"/>
        <v>0</v>
      </c>
      <c r="BX282" s="313">
        <f t="shared" si="311"/>
        <v>0</v>
      </c>
      <c r="BY282" s="313">
        <f t="shared" si="312"/>
        <v>0</v>
      </c>
      <c r="BZ282" s="313">
        <f t="shared" si="313"/>
        <v>0</v>
      </c>
      <c r="CA282" s="44"/>
      <c r="CB282" s="45">
        <f t="shared" si="314"/>
        <v>0</v>
      </c>
      <c r="CC282" s="46">
        <f t="shared" si="315"/>
        <v>0</v>
      </c>
      <c r="CD282" s="47">
        <f t="shared" si="316"/>
        <v>0</v>
      </c>
      <c r="CE282" s="62"/>
      <c r="CF282" s="237" t="e">
        <f>VLOOKUP(A282,labo!B:C,2,FALSE)</f>
        <v>#N/A</v>
      </c>
      <c r="CG282" s="106">
        <f t="shared" si="317"/>
        <v>0</v>
      </c>
      <c r="CI282" s="51"/>
      <c r="CJ282" s="51"/>
      <c r="CK282" s="251" t="e">
        <f t="shared" si="293"/>
        <v>#N/A</v>
      </c>
      <c r="CL282" s="323">
        <f t="shared" si="294"/>
        <v>0</v>
      </c>
      <c r="CM282" s="349"/>
    </row>
    <row r="283" spans="1:97">
      <c r="A283" s="77"/>
      <c r="B283" s="41" t="e">
        <f>VLOOKUP(A283,'vs mars'!B:D,3,FALSE)</f>
        <v>#N/A</v>
      </c>
      <c r="C283" s="42" t="e">
        <f>VLOOKUP(A283,'vs mars'!B:AC,28,FALSE)</f>
        <v>#N/A</v>
      </c>
      <c r="D283" s="77"/>
      <c r="E283" s="77"/>
      <c r="F283" s="43"/>
      <c r="G283" s="43"/>
      <c r="H283" s="43"/>
      <c r="I283" s="43"/>
      <c r="J283" s="44"/>
      <c r="K283" s="44"/>
      <c r="L283" s="45">
        <f t="shared" si="295"/>
        <v>0</v>
      </c>
      <c r="M283" s="45">
        <f t="shared" si="296"/>
        <v>0</v>
      </c>
      <c r="N283" s="45">
        <f t="shared" si="297"/>
        <v>0</v>
      </c>
      <c r="O283" s="45"/>
      <c r="P283" s="45"/>
      <c r="Q283" s="45"/>
      <c r="R283" s="45">
        <f t="shared" si="298"/>
        <v>0</v>
      </c>
      <c r="S283" s="45">
        <f t="shared" si="299"/>
        <v>0</v>
      </c>
      <c r="T283" s="45">
        <f t="shared" si="300"/>
        <v>0</v>
      </c>
      <c r="U283" s="45"/>
      <c r="V283" s="45"/>
      <c r="W283" s="45"/>
      <c r="X283" s="45"/>
      <c r="Y283" s="45"/>
      <c r="Z283" s="45"/>
      <c r="AA283" s="45"/>
      <c r="AB283" s="45">
        <f t="shared" si="301"/>
        <v>0</v>
      </c>
      <c r="AC283" s="45">
        <f t="shared" si="302"/>
        <v>0</v>
      </c>
      <c r="AD283" s="45">
        <f t="shared" si="303"/>
        <v>0</v>
      </c>
      <c r="AE283" s="44"/>
      <c r="AF283" s="44"/>
      <c r="AG283" s="44"/>
      <c r="AH283" s="44"/>
      <c r="AI283" s="44"/>
      <c r="AJ283" s="44"/>
      <c r="AK283" s="44"/>
      <c r="AL283" s="44">
        <f t="shared" si="304"/>
        <v>0</v>
      </c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>
        <f t="shared" si="305"/>
        <v>0</v>
      </c>
      <c r="BS283" s="312">
        <f t="shared" si="306"/>
        <v>0</v>
      </c>
      <c r="BT283" s="312">
        <f t="shared" si="307"/>
        <v>0</v>
      </c>
      <c r="BU283" s="312">
        <f t="shared" si="308"/>
        <v>0</v>
      </c>
      <c r="BV283" s="312">
        <f t="shared" si="309"/>
        <v>0</v>
      </c>
      <c r="BW283" s="313">
        <f t="shared" si="310"/>
        <v>0</v>
      </c>
      <c r="BX283" s="313">
        <f t="shared" si="311"/>
        <v>0</v>
      </c>
      <c r="BY283" s="313">
        <f t="shared" si="312"/>
        <v>0</v>
      </c>
      <c r="BZ283" s="313">
        <f t="shared" si="313"/>
        <v>0</v>
      </c>
      <c r="CA283" s="44"/>
      <c r="CB283" s="45">
        <f t="shared" si="314"/>
        <v>0</v>
      </c>
      <c r="CC283" s="46">
        <f t="shared" si="315"/>
        <v>0</v>
      </c>
      <c r="CD283" s="47">
        <f t="shared" si="316"/>
        <v>0</v>
      </c>
      <c r="CE283" s="62"/>
      <c r="CF283" s="237" t="e">
        <f>VLOOKUP(A283,labo!B:C,2,FALSE)</f>
        <v>#N/A</v>
      </c>
      <c r="CG283" s="106">
        <f t="shared" si="317"/>
        <v>0</v>
      </c>
      <c r="CI283" s="51"/>
      <c r="CJ283" s="51"/>
      <c r="CK283" s="251" t="e">
        <f t="shared" si="293"/>
        <v>#N/A</v>
      </c>
      <c r="CL283" s="323">
        <f t="shared" si="294"/>
        <v>0</v>
      </c>
      <c r="CM283" s="349"/>
    </row>
    <row r="284" spans="1:97">
      <c r="A284" s="77"/>
      <c r="B284" s="41" t="e">
        <f>VLOOKUP(A284,'vs mars'!B:D,3,FALSE)</f>
        <v>#N/A</v>
      </c>
      <c r="C284" s="42" t="e">
        <f>VLOOKUP(A284,'vs mars'!B:AC,28,FALSE)</f>
        <v>#N/A</v>
      </c>
      <c r="D284" s="77"/>
      <c r="E284" s="77"/>
      <c r="F284" s="43"/>
      <c r="G284" s="43"/>
      <c r="H284" s="43"/>
      <c r="I284" s="43"/>
      <c r="J284" s="44"/>
      <c r="K284" s="44"/>
      <c r="L284" s="45">
        <f t="shared" si="295"/>
        <v>0</v>
      </c>
      <c r="M284" s="45">
        <f t="shared" si="296"/>
        <v>0</v>
      </c>
      <c r="N284" s="45">
        <f t="shared" si="297"/>
        <v>0</v>
      </c>
      <c r="O284" s="45"/>
      <c r="P284" s="45"/>
      <c r="Q284" s="45"/>
      <c r="R284" s="45">
        <f t="shared" si="298"/>
        <v>0</v>
      </c>
      <c r="S284" s="45">
        <f t="shared" si="299"/>
        <v>0</v>
      </c>
      <c r="T284" s="45">
        <f t="shared" si="300"/>
        <v>0</v>
      </c>
      <c r="U284" s="45"/>
      <c r="V284" s="45"/>
      <c r="W284" s="45"/>
      <c r="X284" s="45"/>
      <c r="Y284" s="45"/>
      <c r="Z284" s="45"/>
      <c r="AA284" s="45"/>
      <c r="AB284" s="45">
        <f t="shared" si="301"/>
        <v>0</v>
      </c>
      <c r="AC284" s="45">
        <f t="shared" si="302"/>
        <v>0</v>
      </c>
      <c r="AD284" s="45">
        <f t="shared" si="303"/>
        <v>0</v>
      </c>
      <c r="AE284" s="44"/>
      <c r="AF284" s="44"/>
      <c r="AG284" s="44"/>
      <c r="AH284" s="44"/>
      <c r="AI284" s="44"/>
      <c r="AJ284" s="44"/>
      <c r="AK284" s="44"/>
      <c r="AL284" s="44">
        <f t="shared" si="304"/>
        <v>0</v>
      </c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>
        <f t="shared" si="305"/>
        <v>0</v>
      </c>
      <c r="BS284" s="312">
        <f t="shared" si="306"/>
        <v>0</v>
      </c>
      <c r="BT284" s="312">
        <f t="shared" si="307"/>
        <v>0</v>
      </c>
      <c r="BU284" s="312">
        <f t="shared" si="308"/>
        <v>0</v>
      </c>
      <c r="BV284" s="312">
        <f t="shared" si="309"/>
        <v>0</v>
      </c>
      <c r="BW284" s="313">
        <f t="shared" si="310"/>
        <v>0</v>
      </c>
      <c r="BX284" s="313">
        <f t="shared" si="311"/>
        <v>0</v>
      </c>
      <c r="BY284" s="313">
        <f t="shared" si="312"/>
        <v>0</v>
      </c>
      <c r="BZ284" s="313">
        <f t="shared" si="313"/>
        <v>0</v>
      </c>
      <c r="CA284" s="44"/>
      <c r="CB284" s="45">
        <f t="shared" si="314"/>
        <v>0</v>
      </c>
      <c r="CC284" s="46">
        <f t="shared" si="315"/>
        <v>0</v>
      </c>
      <c r="CD284" s="47">
        <f t="shared" si="316"/>
        <v>0</v>
      </c>
      <c r="CE284" s="62"/>
      <c r="CF284" s="237" t="e">
        <f>VLOOKUP(A284,labo!B:C,2,FALSE)</f>
        <v>#N/A</v>
      </c>
      <c r="CG284" s="106">
        <f t="shared" si="317"/>
        <v>0</v>
      </c>
      <c r="CI284" s="51"/>
      <c r="CJ284" s="51"/>
      <c r="CK284" s="251" t="e">
        <f t="shared" ref="CK284" si="322">+B284</f>
        <v>#N/A</v>
      </c>
      <c r="CL284" s="323">
        <f t="shared" ref="CL284" si="323">CE284</f>
        <v>0</v>
      </c>
      <c r="CM284" s="349"/>
    </row>
    <row r="285" spans="1:97">
      <c r="A285" s="77"/>
      <c r="B285" s="41" t="e">
        <f>VLOOKUP(A285,'vs mars'!B:D,3,FALSE)</f>
        <v>#N/A</v>
      </c>
      <c r="C285" s="42" t="e">
        <f>VLOOKUP(A285,'vs mars'!B:AC,28,FALSE)</f>
        <v>#N/A</v>
      </c>
      <c r="D285" s="77"/>
      <c r="E285" s="77"/>
      <c r="F285" s="43"/>
      <c r="G285" s="43"/>
      <c r="H285" s="43"/>
      <c r="I285" s="43"/>
      <c r="J285" s="44"/>
      <c r="K285" s="44"/>
      <c r="L285" s="45">
        <f t="shared" si="295"/>
        <v>0</v>
      </c>
      <c r="M285" s="45">
        <f t="shared" si="296"/>
        <v>0</v>
      </c>
      <c r="N285" s="45">
        <f t="shared" si="297"/>
        <v>0</v>
      </c>
      <c r="O285" s="45"/>
      <c r="P285" s="45"/>
      <c r="Q285" s="45"/>
      <c r="R285" s="45">
        <f t="shared" si="298"/>
        <v>0</v>
      </c>
      <c r="S285" s="45">
        <f t="shared" si="299"/>
        <v>0</v>
      </c>
      <c r="T285" s="45">
        <f t="shared" si="300"/>
        <v>0</v>
      </c>
      <c r="U285" s="45"/>
      <c r="V285" s="45"/>
      <c r="W285" s="45"/>
      <c r="X285" s="45"/>
      <c r="Y285" s="45"/>
      <c r="Z285" s="45"/>
      <c r="AA285" s="45"/>
      <c r="AB285" s="45">
        <f t="shared" si="301"/>
        <v>0</v>
      </c>
      <c r="AC285" s="45">
        <f t="shared" si="302"/>
        <v>0</v>
      </c>
      <c r="AD285" s="45">
        <f t="shared" si="303"/>
        <v>0</v>
      </c>
      <c r="AE285" s="44"/>
      <c r="AF285" s="44"/>
      <c r="AG285" s="44"/>
      <c r="AH285" s="44"/>
      <c r="AI285" s="44"/>
      <c r="AJ285" s="44"/>
      <c r="AK285" s="44"/>
      <c r="AL285" s="44">
        <f t="shared" si="304"/>
        <v>0</v>
      </c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>
        <f t="shared" si="305"/>
        <v>0</v>
      </c>
      <c r="BS285" s="312">
        <f t="shared" si="306"/>
        <v>0</v>
      </c>
      <c r="BT285" s="312">
        <f t="shared" si="307"/>
        <v>0</v>
      </c>
      <c r="BU285" s="312">
        <f t="shared" si="308"/>
        <v>0</v>
      </c>
      <c r="BV285" s="312">
        <f t="shared" si="309"/>
        <v>0</v>
      </c>
      <c r="BW285" s="313">
        <f t="shared" si="310"/>
        <v>0</v>
      </c>
      <c r="BX285" s="313">
        <f t="shared" si="311"/>
        <v>0</v>
      </c>
      <c r="BY285" s="313">
        <f t="shared" si="312"/>
        <v>0</v>
      </c>
      <c r="BZ285" s="313">
        <f t="shared" si="313"/>
        <v>0</v>
      </c>
      <c r="CA285" s="44"/>
      <c r="CB285" s="45">
        <f t="shared" si="314"/>
        <v>0</v>
      </c>
      <c r="CC285" s="46">
        <f t="shared" si="315"/>
        <v>0</v>
      </c>
      <c r="CD285" s="47">
        <f t="shared" si="316"/>
        <v>0</v>
      </c>
      <c r="CE285" s="62"/>
      <c r="CF285" s="237" t="e">
        <f>VLOOKUP(A285,labo!B:C,2,FALSE)</f>
        <v>#N/A</v>
      </c>
      <c r="CG285" s="106">
        <f t="shared" si="317"/>
        <v>0</v>
      </c>
      <c r="CI285" s="51"/>
      <c r="CJ285" s="51"/>
      <c r="CK285" s="251" t="e">
        <f t="shared" si="293"/>
        <v>#N/A</v>
      </c>
      <c r="CL285" s="323">
        <f t="shared" si="294"/>
        <v>0</v>
      </c>
      <c r="CM285" s="349"/>
    </row>
    <row r="286" spans="1:97">
      <c r="A286" s="77"/>
      <c r="B286" s="41" t="e">
        <f>VLOOKUP(A286,'vs mars'!B:D,3,FALSE)</f>
        <v>#N/A</v>
      </c>
      <c r="C286" s="42" t="e">
        <f>VLOOKUP(A286,'vs mars'!B:AC,28,FALSE)</f>
        <v>#N/A</v>
      </c>
      <c r="D286" s="77"/>
      <c r="E286" s="77"/>
      <c r="F286" s="43"/>
      <c r="G286" s="43"/>
      <c r="H286" s="43"/>
      <c r="I286" s="43"/>
      <c r="J286" s="44"/>
      <c r="K286" s="44"/>
      <c r="L286" s="45">
        <f t="shared" si="295"/>
        <v>0</v>
      </c>
      <c r="M286" s="45">
        <f t="shared" si="296"/>
        <v>0</v>
      </c>
      <c r="N286" s="45">
        <f t="shared" si="297"/>
        <v>0</v>
      </c>
      <c r="O286" s="45"/>
      <c r="P286" s="45"/>
      <c r="Q286" s="45"/>
      <c r="R286" s="45">
        <f t="shared" si="298"/>
        <v>0</v>
      </c>
      <c r="S286" s="45">
        <f t="shared" si="299"/>
        <v>0</v>
      </c>
      <c r="T286" s="45">
        <f t="shared" si="300"/>
        <v>0</v>
      </c>
      <c r="U286" s="45"/>
      <c r="V286" s="45"/>
      <c r="W286" s="45"/>
      <c r="X286" s="45"/>
      <c r="Y286" s="45"/>
      <c r="Z286" s="45"/>
      <c r="AA286" s="45"/>
      <c r="AB286" s="45">
        <f t="shared" si="301"/>
        <v>0</v>
      </c>
      <c r="AC286" s="45">
        <f t="shared" si="302"/>
        <v>0</v>
      </c>
      <c r="AD286" s="45">
        <f t="shared" si="303"/>
        <v>0</v>
      </c>
      <c r="AE286" s="44"/>
      <c r="AF286" s="44"/>
      <c r="AG286" s="44"/>
      <c r="AH286" s="44"/>
      <c r="AI286" s="44"/>
      <c r="AJ286" s="44"/>
      <c r="AK286" s="44"/>
      <c r="AL286" s="44">
        <f t="shared" si="304"/>
        <v>0</v>
      </c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>
        <f t="shared" si="305"/>
        <v>0</v>
      </c>
      <c r="BS286" s="312">
        <f t="shared" si="306"/>
        <v>0</v>
      </c>
      <c r="BT286" s="312">
        <f t="shared" si="307"/>
        <v>0</v>
      </c>
      <c r="BU286" s="312">
        <f t="shared" si="308"/>
        <v>0</v>
      </c>
      <c r="BV286" s="312">
        <f t="shared" si="309"/>
        <v>0</v>
      </c>
      <c r="BW286" s="313">
        <f t="shared" si="310"/>
        <v>0</v>
      </c>
      <c r="BX286" s="313">
        <f t="shared" si="311"/>
        <v>0</v>
      </c>
      <c r="BY286" s="313">
        <f t="shared" si="312"/>
        <v>0</v>
      </c>
      <c r="BZ286" s="313">
        <f t="shared" si="313"/>
        <v>0</v>
      </c>
      <c r="CA286" s="44"/>
      <c r="CB286" s="45">
        <f t="shared" si="314"/>
        <v>0</v>
      </c>
      <c r="CC286" s="46">
        <f t="shared" si="315"/>
        <v>0</v>
      </c>
      <c r="CD286" s="47">
        <f t="shared" si="316"/>
        <v>0</v>
      </c>
      <c r="CE286" s="62"/>
      <c r="CF286" s="237" t="e">
        <f>VLOOKUP(A286,labo!B:C,2,FALSE)</f>
        <v>#N/A</v>
      </c>
      <c r="CG286" s="106">
        <f t="shared" si="317"/>
        <v>0</v>
      </c>
      <c r="CI286" s="51"/>
      <c r="CJ286" s="51"/>
      <c r="CK286" s="251" t="e">
        <f t="shared" si="293"/>
        <v>#N/A</v>
      </c>
      <c r="CL286" s="323">
        <f t="shared" si="294"/>
        <v>0</v>
      </c>
      <c r="CM286" s="349"/>
    </row>
    <row r="287" spans="1:97">
      <c r="A287" s="77"/>
      <c r="B287" s="41" t="e">
        <f>VLOOKUP(A287,'vs mars'!B:D,3,FALSE)</f>
        <v>#N/A</v>
      </c>
      <c r="C287" s="42" t="e">
        <f>VLOOKUP(A287,'vs mars'!B:AC,28,FALSE)</f>
        <v>#N/A</v>
      </c>
      <c r="D287" s="77"/>
      <c r="E287" s="77"/>
      <c r="F287" s="43"/>
      <c r="G287" s="43"/>
      <c r="H287" s="43"/>
      <c r="I287" s="43"/>
      <c r="J287" s="44"/>
      <c r="K287" s="44"/>
      <c r="L287" s="45">
        <f t="shared" si="295"/>
        <v>0</v>
      </c>
      <c r="M287" s="45">
        <f t="shared" si="296"/>
        <v>0</v>
      </c>
      <c r="N287" s="45">
        <f t="shared" si="297"/>
        <v>0</v>
      </c>
      <c r="O287" s="45"/>
      <c r="P287" s="45"/>
      <c r="Q287" s="45"/>
      <c r="R287" s="45">
        <f t="shared" si="298"/>
        <v>0</v>
      </c>
      <c r="S287" s="45">
        <f t="shared" si="299"/>
        <v>0</v>
      </c>
      <c r="T287" s="45">
        <f t="shared" si="300"/>
        <v>0</v>
      </c>
      <c r="U287" s="45"/>
      <c r="V287" s="45"/>
      <c r="W287" s="45"/>
      <c r="X287" s="45"/>
      <c r="Y287" s="45"/>
      <c r="Z287" s="45"/>
      <c r="AA287" s="45"/>
      <c r="AB287" s="45">
        <f t="shared" si="301"/>
        <v>0</v>
      </c>
      <c r="AC287" s="45">
        <f t="shared" si="302"/>
        <v>0</v>
      </c>
      <c r="AD287" s="45">
        <f t="shared" si="303"/>
        <v>0</v>
      </c>
      <c r="AE287" s="44"/>
      <c r="AF287" s="44"/>
      <c r="AG287" s="44"/>
      <c r="AH287" s="44"/>
      <c r="AI287" s="44"/>
      <c r="AJ287" s="44"/>
      <c r="AK287" s="44"/>
      <c r="AL287" s="44">
        <f t="shared" si="304"/>
        <v>0</v>
      </c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>
        <f t="shared" si="305"/>
        <v>0</v>
      </c>
      <c r="BS287" s="312">
        <f t="shared" si="306"/>
        <v>0</v>
      </c>
      <c r="BT287" s="312">
        <f t="shared" si="307"/>
        <v>0</v>
      </c>
      <c r="BU287" s="312">
        <f t="shared" si="308"/>
        <v>0</v>
      </c>
      <c r="BV287" s="312">
        <f t="shared" si="309"/>
        <v>0</v>
      </c>
      <c r="BW287" s="313">
        <f t="shared" si="310"/>
        <v>0</v>
      </c>
      <c r="BX287" s="313">
        <f t="shared" si="311"/>
        <v>0</v>
      </c>
      <c r="BY287" s="313">
        <f t="shared" si="312"/>
        <v>0</v>
      </c>
      <c r="BZ287" s="313">
        <f t="shared" si="313"/>
        <v>0</v>
      </c>
      <c r="CA287" s="44"/>
      <c r="CB287" s="45">
        <f t="shared" si="314"/>
        <v>0</v>
      </c>
      <c r="CC287" s="46">
        <f t="shared" si="315"/>
        <v>0</v>
      </c>
      <c r="CD287" s="47">
        <f t="shared" si="316"/>
        <v>0</v>
      </c>
      <c r="CE287" s="62"/>
      <c r="CF287" s="237" t="e">
        <f>VLOOKUP(A287,labo!B:C,2,FALSE)</f>
        <v>#N/A</v>
      </c>
      <c r="CG287" s="106">
        <f t="shared" si="317"/>
        <v>0</v>
      </c>
      <c r="CI287" s="51"/>
      <c r="CJ287" s="51"/>
      <c r="CK287" s="251" t="e">
        <f t="shared" si="293"/>
        <v>#N/A</v>
      </c>
      <c r="CL287" s="323">
        <f t="shared" si="294"/>
        <v>0</v>
      </c>
      <c r="CM287" s="349"/>
    </row>
    <row r="288" spans="1:97">
      <c r="A288" s="77"/>
      <c r="B288" s="41" t="e">
        <f>VLOOKUP(A288,'vs mars'!B:D,3,FALSE)</f>
        <v>#N/A</v>
      </c>
      <c r="C288" s="42" t="e">
        <f>VLOOKUP(A288,'vs mars'!B:AC,28,FALSE)</f>
        <v>#N/A</v>
      </c>
      <c r="D288" s="77"/>
      <c r="E288" s="77"/>
      <c r="F288" s="43"/>
      <c r="G288" s="43"/>
      <c r="H288" s="43"/>
      <c r="I288" s="43"/>
      <c r="J288" s="44"/>
      <c r="K288" s="44"/>
      <c r="L288" s="45">
        <f t="shared" si="295"/>
        <v>0</v>
      </c>
      <c r="M288" s="45">
        <f t="shared" si="296"/>
        <v>0</v>
      </c>
      <c r="N288" s="45">
        <f t="shared" si="297"/>
        <v>0</v>
      </c>
      <c r="O288" s="45"/>
      <c r="P288" s="45"/>
      <c r="Q288" s="45"/>
      <c r="R288" s="45">
        <f t="shared" si="298"/>
        <v>0</v>
      </c>
      <c r="S288" s="45">
        <f t="shared" si="299"/>
        <v>0</v>
      </c>
      <c r="T288" s="45">
        <f t="shared" si="300"/>
        <v>0</v>
      </c>
      <c r="U288" s="45"/>
      <c r="V288" s="45"/>
      <c r="W288" s="45"/>
      <c r="X288" s="45"/>
      <c r="Y288" s="45"/>
      <c r="Z288" s="45"/>
      <c r="AA288" s="45"/>
      <c r="AB288" s="45">
        <f t="shared" si="301"/>
        <v>0</v>
      </c>
      <c r="AC288" s="45">
        <f t="shared" si="302"/>
        <v>0</v>
      </c>
      <c r="AD288" s="45">
        <f t="shared" si="303"/>
        <v>0</v>
      </c>
      <c r="AE288" s="44"/>
      <c r="AF288" s="44"/>
      <c r="AG288" s="44"/>
      <c r="AH288" s="44"/>
      <c r="AI288" s="44"/>
      <c r="AJ288" s="44"/>
      <c r="AK288" s="44"/>
      <c r="AL288" s="44">
        <f t="shared" si="304"/>
        <v>0</v>
      </c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>
        <f t="shared" si="305"/>
        <v>0</v>
      </c>
      <c r="BS288" s="312">
        <f t="shared" si="306"/>
        <v>0</v>
      </c>
      <c r="BT288" s="312">
        <f t="shared" si="307"/>
        <v>0</v>
      </c>
      <c r="BU288" s="312">
        <f t="shared" si="308"/>
        <v>0</v>
      </c>
      <c r="BV288" s="312">
        <f t="shared" si="309"/>
        <v>0</v>
      </c>
      <c r="BW288" s="313">
        <f t="shared" si="310"/>
        <v>0</v>
      </c>
      <c r="BX288" s="313">
        <f t="shared" si="311"/>
        <v>0</v>
      </c>
      <c r="BY288" s="313">
        <f t="shared" si="312"/>
        <v>0</v>
      </c>
      <c r="BZ288" s="313">
        <f t="shared" si="313"/>
        <v>0</v>
      </c>
      <c r="CA288" s="44"/>
      <c r="CB288" s="45">
        <f t="shared" si="314"/>
        <v>0</v>
      </c>
      <c r="CC288" s="46">
        <f t="shared" si="315"/>
        <v>0</v>
      </c>
      <c r="CD288" s="47">
        <f t="shared" si="316"/>
        <v>0</v>
      </c>
      <c r="CE288" s="62"/>
      <c r="CF288" s="237" t="e">
        <f>VLOOKUP(A288,labo!B:C,2,FALSE)</f>
        <v>#N/A</v>
      </c>
      <c r="CG288" s="106">
        <f t="shared" si="317"/>
        <v>0</v>
      </c>
      <c r="CI288" s="51"/>
      <c r="CJ288" s="51"/>
      <c r="CK288" s="251" t="e">
        <f t="shared" ref="CK288:CK289" si="324">+B288</f>
        <v>#N/A</v>
      </c>
      <c r="CL288" s="323">
        <f t="shared" ref="CL288:CL289" si="325">CE288</f>
        <v>0</v>
      </c>
      <c r="CM288" s="349"/>
    </row>
    <row r="289" spans="1:91">
      <c r="A289" s="77"/>
      <c r="B289" s="41" t="e">
        <f>VLOOKUP(A289,'vs mars'!B:D,3,FALSE)</f>
        <v>#N/A</v>
      </c>
      <c r="C289" s="42" t="e">
        <f>VLOOKUP(A289,'vs mars'!B:AC,28,FALSE)</f>
        <v>#N/A</v>
      </c>
      <c r="D289" s="77"/>
      <c r="E289" s="77"/>
      <c r="F289" s="43"/>
      <c r="G289" s="43"/>
      <c r="H289" s="43"/>
      <c r="I289" s="43"/>
      <c r="J289" s="44"/>
      <c r="K289" s="44"/>
      <c r="L289" s="45">
        <f t="shared" si="295"/>
        <v>0</v>
      </c>
      <c r="M289" s="45">
        <f t="shared" si="296"/>
        <v>0</v>
      </c>
      <c r="N289" s="45">
        <f t="shared" si="297"/>
        <v>0</v>
      </c>
      <c r="O289" s="45"/>
      <c r="P289" s="45"/>
      <c r="Q289" s="45"/>
      <c r="R289" s="45">
        <f t="shared" si="298"/>
        <v>0</v>
      </c>
      <c r="S289" s="45">
        <f t="shared" si="299"/>
        <v>0</v>
      </c>
      <c r="T289" s="45">
        <f t="shared" si="300"/>
        <v>0</v>
      </c>
      <c r="U289" s="45"/>
      <c r="V289" s="45"/>
      <c r="W289" s="45"/>
      <c r="X289" s="45"/>
      <c r="Y289" s="45"/>
      <c r="Z289" s="45"/>
      <c r="AA289" s="45"/>
      <c r="AB289" s="45">
        <f t="shared" si="301"/>
        <v>0</v>
      </c>
      <c r="AC289" s="45">
        <f t="shared" si="302"/>
        <v>0</v>
      </c>
      <c r="AD289" s="45">
        <f t="shared" si="303"/>
        <v>0</v>
      </c>
      <c r="AE289" s="44"/>
      <c r="AF289" s="44"/>
      <c r="AG289" s="44"/>
      <c r="AH289" s="44"/>
      <c r="AI289" s="44"/>
      <c r="AJ289" s="44"/>
      <c r="AK289" s="44"/>
      <c r="AL289" s="44">
        <f t="shared" si="304"/>
        <v>0</v>
      </c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>
        <f t="shared" si="305"/>
        <v>0</v>
      </c>
      <c r="BS289" s="312">
        <f t="shared" si="306"/>
        <v>0</v>
      </c>
      <c r="BT289" s="312">
        <f t="shared" si="307"/>
        <v>0</v>
      </c>
      <c r="BU289" s="312">
        <f t="shared" si="308"/>
        <v>0</v>
      </c>
      <c r="BV289" s="312">
        <f t="shared" si="309"/>
        <v>0</v>
      </c>
      <c r="BW289" s="313">
        <f t="shared" si="310"/>
        <v>0</v>
      </c>
      <c r="BX289" s="313">
        <f t="shared" si="311"/>
        <v>0</v>
      </c>
      <c r="BY289" s="313">
        <f t="shared" si="312"/>
        <v>0</v>
      </c>
      <c r="BZ289" s="313">
        <f t="shared" si="313"/>
        <v>0</v>
      </c>
      <c r="CA289" s="44"/>
      <c r="CB289" s="45">
        <f t="shared" si="314"/>
        <v>0</v>
      </c>
      <c r="CC289" s="46">
        <f t="shared" si="315"/>
        <v>0</v>
      </c>
      <c r="CD289" s="47">
        <f t="shared" si="316"/>
        <v>0</v>
      </c>
      <c r="CE289" s="62"/>
      <c r="CF289" s="237" t="e">
        <f>VLOOKUP(A289,labo!B:C,2,FALSE)</f>
        <v>#N/A</v>
      </c>
      <c r="CG289" s="106">
        <f t="shared" si="317"/>
        <v>0</v>
      </c>
      <c r="CI289" s="51"/>
      <c r="CJ289" s="51"/>
      <c r="CK289" s="251" t="e">
        <f t="shared" si="324"/>
        <v>#N/A</v>
      </c>
      <c r="CL289" s="323">
        <f t="shared" si="325"/>
        <v>0</v>
      </c>
      <c r="CM289" s="349"/>
    </row>
    <row r="290" spans="1:91">
      <c r="A290" s="77"/>
      <c r="B290" s="41" t="e">
        <f>VLOOKUP(A290,'vs mars'!B:D,3,FALSE)</f>
        <v>#N/A</v>
      </c>
      <c r="C290" s="42" t="e">
        <f>VLOOKUP(A290,'vs mars'!B:AC,28,FALSE)</f>
        <v>#N/A</v>
      </c>
      <c r="D290" s="77"/>
      <c r="E290" s="77"/>
      <c r="F290" s="43"/>
      <c r="G290" s="43"/>
      <c r="H290" s="43"/>
      <c r="I290" s="43"/>
      <c r="J290" s="44"/>
      <c r="K290" s="44"/>
      <c r="L290" s="45">
        <f t="shared" si="295"/>
        <v>0</v>
      </c>
      <c r="M290" s="45">
        <f t="shared" si="296"/>
        <v>0</v>
      </c>
      <c r="N290" s="45">
        <f t="shared" si="297"/>
        <v>0</v>
      </c>
      <c r="O290" s="45"/>
      <c r="P290" s="45"/>
      <c r="Q290" s="45"/>
      <c r="R290" s="45">
        <f t="shared" si="298"/>
        <v>0</v>
      </c>
      <c r="S290" s="45">
        <f t="shared" si="299"/>
        <v>0</v>
      </c>
      <c r="T290" s="45">
        <f t="shared" si="300"/>
        <v>0</v>
      </c>
      <c r="U290" s="45"/>
      <c r="V290" s="45"/>
      <c r="W290" s="45"/>
      <c r="X290" s="45"/>
      <c r="Y290" s="45"/>
      <c r="Z290" s="45"/>
      <c r="AA290" s="45"/>
      <c r="AB290" s="45">
        <f t="shared" si="301"/>
        <v>0</v>
      </c>
      <c r="AC290" s="45">
        <f t="shared" si="302"/>
        <v>0</v>
      </c>
      <c r="AD290" s="45">
        <f t="shared" si="303"/>
        <v>0</v>
      </c>
      <c r="AE290" s="44"/>
      <c r="AF290" s="44"/>
      <c r="AG290" s="44"/>
      <c r="AH290" s="44"/>
      <c r="AI290" s="44"/>
      <c r="AJ290" s="44"/>
      <c r="AK290" s="44"/>
      <c r="AL290" s="44">
        <f t="shared" si="304"/>
        <v>0</v>
      </c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>
        <f t="shared" si="305"/>
        <v>0</v>
      </c>
      <c r="BS290" s="312">
        <f t="shared" si="306"/>
        <v>0</v>
      </c>
      <c r="BT290" s="312">
        <f t="shared" si="307"/>
        <v>0</v>
      </c>
      <c r="BU290" s="312">
        <f t="shared" si="308"/>
        <v>0</v>
      </c>
      <c r="BV290" s="312">
        <f t="shared" si="309"/>
        <v>0</v>
      </c>
      <c r="BW290" s="313">
        <f t="shared" si="310"/>
        <v>0</v>
      </c>
      <c r="BX290" s="313">
        <f t="shared" si="311"/>
        <v>0</v>
      </c>
      <c r="BY290" s="313">
        <f t="shared" si="312"/>
        <v>0</v>
      </c>
      <c r="BZ290" s="313">
        <f t="shared" si="313"/>
        <v>0</v>
      </c>
      <c r="CA290" s="44"/>
      <c r="CB290" s="45">
        <f t="shared" si="314"/>
        <v>0</v>
      </c>
      <c r="CC290" s="46">
        <f t="shared" si="315"/>
        <v>0</v>
      </c>
      <c r="CD290" s="47">
        <f t="shared" si="316"/>
        <v>0</v>
      </c>
      <c r="CE290" s="62"/>
      <c r="CF290" s="237" t="e">
        <f>VLOOKUP(A290,labo!B:C,2,FALSE)</f>
        <v>#N/A</v>
      </c>
      <c r="CG290" s="106">
        <f t="shared" si="317"/>
        <v>0</v>
      </c>
      <c r="CI290" s="51"/>
      <c r="CJ290" s="51"/>
      <c r="CK290" s="251" t="e">
        <f t="shared" si="293"/>
        <v>#N/A</v>
      </c>
      <c r="CL290" s="323">
        <f t="shared" si="294"/>
        <v>0</v>
      </c>
      <c r="CM290" s="349"/>
    </row>
    <row r="291" spans="1:91">
      <c r="A291" s="77"/>
      <c r="B291" s="41" t="e">
        <f>VLOOKUP(A291,'vs mars'!B:D,3,FALSE)</f>
        <v>#N/A</v>
      </c>
      <c r="C291" s="42" t="e">
        <f>VLOOKUP(A291,'vs mars'!B:AC,28,FALSE)</f>
        <v>#N/A</v>
      </c>
      <c r="D291" s="77"/>
      <c r="E291" s="77"/>
      <c r="F291" s="43"/>
      <c r="G291" s="43"/>
      <c r="H291" s="43"/>
      <c r="I291" s="43"/>
      <c r="J291" s="44"/>
      <c r="K291" s="44"/>
      <c r="L291" s="45">
        <f t="shared" si="295"/>
        <v>0</v>
      </c>
      <c r="M291" s="45">
        <f t="shared" si="296"/>
        <v>0</v>
      </c>
      <c r="N291" s="45">
        <f t="shared" si="297"/>
        <v>0</v>
      </c>
      <c r="O291" s="45"/>
      <c r="P291" s="45"/>
      <c r="Q291" s="45"/>
      <c r="R291" s="45">
        <f t="shared" si="298"/>
        <v>0</v>
      </c>
      <c r="S291" s="45">
        <f t="shared" si="299"/>
        <v>0</v>
      </c>
      <c r="T291" s="45">
        <f t="shared" si="300"/>
        <v>0</v>
      </c>
      <c r="U291" s="45"/>
      <c r="V291" s="45"/>
      <c r="W291" s="45"/>
      <c r="X291" s="45"/>
      <c r="Y291" s="45"/>
      <c r="Z291" s="45"/>
      <c r="AA291" s="45"/>
      <c r="AB291" s="45">
        <f t="shared" si="301"/>
        <v>0</v>
      </c>
      <c r="AC291" s="45">
        <f t="shared" si="302"/>
        <v>0</v>
      </c>
      <c r="AD291" s="45">
        <f t="shared" si="303"/>
        <v>0</v>
      </c>
      <c r="AE291" s="44"/>
      <c r="AF291" s="44"/>
      <c r="AG291" s="44"/>
      <c r="AH291" s="44"/>
      <c r="AI291" s="44"/>
      <c r="AJ291" s="44"/>
      <c r="AK291" s="44"/>
      <c r="AL291" s="44">
        <f t="shared" si="304"/>
        <v>0</v>
      </c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>
        <f t="shared" si="305"/>
        <v>0</v>
      </c>
      <c r="BS291" s="312">
        <f t="shared" si="306"/>
        <v>0</v>
      </c>
      <c r="BT291" s="312">
        <f t="shared" si="307"/>
        <v>0</v>
      </c>
      <c r="BU291" s="312">
        <f t="shared" si="308"/>
        <v>0</v>
      </c>
      <c r="BV291" s="312">
        <f t="shared" si="309"/>
        <v>0</v>
      </c>
      <c r="BW291" s="313">
        <f t="shared" si="310"/>
        <v>0</v>
      </c>
      <c r="BX291" s="313">
        <f t="shared" si="311"/>
        <v>0</v>
      </c>
      <c r="BY291" s="313">
        <f t="shared" si="312"/>
        <v>0</v>
      </c>
      <c r="BZ291" s="313">
        <f t="shared" si="313"/>
        <v>0</v>
      </c>
      <c r="CA291" s="44"/>
      <c r="CB291" s="45">
        <f t="shared" si="314"/>
        <v>0</v>
      </c>
      <c r="CC291" s="46">
        <f t="shared" si="315"/>
        <v>0</v>
      </c>
      <c r="CD291" s="47">
        <f t="shared" si="316"/>
        <v>0</v>
      </c>
      <c r="CE291" s="62"/>
      <c r="CF291" s="237" t="e">
        <f>VLOOKUP(A291,labo!B:C,2,FALSE)</f>
        <v>#N/A</v>
      </c>
      <c r="CG291" s="106">
        <f t="shared" si="317"/>
        <v>0</v>
      </c>
      <c r="CI291" s="51"/>
      <c r="CJ291" s="51"/>
      <c r="CK291" s="251" t="e">
        <f t="shared" si="293"/>
        <v>#N/A</v>
      </c>
      <c r="CL291" s="323">
        <f t="shared" si="294"/>
        <v>0</v>
      </c>
      <c r="CM291" s="349"/>
    </row>
    <row r="292" spans="1:91">
      <c r="A292" s="77"/>
      <c r="B292" s="41" t="e">
        <f>VLOOKUP(A292,'vs mars'!B:D,3,FALSE)</f>
        <v>#N/A</v>
      </c>
      <c r="C292" s="42" t="e">
        <f>VLOOKUP(A292,'vs mars'!B:AC,28,FALSE)</f>
        <v>#N/A</v>
      </c>
      <c r="D292" s="77"/>
      <c r="E292" s="77"/>
      <c r="F292" s="43"/>
      <c r="G292" s="43"/>
      <c r="H292" s="43"/>
      <c r="I292" s="43"/>
      <c r="J292" s="44"/>
      <c r="K292" s="44"/>
      <c r="L292" s="45">
        <f t="shared" si="295"/>
        <v>0</v>
      </c>
      <c r="M292" s="45">
        <f t="shared" si="296"/>
        <v>0</v>
      </c>
      <c r="N292" s="45">
        <f t="shared" si="297"/>
        <v>0</v>
      </c>
      <c r="O292" s="45"/>
      <c r="P292" s="45"/>
      <c r="Q292" s="45"/>
      <c r="R292" s="45">
        <f t="shared" si="298"/>
        <v>0</v>
      </c>
      <c r="S292" s="45">
        <f t="shared" si="299"/>
        <v>0</v>
      </c>
      <c r="T292" s="45">
        <f t="shared" si="300"/>
        <v>0</v>
      </c>
      <c r="U292" s="45"/>
      <c r="V292" s="45"/>
      <c r="W292" s="45"/>
      <c r="X292" s="45"/>
      <c r="Y292" s="45"/>
      <c r="Z292" s="45"/>
      <c r="AA292" s="45"/>
      <c r="AB292" s="45">
        <f t="shared" si="301"/>
        <v>0</v>
      </c>
      <c r="AC292" s="45">
        <f t="shared" si="302"/>
        <v>0</v>
      </c>
      <c r="AD292" s="45">
        <f t="shared" si="303"/>
        <v>0</v>
      </c>
      <c r="AE292" s="44"/>
      <c r="AF292" s="44"/>
      <c r="AG292" s="44"/>
      <c r="AH292" s="44"/>
      <c r="AI292" s="44"/>
      <c r="AJ292" s="44"/>
      <c r="AK292" s="44"/>
      <c r="AL292" s="44">
        <f t="shared" si="304"/>
        <v>0</v>
      </c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>
        <f t="shared" si="305"/>
        <v>0</v>
      </c>
      <c r="BS292" s="312">
        <f t="shared" si="306"/>
        <v>0</v>
      </c>
      <c r="BT292" s="312">
        <f t="shared" si="307"/>
        <v>0</v>
      </c>
      <c r="BU292" s="312">
        <f t="shared" si="308"/>
        <v>0</v>
      </c>
      <c r="BV292" s="312">
        <f t="shared" si="309"/>
        <v>0</v>
      </c>
      <c r="BW292" s="313">
        <f t="shared" si="310"/>
        <v>0</v>
      </c>
      <c r="BX292" s="313">
        <f t="shared" si="311"/>
        <v>0</v>
      </c>
      <c r="BY292" s="313">
        <f t="shared" si="312"/>
        <v>0</v>
      </c>
      <c r="BZ292" s="313">
        <f t="shared" si="313"/>
        <v>0</v>
      </c>
      <c r="CA292" s="44"/>
      <c r="CB292" s="45">
        <f t="shared" si="314"/>
        <v>0</v>
      </c>
      <c r="CC292" s="46">
        <f t="shared" si="315"/>
        <v>0</v>
      </c>
      <c r="CD292" s="47">
        <f t="shared" si="316"/>
        <v>0</v>
      </c>
      <c r="CE292" s="62"/>
      <c r="CF292" s="237" t="e">
        <f>VLOOKUP(A292,labo!B:C,2,FALSE)</f>
        <v>#N/A</v>
      </c>
      <c r="CG292" s="106">
        <f t="shared" si="317"/>
        <v>0</v>
      </c>
      <c r="CI292" s="51"/>
      <c r="CJ292" s="51"/>
      <c r="CK292" s="251" t="e">
        <f t="shared" ref="CK292" si="326">+B292</f>
        <v>#N/A</v>
      </c>
      <c r="CL292" s="323">
        <f t="shared" ref="CL292" si="327">CE292</f>
        <v>0</v>
      </c>
      <c r="CM292" s="349"/>
    </row>
    <row r="293" spans="1:91">
      <c r="A293" s="77"/>
      <c r="B293" s="41" t="e">
        <f>VLOOKUP(A293,'vs mars'!B:D,3,FALSE)</f>
        <v>#N/A</v>
      </c>
      <c r="C293" s="42" t="e">
        <f>VLOOKUP(A293,'vs mars'!B:AC,28,FALSE)</f>
        <v>#N/A</v>
      </c>
      <c r="D293" s="77"/>
      <c r="E293" s="77"/>
      <c r="F293" s="43"/>
      <c r="G293" s="43"/>
      <c r="H293" s="43"/>
      <c r="I293" s="43"/>
      <c r="J293" s="44"/>
      <c r="K293" s="44"/>
      <c r="L293" s="45">
        <f t="shared" si="295"/>
        <v>0</v>
      </c>
      <c r="M293" s="45">
        <f t="shared" si="296"/>
        <v>0</v>
      </c>
      <c r="N293" s="45">
        <f t="shared" si="297"/>
        <v>0</v>
      </c>
      <c r="O293" s="45"/>
      <c r="P293" s="45"/>
      <c r="Q293" s="45"/>
      <c r="R293" s="45">
        <f t="shared" si="298"/>
        <v>0</v>
      </c>
      <c r="S293" s="45">
        <f t="shared" si="299"/>
        <v>0</v>
      </c>
      <c r="T293" s="45">
        <f t="shared" si="300"/>
        <v>0</v>
      </c>
      <c r="U293" s="45"/>
      <c r="V293" s="45"/>
      <c r="W293" s="45"/>
      <c r="X293" s="45"/>
      <c r="Y293" s="45"/>
      <c r="Z293" s="45"/>
      <c r="AA293" s="45"/>
      <c r="AB293" s="45">
        <f t="shared" si="301"/>
        <v>0</v>
      </c>
      <c r="AC293" s="45">
        <f t="shared" si="302"/>
        <v>0</v>
      </c>
      <c r="AD293" s="45">
        <f t="shared" si="303"/>
        <v>0</v>
      </c>
      <c r="AE293" s="44"/>
      <c r="AF293" s="44"/>
      <c r="AG293" s="44"/>
      <c r="AH293" s="44"/>
      <c r="AI293" s="44"/>
      <c r="AJ293" s="44"/>
      <c r="AK293" s="44"/>
      <c r="AL293" s="44">
        <f t="shared" si="304"/>
        <v>0</v>
      </c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>
        <f t="shared" si="305"/>
        <v>0</v>
      </c>
      <c r="BS293" s="312">
        <f t="shared" si="306"/>
        <v>0</v>
      </c>
      <c r="BT293" s="312">
        <f t="shared" si="307"/>
        <v>0</v>
      </c>
      <c r="BU293" s="312">
        <f t="shared" si="308"/>
        <v>0</v>
      </c>
      <c r="BV293" s="312">
        <f t="shared" si="309"/>
        <v>0</v>
      </c>
      <c r="BW293" s="313">
        <f t="shared" si="310"/>
        <v>0</v>
      </c>
      <c r="BX293" s="313">
        <f t="shared" si="311"/>
        <v>0</v>
      </c>
      <c r="BY293" s="313">
        <f t="shared" si="312"/>
        <v>0</v>
      </c>
      <c r="BZ293" s="313">
        <f t="shared" si="313"/>
        <v>0</v>
      </c>
      <c r="CA293" s="44"/>
      <c r="CB293" s="45">
        <f t="shared" si="314"/>
        <v>0</v>
      </c>
      <c r="CC293" s="46">
        <f t="shared" si="315"/>
        <v>0</v>
      </c>
      <c r="CD293" s="47">
        <f t="shared" si="316"/>
        <v>0</v>
      </c>
      <c r="CE293" s="62"/>
      <c r="CF293" s="237" t="e">
        <f>VLOOKUP(A293,labo!B:C,2,FALSE)</f>
        <v>#N/A</v>
      </c>
      <c r="CG293" s="106">
        <f t="shared" si="317"/>
        <v>0</v>
      </c>
      <c r="CI293" s="51"/>
      <c r="CJ293" s="51"/>
      <c r="CK293" s="251" t="e">
        <f t="shared" si="293"/>
        <v>#N/A</v>
      </c>
      <c r="CL293" s="323">
        <f t="shared" si="294"/>
        <v>0</v>
      </c>
      <c r="CM293" s="349"/>
    </row>
    <row r="294" spans="1:91">
      <c r="A294" s="77"/>
      <c r="B294" s="41" t="e">
        <f>VLOOKUP(A294,'vs mars'!B:D,3,FALSE)</f>
        <v>#N/A</v>
      </c>
      <c r="C294" s="42" t="e">
        <f>VLOOKUP(A294,'vs mars'!B:AC,28,FALSE)</f>
        <v>#N/A</v>
      </c>
      <c r="D294" s="77"/>
      <c r="E294" s="77"/>
      <c r="F294" s="43"/>
      <c r="G294" s="43"/>
      <c r="H294" s="43"/>
      <c r="I294" s="43"/>
      <c r="J294" s="44"/>
      <c r="K294" s="44"/>
      <c r="L294" s="45">
        <f t="shared" si="295"/>
        <v>0</v>
      </c>
      <c r="M294" s="45">
        <f t="shared" si="296"/>
        <v>0</v>
      </c>
      <c r="N294" s="45">
        <f t="shared" si="297"/>
        <v>0</v>
      </c>
      <c r="O294" s="45"/>
      <c r="P294" s="45"/>
      <c r="Q294" s="45"/>
      <c r="R294" s="45">
        <f t="shared" si="298"/>
        <v>0</v>
      </c>
      <c r="S294" s="45">
        <f t="shared" si="299"/>
        <v>0</v>
      </c>
      <c r="T294" s="45">
        <f t="shared" si="300"/>
        <v>0</v>
      </c>
      <c r="U294" s="45"/>
      <c r="V294" s="45"/>
      <c r="W294" s="45"/>
      <c r="X294" s="45"/>
      <c r="Y294" s="45"/>
      <c r="Z294" s="45"/>
      <c r="AA294" s="45"/>
      <c r="AB294" s="45">
        <f t="shared" si="301"/>
        <v>0</v>
      </c>
      <c r="AC294" s="45">
        <f t="shared" si="302"/>
        <v>0</v>
      </c>
      <c r="AD294" s="45">
        <f t="shared" si="303"/>
        <v>0</v>
      </c>
      <c r="AE294" s="44"/>
      <c r="AF294" s="44"/>
      <c r="AG294" s="44"/>
      <c r="AH294" s="44"/>
      <c r="AI294" s="44"/>
      <c r="AJ294" s="44"/>
      <c r="AK294" s="44"/>
      <c r="AL294" s="44">
        <f t="shared" si="304"/>
        <v>0</v>
      </c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>
        <f t="shared" si="305"/>
        <v>0</v>
      </c>
      <c r="BS294" s="312">
        <f t="shared" si="306"/>
        <v>0</v>
      </c>
      <c r="BT294" s="312">
        <f t="shared" si="307"/>
        <v>0</v>
      </c>
      <c r="BU294" s="312">
        <f t="shared" si="308"/>
        <v>0</v>
      </c>
      <c r="BV294" s="312">
        <f t="shared" si="309"/>
        <v>0</v>
      </c>
      <c r="BW294" s="313">
        <f t="shared" si="310"/>
        <v>0</v>
      </c>
      <c r="BX294" s="313">
        <f t="shared" si="311"/>
        <v>0</v>
      </c>
      <c r="BY294" s="313">
        <f t="shared" si="312"/>
        <v>0</v>
      </c>
      <c r="BZ294" s="313">
        <f t="shared" si="313"/>
        <v>0</v>
      </c>
      <c r="CA294" s="44"/>
      <c r="CB294" s="45">
        <f t="shared" si="314"/>
        <v>0</v>
      </c>
      <c r="CC294" s="46">
        <f t="shared" si="315"/>
        <v>0</v>
      </c>
      <c r="CD294" s="47">
        <f t="shared" si="316"/>
        <v>0</v>
      </c>
      <c r="CE294" s="62"/>
      <c r="CF294" s="237" t="e">
        <f>VLOOKUP(A294,labo!B:C,2,FALSE)</f>
        <v>#N/A</v>
      </c>
      <c r="CG294" s="106">
        <f t="shared" si="317"/>
        <v>0</v>
      </c>
      <c r="CI294" s="51"/>
      <c r="CJ294" s="51"/>
      <c r="CK294" s="251" t="e">
        <f t="shared" si="293"/>
        <v>#N/A</v>
      </c>
      <c r="CL294" s="323">
        <f t="shared" si="294"/>
        <v>0</v>
      </c>
      <c r="CM294" s="349"/>
    </row>
    <row r="295" spans="1:91">
      <c r="A295" s="77"/>
      <c r="B295" s="41" t="e">
        <f>VLOOKUP(A295,'vs mars'!B:D,3,FALSE)</f>
        <v>#N/A</v>
      </c>
      <c r="C295" s="42" t="e">
        <f>VLOOKUP(A295,'vs mars'!B:AC,28,FALSE)</f>
        <v>#N/A</v>
      </c>
      <c r="D295" s="77"/>
      <c r="E295" s="77"/>
      <c r="F295" s="43"/>
      <c r="G295" s="43"/>
      <c r="H295" s="43"/>
      <c r="I295" s="43"/>
      <c r="J295" s="44"/>
      <c r="K295" s="44"/>
      <c r="L295" s="45">
        <f t="shared" si="295"/>
        <v>0</v>
      </c>
      <c r="M295" s="45">
        <f t="shared" si="296"/>
        <v>0</v>
      </c>
      <c r="N295" s="45">
        <f t="shared" si="297"/>
        <v>0</v>
      </c>
      <c r="O295" s="45"/>
      <c r="P295" s="45"/>
      <c r="Q295" s="45"/>
      <c r="R295" s="45">
        <f t="shared" si="298"/>
        <v>0</v>
      </c>
      <c r="S295" s="45">
        <f t="shared" si="299"/>
        <v>0</v>
      </c>
      <c r="T295" s="45">
        <f t="shared" si="300"/>
        <v>0</v>
      </c>
      <c r="U295" s="45"/>
      <c r="V295" s="45"/>
      <c r="W295" s="45"/>
      <c r="X295" s="45"/>
      <c r="Y295" s="45"/>
      <c r="Z295" s="45"/>
      <c r="AA295" s="45"/>
      <c r="AB295" s="45">
        <f t="shared" si="301"/>
        <v>0</v>
      </c>
      <c r="AC295" s="45">
        <f t="shared" si="302"/>
        <v>0</v>
      </c>
      <c r="AD295" s="45">
        <f t="shared" si="303"/>
        <v>0</v>
      </c>
      <c r="AE295" s="44"/>
      <c r="AF295" s="44"/>
      <c r="AG295" s="44"/>
      <c r="AH295" s="44"/>
      <c r="AI295" s="44"/>
      <c r="AJ295" s="44"/>
      <c r="AK295" s="44"/>
      <c r="AL295" s="44">
        <f t="shared" si="304"/>
        <v>0</v>
      </c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>
        <f t="shared" si="305"/>
        <v>0</v>
      </c>
      <c r="BS295" s="312">
        <f t="shared" si="306"/>
        <v>0</v>
      </c>
      <c r="BT295" s="312">
        <f t="shared" si="307"/>
        <v>0</v>
      </c>
      <c r="BU295" s="312">
        <f t="shared" si="308"/>
        <v>0</v>
      </c>
      <c r="BV295" s="312">
        <f t="shared" si="309"/>
        <v>0</v>
      </c>
      <c r="BW295" s="313">
        <f t="shared" si="310"/>
        <v>0</v>
      </c>
      <c r="BX295" s="313">
        <f t="shared" si="311"/>
        <v>0</v>
      </c>
      <c r="BY295" s="313">
        <f t="shared" si="312"/>
        <v>0</v>
      </c>
      <c r="BZ295" s="313">
        <f t="shared" si="313"/>
        <v>0</v>
      </c>
      <c r="CA295" s="44"/>
      <c r="CB295" s="45">
        <f t="shared" si="314"/>
        <v>0</v>
      </c>
      <c r="CC295" s="46">
        <f t="shared" si="315"/>
        <v>0</v>
      </c>
      <c r="CD295" s="47">
        <f t="shared" si="316"/>
        <v>0</v>
      </c>
      <c r="CE295" s="62"/>
      <c r="CF295" s="237" t="e">
        <f>VLOOKUP(A295,labo!B:C,2,FALSE)</f>
        <v>#N/A</v>
      </c>
      <c r="CG295" s="106">
        <f t="shared" si="317"/>
        <v>0</v>
      </c>
      <c r="CI295" s="51"/>
      <c r="CJ295" s="51"/>
      <c r="CK295" s="251" t="e">
        <f t="shared" si="293"/>
        <v>#N/A</v>
      </c>
      <c r="CL295" s="323">
        <f t="shared" si="294"/>
        <v>0</v>
      </c>
      <c r="CM295" s="349"/>
    </row>
    <row r="296" spans="1:91">
      <c r="A296" s="77"/>
      <c r="B296" s="41" t="e">
        <f>VLOOKUP(A296,'vs mars'!B:D,3,FALSE)</f>
        <v>#N/A</v>
      </c>
      <c r="C296" s="42" t="e">
        <f>VLOOKUP(A296,'vs mars'!B:AC,28,FALSE)</f>
        <v>#N/A</v>
      </c>
      <c r="D296" s="77"/>
      <c r="E296" s="77"/>
      <c r="F296" s="43"/>
      <c r="G296" s="43"/>
      <c r="H296" s="43"/>
      <c r="I296" s="43"/>
      <c r="J296" s="44"/>
      <c r="K296" s="44"/>
      <c r="L296" s="45">
        <f t="shared" si="295"/>
        <v>0</v>
      </c>
      <c r="M296" s="45">
        <f t="shared" si="296"/>
        <v>0</v>
      </c>
      <c r="N296" s="45">
        <f t="shared" si="297"/>
        <v>0</v>
      </c>
      <c r="O296" s="45"/>
      <c r="P296" s="45"/>
      <c r="Q296" s="45"/>
      <c r="R296" s="45">
        <f t="shared" si="298"/>
        <v>0</v>
      </c>
      <c r="S296" s="45">
        <f t="shared" si="299"/>
        <v>0</v>
      </c>
      <c r="T296" s="45">
        <f t="shared" si="300"/>
        <v>0</v>
      </c>
      <c r="U296" s="45"/>
      <c r="V296" s="45"/>
      <c r="W296" s="45"/>
      <c r="X296" s="45"/>
      <c r="Y296" s="45"/>
      <c r="Z296" s="45"/>
      <c r="AA296" s="45"/>
      <c r="AB296" s="45">
        <f t="shared" si="301"/>
        <v>0</v>
      </c>
      <c r="AC296" s="45">
        <f t="shared" si="302"/>
        <v>0</v>
      </c>
      <c r="AD296" s="45">
        <f t="shared" si="303"/>
        <v>0</v>
      </c>
      <c r="AE296" s="44"/>
      <c r="AF296" s="44"/>
      <c r="AG296" s="44"/>
      <c r="AH296" s="44"/>
      <c r="AI296" s="44"/>
      <c r="AJ296" s="44"/>
      <c r="AK296" s="44"/>
      <c r="AL296" s="44">
        <f t="shared" si="304"/>
        <v>0</v>
      </c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>
        <f t="shared" si="305"/>
        <v>0</v>
      </c>
      <c r="BS296" s="312">
        <f t="shared" si="306"/>
        <v>0</v>
      </c>
      <c r="BT296" s="312">
        <f t="shared" si="307"/>
        <v>0</v>
      </c>
      <c r="BU296" s="312">
        <f t="shared" si="308"/>
        <v>0</v>
      </c>
      <c r="BV296" s="312">
        <f t="shared" si="309"/>
        <v>0</v>
      </c>
      <c r="BW296" s="313">
        <f t="shared" si="310"/>
        <v>0</v>
      </c>
      <c r="BX296" s="313">
        <f t="shared" si="311"/>
        <v>0</v>
      </c>
      <c r="BY296" s="313">
        <f t="shared" si="312"/>
        <v>0</v>
      </c>
      <c r="BZ296" s="313">
        <f t="shared" si="313"/>
        <v>0</v>
      </c>
      <c r="CA296" s="44"/>
      <c r="CB296" s="45">
        <f t="shared" si="314"/>
        <v>0</v>
      </c>
      <c r="CC296" s="46">
        <f t="shared" si="315"/>
        <v>0</v>
      </c>
      <c r="CD296" s="47">
        <f t="shared" si="316"/>
        <v>0</v>
      </c>
      <c r="CE296" s="62"/>
      <c r="CF296" s="237" t="e">
        <f>VLOOKUP(A296,labo!B:C,2,FALSE)</f>
        <v>#N/A</v>
      </c>
      <c r="CG296" s="106">
        <f t="shared" si="317"/>
        <v>0</v>
      </c>
      <c r="CI296" s="51"/>
      <c r="CJ296" s="51"/>
      <c r="CK296" s="251" t="e">
        <f t="shared" si="293"/>
        <v>#N/A</v>
      </c>
      <c r="CL296" s="323">
        <f t="shared" si="294"/>
        <v>0</v>
      </c>
      <c r="CM296" s="349"/>
    </row>
    <row r="297" spans="1:91">
      <c r="A297" s="77"/>
      <c r="B297" s="41" t="e">
        <f>VLOOKUP(A297,'vs mars'!B:D,3,FALSE)</f>
        <v>#N/A</v>
      </c>
      <c r="C297" s="42" t="e">
        <f>VLOOKUP(A297,'vs mars'!B:AC,28,FALSE)</f>
        <v>#N/A</v>
      </c>
      <c r="D297" s="77"/>
      <c r="E297" s="77"/>
      <c r="F297" s="43"/>
      <c r="G297" s="43"/>
      <c r="H297" s="43"/>
      <c r="I297" s="43"/>
      <c r="J297" s="44"/>
      <c r="K297" s="44"/>
      <c r="L297" s="45">
        <f t="shared" ref="L297:L298" si="328">(J297+K297)*0.01</f>
        <v>0</v>
      </c>
      <c r="M297" s="45">
        <f t="shared" ref="M297:M298" si="329">(J297+K297)*0.062</f>
        <v>0</v>
      </c>
      <c r="N297" s="45">
        <f t="shared" ref="N297:N298" si="330">(J297+K297)*0.028</f>
        <v>0</v>
      </c>
      <c r="O297" s="45"/>
      <c r="P297" s="45"/>
      <c r="Q297" s="45"/>
      <c r="R297" s="45">
        <f t="shared" ref="R297:R298" si="331">(Q297+O297+P297)*0.01</f>
        <v>0</v>
      </c>
      <c r="S297" s="45">
        <f t="shared" ref="S297:S298" si="332">(O297+Q297+P297)*0.062</f>
        <v>0</v>
      </c>
      <c r="T297" s="45">
        <f t="shared" ref="T297:T298" si="333">(O297+P297+Q297)*0.028</f>
        <v>0</v>
      </c>
      <c r="U297" s="45"/>
      <c r="V297" s="45"/>
      <c r="W297" s="45"/>
      <c r="X297" s="45"/>
      <c r="Y297" s="45"/>
      <c r="Z297" s="45"/>
      <c r="AA297" s="45"/>
      <c r="AB297" s="45">
        <f t="shared" ref="AB297:AB298" si="334">(U297+V297+W297+X297+Y297+Z297)*0.01</f>
        <v>0</v>
      </c>
      <c r="AC297" s="45">
        <f t="shared" ref="AC297:AC298" si="335">(U297+V297+W297+X297+Y297+Z297)*0.062</f>
        <v>0</v>
      </c>
      <c r="AD297" s="45">
        <f t="shared" ref="AD297:AD298" si="336">(U297+V297+W297+X297+Y297+Z297)*0.028</f>
        <v>0</v>
      </c>
      <c r="AE297" s="44"/>
      <c r="AF297" s="44"/>
      <c r="AG297" s="44"/>
      <c r="AH297" s="44"/>
      <c r="AI297" s="44"/>
      <c r="AJ297" s="44"/>
      <c r="AK297" s="44"/>
      <c r="AL297" s="44">
        <f t="shared" ref="AL297:AL298" si="337">+AK297</f>
        <v>0</v>
      </c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>
        <f t="shared" ref="BR297:BR298" si="338">BQ297/9</f>
        <v>0</v>
      </c>
      <c r="BS297" s="312">
        <f t="shared" ref="BS297:BS298" si="339">CH297*0.1</f>
        <v>0</v>
      </c>
      <c r="BT297" s="312">
        <f t="shared" ref="BT297:BT298" si="340">CH297*0.18</f>
        <v>0</v>
      </c>
      <c r="BU297" s="312">
        <f t="shared" ref="BU297:BU298" si="341">CH297*0.18</f>
        <v>0</v>
      </c>
      <c r="BV297" s="312">
        <f t="shared" ref="BV297:BV298" si="342">CH297*0.54</f>
        <v>0</v>
      </c>
      <c r="BW297" s="313">
        <f t="shared" ref="BW297:BW298" si="343">CI297*0.1</f>
        <v>0</v>
      </c>
      <c r="BX297" s="313">
        <f t="shared" ref="BX297:BX298" si="344">CI297*0.18</f>
        <v>0</v>
      </c>
      <c r="BY297" s="313">
        <f t="shared" ref="BY297:BY298" si="345">CI297*0.18</f>
        <v>0</v>
      </c>
      <c r="BZ297" s="313">
        <f t="shared" ref="BZ297:BZ298" si="346">CI297*0.54</f>
        <v>0</v>
      </c>
      <c r="CA297" s="44"/>
      <c r="CB297" s="45">
        <f>SUM(E297:CA297)</f>
        <v>0</v>
      </c>
      <c r="CC297" s="46">
        <f t="shared" ref="CC297:CC298" si="347">E297+H297+I297+K297+P297+Q297+W297+X297+Y297+Z297+AA297+AE297+AG297+AH297+AI297+AJ297+AN297+AO297+AS297+AT297+AU297+AV297+AW297+AY297+BB297</f>
        <v>0</v>
      </c>
      <c r="CD297" s="47">
        <f t="shared" ref="CD297:CD298" si="348">E297+H297+I297+J297+K297+O297+P297+Q297+U297+V297+W297+X297+Y297+Z297+AA297+AE297+AF297+AG297+AH297+AI297+AJ297+AN297+AO297+AT297+AU297+AV297+AW297+AY297+BA297+BB297</f>
        <v>0</v>
      </c>
      <c r="CE297" s="62"/>
      <c r="CF297" s="237" t="e">
        <f>VLOOKUP(A297,labo!B:C,2,FALSE)</f>
        <v>#N/A</v>
      </c>
      <c r="CG297" s="106">
        <f t="shared" ref="CG297:CG298" si="349">K297+Q297+X297+Y297+Z297+AF297</f>
        <v>0</v>
      </c>
      <c r="CI297" s="51"/>
      <c r="CJ297" s="51"/>
      <c r="CK297" s="251" t="e">
        <f t="shared" si="293"/>
        <v>#N/A</v>
      </c>
      <c r="CL297" s="323">
        <f t="shared" si="294"/>
        <v>0</v>
      </c>
      <c r="CM297" s="349"/>
    </row>
    <row r="298" spans="1:91">
      <c r="A298" s="77"/>
      <c r="B298" s="41" t="e">
        <f>VLOOKUP(A298,'vs mars'!B:D,3,FALSE)</f>
        <v>#N/A</v>
      </c>
      <c r="C298" s="42" t="e">
        <f>VLOOKUP(A298,'vs mars'!B:AC,28,FALSE)</f>
        <v>#N/A</v>
      </c>
      <c r="D298" s="77"/>
      <c r="E298" s="77"/>
      <c r="F298" s="43"/>
      <c r="G298" s="43"/>
      <c r="H298" s="43"/>
      <c r="I298" s="43"/>
      <c r="J298" s="44"/>
      <c r="K298" s="44"/>
      <c r="L298" s="45">
        <f t="shared" si="328"/>
        <v>0</v>
      </c>
      <c r="M298" s="45">
        <f t="shared" si="329"/>
        <v>0</v>
      </c>
      <c r="N298" s="45">
        <f t="shared" si="330"/>
        <v>0</v>
      </c>
      <c r="O298" s="45"/>
      <c r="P298" s="45"/>
      <c r="Q298" s="45"/>
      <c r="R298" s="45">
        <f t="shared" si="331"/>
        <v>0</v>
      </c>
      <c r="S298" s="45">
        <f t="shared" si="332"/>
        <v>0</v>
      </c>
      <c r="T298" s="45">
        <f t="shared" si="333"/>
        <v>0</v>
      </c>
      <c r="U298" s="45"/>
      <c r="V298" s="45"/>
      <c r="W298" s="45"/>
      <c r="X298" s="45"/>
      <c r="Y298" s="45"/>
      <c r="Z298" s="45"/>
      <c r="AA298" s="45"/>
      <c r="AB298" s="45">
        <f t="shared" si="334"/>
        <v>0</v>
      </c>
      <c r="AC298" s="45">
        <f t="shared" si="335"/>
        <v>0</v>
      </c>
      <c r="AD298" s="45">
        <f t="shared" si="336"/>
        <v>0</v>
      </c>
      <c r="AE298" s="44"/>
      <c r="AF298" s="44"/>
      <c r="AG298" s="44"/>
      <c r="AH298" s="44"/>
      <c r="AI298" s="44"/>
      <c r="AJ298" s="44"/>
      <c r="AK298" s="44"/>
      <c r="AL298" s="44">
        <f t="shared" si="337"/>
        <v>0</v>
      </c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>
        <f t="shared" si="338"/>
        <v>0</v>
      </c>
      <c r="BS298" s="312">
        <f t="shared" si="339"/>
        <v>0</v>
      </c>
      <c r="BT298" s="312">
        <f t="shared" si="340"/>
        <v>0</v>
      </c>
      <c r="BU298" s="312">
        <f t="shared" si="341"/>
        <v>0</v>
      </c>
      <c r="BV298" s="312">
        <f t="shared" si="342"/>
        <v>0</v>
      </c>
      <c r="BW298" s="313">
        <f t="shared" si="343"/>
        <v>0</v>
      </c>
      <c r="BX298" s="313">
        <f t="shared" si="344"/>
        <v>0</v>
      </c>
      <c r="BY298" s="313">
        <f t="shared" si="345"/>
        <v>0</v>
      </c>
      <c r="BZ298" s="313">
        <f t="shared" si="346"/>
        <v>0</v>
      </c>
      <c r="CA298" s="44"/>
      <c r="CB298" s="45">
        <f>SUM(E298:CA298)</f>
        <v>0</v>
      </c>
      <c r="CC298" s="46">
        <f t="shared" si="347"/>
        <v>0</v>
      </c>
      <c r="CD298" s="47">
        <f t="shared" si="348"/>
        <v>0</v>
      </c>
      <c r="CE298" s="62"/>
      <c r="CF298" s="237" t="e">
        <f>VLOOKUP(A298,labo!B:C,2,FALSE)</f>
        <v>#N/A</v>
      </c>
      <c r="CG298" s="106">
        <f t="shared" si="349"/>
        <v>0</v>
      </c>
      <c r="CI298" s="51"/>
      <c r="CJ298" s="51"/>
      <c r="CK298" s="251" t="e">
        <f t="shared" si="293"/>
        <v>#N/A</v>
      </c>
      <c r="CL298" s="323">
        <f t="shared" si="294"/>
        <v>0</v>
      </c>
      <c r="CM298" s="349"/>
    </row>
    <row r="299" spans="1:91">
      <c r="A299" s="77"/>
      <c r="B299" s="41" t="e">
        <f>VLOOKUP(A299,'vs mars'!B:D,3,FALSE)</f>
        <v>#N/A</v>
      </c>
      <c r="C299" s="42" t="e">
        <f>VLOOKUP(A299,'vs mars'!B:AC,28,FALSE)</f>
        <v>#N/A</v>
      </c>
      <c r="D299" s="77"/>
      <c r="E299" s="77"/>
      <c r="F299" s="43"/>
      <c r="G299" s="43"/>
      <c r="H299" s="43"/>
      <c r="I299" s="43"/>
      <c r="J299" s="44"/>
      <c r="K299" s="44"/>
      <c r="L299" s="45">
        <f t="shared" ref="L299" si="350">(J299+K299)*0.01</f>
        <v>0</v>
      </c>
      <c r="M299" s="45">
        <f t="shared" ref="M299" si="351">(J299+K299)*0.062</f>
        <v>0</v>
      </c>
      <c r="N299" s="45">
        <f t="shared" ref="N299" si="352">(J299+K299)*0.028</f>
        <v>0</v>
      </c>
      <c r="O299" s="45"/>
      <c r="P299" s="45"/>
      <c r="Q299" s="45"/>
      <c r="R299" s="45">
        <f t="shared" ref="R299" si="353">(Q299+O299+P299)*0.01</f>
        <v>0</v>
      </c>
      <c r="S299" s="45">
        <f t="shared" ref="S299" si="354">(O299+Q299+P299)*0.062</f>
        <v>0</v>
      </c>
      <c r="T299" s="45">
        <f t="shared" ref="T299" si="355">(O299+P299+Q299)*0.028</f>
        <v>0</v>
      </c>
      <c r="U299" s="45"/>
      <c r="V299" s="45"/>
      <c r="W299" s="45"/>
      <c r="X299" s="45"/>
      <c r="Y299" s="45"/>
      <c r="Z299" s="45"/>
      <c r="AA299" s="45"/>
      <c r="AB299" s="45">
        <f t="shared" ref="AB299" si="356">(U299+V299+W299+X299+Y299+Z299)*0.01</f>
        <v>0</v>
      </c>
      <c r="AC299" s="45">
        <f t="shared" ref="AC299" si="357">(U299+V299+W299+X299+Y299+Z299)*0.062</f>
        <v>0</v>
      </c>
      <c r="AD299" s="45">
        <f t="shared" ref="AD299" si="358">(U299+V299+W299+X299+Y299+Z299)*0.028</f>
        <v>0</v>
      </c>
      <c r="AE299" s="44"/>
      <c r="AF299" s="44"/>
      <c r="AG299" s="44"/>
      <c r="AH299" s="44"/>
      <c r="AI299" s="44"/>
      <c r="AJ299" s="44"/>
      <c r="AK299" s="44"/>
      <c r="AL299" s="44">
        <f t="shared" ref="AL299" si="359">+AK299</f>
        <v>0</v>
      </c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>
        <f t="shared" ref="BR299" si="360">BQ299/9</f>
        <v>0</v>
      </c>
      <c r="BS299" s="312">
        <f t="shared" ref="BS299:BS321" si="361">CH299*0.1</f>
        <v>0</v>
      </c>
      <c r="BT299" s="312">
        <f t="shared" ref="BT299:BT321" si="362">CH299*0.18</f>
        <v>0</v>
      </c>
      <c r="BU299" s="312">
        <f t="shared" ref="BU299:BU321" si="363">CH299*0.18</f>
        <v>0</v>
      </c>
      <c r="BV299" s="312">
        <f t="shared" ref="BV299:BV321" si="364">CH299*0.54</f>
        <v>0</v>
      </c>
      <c r="BW299" s="313">
        <f t="shared" ref="BW299:BW313" si="365">CI299*0.1</f>
        <v>0</v>
      </c>
      <c r="BX299" s="313">
        <f t="shared" ref="BX299:BX313" si="366">CI299*0.18</f>
        <v>0</v>
      </c>
      <c r="BY299" s="313">
        <f t="shared" ref="BY299:BY313" si="367">CI299*0.18</f>
        <v>0</v>
      </c>
      <c r="BZ299" s="313">
        <f t="shared" ref="BZ299:BZ313" si="368">CI299*0.54</f>
        <v>0</v>
      </c>
      <c r="CA299" s="44"/>
      <c r="CB299" s="45">
        <f t="shared" ref="CB299" si="369">SUM(E299:CA299)</f>
        <v>0</v>
      </c>
      <c r="CC299" s="46">
        <f t="shared" ref="CC299" si="370">E299+H299+I299+K299+P299+Q299+W299+X299+Y299+Z299+AA299+AE299+AG299+AH299+AI299+AJ299+AN299+AO299+AS299+AT299+AU299+AV299+AW299+AY299+BB299</f>
        <v>0</v>
      </c>
      <c r="CD299" s="47">
        <f t="shared" ref="CD299" si="371">E299+H299+I299+J299+K299+O299+P299+Q299+U299+V299+W299+X299+Y299+Z299+AA299+AE299+AF299+AG299+AH299+AI299+AJ299+AN299+AO299+AT299+AU299+AV299+AW299+AY299+BA299+BB299</f>
        <v>0</v>
      </c>
      <c r="CE299" s="62"/>
      <c r="CF299" s="237" t="e">
        <f>VLOOKUP(A299,labo!B:C,2,FALSE)</f>
        <v>#N/A</v>
      </c>
      <c r="CG299" s="106">
        <f t="shared" ref="CG299" si="372">K299+Q299+X299+Y299+Z299+AF299</f>
        <v>0</v>
      </c>
      <c r="CI299" s="51"/>
      <c r="CJ299" s="51"/>
      <c r="CK299" s="251" t="e">
        <f t="shared" si="293"/>
        <v>#N/A</v>
      </c>
      <c r="CL299" s="323">
        <f t="shared" si="294"/>
        <v>0</v>
      </c>
      <c r="CM299" s="349"/>
    </row>
    <row r="300" spans="1:91">
      <c r="A300" s="77"/>
      <c r="B300" s="41" t="e">
        <f>VLOOKUP(A300,'vs mars'!B:D,3,FALSE)</f>
        <v>#N/A</v>
      </c>
      <c r="C300" s="42" t="e">
        <f>VLOOKUP(A300,'vs mars'!B:AC,28,FALSE)</f>
        <v>#N/A</v>
      </c>
      <c r="D300" s="77"/>
      <c r="E300" s="77"/>
      <c r="F300" s="43"/>
      <c r="G300" s="43"/>
      <c r="H300" s="43"/>
      <c r="I300" s="43"/>
      <c r="J300" s="44"/>
      <c r="K300" s="44"/>
      <c r="L300" s="45">
        <f t="shared" ref="L300:L343" si="373">(J300+K300)*0.01</f>
        <v>0</v>
      </c>
      <c r="M300" s="45">
        <f t="shared" ref="M300:M343" si="374">(J300+K300)*0.062</f>
        <v>0</v>
      </c>
      <c r="N300" s="45">
        <f t="shared" ref="N300:N343" si="375">(J300+K300)*0.028</f>
        <v>0</v>
      </c>
      <c r="O300" s="45"/>
      <c r="P300" s="45"/>
      <c r="Q300" s="45"/>
      <c r="R300" s="45">
        <f t="shared" ref="R300:R343" si="376">(Q300+O300+P300)*0.01</f>
        <v>0</v>
      </c>
      <c r="S300" s="45">
        <f t="shared" ref="S300:S343" si="377">(O300+Q300+P300)*0.062</f>
        <v>0</v>
      </c>
      <c r="T300" s="45">
        <f t="shared" ref="T300:T343" si="378">(O300+P300+Q300)*0.028</f>
        <v>0</v>
      </c>
      <c r="U300" s="45"/>
      <c r="V300" s="45"/>
      <c r="W300" s="45"/>
      <c r="X300" s="45"/>
      <c r="Y300" s="45"/>
      <c r="Z300" s="45"/>
      <c r="AA300" s="45"/>
      <c r="AB300" s="45">
        <f t="shared" ref="AB300:AB343" si="379">(U300+V300+W300+X300+Y300+Z300)*0.01</f>
        <v>0</v>
      </c>
      <c r="AC300" s="45">
        <f t="shared" ref="AC300:AC343" si="380">(U300+V300+W300+X300+Y300+Z300)*0.062</f>
        <v>0</v>
      </c>
      <c r="AD300" s="45">
        <f t="shared" ref="AD300:AD343" si="381">(U300+V300+W300+X300+Y300+Z300)*0.028</f>
        <v>0</v>
      </c>
      <c r="AE300" s="44"/>
      <c r="AF300" s="44"/>
      <c r="AG300" s="44"/>
      <c r="AH300" s="44"/>
      <c r="AI300" s="44"/>
      <c r="AJ300" s="44"/>
      <c r="AK300" s="44"/>
      <c r="AL300" s="44">
        <f t="shared" ref="AL300:AL343" si="382">+AK300</f>
        <v>0</v>
      </c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>
        <f t="shared" ref="BR300:BR343" si="383">BQ300/9</f>
        <v>0</v>
      </c>
      <c r="BS300" s="312">
        <f t="shared" si="361"/>
        <v>0</v>
      </c>
      <c r="BT300" s="312">
        <f t="shared" si="362"/>
        <v>0</v>
      </c>
      <c r="BU300" s="312">
        <f t="shared" si="363"/>
        <v>0</v>
      </c>
      <c r="BV300" s="312">
        <f t="shared" si="364"/>
        <v>0</v>
      </c>
      <c r="BW300" s="313">
        <f t="shared" si="365"/>
        <v>0</v>
      </c>
      <c r="BX300" s="313">
        <f t="shared" si="366"/>
        <v>0</v>
      </c>
      <c r="BY300" s="313">
        <f t="shared" si="367"/>
        <v>0</v>
      </c>
      <c r="BZ300" s="313">
        <f t="shared" si="368"/>
        <v>0</v>
      </c>
      <c r="CA300" s="44"/>
      <c r="CB300" s="45">
        <f t="shared" ref="CB300:CB343" si="384">SUM(E300:CA300)</f>
        <v>0</v>
      </c>
      <c r="CC300" s="46">
        <f t="shared" ref="CC300:CC343" si="385">E300+H300+I300+K300+P300+Q300+W300+X300+Y300+Z300+AA300+AE300+AG300+AH300+AI300+AJ300+AN300+AO300+AS300+AT300+AU300+AV300+AW300+AY300+BB300</f>
        <v>0</v>
      </c>
      <c r="CD300" s="47">
        <f t="shared" ref="CD300:CD343" si="386">E300+H300+I300+J300+K300+O300+P300+Q300+U300+V300+W300+X300+Y300+Z300+AA300+AE300+AF300+AG300+AH300+AI300+AJ300+AN300+AO300+AT300+AU300+AV300+AW300+AY300+BA300+BB300</f>
        <v>0</v>
      </c>
      <c r="CE300" s="62"/>
      <c r="CF300" s="237" t="e">
        <f>VLOOKUP(A300,labo!B:C,2,FALSE)</f>
        <v>#N/A</v>
      </c>
      <c r="CG300" s="106">
        <f t="shared" ref="CG300:CG343" si="387">K300+Q300+X300+Y300+Z300+AF300</f>
        <v>0</v>
      </c>
      <c r="CI300" s="51"/>
      <c r="CJ300" s="51"/>
      <c r="CK300" s="251" t="e">
        <f t="shared" si="293"/>
        <v>#N/A</v>
      </c>
      <c r="CL300" s="323">
        <f t="shared" si="294"/>
        <v>0</v>
      </c>
      <c r="CM300" s="349"/>
    </row>
    <row r="301" spans="1:91">
      <c r="A301" s="77"/>
      <c r="B301" s="41" t="e">
        <f>VLOOKUP(A301,'vs mars'!B:D,3,FALSE)</f>
        <v>#N/A</v>
      </c>
      <c r="C301" s="42" t="e">
        <f>VLOOKUP(A301,'vs mars'!B:AC,28,FALSE)</f>
        <v>#N/A</v>
      </c>
      <c r="D301" s="77"/>
      <c r="E301" s="77"/>
      <c r="F301" s="43"/>
      <c r="G301" s="43"/>
      <c r="H301" s="43"/>
      <c r="I301" s="43"/>
      <c r="J301" s="44"/>
      <c r="K301" s="44"/>
      <c r="L301" s="45">
        <f t="shared" si="373"/>
        <v>0</v>
      </c>
      <c r="M301" s="45">
        <f t="shared" si="374"/>
        <v>0</v>
      </c>
      <c r="N301" s="45">
        <f t="shared" si="375"/>
        <v>0</v>
      </c>
      <c r="O301" s="45"/>
      <c r="P301" s="45"/>
      <c r="Q301" s="45"/>
      <c r="R301" s="45">
        <f t="shared" si="376"/>
        <v>0</v>
      </c>
      <c r="S301" s="45">
        <f t="shared" si="377"/>
        <v>0</v>
      </c>
      <c r="T301" s="45">
        <f t="shared" si="378"/>
        <v>0</v>
      </c>
      <c r="U301" s="45"/>
      <c r="V301" s="45"/>
      <c r="W301" s="45"/>
      <c r="X301" s="45"/>
      <c r="Y301" s="45"/>
      <c r="Z301" s="45"/>
      <c r="AA301" s="45"/>
      <c r="AB301" s="45">
        <f t="shared" si="379"/>
        <v>0</v>
      </c>
      <c r="AC301" s="45">
        <f t="shared" si="380"/>
        <v>0</v>
      </c>
      <c r="AD301" s="45">
        <f t="shared" si="381"/>
        <v>0</v>
      </c>
      <c r="AE301" s="44"/>
      <c r="AF301" s="44"/>
      <c r="AG301" s="44"/>
      <c r="AH301" s="44"/>
      <c r="AI301" s="44"/>
      <c r="AJ301" s="44"/>
      <c r="AK301" s="44"/>
      <c r="AL301" s="44">
        <f t="shared" si="382"/>
        <v>0</v>
      </c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>
        <f t="shared" si="383"/>
        <v>0</v>
      </c>
      <c r="BS301" s="312">
        <f t="shared" si="361"/>
        <v>0</v>
      </c>
      <c r="BT301" s="312">
        <f t="shared" si="362"/>
        <v>0</v>
      </c>
      <c r="BU301" s="312">
        <f t="shared" si="363"/>
        <v>0</v>
      </c>
      <c r="BV301" s="312">
        <f t="shared" si="364"/>
        <v>0</v>
      </c>
      <c r="BW301" s="313">
        <f t="shared" si="365"/>
        <v>0</v>
      </c>
      <c r="BX301" s="313">
        <f t="shared" si="366"/>
        <v>0</v>
      </c>
      <c r="BY301" s="313">
        <f t="shared" si="367"/>
        <v>0</v>
      </c>
      <c r="BZ301" s="313">
        <f t="shared" si="368"/>
        <v>0</v>
      </c>
      <c r="CA301" s="44"/>
      <c r="CB301" s="45">
        <f t="shared" si="384"/>
        <v>0</v>
      </c>
      <c r="CC301" s="46">
        <f t="shared" si="385"/>
        <v>0</v>
      </c>
      <c r="CD301" s="47">
        <f t="shared" si="386"/>
        <v>0</v>
      </c>
      <c r="CE301" s="62"/>
      <c r="CF301" s="237" t="e">
        <f>VLOOKUP(A301,labo!B:C,2,FALSE)</f>
        <v>#N/A</v>
      </c>
      <c r="CG301" s="106">
        <f t="shared" si="387"/>
        <v>0</v>
      </c>
      <c r="CI301" s="51"/>
      <c r="CJ301" s="51"/>
      <c r="CK301" s="251" t="e">
        <f t="shared" si="293"/>
        <v>#N/A</v>
      </c>
      <c r="CL301" s="323">
        <f t="shared" si="294"/>
        <v>0</v>
      </c>
      <c r="CM301" s="349"/>
    </row>
    <row r="302" spans="1:91">
      <c r="A302" s="77"/>
      <c r="B302" s="41" t="e">
        <f>VLOOKUP(A302,'vs mars'!B:D,3,FALSE)</f>
        <v>#N/A</v>
      </c>
      <c r="C302" s="42" t="e">
        <f>VLOOKUP(A302,'vs mars'!B:AC,28,FALSE)</f>
        <v>#N/A</v>
      </c>
      <c r="D302" s="77"/>
      <c r="E302" s="77"/>
      <c r="F302" s="43"/>
      <c r="G302" s="43"/>
      <c r="H302" s="43"/>
      <c r="I302" s="43"/>
      <c r="J302" s="44"/>
      <c r="K302" s="44"/>
      <c r="L302" s="45">
        <f t="shared" si="373"/>
        <v>0</v>
      </c>
      <c r="M302" s="45">
        <f t="shared" si="374"/>
        <v>0</v>
      </c>
      <c r="N302" s="45">
        <f t="shared" si="375"/>
        <v>0</v>
      </c>
      <c r="O302" s="45"/>
      <c r="P302" s="45"/>
      <c r="Q302" s="45"/>
      <c r="R302" s="45">
        <f t="shared" si="376"/>
        <v>0</v>
      </c>
      <c r="S302" s="45">
        <f t="shared" si="377"/>
        <v>0</v>
      </c>
      <c r="T302" s="45">
        <f t="shared" si="378"/>
        <v>0</v>
      </c>
      <c r="U302" s="45"/>
      <c r="V302" s="45"/>
      <c r="W302" s="45"/>
      <c r="X302" s="45"/>
      <c r="Y302" s="45"/>
      <c r="Z302" s="45"/>
      <c r="AA302" s="45"/>
      <c r="AB302" s="45">
        <f t="shared" si="379"/>
        <v>0</v>
      </c>
      <c r="AC302" s="45">
        <f t="shared" si="380"/>
        <v>0</v>
      </c>
      <c r="AD302" s="45">
        <f t="shared" si="381"/>
        <v>0</v>
      </c>
      <c r="AE302" s="44"/>
      <c r="AF302" s="44"/>
      <c r="AG302" s="44"/>
      <c r="AH302" s="44"/>
      <c r="AI302" s="44"/>
      <c r="AJ302" s="44"/>
      <c r="AK302" s="44"/>
      <c r="AL302" s="44">
        <f t="shared" si="382"/>
        <v>0</v>
      </c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>
        <f t="shared" si="383"/>
        <v>0</v>
      </c>
      <c r="BS302" s="312">
        <f t="shared" si="361"/>
        <v>0</v>
      </c>
      <c r="BT302" s="312">
        <f t="shared" si="362"/>
        <v>0</v>
      </c>
      <c r="BU302" s="312">
        <f t="shared" si="363"/>
        <v>0</v>
      </c>
      <c r="BV302" s="312">
        <f t="shared" si="364"/>
        <v>0</v>
      </c>
      <c r="BW302" s="313">
        <f t="shared" si="365"/>
        <v>0</v>
      </c>
      <c r="BX302" s="313">
        <f t="shared" si="366"/>
        <v>0</v>
      </c>
      <c r="BY302" s="313">
        <f t="shared" si="367"/>
        <v>0</v>
      </c>
      <c r="BZ302" s="313">
        <f t="shared" si="368"/>
        <v>0</v>
      </c>
      <c r="CA302" s="44"/>
      <c r="CB302" s="45">
        <f t="shared" si="384"/>
        <v>0</v>
      </c>
      <c r="CC302" s="46">
        <f t="shared" si="385"/>
        <v>0</v>
      </c>
      <c r="CD302" s="47">
        <f t="shared" si="386"/>
        <v>0</v>
      </c>
      <c r="CE302" s="62"/>
      <c r="CF302" s="237" t="e">
        <f>VLOOKUP(A302,labo!B:C,2,FALSE)</f>
        <v>#N/A</v>
      </c>
      <c r="CG302" s="106">
        <f t="shared" si="387"/>
        <v>0</v>
      </c>
      <c r="CI302" s="51"/>
      <c r="CJ302" s="51"/>
      <c r="CK302" s="251" t="e">
        <f t="shared" si="293"/>
        <v>#N/A</v>
      </c>
      <c r="CL302" s="323">
        <f t="shared" si="294"/>
        <v>0</v>
      </c>
      <c r="CM302" s="349"/>
    </row>
    <row r="303" spans="1:91">
      <c r="A303" s="77"/>
      <c r="B303" s="41" t="e">
        <f>VLOOKUP(A303,'vs mars'!B:D,3,FALSE)</f>
        <v>#N/A</v>
      </c>
      <c r="C303" s="42" t="e">
        <f>VLOOKUP(A303,'vs mars'!B:AC,28,FALSE)</f>
        <v>#N/A</v>
      </c>
      <c r="D303" s="77"/>
      <c r="E303" s="77"/>
      <c r="F303" s="43"/>
      <c r="G303" s="43"/>
      <c r="H303" s="43"/>
      <c r="I303" s="43"/>
      <c r="J303" s="44"/>
      <c r="K303" s="44"/>
      <c r="L303" s="45">
        <f t="shared" si="373"/>
        <v>0</v>
      </c>
      <c r="M303" s="45">
        <f t="shared" si="374"/>
        <v>0</v>
      </c>
      <c r="N303" s="45">
        <f t="shared" si="375"/>
        <v>0</v>
      </c>
      <c r="O303" s="45"/>
      <c r="P303" s="45"/>
      <c r="Q303" s="45"/>
      <c r="R303" s="45">
        <f t="shared" si="376"/>
        <v>0</v>
      </c>
      <c r="S303" s="45">
        <f t="shared" si="377"/>
        <v>0</v>
      </c>
      <c r="T303" s="45">
        <f t="shared" si="378"/>
        <v>0</v>
      </c>
      <c r="U303" s="45"/>
      <c r="V303" s="45"/>
      <c r="W303" s="45"/>
      <c r="X303" s="45"/>
      <c r="Y303" s="45"/>
      <c r="Z303" s="45"/>
      <c r="AA303" s="45"/>
      <c r="AB303" s="45">
        <f t="shared" si="379"/>
        <v>0</v>
      </c>
      <c r="AC303" s="45">
        <f t="shared" si="380"/>
        <v>0</v>
      </c>
      <c r="AD303" s="45">
        <f t="shared" si="381"/>
        <v>0</v>
      </c>
      <c r="AE303" s="44"/>
      <c r="AF303" s="44"/>
      <c r="AG303" s="44"/>
      <c r="AH303" s="44"/>
      <c r="AI303" s="44"/>
      <c r="AJ303" s="44"/>
      <c r="AK303" s="44"/>
      <c r="AL303" s="44">
        <f t="shared" si="382"/>
        <v>0</v>
      </c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>
        <f t="shared" si="383"/>
        <v>0</v>
      </c>
      <c r="BS303" s="312">
        <f t="shared" si="361"/>
        <v>0</v>
      </c>
      <c r="BT303" s="312">
        <f t="shared" si="362"/>
        <v>0</v>
      </c>
      <c r="BU303" s="312">
        <f t="shared" si="363"/>
        <v>0</v>
      </c>
      <c r="BV303" s="312">
        <f t="shared" si="364"/>
        <v>0</v>
      </c>
      <c r="BW303" s="313">
        <f t="shared" si="365"/>
        <v>0</v>
      </c>
      <c r="BX303" s="313">
        <f t="shared" si="366"/>
        <v>0</v>
      </c>
      <c r="BY303" s="313">
        <f t="shared" si="367"/>
        <v>0</v>
      </c>
      <c r="BZ303" s="313">
        <f t="shared" si="368"/>
        <v>0</v>
      </c>
      <c r="CA303" s="44"/>
      <c r="CB303" s="45">
        <f t="shared" si="384"/>
        <v>0</v>
      </c>
      <c r="CC303" s="46">
        <f t="shared" si="385"/>
        <v>0</v>
      </c>
      <c r="CD303" s="47">
        <f t="shared" si="386"/>
        <v>0</v>
      </c>
      <c r="CE303" s="62"/>
      <c r="CF303" s="237" t="e">
        <f>VLOOKUP(A303,labo!B:C,2,FALSE)</f>
        <v>#N/A</v>
      </c>
      <c r="CG303" s="106">
        <f t="shared" si="387"/>
        <v>0</v>
      </c>
      <c r="CI303" s="51"/>
      <c r="CJ303" s="51"/>
      <c r="CK303" s="251" t="e">
        <f t="shared" si="293"/>
        <v>#N/A</v>
      </c>
      <c r="CL303" s="323">
        <f t="shared" si="294"/>
        <v>0</v>
      </c>
      <c r="CM303" s="349"/>
    </row>
    <row r="304" spans="1:91">
      <c r="A304" s="77"/>
      <c r="B304" s="41" t="e">
        <f>VLOOKUP(A304,'vs mars'!B:D,3,FALSE)</f>
        <v>#N/A</v>
      </c>
      <c r="C304" s="42" t="e">
        <f>VLOOKUP(A304,'vs mars'!B:AC,28,FALSE)</f>
        <v>#N/A</v>
      </c>
      <c r="D304" s="77"/>
      <c r="E304" s="77"/>
      <c r="F304" s="43"/>
      <c r="G304" s="43"/>
      <c r="H304" s="43"/>
      <c r="I304" s="43"/>
      <c r="J304" s="44"/>
      <c r="K304" s="44"/>
      <c r="L304" s="45">
        <f t="shared" si="373"/>
        <v>0</v>
      </c>
      <c r="M304" s="45">
        <f t="shared" si="374"/>
        <v>0</v>
      </c>
      <c r="N304" s="45">
        <f t="shared" si="375"/>
        <v>0</v>
      </c>
      <c r="O304" s="45"/>
      <c r="P304" s="45"/>
      <c r="Q304" s="45"/>
      <c r="R304" s="45">
        <f t="shared" si="376"/>
        <v>0</v>
      </c>
      <c r="S304" s="45">
        <f t="shared" si="377"/>
        <v>0</v>
      </c>
      <c r="T304" s="45">
        <f t="shared" si="378"/>
        <v>0</v>
      </c>
      <c r="U304" s="45"/>
      <c r="V304" s="45"/>
      <c r="W304" s="45"/>
      <c r="X304" s="45"/>
      <c r="Y304" s="45"/>
      <c r="Z304" s="45"/>
      <c r="AA304" s="45"/>
      <c r="AB304" s="45">
        <f t="shared" si="379"/>
        <v>0</v>
      </c>
      <c r="AC304" s="45">
        <f t="shared" si="380"/>
        <v>0</v>
      </c>
      <c r="AD304" s="45">
        <f t="shared" si="381"/>
        <v>0</v>
      </c>
      <c r="AE304" s="44"/>
      <c r="AF304" s="44"/>
      <c r="AG304" s="44"/>
      <c r="AH304" s="44"/>
      <c r="AI304" s="44"/>
      <c r="AJ304" s="44"/>
      <c r="AK304" s="44"/>
      <c r="AL304" s="44">
        <f t="shared" si="382"/>
        <v>0</v>
      </c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>
        <f t="shared" si="383"/>
        <v>0</v>
      </c>
      <c r="BS304" s="312">
        <f t="shared" si="361"/>
        <v>0</v>
      </c>
      <c r="BT304" s="312">
        <f t="shared" si="362"/>
        <v>0</v>
      </c>
      <c r="BU304" s="312">
        <f t="shared" si="363"/>
        <v>0</v>
      </c>
      <c r="BV304" s="312">
        <f t="shared" si="364"/>
        <v>0</v>
      </c>
      <c r="BW304" s="313">
        <f t="shared" si="365"/>
        <v>0</v>
      </c>
      <c r="BX304" s="313">
        <f t="shared" si="366"/>
        <v>0</v>
      </c>
      <c r="BY304" s="313">
        <f t="shared" si="367"/>
        <v>0</v>
      </c>
      <c r="BZ304" s="313">
        <f t="shared" si="368"/>
        <v>0</v>
      </c>
      <c r="CA304" s="44"/>
      <c r="CB304" s="45">
        <f t="shared" si="384"/>
        <v>0</v>
      </c>
      <c r="CC304" s="46">
        <f t="shared" si="385"/>
        <v>0</v>
      </c>
      <c r="CD304" s="47">
        <f t="shared" si="386"/>
        <v>0</v>
      </c>
      <c r="CE304" s="62"/>
      <c r="CF304" s="237" t="e">
        <f>VLOOKUP(A304,labo!B:C,2,FALSE)</f>
        <v>#N/A</v>
      </c>
      <c r="CG304" s="106">
        <f t="shared" si="387"/>
        <v>0</v>
      </c>
      <c r="CI304" s="51"/>
      <c r="CJ304" s="51"/>
      <c r="CK304" s="251" t="e">
        <f t="shared" si="293"/>
        <v>#N/A</v>
      </c>
      <c r="CL304" s="323">
        <f t="shared" si="294"/>
        <v>0</v>
      </c>
      <c r="CM304" s="349"/>
    </row>
    <row r="305" spans="1:91">
      <c r="A305" s="77"/>
      <c r="B305" s="41" t="e">
        <f>VLOOKUP(A305,'vs mars'!B:D,3,FALSE)</f>
        <v>#N/A</v>
      </c>
      <c r="C305" s="42" t="e">
        <f>VLOOKUP(A305,'vs mars'!B:AC,28,FALSE)</f>
        <v>#N/A</v>
      </c>
      <c r="D305" s="77"/>
      <c r="E305" s="77"/>
      <c r="F305" s="43"/>
      <c r="G305" s="43"/>
      <c r="H305" s="43"/>
      <c r="I305" s="43"/>
      <c r="J305" s="44"/>
      <c r="K305" s="44"/>
      <c r="L305" s="45">
        <f t="shared" si="373"/>
        <v>0</v>
      </c>
      <c r="M305" s="45">
        <f t="shared" si="374"/>
        <v>0</v>
      </c>
      <c r="N305" s="45">
        <f t="shared" si="375"/>
        <v>0</v>
      </c>
      <c r="O305" s="45"/>
      <c r="P305" s="45"/>
      <c r="Q305" s="45"/>
      <c r="R305" s="45">
        <f t="shared" si="376"/>
        <v>0</v>
      </c>
      <c r="S305" s="45">
        <f t="shared" si="377"/>
        <v>0</v>
      </c>
      <c r="T305" s="45">
        <f t="shared" si="378"/>
        <v>0</v>
      </c>
      <c r="U305" s="45"/>
      <c r="V305" s="45"/>
      <c r="W305" s="45"/>
      <c r="X305" s="45"/>
      <c r="Y305" s="45"/>
      <c r="Z305" s="45"/>
      <c r="AA305" s="45"/>
      <c r="AB305" s="45">
        <f t="shared" si="379"/>
        <v>0</v>
      </c>
      <c r="AC305" s="45">
        <f t="shared" si="380"/>
        <v>0</v>
      </c>
      <c r="AD305" s="45">
        <f t="shared" si="381"/>
        <v>0</v>
      </c>
      <c r="AE305" s="44"/>
      <c r="AF305" s="44"/>
      <c r="AG305" s="44"/>
      <c r="AH305" s="44"/>
      <c r="AI305" s="44"/>
      <c r="AJ305" s="44"/>
      <c r="AK305" s="44"/>
      <c r="AL305" s="44">
        <f t="shared" si="382"/>
        <v>0</v>
      </c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>
        <f t="shared" si="383"/>
        <v>0</v>
      </c>
      <c r="BS305" s="312">
        <f t="shared" si="361"/>
        <v>0</v>
      </c>
      <c r="BT305" s="312">
        <f t="shared" si="362"/>
        <v>0</v>
      </c>
      <c r="BU305" s="312">
        <f t="shared" si="363"/>
        <v>0</v>
      </c>
      <c r="BV305" s="312">
        <f t="shared" si="364"/>
        <v>0</v>
      </c>
      <c r="BW305" s="313">
        <f t="shared" si="365"/>
        <v>0</v>
      </c>
      <c r="BX305" s="313">
        <f t="shared" si="366"/>
        <v>0</v>
      </c>
      <c r="BY305" s="313">
        <f t="shared" si="367"/>
        <v>0</v>
      </c>
      <c r="BZ305" s="313">
        <f t="shared" si="368"/>
        <v>0</v>
      </c>
      <c r="CA305" s="44"/>
      <c r="CB305" s="45">
        <f t="shared" si="384"/>
        <v>0</v>
      </c>
      <c r="CC305" s="46">
        <f t="shared" si="385"/>
        <v>0</v>
      </c>
      <c r="CD305" s="47">
        <f t="shared" si="386"/>
        <v>0</v>
      </c>
      <c r="CE305" s="62"/>
      <c r="CF305" s="237" t="e">
        <f>VLOOKUP(A305,labo!B:C,2,FALSE)</f>
        <v>#N/A</v>
      </c>
      <c r="CG305" s="106">
        <f t="shared" si="387"/>
        <v>0</v>
      </c>
      <c r="CI305" s="51"/>
      <c r="CJ305" s="51"/>
      <c r="CK305" s="251" t="e">
        <f t="shared" si="293"/>
        <v>#N/A</v>
      </c>
      <c r="CL305" s="323">
        <f t="shared" si="294"/>
        <v>0</v>
      </c>
      <c r="CM305" s="349"/>
    </row>
    <row r="306" spans="1:91">
      <c r="A306" s="77"/>
      <c r="B306" s="41" t="e">
        <f>VLOOKUP(A306,'vs mars'!B:D,3,FALSE)</f>
        <v>#N/A</v>
      </c>
      <c r="C306" s="42" t="e">
        <f>VLOOKUP(A306,'vs mars'!B:AC,28,FALSE)</f>
        <v>#N/A</v>
      </c>
      <c r="D306" s="77"/>
      <c r="E306" s="77"/>
      <c r="F306" s="43"/>
      <c r="G306" s="43"/>
      <c r="H306" s="43"/>
      <c r="I306" s="43"/>
      <c r="J306" s="44"/>
      <c r="K306" s="44"/>
      <c r="L306" s="45">
        <f t="shared" si="373"/>
        <v>0</v>
      </c>
      <c r="M306" s="45">
        <f t="shared" si="374"/>
        <v>0</v>
      </c>
      <c r="N306" s="45">
        <f t="shared" si="375"/>
        <v>0</v>
      </c>
      <c r="O306" s="45"/>
      <c r="P306" s="45"/>
      <c r="Q306" s="45"/>
      <c r="R306" s="45">
        <f t="shared" si="376"/>
        <v>0</v>
      </c>
      <c r="S306" s="45">
        <f t="shared" si="377"/>
        <v>0</v>
      </c>
      <c r="T306" s="45">
        <f t="shared" si="378"/>
        <v>0</v>
      </c>
      <c r="U306" s="45"/>
      <c r="V306" s="45"/>
      <c r="W306" s="45"/>
      <c r="X306" s="45"/>
      <c r="Y306" s="45"/>
      <c r="Z306" s="45"/>
      <c r="AA306" s="45"/>
      <c r="AB306" s="45">
        <f t="shared" si="379"/>
        <v>0</v>
      </c>
      <c r="AC306" s="45">
        <f t="shared" si="380"/>
        <v>0</v>
      </c>
      <c r="AD306" s="45">
        <f t="shared" si="381"/>
        <v>0</v>
      </c>
      <c r="AE306" s="44"/>
      <c r="AF306" s="44"/>
      <c r="AG306" s="44"/>
      <c r="AH306" s="44"/>
      <c r="AI306" s="44"/>
      <c r="AJ306" s="44"/>
      <c r="AK306" s="44"/>
      <c r="AL306" s="44">
        <f t="shared" si="382"/>
        <v>0</v>
      </c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>
        <f t="shared" si="383"/>
        <v>0</v>
      </c>
      <c r="BS306" s="312">
        <f t="shared" si="361"/>
        <v>0</v>
      </c>
      <c r="BT306" s="312">
        <f t="shared" si="362"/>
        <v>0</v>
      </c>
      <c r="BU306" s="312">
        <f t="shared" si="363"/>
        <v>0</v>
      </c>
      <c r="BV306" s="312">
        <f t="shared" si="364"/>
        <v>0</v>
      </c>
      <c r="BW306" s="313">
        <f t="shared" si="365"/>
        <v>0</v>
      </c>
      <c r="BX306" s="313">
        <f t="shared" si="366"/>
        <v>0</v>
      </c>
      <c r="BY306" s="313">
        <f t="shared" si="367"/>
        <v>0</v>
      </c>
      <c r="BZ306" s="313">
        <f t="shared" si="368"/>
        <v>0</v>
      </c>
      <c r="CA306" s="44"/>
      <c r="CB306" s="45">
        <f t="shared" si="384"/>
        <v>0</v>
      </c>
      <c r="CC306" s="46">
        <f t="shared" si="385"/>
        <v>0</v>
      </c>
      <c r="CD306" s="47">
        <f t="shared" si="386"/>
        <v>0</v>
      </c>
      <c r="CE306" s="62"/>
      <c r="CF306" s="237" t="e">
        <f>VLOOKUP(A306,labo!B:C,2,FALSE)</f>
        <v>#N/A</v>
      </c>
      <c r="CG306" s="106">
        <f t="shared" si="387"/>
        <v>0</v>
      </c>
      <c r="CI306" s="51"/>
      <c r="CJ306" s="51"/>
      <c r="CK306" s="251" t="e">
        <f t="shared" si="293"/>
        <v>#N/A</v>
      </c>
      <c r="CL306" s="323">
        <f t="shared" si="294"/>
        <v>0</v>
      </c>
      <c r="CM306" s="349"/>
    </row>
    <row r="307" spans="1:91">
      <c r="A307" s="77"/>
      <c r="B307" s="41" t="e">
        <f>VLOOKUP(A307,'vs mars'!B:D,3,FALSE)</f>
        <v>#N/A</v>
      </c>
      <c r="C307" s="42" t="e">
        <f>VLOOKUP(A307,'vs mars'!B:AC,28,FALSE)</f>
        <v>#N/A</v>
      </c>
      <c r="D307" s="77"/>
      <c r="E307" s="77"/>
      <c r="F307" s="43"/>
      <c r="G307" s="43"/>
      <c r="H307" s="43"/>
      <c r="I307" s="43"/>
      <c r="J307" s="44"/>
      <c r="K307" s="44"/>
      <c r="L307" s="45">
        <f t="shared" si="373"/>
        <v>0</v>
      </c>
      <c r="M307" s="45">
        <f t="shared" si="374"/>
        <v>0</v>
      </c>
      <c r="N307" s="45">
        <f t="shared" si="375"/>
        <v>0</v>
      </c>
      <c r="O307" s="45"/>
      <c r="P307" s="45"/>
      <c r="Q307" s="45"/>
      <c r="R307" s="45">
        <f t="shared" si="376"/>
        <v>0</v>
      </c>
      <c r="S307" s="45">
        <f t="shared" si="377"/>
        <v>0</v>
      </c>
      <c r="T307" s="45">
        <f t="shared" si="378"/>
        <v>0</v>
      </c>
      <c r="U307" s="45"/>
      <c r="V307" s="45"/>
      <c r="W307" s="45"/>
      <c r="X307" s="45"/>
      <c r="Y307" s="45"/>
      <c r="Z307" s="45"/>
      <c r="AA307" s="45"/>
      <c r="AB307" s="45">
        <f t="shared" si="379"/>
        <v>0</v>
      </c>
      <c r="AC307" s="45">
        <f t="shared" si="380"/>
        <v>0</v>
      </c>
      <c r="AD307" s="45">
        <f t="shared" si="381"/>
        <v>0</v>
      </c>
      <c r="AE307" s="44"/>
      <c r="AF307" s="44"/>
      <c r="AG307" s="44"/>
      <c r="AH307" s="44"/>
      <c r="AI307" s="44"/>
      <c r="AJ307" s="44"/>
      <c r="AK307" s="44"/>
      <c r="AL307" s="44">
        <f t="shared" si="382"/>
        <v>0</v>
      </c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>
        <f t="shared" si="383"/>
        <v>0</v>
      </c>
      <c r="BS307" s="312">
        <f t="shared" si="361"/>
        <v>0</v>
      </c>
      <c r="BT307" s="312">
        <f t="shared" si="362"/>
        <v>0</v>
      </c>
      <c r="BU307" s="312">
        <f t="shared" si="363"/>
        <v>0</v>
      </c>
      <c r="BV307" s="312">
        <f t="shared" si="364"/>
        <v>0</v>
      </c>
      <c r="BW307" s="313">
        <f t="shared" si="365"/>
        <v>0</v>
      </c>
      <c r="BX307" s="313">
        <f t="shared" si="366"/>
        <v>0</v>
      </c>
      <c r="BY307" s="313">
        <f t="shared" si="367"/>
        <v>0</v>
      </c>
      <c r="BZ307" s="313">
        <f t="shared" si="368"/>
        <v>0</v>
      </c>
      <c r="CA307" s="44"/>
      <c r="CB307" s="45">
        <f t="shared" si="384"/>
        <v>0</v>
      </c>
      <c r="CC307" s="46">
        <f t="shared" si="385"/>
        <v>0</v>
      </c>
      <c r="CD307" s="47">
        <f t="shared" si="386"/>
        <v>0</v>
      </c>
      <c r="CE307" s="62"/>
      <c r="CF307" s="237" t="e">
        <f>VLOOKUP(A307,labo!B:C,2,FALSE)</f>
        <v>#N/A</v>
      </c>
      <c r="CG307" s="106">
        <f t="shared" si="387"/>
        <v>0</v>
      </c>
      <c r="CI307" s="51"/>
      <c r="CJ307" s="51"/>
      <c r="CK307" s="251" t="e">
        <f t="shared" si="293"/>
        <v>#N/A</v>
      </c>
      <c r="CL307" s="323">
        <f t="shared" si="294"/>
        <v>0</v>
      </c>
      <c r="CM307" s="349"/>
    </row>
    <row r="308" spans="1:91">
      <c r="A308" s="77"/>
      <c r="B308" s="41" t="e">
        <f>VLOOKUP(A308,'vs mars'!B:D,3,FALSE)</f>
        <v>#N/A</v>
      </c>
      <c r="C308" s="42" t="e">
        <f>VLOOKUP(A308,'vs mars'!B:AC,28,FALSE)</f>
        <v>#N/A</v>
      </c>
      <c r="D308" s="77"/>
      <c r="E308" s="77"/>
      <c r="F308" s="43"/>
      <c r="G308" s="43"/>
      <c r="H308" s="43"/>
      <c r="I308" s="43"/>
      <c r="J308" s="44"/>
      <c r="K308" s="44"/>
      <c r="L308" s="45">
        <f t="shared" si="373"/>
        <v>0</v>
      </c>
      <c r="M308" s="45">
        <f t="shared" si="374"/>
        <v>0</v>
      </c>
      <c r="N308" s="45">
        <f t="shared" si="375"/>
        <v>0</v>
      </c>
      <c r="O308" s="45"/>
      <c r="P308" s="45"/>
      <c r="Q308" s="45"/>
      <c r="R308" s="45">
        <f t="shared" si="376"/>
        <v>0</v>
      </c>
      <c r="S308" s="45">
        <f t="shared" si="377"/>
        <v>0</v>
      </c>
      <c r="T308" s="45">
        <f t="shared" si="378"/>
        <v>0</v>
      </c>
      <c r="U308" s="45"/>
      <c r="V308" s="45"/>
      <c r="W308" s="45"/>
      <c r="X308" s="45"/>
      <c r="Y308" s="45"/>
      <c r="Z308" s="45"/>
      <c r="AA308" s="45"/>
      <c r="AB308" s="45">
        <f t="shared" si="379"/>
        <v>0</v>
      </c>
      <c r="AC308" s="45">
        <f t="shared" si="380"/>
        <v>0</v>
      </c>
      <c r="AD308" s="45">
        <f t="shared" si="381"/>
        <v>0</v>
      </c>
      <c r="AE308" s="44"/>
      <c r="AF308" s="44"/>
      <c r="AG308" s="44"/>
      <c r="AH308" s="44"/>
      <c r="AI308" s="44"/>
      <c r="AJ308" s="44"/>
      <c r="AK308" s="44"/>
      <c r="AL308" s="44">
        <f t="shared" si="382"/>
        <v>0</v>
      </c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>
        <f t="shared" si="383"/>
        <v>0</v>
      </c>
      <c r="BS308" s="312">
        <f t="shared" si="361"/>
        <v>0</v>
      </c>
      <c r="BT308" s="312">
        <f t="shared" si="362"/>
        <v>0</v>
      </c>
      <c r="BU308" s="312">
        <f t="shared" si="363"/>
        <v>0</v>
      </c>
      <c r="BV308" s="312">
        <f t="shared" si="364"/>
        <v>0</v>
      </c>
      <c r="BW308" s="313">
        <f t="shared" si="365"/>
        <v>0</v>
      </c>
      <c r="BX308" s="313">
        <f t="shared" si="366"/>
        <v>0</v>
      </c>
      <c r="BY308" s="313">
        <f t="shared" si="367"/>
        <v>0</v>
      </c>
      <c r="BZ308" s="313">
        <f t="shared" si="368"/>
        <v>0</v>
      </c>
      <c r="CA308" s="44"/>
      <c r="CB308" s="45">
        <f t="shared" si="384"/>
        <v>0</v>
      </c>
      <c r="CC308" s="46">
        <f t="shared" si="385"/>
        <v>0</v>
      </c>
      <c r="CD308" s="47">
        <f t="shared" si="386"/>
        <v>0</v>
      </c>
      <c r="CE308" s="62"/>
      <c r="CF308" s="237" t="e">
        <f>VLOOKUP(A308,labo!B:C,2,FALSE)</f>
        <v>#N/A</v>
      </c>
      <c r="CG308" s="106">
        <f t="shared" si="387"/>
        <v>0</v>
      </c>
      <c r="CI308" s="51"/>
      <c r="CJ308" s="51"/>
      <c r="CK308" s="251" t="e">
        <f t="shared" si="293"/>
        <v>#N/A</v>
      </c>
      <c r="CL308" s="323">
        <f t="shared" si="294"/>
        <v>0</v>
      </c>
      <c r="CM308" s="349"/>
    </row>
    <row r="309" spans="1:91">
      <c r="A309" s="77"/>
      <c r="B309" s="41" t="e">
        <f>VLOOKUP(A309,'vs mars'!B:D,3,FALSE)</f>
        <v>#N/A</v>
      </c>
      <c r="C309" s="42" t="e">
        <f>VLOOKUP(A309,'vs mars'!B:AC,28,FALSE)</f>
        <v>#N/A</v>
      </c>
      <c r="D309" s="77"/>
      <c r="E309" s="77"/>
      <c r="F309" s="43"/>
      <c r="G309" s="43"/>
      <c r="H309" s="43"/>
      <c r="I309" s="43"/>
      <c r="J309" s="44"/>
      <c r="K309" s="44"/>
      <c r="L309" s="45">
        <f t="shared" si="373"/>
        <v>0</v>
      </c>
      <c r="M309" s="45">
        <f t="shared" si="374"/>
        <v>0</v>
      </c>
      <c r="N309" s="45">
        <f t="shared" si="375"/>
        <v>0</v>
      </c>
      <c r="O309" s="45"/>
      <c r="P309" s="45"/>
      <c r="Q309" s="45"/>
      <c r="R309" s="45">
        <f t="shared" si="376"/>
        <v>0</v>
      </c>
      <c r="S309" s="45">
        <f t="shared" si="377"/>
        <v>0</v>
      </c>
      <c r="T309" s="45">
        <f t="shared" si="378"/>
        <v>0</v>
      </c>
      <c r="U309" s="45"/>
      <c r="V309" s="45"/>
      <c r="W309" s="45"/>
      <c r="X309" s="45"/>
      <c r="Y309" s="45"/>
      <c r="Z309" s="45"/>
      <c r="AA309" s="45"/>
      <c r="AB309" s="45">
        <f t="shared" si="379"/>
        <v>0</v>
      </c>
      <c r="AC309" s="45">
        <f t="shared" si="380"/>
        <v>0</v>
      </c>
      <c r="AD309" s="45">
        <f t="shared" si="381"/>
        <v>0</v>
      </c>
      <c r="AE309" s="44"/>
      <c r="AF309" s="44"/>
      <c r="AG309" s="44"/>
      <c r="AH309" s="44"/>
      <c r="AI309" s="44"/>
      <c r="AJ309" s="44"/>
      <c r="AK309" s="44"/>
      <c r="AL309" s="44">
        <f t="shared" si="382"/>
        <v>0</v>
      </c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>
        <f t="shared" si="383"/>
        <v>0</v>
      </c>
      <c r="BS309" s="312">
        <f t="shared" si="361"/>
        <v>0</v>
      </c>
      <c r="BT309" s="312">
        <f t="shared" si="362"/>
        <v>0</v>
      </c>
      <c r="BU309" s="312">
        <f t="shared" si="363"/>
        <v>0</v>
      </c>
      <c r="BV309" s="312">
        <f t="shared" si="364"/>
        <v>0</v>
      </c>
      <c r="BW309" s="313">
        <f t="shared" si="365"/>
        <v>0</v>
      </c>
      <c r="BX309" s="313">
        <f t="shared" si="366"/>
        <v>0</v>
      </c>
      <c r="BY309" s="313">
        <f t="shared" si="367"/>
        <v>0</v>
      </c>
      <c r="BZ309" s="313">
        <f t="shared" si="368"/>
        <v>0</v>
      </c>
      <c r="CA309" s="44"/>
      <c r="CB309" s="45">
        <f t="shared" si="384"/>
        <v>0</v>
      </c>
      <c r="CC309" s="46">
        <f t="shared" si="385"/>
        <v>0</v>
      </c>
      <c r="CD309" s="47">
        <f t="shared" si="386"/>
        <v>0</v>
      </c>
      <c r="CE309" s="62"/>
      <c r="CF309" s="237" t="e">
        <f>VLOOKUP(A309,labo!B:C,2,FALSE)</f>
        <v>#N/A</v>
      </c>
      <c r="CG309" s="106">
        <f t="shared" si="387"/>
        <v>0</v>
      </c>
      <c r="CI309" s="51"/>
      <c r="CJ309" s="51"/>
      <c r="CK309" s="251" t="e">
        <f t="shared" si="293"/>
        <v>#N/A</v>
      </c>
      <c r="CL309" s="323">
        <f t="shared" si="294"/>
        <v>0</v>
      </c>
      <c r="CM309" s="349"/>
    </row>
    <row r="310" spans="1:91">
      <c r="A310" s="77"/>
      <c r="B310" s="41" t="e">
        <f>VLOOKUP(A310,'vs mars'!B:D,3,FALSE)</f>
        <v>#N/A</v>
      </c>
      <c r="C310" s="42" t="e">
        <f>VLOOKUP(A310,'vs mars'!B:AC,28,FALSE)</f>
        <v>#N/A</v>
      </c>
      <c r="D310" s="77"/>
      <c r="E310" s="77"/>
      <c r="F310" s="43"/>
      <c r="G310" s="43"/>
      <c r="H310" s="43"/>
      <c r="I310" s="43"/>
      <c r="J310" s="44"/>
      <c r="K310" s="44"/>
      <c r="L310" s="45">
        <f t="shared" si="373"/>
        <v>0</v>
      </c>
      <c r="M310" s="45">
        <f t="shared" si="374"/>
        <v>0</v>
      </c>
      <c r="N310" s="45">
        <f t="shared" si="375"/>
        <v>0</v>
      </c>
      <c r="O310" s="45"/>
      <c r="P310" s="45"/>
      <c r="Q310" s="45"/>
      <c r="R310" s="45">
        <f t="shared" si="376"/>
        <v>0</v>
      </c>
      <c r="S310" s="45">
        <f t="shared" si="377"/>
        <v>0</v>
      </c>
      <c r="T310" s="45">
        <f t="shared" si="378"/>
        <v>0</v>
      </c>
      <c r="U310" s="45"/>
      <c r="V310" s="45"/>
      <c r="W310" s="45"/>
      <c r="X310" s="45"/>
      <c r="Y310" s="45"/>
      <c r="Z310" s="45"/>
      <c r="AA310" s="45"/>
      <c r="AB310" s="45">
        <f t="shared" si="379"/>
        <v>0</v>
      </c>
      <c r="AC310" s="45">
        <f t="shared" si="380"/>
        <v>0</v>
      </c>
      <c r="AD310" s="45">
        <f t="shared" si="381"/>
        <v>0</v>
      </c>
      <c r="AE310" s="44"/>
      <c r="AF310" s="44"/>
      <c r="AG310" s="44"/>
      <c r="AH310" s="44"/>
      <c r="AI310" s="44"/>
      <c r="AJ310" s="44"/>
      <c r="AK310" s="44"/>
      <c r="AL310" s="44">
        <f t="shared" si="382"/>
        <v>0</v>
      </c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>
        <f t="shared" si="383"/>
        <v>0</v>
      </c>
      <c r="BS310" s="312">
        <f t="shared" si="361"/>
        <v>0</v>
      </c>
      <c r="BT310" s="312">
        <f t="shared" si="362"/>
        <v>0</v>
      </c>
      <c r="BU310" s="312">
        <f t="shared" si="363"/>
        <v>0</v>
      </c>
      <c r="BV310" s="312">
        <f t="shared" si="364"/>
        <v>0</v>
      </c>
      <c r="BW310" s="313">
        <f t="shared" si="365"/>
        <v>0</v>
      </c>
      <c r="BX310" s="313">
        <f t="shared" si="366"/>
        <v>0</v>
      </c>
      <c r="BY310" s="313">
        <f t="shared" si="367"/>
        <v>0</v>
      </c>
      <c r="BZ310" s="313">
        <f t="shared" si="368"/>
        <v>0</v>
      </c>
      <c r="CA310" s="44"/>
      <c r="CB310" s="45">
        <f t="shared" si="384"/>
        <v>0</v>
      </c>
      <c r="CC310" s="46">
        <f t="shared" si="385"/>
        <v>0</v>
      </c>
      <c r="CD310" s="47">
        <f t="shared" si="386"/>
        <v>0</v>
      </c>
      <c r="CE310" s="62"/>
      <c r="CF310" s="237" t="e">
        <f>VLOOKUP(A310,labo!B:C,2,FALSE)</f>
        <v>#N/A</v>
      </c>
      <c r="CG310" s="106">
        <f t="shared" si="387"/>
        <v>0</v>
      </c>
      <c r="CI310" s="51"/>
      <c r="CJ310" s="51"/>
      <c r="CK310" s="251" t="e">
        <f t="shared" si="293"/>
        <v>#N/A</v>
      </c>
      <c r="CL310" s="323">
        <f t="shared" si="294"/>
        <v>0</v>
      </c>
      <c r="CM310" s="349"/>
    </row>
    <row r="311" spans="1:91">
      <c r="A311" s="77"/>
      <c r="B311" s="41" t="e">
        <f>VLOOKUP(A311,'vs mars'!B:D,3,FALSE)</f>
        <v>#N/A</v>
      </c>
      <c r="C311" s="42" t="e">
        <f>VLOOKUP(A311,'vs mars'!B:AC,28,FALSE)</f>
        <v>#N/A</v>
      </c>
      <c r="D311" s="77"/>
      <c r="E311" s="77"/>
      <c r="F311" s="43"/>
      <c r="G311" s="43"/>
      <c r="H311" s="43"/>
      <c r="I311" s="43"/>
      <c r="J311" s="44"/>
      <c r="K311" s="44"/>
      <c r="L311" s="45">
        <f t="shared" si="373"/>
        <v>0</v>
      </c>
      <c r="M311" s="45">
        <f t="shared" si="374"/>
        <v>0</v>
      </c>
      <c r="N311" s="45">
        <f t="shared" si="375"/>
        <v>0</v>
      </c>
      <c r="O311" s="45"/>
      <c r="P311" s="45"/>
      <c r="Q311" s="45"/>
      <c r="R311" s="45">
        <f t="shared" si="376"/>
        <v>0</v>
      </c>
      <c r="S311" s="45">
        <f t="shared" si="377"/>
        <v>0</v>
      </c>
      <c r="T311" s="45">
        <f t="shared" si="378"/>
        <v>0</v>
      </c>
      <c r="U311" s="45"/>
      <c r="V311" s="45"/>
      <c r="W311" s="45"/>
      <c r="X311" s="45"/>
      <c r="Y311" s="45"/>
      <c r="Z311" s="45"/>
      <c r="AA311" s="45"/>
      <c r="AB311" s="45">
        <f t="shared" si="379"/>
        <v>0</v>
      </c>
      <c r="AC311" s="45">
        <f t="shared" si="380"/>
        <v>0</v>
      </c>
      <c r="AD311" s="45">
        <f t="shared" si="381"/>
        <v>0</v>
      </c>
      <c r="AE311" s="44"/>
      <c r="AF311" s="44"/>
      <c r="AG311" s="44"/>
      <c r="AH311" s="44"/>
      <c r="AI311" s="44"/>
      <c r="AJ311" s="44"/>
      <c r="AK311" s="44"/>
      <c r="AL311" s="44">
        <f t="shared" si="382"/>
        <v>0</v>
      </c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>
        <f t="shared" si="383"/>
        <v>0</v>
      </c>
      <c r="BS311" s="312">
        <f t="shared" si="361"/>
        <v>0</v>
      </c>
      <c r="BT311" s="312">
        <f t="shared" si="362"/>
        <v>0</v>
      </c>
      <c r="BU311" s="312">
        <f t="shared" si="363"/>
        <v>0</v>
      </c>
      <c r="BV311" s="312">
        <f t="shared" si="364"/>
        <v>0</v>
      </c>
      <c r="BW311" s="313">
        <f t="shared" si="365"/>
        <v>0</v>
      </c>
      <c r="BX311" s="313">
        <f t="shared" si="366"/>
        <v>0</v>
      </c>
      <c r="BY311" s="313">
        <f t="shared" si="367"/>
        <v>0</v>
      </c>
      <c r="BZ311" s="313">
        <f t="shared" si="368"/>
        <v>0</v>
      </c>
      <c r="CA311" s="44"/>
      <c r="CB311" s="45">
        <f t="shared" si="384"/>
        <v>0</v>
      </c>
      <c r="CC311" s="46">
        <f t="shared" si="385"/>
        <v>0</v>
      </c>
      <c r="CD311" s="47">
        <f t="shared" si="386"/>
        <v>0</v>
      </c>
      <c r="CE311" s="62"/>
      <c r="CF311" s="237" t="e">
        <f>VLOOKUP(A311,labo!B:C,2,FALSE)</f>
        <v>#N/A</v>
      </c>
      <c r="CG311" s="106">
        <f t="shared" si="387"/>
        <v>0</v>
      </c>
      <c r="CI311" s="51"/>
      <c r="CJ311" s="51"/>
      <c r="CK311" s="251" t="e">
        <f t="shared" si="293"/>
        <v>#N/A</v>
      </c>
      <c r="CL311" s="323">
        <f t="shared" si="294"/>
        <v>0</v>
      </c>
      <c r="CM311" s="349"/>
    </row>
    <row r="312" spans="1:91">
      <c r="A312" s="77"/>
      <c r="B312" s="41" t="e">
        <f>VLOOKUP(A312,'vs mars'!B:D,3,FALSE)</f>
        <v>#N/A</v>
      </c>
      <c r="C312" s="42" t="e">
        <f>VLOOKUP(A312,'vs mars'!B:AC,28,FALSE)</f>
        <v>#N/A</v>
      </c>
      <c r="D312" s="77"/>
      <c r="E312" s="77"/>
      <c r="F312" s="43"/>
      <c r="G312" s="43"/>
      <c r="H312" s="43"/>
      <c r="I312" s="43"/>
      <c r="J312" s="44"/>
      <c r="K312" s="44"/>
      <c r="L312" s="45">
        <f t="shared" si="373"/>
        <v>0</v>
      </c>
      <c r="M312" s="45">
        <f t="shared" si="374"/>
        <v>0</v>
      </c>
      <c r="N312" s="45">
        <f t="shared" si="375"/>
        <v>0</v>
      </c>
      <c r="O312" s="45"/>
      <c r="P312" s="45"/>
      <c r="Q312" s="45"/>
      <c r="R312" s="45">
        <f t="shared" si="376"/>
        <v>0</v>
      </c>
      <c r="S312" s="45">
        <f t="shared" si="377"/>
        <v>0</v>
      </c>
      <c r="T312" s="45">
        <f t="shared" si="378"/>
        <v>0</v>
      </c>
      <c r="U312" s="45"/>
      <c r="V312" s="45"/>
      <c r="W312" s="45"/>
      <c r="X312" s="45"/>
      <c r="Y312" s="45"/>
      <c r="Z312" s="45"/>
      <c r="AA312" s="45"/>
      <c r="AB312" s="45">
        <f t="shared" si="379"/>
        <v>0</v>
      </c>
      <c r="AC312" s="45">
        <f t="shared" si="380"/>
        <v>0</v>
      </c>
      <c r="AD312" s="45">
        <f t="shared" si="381"/>
        <v>0</v>
      </c>
      <c r="AE312" s="44"/>
      <c r="AF312" s="44"/>
      <c r="AG312" s="44"/>
      <c r="AH312" s="44"/>
      <c r="AI312" s="44"/>
      <c r="AJ312" s="44"/>
      <c r="AK312" s="44"/>
      <c r="AL312" s="44">
        <f t="shared" si="382"/>
        <v>0</v>
      </c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>
        <f t="shared" si="383"/>
        <v>0</v>
      </c>
      <c r="BS312" s="312">
        <f t="shared" si="361"/>
        <v>0</v>
      </c>
      <c r="BT312" s="312">
        <f t="shared" si="362"/>
        <v>0</v>
      </c>
      <c r="BU312" s="312">
        <f t="shared" si="363"/>
        <v>0</v>
      </c>
      <c r="BV312" s="312">
        <f t="shared" si="364"/>
        <v>0</v>
      </c>
      <c r="BW312" s="313">
        <f t="shared" si="365"/>
        <v>0</v>
      </c>
      <c r="BX312" s="313">
        <f t="shared" si="366"/>
        <v>0</v>
      </c>
      <c r="BY312" s="313">
        <f t="shared" si="367"/>
        <v>0</v>
      </c>
      <c r="BZ312" s="313">
        <f t="shared" si="368"/>
        <v>0</v>
      </c>
      <c r="CA312" s="44"/>
      <c r="CB312" s="45">
        <f t="shared" si="384"/>
        <v>0</v>
      </c>
      <c r="CC312" s="46">
        <f t="shared" si="385"/>
        <v>0</v>
      </c>
      <c r="CD312" s="47">
        <f t="shared" si="386"/>
        <v>0</v>
      </c>
      <c r="CE312" s="62"/>
      <c r="CF312" s="237" t="e">
        <f>VLOOKUP(A312,labo!B:C,2,FALSE)</f>
        <v>#N/A</v>
      </c>
      <c r="CG312" s="106">
        <f t="shared" si="387"/>
        <v>0</v>
      </c>
      <c r="CI312" s="51"/>
      <c r="CJ312" s="51"/>
      <c r="CK312" s="251" t="e">
        <f t="shared" si="293"/>
        <v>#N/A</v>
      </c>
      <c r="CL312" s="323">
        <f t="shared" si="294"/>
        <v>0</v>
      </c>
      <c r="CM312" s="349"/>
    </row>
    <row r="313" spans="1:91">
      <c r="A313" s="77"/>
      <c r="B313" s="41" t="e">
        <f>VLOOKUP(A313,'vs mars'!B:D,3,FALSE)</f>
        <v>#N/A</v>
      </c>
      <c r="C313" s="42" t="e">
        <f>VLOOKUP(A313,'vs mars'!B:AC,28,FALSE)</f>
        <v>#N/A</v>
      </c>
      <c r="D313" s="77"/>
      <c r="E313" s="77"/>
      <c r="F313" s="43"/>
      <c r="G313" s="43"/>
      <c r="H313" s="43"/>
      <c r="I313" s="43"/>
      <c r="J313" s="44"/>
      <c r="K313" s="44"/>
      <c r="L313" s="45">
        <f t="shared" si="373"/>
        <v>0</v>
      </c>
      <c r="M313" s="45">
        <f t="shared" si="374"/>
        <v>0</v>
      </c>
      <c r="N313" s="45">
        <f t="shared" si="375"/>
        <v>0</v>
      </c>
      <c r="O313" s="45"/>
      <c r="P313" s="45"/>
      <c r="Q313" s="45"/>
      <c r="R313" s="45">
        <f t="shared" si="376"/>
        <v>0</v>
      </c>
      <c r="S313" s="45">
        <f t="shared" si="377"/>
        <v>0</v>
      </c>
      <c r="T313" s="45">
        <f t="shared" si="378"/>
        <v>0</v>
      </c>
      <c r="U313" s="45"/>
      <c r="V313" s="45"/>
      <c r="W313" s="45"/>
      <c r="X313" s="45"/>
      <c r="Y313" s="45"/>
      <c r="Z313" s="45"/>
      <c r="AA313" s="45"/>
      <c r="AB313" s="45">
        <f t="shared" si="379"/>
        <v>0</v>
      </c>
      <c r="AC313" s="45">
        <f t="shared" si="380"/>
        <v>0</v>
      </c>
      <c r="AD313" s="45">
        <f t="shared" si="381"/>
        <v>0</v>
      </c>
      <c r="AE313" s="44"/>
      <c r="AF313" s="44"/>
      <c r="AG313" s="44"/>
      <c r="AH313" s="44"/>
      <c r="AI313" s="44"/>
      <c r="AJ313" s="44"/>
      <c r="AK313" s="44"/>
      <c r="AL313" s="44">
        <f t="shared" si="382"/>
        <v>0</v>
      </c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>
        <f t="shared" si="383"/>
        <v>0</v>
      </c>
      <c r="BS313" s="312">
        <f t="shared" si="361"/>
        <v>0</v>
      </c>
      <c r="BT313" s="312">
        <f t="shared" si="362"/>
        <v>0</v>
      </c>
      <c r="BU313" s="312">
        <f t="shared" si="363"/>
        <v>0</v>
      </c>
      <c r="BV313" s="312">
        <f t="shared" si="364"/>
        <v>0</v>
      </c>
      <c r="BW313" s="313">
        <f t="shared" si="365"/>
        <v>0</v>
      </c>
      <c r="BX313" s="313">
        <f t="shared" si="366"/>
        <v>0</v>
      </c>
      <c r="BY313" s="313">
        <f t="shared" si="367"/>
        <v>0</v>
      </c>
      <c r="BZ313" s="313">
        <f t="shared" si="368"/>
        <v>0</v>
      </c>
      <c r="CA313" s="44"/>
      <c r="CB313" s="45">
        <f t="shared" si="384"/>
        <v>0</v>
      </c>
      <c r="CC313" s="46">
        <f t="shared" si="385"/>
        <v>0</v>
      </c>
      <c r="CD313" s="47">
        <f t="shared" si="386"/>
        <v>0</v>
      </c>
      <c r="CE313" s="62"/>
      <c r="CF313" s="237" t="e">
        <f>VLOOKUP(A313,labo!B:C,2,FALSE)</f>
        <v>#N/A</v>
      </c>
      <c r="CG313" s="106">
        <f t="shared" si="387"/>
        <v>0</v>
      </c>
      <c r="CI313" s="51"/>
      <c r="CJ313" s="51"/>
      <c r="CK313" s="251" t="e">
        <f t="shared" si="293"/>
        <v>#N/A</v>
      </c>
      <c r="CL313" s="323">
        <f t="shared" si="294"/>
        <v>0</v>
      </c>
      <c r="CM313" s="349"/>
    </row>
    <row r="314" spans="1:91">
      <c r="A314" s="77"/>
      <c r="B314" s="41" t="e">
        <f>VLOOKUP(A314,'vs mars'!B:D,3,FALSE)</f>
        <v>#N/A</v>
      </c>
      <c r="C314" s="42" t="e">
        <f>VLOOKUP(A314,'vs mars'!B:AC,28,FALSE)</f>
        <v>#N/A</v>
      </c>
      <c r="D314" s="77"/>
      <c r="E314" s="77"/>
      <c r="F314" s="43"/>
      <c r="G314" s="43"/>
      <c r="H314" s="43"/>
      <c r="I314" s="43"/>
      <c r="J314" s="44"/>
      <c r="K314" s="44"/>
      <c r="L314" s="45">
        <f t="shared" si="373"/>
        <v>0</v>
      </c>
      <c r="M314" s="45">
        <f t="shared" si="374"/>
        <v>0</v>
      </c>
      <c r="N314" s="45">
        <f t="shared" si="375"/>
        <v>0</v>
      </c>
      <c r="O314" s="45"/>
      <c r="P314" s="45"/>
      <c r="Q314" s="45"/>
      <c r="R314" s="45">
        <f t="shared" si="376"/>
        <v>0</v>
      </c>
      <c r="S314" s="45">
        <f t="shared" si="377"/>
        <v>0</v>
      </c>
      <c r="T314" s="45">
        <f t="shared" si="378"/>
        <v>0</v>
      </c>
      <c r="U314" s="45"/>
      <c r="V314" s="45"/>
      <c r="W314" s="45"/>
      <c r="X314" s="45"/>
      <c r="Y314" s="45"/>
      <c r="Z314" s="45"/>
      <c r="AA314" s="45"/>
      <c r="AB314" s="45">
        <f t="shared" si="379"/>
        <v>0</v>
      </c>
      <c r="AC314" s="45">
        <f t="shared" si="380"/>
        <v>0</v>
      </c>
      <c r="AD314" s="45">
        <f t="shared" si="381"/>
        <v>0</v>
      </c>
      <c r="AE314" s="44"/>
      <c r="AF314" s="44"/>
      <c r="AG314" s="44"/>
      <c r="AH314" s="44"/>
      <c r="AI314" s="44"/>
      <c r="AJ314" s="44"/>
      <c r="AK314" s="44"/>
      <c r="AL314" s="44">
        <f t="shared" si="382"/>
        <v>0</v>
      </c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>
        <f t="shared" si="383"/>
        <v>0</v>
      </c>
      <c r="BS314" s="312">
        <f t="shared" si="361"/>
        <v>0</v>
      </c>
      <c r="BT314" s="312">
        <f t="shared" si="362"/>
        <v>0</v>
      </c>
      <c r="BU314" s="312">
        <f t="shared" si="363"/>
        <v>0</v>
      </c>
      <c r="BV314" s="312">
        <f t="shared" si="364"/>
        <v>0</v>
      </c>
      <c r="BW314" s="313">
        <f t="shared" ref="BW314:BW321" si="388">CI314*0.1</f>
        <v>0</v>
      </c>
      <c r="BX314" s="313">
        <f t="shared" ref="BX314:BX321" si="389">CI314*0.18</f>
        <v>0</v>
      </c>
      <c r="BY314" s="313">
        <f t="shared" ref="BY314:BY321" si="390">CI314*0.18</f>
        <v>0</v>
      </c>
      <c r="BZ314" s="313">
        <f t="shared" ref="BZ314:BZ321" si="391">CI314*0.54</f>
        <v>0</v>
      </c>
      <c r="CA314" s="44"/>
      <c r="CB314" s="45">
        <f t="shared" si="384"/>
        <v>0</v>
      </c>
      <c r="CC314" s="46">
        <f t="shared" si="385"/>
        <v>0</v>
      </c>
      <c r="CD314" s="47">
        <f t="shared" si="386"/>
        <v>0</v>
      </c>
      <c r="CE314" s="62"/>
      <c r="CF314" s="237" t="e">
        <f>VLOOKUP(A314,labo!B:C,2,FALSE)</f>
        <v>#N/A</v>
      </c>
      <c r="CG314" s="106">
        <f t="shared" si="387"/>
        <v>0</v>
      </c>
      <c r="CI314" s="51"/>
      <c r="CJ314" s="51"/>
      <c r="CK314" s="251" t="e">
        <f t="shared" si="293"/>
        <v>#N/A</v>
      </c>
      <c r="CL314" s="323">
        <f t="shared" si="294"/>
        <v>0</v>
      </c>
      <c r="CM314" s="349"/>
    </row>
    <row r="315" spans="1:91">
      <c r="A315" s="77"/>
      <c r="B315" s="41" t="e">
        <f>VLOOKUP(A315,'vs mars'!B:D,3,FALSE)</f>
        <v>#N/A</v>
      </c>
      <c r="C315" s="42" t="e">
        <f>VLOOKUP(A315,'vs mars'!B:AC,28,FALSE)</f>
        <v>#N/A</v>
      </c>
      <c r="D315" s="77"/>
      <c r="E315" s="77"/>
      <c r="F315" s="43"/>
      <c r="G315" s="43"/>
      <c r="H315" s="43"/>
      <c r="I315" s="43"/>
      <c r="J315" s="44"/>
      <c r="K315" s="44"/>
      <c r="L315" s="45">
        <f t="shared" si="373"/>
        <v>0</v>
      </c>
      <c r="M315" s="45">
        <f t="shared" si="374"/>
        <v>0</v>
      </c>
      <c r="N315" s="45">
        <f t="shared" si="375"/>
        <v>0</v>
      </c>
      <c r="O315" s="45"/>
      <c r="P315" s="45"/>
      <c r="Q315" s="45"/>
      <c r="R315" s="45">
        <f t="shared" si="376"/>
        <v>0</v>
      </c>
      <c r="S315" s="45">
        <f t="shared" si="377"/>
        <v>0</v>
      </c>
      <c r="T315" s="45">
        <f t="shared" si="378"/>
        <v>0</v>
      </c>
      <c r="U315" s="45"/>
      <c r="V315" s="45"/>
      <c r="W315" s="45"/>
      <c r="X315" s="45"/>
      <c r="Y315" s="45"/>
      <c r="Z315" s="45"/>
      <c r="AA315" s="45"/>
      <c r="AB315" s="45">
        <f t="shared" si="379"/>
        <v>0</v>
      </c>
      <c r="AC315" s="45">
        <f t="shared" si="380"/>
        <v>0</v>
      </c>
      <c r="AD315" s="45">
        <f t="shared" si="381"/>
        <v>0</v>
      </c>
      <c r="AE315" s="44"/>
      <c r="AF315" s="44"/>
      <c r="AG315" s="44"/>
      <c r="AH315" s="44"/>
      <c r="AI315" s="44"/>
      <c r="AJ315" s="44"/>
      <c r="AK315" s="44"/>
      <c r="AL315" s="44">
        <f t="shared" si="382"/>
        <v>0</v>
      </c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>
        <f t="shared" si="383"/>
        <v>0</v>
      </c>
      <c r="BS315" s="312">
        <f t="shared" si="361"/>
        <v>0</v>
      </c>
      <c r="BT315" s="312">
        <f t="shared" si="362"/>
        <v>0</v>
      </c>
      <c r="BU315" s="312">
        <f t="shared" si="363"/>
        <v>0</v>
      </c>
      <c r="BV315" s="312">
        <f t="shared" si="364"/>
        <v>0</v>
      </c>
      <c r="BW315" s="313">
        <f t="shared" si="388"/>
        <v>0</v>
      </c>
      <c r="BX315" s="313">
        <f t="shared" si="389"/>
        <v>0</v>
      </c>
      <c r="BY315" s="313">
        <f t="shared" si="390"/>
        <v>0</v>
      </c>
      <c r="BZ315" s="313">
        <f t="shared" si="391"/>
        <v>0</v>
      </c>
      <c r="CA315" s="44"/>
      <c r="CB315" s="45">
        <f t="shared" si="384"/>
        <v>0</v>
      </c>
      <c r="CC315" s="46">
        <f t="shared" si="385"/>
        <v>0</v>
      </c>
      <c r="CD315" s="47">
        <f t="shared" si="386"/>
        <v>0</v>
      </c>
      <c r="CE315" s="62"/>
      <c r="CF315" s="237" t="e">
        <f>VLOOKUP(A315,labo!B:C,2,FALSE)</f>
        <v>#N/A</v>
      </c>
      <c r="CG315" s="106">
        <f t="shared" si="387"/>
        <v>0</v>
      </c>
      <c r="CI315" s="51"/>
      <c r="CJ315" s="51"/>
      <c r="CK315" s="251" t="e">
        <f t="shared" si="293"/>
        <v>#N/A</v>
      </c>
      <c r="CL315" s="323">
        <f t="shared" si="294"/>
        <v>0</v>
      </c>
      <c r="CM315" s="349"/>
    </row>
    <row r="316" spans="1:91">
      <c r="A316" s="77"/>
      <c r="B316" s="41" t="e">
        <f>VLOOKUP(A316,'vs mars'!B:D,3,FALSE)</f>
        <v>#N/A</v>
      </c>
      <c r="C316" s="42" t="e">
        <f>VLOOKUP(A316,'vs mars'!B:AC,28,FALSE)</f>
        <v>#N/A</v>
      </c>
      <c r="D316" s="77"/>
      <c r="E316" s="77"/>
      <c r="F316" s="43"/>
      <c r="G316" s="43"/>
      <c r="H316" s="43"/>
      <c r="I316" s="43"/>
      <c r="J316" s="44"/>
      <c r="K316" s="44"/>
      <c r="L316" s="45">
        <f t="shared" si="373"/>
        <v>0</v>
      </c>
      <c r="M316" s="45">
        <f t="shared" si="374"/>
        <v>0</v>
      </c>
      <c r="N316" s="45">
        <f t="shared" si="375"/>
        <v>0</v>
      </c>
      <c r="O316" s="45"/>
      <c r="P316" s="45"/>
      <c r="Q316" s="45"/>
      <c r="R316" s="45">
        <f t="shared" si="376"/>
        <v>0</v>
      </c>
      <c r="S316" s="45">
        <f t="shared" si="377"/>
        <v>0</v>
      </c>
      <c r="T316" s="45">
        <f t="shared" si="378"/>
        <v>0</v>
      </c>
      <c r="U316" s="45"/>
      <c r="V316" s="45"/>
      <c r="W316" s="45"/>
      <c r="X316" s="45"/>
      <c r="Y316" s="45"/>
      <c r="Z316" s="45"/>
      <c r="AA316" s="45"/>
      <c r="AB316" s="45">
        <f t="shared" si="379"/>
        <v>0</v>
      </c>
      <c r="AC316" s="45">
        <f t="shared" si="380"/>
        <v>0</v>
      </c>
      <c r="AD316" s="45">
        <f t="shared" si="381"/>
        <v>0</v>
      </c>
      <c r="AE316" s="44"/>
      <c r="AF316" s="44"/>
      <c r="AG316" s="44"/>
      <c r="AH316" s="44"/>
      <c r="AI316" s="44"/>
      <c r="AJ316" s="44"/>
      <c r="AK316" s="44"/>
      <c r="AL316" s="44">
        <f t="shared" si="382"/>
        <v>0</v>
      </c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>
        <f t="shared" si="383"/>
        <v>0</v>
      </c>
      <c r="BS316" s="312">
        <f t="shared" si="361"/>
        <v>0</v>
      </c>
      <c r="BT316" s="312">
        <f t="shared" si="362"/>
        <v>0</v>
      </c>
      <c r="BU316" s="312">
        <f t="shared" si="363"/>
        <v>0</v>
      </c>
      <c r="BV316" s="312">
        <f t="shared" si="364"/>
        <v>0</v>
      </c>
      <c r="BW316" s="313">
        <f t="shared" si="388"/>
        <v>0</v>
      </c>
      <c r="BX316" s="313">
        <f t="shared" si="389"/>
        <v>0</v>
      </c>
      <c r="BY316" s="313">
        <f t="shared" si="390"/>
        <v>0</v>
      </c>
      <c r="BZ316" s="313">
        <f t="shared" si="391"/>
        <v>0</v>
      </c>
      <c r="CA316" s="44"/>
      <c r="CB316" s="45">
        <f t="shared" si="384"/>
        <v>0</v>
      </c>
      <c r="CC316" s="46">
        <f t="shared" si="385"/>
        <v>0</v>
      </c>
      <c r="CD316" s="47">
        <f t="shared" si="386"/>
        <v>0</v>
      </c>
      <c r="CE316" s="62"/>
      <c r="CF316" s="237" t="e">
        <f>VLOOKUP(A316,labo!B:C,2,FALSE)</f>
        <v>#N/A</v>
      </c>
      <c r="CG316" s="106">
        <f t="shared" si="387"/>
        <v>0</v>
      </c>
      <c r="CI316" s="51"/>
      <c r="CJ316" s="51"/>
      <c r="CK316" s="251" t="e">
        <f t="shared" si="293"/>
        <v>#N/A</v>
      </c>
      <c r="CL316" s="323">
        <f t="shared" si="294"/>
        <v>0</v>
      </c>
      <c r="CM316" s="349"/>
    </row>
    <row r="317" spans="1:91">
      <c r="A317" s="77"/>
      <c r="B317" s="41" t="e">
        <f>VLOOKUP(A317,'vs mars'!B:D,3,FALSE)</f>
        <v>#N/A</v>
      </c>
      <c r="C317" s="42" t="e">
        <f>VLOOKUP(A317,'vs mars'!B:AC,28,FALSE)</f>
        <v>#N/A</v>
      </c>
      <c r="D317" s="77"/>
      <c r="E317" s="77"/>
      <c r="F317" s="43"/>
      <c r="G317" s="43"/>
      <c r="H317" s="43"/>
      <c r="I317" s="43"/>
      <c r="J317" s="44"/>
      <c r="K317" s="44"/>
      <c r="L317" s="45">
        <f t="shared" si="373"/>
        <v>0</v>
      </c>
      <c r="M317" s="45">
        <f t="shared" si="374"/>
        <v>0</v>
      </c>
      <c r="N317" s="45">
        <f t="shared" si="375"/>
        <v>0</v>
      </c>
      <c r="O317" s="45"/>
      <c r="P317" s="45"/>
      <c r="Q317" s="45"/>
      <c r="R317" s="45">
        <f t="shared" si="376"/>
        <v>0</v>
      </c>
      <c r="S317" s="45">
        <f t="shared" si="377"/>
        <v>0</v>
      </c>
      <c r="T317" s="45">
        <f t="shared" si="378"/>
        <v>0</v>
      </c>
      <c r="U317" s="45"/>
      <c r="V317" s="45"/>
      <c r="W317" s="45"/>
      <c r="X317" s="45"/>
      <c r="Y317" s="45"/>
      <c r="Z317" s="45"/>
      <c r="AA317" s="45"/>
      <c r="AB317" s="45">
        <f t="shared" si="379"/>
        <v>0</v>
      </c>
      <c r="AC317" s="45">
        <f t="shared" si="380"/>
        <v>0</v>
      </c>
      <c r="AD317" s="45">
        <f t="shared" si="381"/>
        <v>0</v>
      </c>
      <c r="AE317" s="44"/>
      <c r="AF317" s="44"/>
      <c r="AG317" s="44"/>
      <c r="AH317" s="44"/>
      <c r="AI317" s="44"/>
      <c r="AJ317" s="44"/>
      <c r="AK317" s="44"/>
      <c r="AL317" s="44">
        <f t="shared" si="382"/>
        <v>0</v>
      </c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>
        <f t="shared" si="383"/>
        <v>0</v>
      </c>
      <c r="BS317" s="312">
        <f t="shared" si="361"/>
        <v>0</v>
      </c>
      <c r="BT317" s="312">
        <f t="shared" si="362"/>
        <v>0</v>
      </c>
      <c r="BU317" s="312">
        <f t="shared" si="363"/>
        <v>0</v>
      </c>
      <c r="BV317" s="312">
        <f t="shared" si="364"/>
        <v>0</v>
      </c>
      <c r="BW317" s="313">
        <f t="shared" si="388"/>
        <v>0</v>
      </c>
      <c r="BX317" s="313">
        <f t="shared" si="389"/>
        <v>0</v>
      </c>
      <c r="BY317" s="313">
        <f t="shared" si="390"/>
        <v>0</v>
      </c>
      <c r="BZ317" s="313">
        <f t="shared" si="391"/>
        <v>0</v>
      </c>
      <c r="CA317" s="44"/>
      <c r="CB317" s="45">
        <f t="shared" si="384"/>
        <v>0</v>
      </c>
      <c r="CC317" s="46">
        <f t="shared" si="385"/>
        <v>0</v>
      </c>
      <c r="CD317" s="47">
        <f t="shared" si="386"/>
        <v>0</v>
      </c>
      <c r="CE317" s="62"/>
      <c r="CF317" s="237" t="e">
        <f>VLOOKUP(A317,labo!B:C,2,FALSE)</f>
        <v>#N/A</v>
      </c>
      <c r="CG317" s="106">
        <f t="shared" si="387"/>
        <v>0</v>
      </c>
      <c r="CI317" s="51"/>
      <c r="CJ317" s="51"/>
      <c r="CK317" s="251" t="e">
        <f t="shared" si="293"/>
        <v>#N/A</v>
      </c>
      <c r="CL317" s="323">
        <f t="shared" si="294"/>
        <v>0</v>
      </c>
      <c r="CM317" s="349"/>
    </row>
    <row r="318" spans="1:91">
      <c r="A318" s="77"/>
      <c r="B318" s="41" t="e">
        <f>VLOOKUP(A318,'vs mars'!B:D,3,FALSE)</f>
        <v>#N/A</v>
      </c>
      <c r="C318" s="42" t="e">
        <f>VLOOKUP(A318,'vs mars'!B:AC,28,FALSE)</f>
        <v>#N/A</v>
      </c>
      <c r="D318" s="77"/>
      <c r="E318" s="77"/>
      <c r="F318" s="43"/>
      <c r="G318" s="43"/>
      <c r="H318" s="43"/>
      <c r="I318" s="43"/>
      <c r="J318" s="44"/>
      <c r="K318" s="44"/>
      <c r="L318" s="45">
        <f t="shared" si="373"/>
        <v>0</v>
      </c>
      <c r="M318" s="45">
        <f t="shared" si="374"/>
        <v>0</v>
      </c>
      <c r="N318" s="45">
        <f t="shared" si="375"/>
        <v>0</v>
      </c>
      <c r="O318" s="45"/>
      <c r="P318" s="45"/>
      <c r="Q318" s="45"/>
      <c r="R318" s="45">
        <f t="shared" si="376"/>
        <v>0</v>
      </c>
      <c r="S318" s="45">
        <f t="shared" si="377"/>
        <v>0</v>
      </c>
      <c r="T318" s="45">
        <f t="shared" si="378"/>
        <v>0</v>
      </c>
      <c r="U318" s="45"/>
      <c r="V318" s="45"/>
      <c r="W318" s="45"/>
      <c r="X318" s="45"/>
      <c r="Y318" s="45"/>
      <c r="Z318" s="45"/>
      <c r="AA318" s="45"/>
      <c r="AB318" s="45">
        <f t="shared" si="379"/>
        <v>0</v>
      </c>
      <c r="AC318" s="45">
        <f t="shared" si="380"/>
        <v>0</v>
      </c>
      <c r="AD318" s="45">
        <f t="shared" si="381"/>
        <v>0</v>
      </c>
      <c r="AE318" s="44"/>
      <c r="AF318" s="44"/>
      <c r="AG318" s="44"/>
      <c r="AH318" s="44"/>
      <c r="AI318" s="44"/>
      <c r="AJ318" s="44"/>
      <c r="AK318" s="44"/>
      <c r="AL318" s="44">
        <f t="shared" si="382"/>
        <v>0</v>
      </c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>
        <f t="shared" si="383"/>
        <v>0</v>
      </c>
      <c r="BS318" s="312">
        <f t="shared" si="361"/>
        <v>0</v>
      </c>
      <c r="BT318" s="312">
        <f t="shared" si="362"/>
        <v>0</v>
      </c>
      <c r="BU318" s="312">
        <f t="shared" si="363"/>
        <v>0</v>
      </c>
      <c r="BV318" s="312">
        <f t="shared" si="364"/>
        <v>0</v>
      </c>
      <c r="BW318" s="313">
        <f t="shared" si="388"/>
        <v>0</v>
      </c>
      <c r="BX318" s="313">
        <f t="shared" si="389"/>
        <v>0</v>
      </c>
      <c r="BY318" s="313">
        <f t="shared" si="390"/>
        <v>0</v>
      </c>
      <c r="BZ318" s="313">
        <f t="shared" si="391"/>
        <v>0</v>
      </c>
      <c r="CA318" s="44"/>
      <c r="CB318" s="45">
        <f t="shared" si="384"/>
        <v>0</v>
      </c>
      <c r="CC318" s="46">
        <f t="shared" si="385"/>
        <v>0</v>
      </c>
      <c r="CD318" s="47">
        <f t="shared" si="386"/>
        <v>0</v>
      </c>
      <c r="CE318" s="62"/>
      <c r="CF318" s="237" t="e">
        <f>VLOOKUP(A318,labo!B:C,2,FALSE)</f>
        <v>#N/A</v>
      </c>
      <c r="CG318" s="106">
        <f t="shared" si="387"/>
        <v>0</v>
      </c>
      <c r="CI318" s="51"/>
      <c r="CJ318" s="51"/>
      <c r="CK318" s="251" t="e">
        <f t="shared" si="293"/>
        <v>#N/A</v>
      </c>
      <c r="CL318" s="323">
        <f t="shared" si="294"/>
        <v>0</v>
      </c>
      <c r="CM318" s="349"/>
    </row>
    <row r="319" spans="1:91">
      <c r="A319" s="77"/>
      <c r="B319" s="41" t="e">
        <f>VLOOKUP(A319,'vs mars'!B:D,3,FALSE)</f>
        <v>#N/A</v>
      </c>
      <c r="C319" s="42" t="e">
        <f>VLOOKUP(A319,'vs mars'!B:AC,28,FALSE)</f>
        <v>#N/A</v>
      </c>
      <c r="D319" s="77"/>
      <c r="E319" s="77"/>
      <c r="F319" s="43"/>
      <c r="G319" s="43"/>
      <c r="H319" s="43"/>
      <c r="I319" s="43"/>
      <c r="J319" s="44"/>
      <c r="K319" s="44"/>
      <c r="L319" s="45">
        <f t="shared" si="373"/>
        <v>0</v>
      </c>
      <c r="M319" s="45">
        <f t="shared" si="374"/>
        <v>0</v>
      </c>
      <c r="N319" s="45">
        <f t="shared" si="375"/>
        <v>0</v>
      </c>
      <c r="O319" s="45"/>
      <c r="P319" s="45"/>
      <c r="Q319" s="45"/>
      <c r="R319" s="45">
        <f t="shared" si="376"/>
        <v>0</v>
      </c>
      <c r="S319" s="45">
        <f t="shared" si="377"/>
        <v>0</v>
      </c>
      <c r="T319" s="45">
        <f t="shared" si="378"/>
        <v>0</v>
      </c>
      <c r="U319" s="45"/>
      <c r="V319" s="45"/>
      <c r="W319" s="45"/>
      <c r="X319" s="45"/>
      <c r="Y319" s="45"/>
      <c r="Z319" s="45"/>
      <c r="AA319" s="45"/>
      <c r="AB319" s="45">
        <f t="shared" si="379"/>
        <v>0</v>
      </c>
      <c r="AC319" s="45">
        <f t="shared" si="380"/>
        <v>0</v>
      </c>
      <c r="AD319" s="45">
        <f t="shared" si="381"/>
        <v>0</v>
      </c>
      <c r="AE319" s="44"/>
      <c r="AF319" s="44"/>
      <c r="AG319" s="44"/>
      <c r="AH319" s="44"/>
      <c r="AI319" s="44"/>
      <c r="AJ319" s="44"/>
      <c r="AK319" s="44"/>
      <c r="AL319" s="44">
        <f t="shared" si="382"/>
        <v>0</v>
      </c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>
        <f t="shared" si="383"/>
        <v>0</v>
      </c>
      <c r="BS319" s="312">
        <f t="shared" si="361"/>
        <v>0</v>
      </c>
      <c r="BT319" s="312">
        <f t="shared" si="362"/>
        <v>0</v>
      </c>
      <c r="BU319" s="312">
        <f t="shared" si="363"/>
        <v>0</v>
      </c>
      <c r="BV319" s="312">
        <f t="shared" si="364"/>
        <v>0</v>
      </c>
      <c r="BW319" s="313">
        <f t="shared" si="388"/>
        <v>0</v>
      </c>
      <c r="BX319" s="313">
        <f t="shared" si="389"/>
        <v>0</v>
      </c>
      <c r="BY319" s="313">
        <f t="shared" si="390"/>
        <v>0</v>
      </c>
      <c r="BZ319" s="313">
        <f t="shared" si="391"/>
        <v>0</v>
      </c>
      <c r="CA319" s="44"/>
      <c r="CB319" s="45">
        <f t="shared" si="384"/>
        <v>0</v>
      </c>
      <c r="CC319" s="46">
        <f t="shared" si="385"/>
        <v>0</v>
      </c>
      <c r="CD319" s="47">
        <f t="shared" si="386"/>
        <v>0</v>
      </c>
      <c r="CE319" s="62"/>
      <c r="CF319" s="237" t="e">
        <f>VLOOKUP(A319,labo!B:C,2,FALSE)</f>
        <v>#N/A</v>
      </c>
      <c r="CG319" s="106">
        <f t="shared" si="387"/>
        <v>0</v>
      </c>
      <c r="CI319" s="51"/>
      <c r="CJ319" s="51"/>
      <c r="CK319" s="251" t="e">
        <f t="shared" si="293"/>
        <v>#N/A</v>
      </c>
      <c r="CL319" s="323">
        <f t="shared" si="294"/>
        <v>0</v>
      </c>
      <c r="CM319" s="349"/>
    </row>
    <row r="320" spans="1:91">
      <c r="A320" s="77"/>
      <c r="B320" s="41" t="e">
        <f>VLOOKUP(A320,'vs mars'!B:D,3,FALSE)</f>
        <v>#N/A</v>
      </c>
      <c r="C320" s="42" t="e">
        <f>VLOOKUP(A320,'vs mars'!B:AC,28,FALSE)</f>
        <v>#N/A</v>
      </c>
      <c r="D320" s="77"/>
      <c r="E320" s="77"/>
      <c r="F320" s="43"/>
      <c r="G320" s="43"/>
      <c r="H320" s="43"/>
      <c r="I320" s="43"/>
      <c r="J320" s="44"/>
      <c r="K320" s="44"/>
      <c r="L320" s="45">
        <f t="shared" si="373"/>
        <v>0</v>
      </c>
      <c r="M320" s="45">
        <f t="shared" si="374"/>
        <v>0</v>
      </c>
      <c r="N320" s="45">
        <f t="shared" si="375"/>
        <v>0</v>
      </c>
      <c r="O320" s="45"/>
      <c r="P320" s="45"/>
      <c r="Q320" s="45"/>
      <c r="R320" s="45">
        <f t="shared" si="376"/>
        <v>0</v>
      </c>
      <c r="S320" s="45">
        <f t="shared" si="377"/>
        <v>0</v>
      </c>
      <c r="T320" s="45">
        <f t="shared" si="378"/>
        <v>0</v>
      </c>
      <c r="U320" s="45"/>
      <c r="V320" s="45"/>
      <c r="W320" s="45"/>
      <c r="X320" s="45"/>
      <c r="Y320" s="45"/>
      <c r="Z320" s="45"/>
      <c r="AA320" s="45"/>
      <c r="AB320" s="45">
        <f t="shared" si="379"/>
        <v>0</v>
      </c>
      <c r="AC320" s="45">
        <f t="shared" si="380"/>
        <v>0</v>
      </c>
      <c r="AD320" s="45">
        <f t="shared" si="381"/>
        <v>0</v>
      </c>
      <c r="AE320" s="44"/>
      <c r="AF320" s="44"/>
      <c r="AG320" s="44"/>
      <c r="AH320" s="44"/>
      <c r="AI320" s="44"/>
      <c r="AJ320" s="44"/>
      <c r="AK320" s="44"/>
      <c r="AL320" s="44">
        <f t="shared" si="382"/>
        <v>0</v>
      </c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>
        <f t="shared" si="383"/>
        <v>0</v>
      </c>
      <c r="BS320" s="312">
        <f t="shared" si="361"/>
        <v>0</v>
      </c>
      <c r="BT320" s="312">
        <f t="shared" si="362"/>
        <v>0</v>
      </c>
      <c r="BU320" s="312">
        <f t="shared" si="363"/>
        <v>0</v>
      </c>
      <c r="BV320" s="312">
        <f t="shared" si="364"/>
        <v>0</v>
      </c>
      <c r="BW320" s="313">
        <f t="shared" si="388"/>
        <v>0</v>
      </c>
      <c r="BX320" s="313">
        <f t="shared" si="389"/>
        <v>0</v>
      </c>
      <c r="BY320" s="313">
        <f t="shared" si="390"/>
        <v>0</v>
      </c>
      <c r="BZ320" s="313">
        <f t="shared" si="391"/>
        <v>0</v>
      </c>
      <c r="CA320" s="44"/>
      <c r="CB320" s="45">
        <f t="shared" si="384"/>
        <v>0</v>
      </c>
      <c r="CC320" s="46">
        <f t="shared" si="385"/>
        <v>0</v>
      </c>
      <c r="CD320" s="47">
        <f t="shared" si="386"/>
        <v>0</v>
      </c>
      <c r="CE320" s="62"/>
      <c r="CF320" s="237" t="e">
        <f>VLOOKUP(A320,labo!B:C,2,FALSE)</f>
        <v>#N/A</v>
      </c>
      <c r="CG320" s="106">
        <f t="shared" si="387"/>
        <v>0</v>
      </c>
      <c r="CI320" s="51"/>
      <c r="CJ320" s="51"/>
      <c r="CK320" s="251" t="e">
        <f t="shared" ref="CK320:CK343" si="392">+B320</f>
        <v>#N/A</v>
      </c>
      <c r="CL320" s="323">
        <f t="shared" ref="CL320:CL343" si="393">CE320</f>
        <v>0</v>
      </c>
      <c r="CM320" s="349"/>
    </row>
    <row r="321" spans="1:91">
      <c r="A321" s="77"/>
      <c r="B321" s="41" t="e">
        <f>VLOOKUP(A321,'vs mars'!B:D,3,FALSE)</f>
        <v>#N/A</v>
      </c>
      <c r="C321" s="42" t="e">
        <f>VLOOKUP(A321,'vs mars'!B:AC,28,FALSE)</f>
        <v>#N/A</v>
      </c>
      <c r="D321" s="77"/>
      <c r="E321" s="77"/>
      <c r="F321" s="43"/>
      <c r="G321" s="43"/>
      <c r="H321" s="43"/>
      <c r="I321" s="43"/>
      <c r="J321" s="44"/>
      <c r="K321" s="44"/>
      <c r="L321" s="45">
        <f t="shared" si="373"/>
        <v>0</v>
      </c>
      <c r="M321" s="45">
        <f t="shared" si="374"/>
        <v>0</v>
      </c>
      <c r="N321" s="45">
        <f t="shared" si="375"/>
        <v>0</v>
      </c>
      <c r="O321" s="45"/>
      <c r="P321" s="45"/>
      <c r="Q321" s="45"/>
      <c r="R321" s="45">
        <f t="shared" si="376"/>
        <v>0</v>
      </c>
      <c r="S321" s="45">
        <f t="shared" si="377"/>
        <v>0</v>
      </c>
      <c r="T321" s="45">
        <f t="shared" si="378"/>
        <v>0</v>
      </c>
      <c r="U321" s="45"/>
      <c r="V321" s="45"/>
      <c r="W321" s="45"/>
      <c r="X321" s="45"/>
      <c r="Y321" s="45"/>
      <c r="Z321" s="45"/>
      <c r="AA321" s="45"/>
      <c r="AB321" s="45">
        <f t="shared" si="379"/>
        <v>0</v>
      </c>
      <c r="AC321" s="45">
        <f t="shared" si="380"/>
        <v>0</v>
      </c>
      <c r="AD321" s="45">
        <f t="shared" si="381"/>
        <v>0</v>
      </c>
      <c r="AE321" s="44"/>
      <c r="AF321" s="44"/>
      <c r="AG321" s="44"/>
      <c r="AH321" s="44"/>
      <c r="AI321" s="44"/>
      <c r="AJ321" s="44"/>
      <c r="AK321" s="44"/>
      <c r="AL321" s="44">
        <f t="shared" si="382"/>
        <v>0</v>
      </c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>
        <f t="shared" si="383"/>
        <v>0</v>
      </c>
      <c r="BS321" s="312">
        <f t="shared" si="361"/>
        <v>0</v>
      </c>
      <c r="BT321" s="312">
        <f t="shared" si="362"/>
        <v>0</v>
      </c>
      <c r="BU321" s="312">
        <f t="shared" si="363"/>
        <v>0</v>
      </c>
      <c r="BV321" s="312">
        <f t="shared" si="364"/>
        <v>0</v>
      </c>
      <c r="BW321" s="313">
        <f t="shared" si="388"/>
        <v>0</v>
      </c>
      <c r="BX321" s="313">
        <f t="shared" si="389"/>
        <v>0</v>
      </c>
      <c r="BY321" s="313">
        <f t="shared" si="390"/>
        <v>0</v>
      </c>
      <c r="BZ321" s="313">
        <f t="shared" si="391"/>
        <v>0</v>
      </c>
      <c r="CA321" s="44"/>
      <c r="CB321" s="45">
        <f t="shared" si="384"/>
        <v>0</v>
      </c>
      <c r="CC321" s="46">
        <f t="shared" si="385"/>
        <v>0</v>
      </c>
      <c r="CD321" s="47">
        <f t="shared" si="386"/>
        <v>0</v>
      </c>
      <c r="CE321" s="62"/>
      <c r="CF321" s="237" t="e">
        <f>VLOOKUP(A321,labo!B:C,2,FALSE)</f>
        <v>#N/A</v>
      </c>
      <c r="CG321" s="106">
        <f t="shared" si="387"/>
        <v>0</v>
      </c>
      <c r="CI321" s="51"/>
      <c r="CJ321" s="51"/>
      <c r="CK321" s="251" t="e">
        <f t="shared" si="392"/>
        <v>#N/A</v>
      </c>
      <c r="CL321" s="323">
        <f t="shared" si="393"/>
        <v>0</v>
      </c>
      <c r="CM321" s="349"/>
    </row>
    <row r="322" spans="1:91">
      <c r="A322" s="77"/>
      <c r="B322" s="41" t="e">
        <f>VLOOKUP(A322,'vs mars'!B:D,3,FALSE)</f>
        <v>#N/A</v>
      </c>
      <c r="C322" s="42" t="e">
        <f>VLOOKUP(A322,'vs mars'!B:AC,28,FALSE)</f>
        <v>#N/A</v>
      </c>
      <c r="D322" s="77"/>
      <c r="E322" s="77"/>
      <c r="F322" s="43"/>
      <c r="G322" s="43"/>
      <c r="H322" s="43"/>
      <c r="I322" s="43"/>
      <c r="J322" s="44"/>
      <c r="K322" s="44"/>
      <c r="L322" s="45">
        <f t="shared" si="373"/>
        <v>0</v>
      </c>
      <c r="M322" s="45">
        <f t="shared" si="374"/>
        <v>0</v>
      </c>
      <c r="N322" s="45">
        <f t="shared" si="375"/>
        <v>0</v>
      </c>
      <c r="O322" s="45"/>
      <c r="P322" s="45"/>
      <c r="Q322" s="45"/>
      <c r="R322" s="45">
        <f t="shared" si="376"/>
        <v>0</v>
      </c>
      <c r="S322" s="45">
        <f t="shared" si="377"/>
        <v>0</v>
      </c>
      <c r="T322" s="45">
        <f t="shared" si="378"/>
        <v>0</v>
      </c>
      <c r="U322" s="45"/>
      <c r="V322" s="45"/>
      <c r="W322" s="45"/>
      <c r="X322" s="45"/>
      <c r="Y322" s="45"/>
      <c r="Z322" s="45"/>
      <c r="AA322" s="45"/>
      <c r="AB322" s="45">
        <f t="shared" si="379"/>
        <v>0</v>
      </c>
      <c r="AC322" s="45">
        <f t="shared" si="380"/>
        <v>0</v>
      </c>
      <c r="AD322" s="45">
        <f t="shared" si="381"/>
        <v>0</v>
      </c>
      <c r="AE322" s="44"/>
      <c r="AF322" s="44"/>
      <c r="AG322" s="44"/>
      <c r="AH322" s="44"/>
      <c r="AI322" s="44"/>
      <c r="AJ322" s="44"/>
      <c r="AK322" s="44"/>
      <c r="AL322" s="44">
        <f t="shared" si="382"/>
        <v>0</v>
      </c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4"/>
      <c r="BN322" s="44"/>
      <c r="BO322" s="44"/>
      <c r="BP322" s="44"/>
      <c r="BQ322" s="44"/>
      <c r="BR322" s="44">
        <f t="shared" si="383"/>
        <v>0</v>
      </c>
      <c r="BS322" s="312">
        <f t="shared" ref="BS322:BS343" si="394">CH322*0.1</f>
        <v>0</v>
      </c>
      <c r="BT322" s="312">
        <f t="shared" ref="BT322:BT343" si="395">CH322*0.18</f>
        <v>0</v>
      </c>
      <c r="BU322" s="312">
        <f t="shared" ref="BU322:BU343" si="396">CH322*0.18</f>
        <v>0</v>
      </c>
      <c r="BV322" s="312">
        <f t="shared" ref="BV322:BV343" si="397">CH322*0.54</f>
        <v>0</v>
      </c>
      <c r="BW322" s="313">
        <f t="shared" ref="BW322:BW343" si="398">CI322*0.1</f>
        <v>0</v>
      </c>
      <c r="BX322" s="313">
        <f t="shared" ref="BX322:BX343" si="399">CI322*0.18</f>
        <v>0</v>
      </c>
      <c r="BY322" s="313">
        <f t="shared" ref="BY322:BY343" si="400">CI322*0.18</f>
        <v>0</v>
      </c>
      <c r="BZ322" s="313">
        <f t="shared" ref="BZ322:BZ343" si="401">CI322*0.54</f>
        <v>0</v>
      </c>
      <c r="CA322" s="44"/>
      <c r="CB322" s="45">
        <f t="shared" si="384"/>
        <v>0</v>
      </c>
      <c r="CC322" s="46">
        <f t="shared" si="385"/>
        <v>0</v>
      </c>
      <c r="CD322" s="47">
        <f t="shared" si="386"/>
        <v>0</v>
      </c>
      <c r="CE322" s="62"/>
      <c r="CF322" s="237" t="e">
        <f>VLOOKUP(A322,labo!B:C,2,FALSE)</f>
        <v>#N/A</v>
      </c>
      <c r="CG322" s="106">
        <f t="shared" si="387"/>
        <v>0</v>
      </c>
      <c r="CI322" s="51"/>
      <c r="CJ322" s="51"/>
      <c r="CK322" s="251" t="e">
        <f t="shared" si="392"/>
        <v>#N/A</v>
      </c>
      <c r="CL322" s="323">
        <f t="shared" si="393"/>
        <v>0</v>
      </c>
      <c r="CM322" s="349"/>
    </row>
    <row r="323" spans="1:91">
      <c r="A323" s="77"/>
      <c r="B323" s="41" t="e">
        <f>VLOOKUP(A323,'vs mars'!B:D,3,FALSE)</f>
        <v>#N/A</v>
      </c>
      <c r="C323" s="42" t="e">
        <f>VLOOKUP(A323,'vs mars'!B:AC,28,FALSE)</f>
        <v>#N/A</v>
      </c>
      <c r="D323" s="77"/>
      <c r="E323" s="77"/>
      <c r="F323" s="43"/>
      <c r="G323" s="43"/>
      <c r="H323" s="43"/>
      <c r="I323" s="43"/>
      <c r="J323" s="44"/>
      <c r="K323" s="44"/>
      <c r="L323" s="45">
        <f t="shared" si="373"/>
        <v>0</v>
      </c>
      <c r="M323" s="45">
        <f t="shared" si="374"/>
        <v>0</v>
      </c>
      <c r="N323" s="45">
        <f t="shared" si="375"/>
        <v>0</v>
      </c>
      <c r="O323" s="45"/>
      <c r="P323" s="45"/>
      <c r="Q323" s="45"/>
      <c r="R323" s="45">
        <f t="shared" si="376"/>
        <v>0</v>
      </c>
      <c r="S323" s="45">
        <f t="shared" si="377"/>
        <v>0</v>
      </c>
      <c r="T323" s="45">
        <f t="shared" si="378"/>
        <v>0</v>
      </c>
      <c r="U323" s="45"/>
      <c r="V323" s="45"/>
      <c r="W323" s="45"/>
      <c r="X323" s="45"/>
      <c r="Y323" s="45"/>
      <c r="Z323" s="45"/>
      <c r="AA323" s="45"/>
      <c r="AB323" s="45">
        <f t="shared" si="379"/>
        <v>0</v>
      </c>
      <c r="AC323" s="45">
        <f t="shared" si="380"/>
        <v>0</v>
      </c>
      <c r="AD323" s="45">
        <f t="shared" si="381"/>
        <v>0</v>
      </c>
      <c r="AE323" s="44"/>
      <c r="AF323" s="44"/>
      <c r="AG323" s="44"/>
      <c r="AH323" s="44"/>
      <c r="AI323" s="44"/>
      <c r="AJ323" s="44"/>
      <c r="AK323" s="44"/>
      <c r="AL323" s="44">
        <f t="shared" si="382"/>
        <v>0</v>
      </c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>
        <f t="shared" si="383"/>
        <v>0</v>
      </c>
      <c r="BS323" s="312">
        <f t="shared" si="394"/>
        <v>0</v>
      </c>
      <c r="BT323" s="312">
        <f t="shared" si="395"/>
        <v>0</v>
      </c>
      <c r="BU323" s="312">
        <f t="shared" si="396"/>
        <v>0</v>
      </c>
      <c r="BV323" s="312">
        <f t="shared" si="397"/>
        <v>0</v>
      </c>
      <c r="BW323" s="313">
        <f t="shared" si="398"/>
        <v>0</v>
      </c>
      <c r="BX323" s="313">
        <f t="shared" si="399"/>
        <v>0</v>
      </c>
      <c r="BY323" s="313">
        <f t="shared" si="400"/>
        <v>0</v>
      </c>
      <c r="BZ323" s="313">
        <f t="shared" si="401"/>
        <v>0</v>
      </c>
      <c r="CA323" s="44"/>
      <c r="CB323" s="45">
        <f t="shared" si="384"/>
        <v>0</v>
      </c>
      <c r="CC323" s="46">
        <f t="shared" si="385"/>
        <v>0</v>
      </c>
      <c r="CD323" s="47">
        <f t="shared" si="386"/>
        <v>0</v>
      </c>
      <c r="CE323" s="62"/>
      <c r="CF323" s="237" t="e">
        <f>VLOOKUP(A323,labo!B:C,2,FALSE)</f>
        <v>#N/A</v>
      </c>
      <c r="CG323" s="106">
        <f t="shared" si="387"/>
        <v>0</v>
      </c>
      <c r="CI323" s="51"/>
      <c r="CJ323" s="51"/>
      <c r="CK323" s="251" t="e">
        <f t="shared" si="392"/>
        <v>#N/A</v>
      </c>
      <c r="CL323" s="323">
        <f t="shared" si="393"/>
        <v>0</v>
      </c>
      <c r="CM323" s="349"/>
    </row>
    <row r="324" spans="1:91">
      <c r="A324" s="77"/>
      <c r="B324" s="41" t="e">
        <f>VLOOKUP(A324,'vs mars'!B:D,3,FALSE)</f>
        <v>#N/A</v>
      </c>
      <c r="C324" s="42" t="e">
        <f>VLOOKUP(A324,'vs mars'!B:AC,28,FALSE)</f>
        <v>#N/A</v>
      </c>
      <c r="D324" s="77"/>
      <c r="E324" s="77"/>
      <c r="F324" s="43"/>
      <c r="G324" s="43"/>
      <c r="H324" s="43"/>
      <c r="I324" s="43"/>
      <c r="J324" s="44"/>
      <c r="K324" s="44"/>
      <c r="L324" s="45">
        <f t="shared" si="373"/>
        <v>0</v>
      </c>
      <c r="M324" s="45">
        <f t="shared" si="374"/>
        <v>0</v>
      </c>
      <c r="N324" s="45">
        <f t="shared" si="375"/>
        <v>0</v>
      </c>
      <c r="O324" s="45"/>
      <c r="P324" s="45"/>
      <c r="Q324" s="45"/>
      <c r="R324" s="45">
        <f t="shared" si="376"/>
        <v>0</v>
      </c>
      <c r="S324" s="45">
        <f t="shared" si="377"/>
        <v>0</v>
      </c>
      <c r="T324" s="45">
        <f t="shared" si="378"/>
        <v>0</v>
      </c>
      <c r="U324" s="45"/>
      <c r="V324" s="45"/>
      <c r="W324" s="45"/>
      <c r="X324" s="45"/>
      <c r="Y324" s="45"/>
      <c r="Z324" s="45"/>
      <c r="AA324" s="45"/>
      <c r="AB324" s="45">
        <f t="shared" si="379"/>
        <v>0</v>
      </c>
      <c r="AC324" s="45">
        <f t="shared" si="380"/>
        <v>0</v>
      </c>
      <c r="AD324" s="45">
        <f t="shared" si="381"/>
        <v>0</v>
      </c>
      <c r="AE324" s="44"/>
      <c r="AF324" s="44"/>
      <c r="AG324" s="44"/>
      <c r="AH324" s="44"/>
      <c r="AI324" s="44"/>
      <c r="AJ324" s="44"/>
      <c r="AK324" s="44"/>
      <c r="AL324" s="44">
        <f t="shared" si="382"/>
        <v>0</v>
      </c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>
        <f t="shared" si="383"/>
        <v>0</v>
      </c>
      <c r="BS324" s="312">
        <f t="shared" si="394"/>
        <v>0</v>
      </c>
      <c r="BT324" s="312">
        <f t="shared" si="395"/>
        <v>0</v>
      </c>
      <c r="BU324" s="312">
        <f t="shared" si="396"/>
        <v>0</v>
      </c>
      <c r="BV324" s="312">
        <f t="shared" si="397"/>
        <v>0</v>
      </c>
      <c r="BW324" s="313">
        <f t="shared" si="398"/>
        <v>0</v>
      </c>
      <c r="BX324" s="313">
        <f t="shared" si="399"/>
        <v>0</v>
      </c>
      <c r="BY324" s="313">
        <f t="shared" si="400"/>
        <v>0</v>
      </c>
      <c r="BZ324" s="313">
        <f t="shared" si="401"/>
        <v>0</v>
      </c>
      <c r="CA324" s="44"/>
      <c r="CB324" s="45">
        <f t="shared" si="384"/>
        <v>0</v>
      </c>
      <c r="CC324" s="46">
        <f t="shared" si="385"/>
        <v>0</v>
      </c>
      <c r="CD324" s="47">
        <f t="shared" si="386"/>
        <v>0</v>
      </c>
      <c r="CE324" s="62"/>
      <c r="CF324" s="237" t="e">
        <f>VLOOKUP(A324,labo!B:C,2,FALSE)</f>
        <v>#N/A</v>
      </c>
      <c r="CG324" s="106">
        <f t="shared" si="387"/>
        <v>0</v>
      </c>
      <c r="CI324" s="51"/>
      <c r="CJ324" s="51"/>
      <c r="CK324" s="251" t="e">
        <f t="shared" si="392"/>
        <v>#N/A</v>
      </c>
      <c r="CL324" s="323">
        <f t="shared" si="393"/>
        <v>0</v>
      </c>
      <c r="CM324" s="349"/>
    </row>
    <row r="325" spans="1:91">
      <c r="A325" s="77"/>
      <c r="B325" s="41" t="e">
        <f>VLOOKUP(A325,'vs mars'!B:D,3,FALSE)</f>
        <v>#N/A</v>
      </c>
      <c r="C325" s="42" t="e">
        <f>VLOOKUP(A325,'vs mars'!B:AC,28,FALSE)</f>
        <v>#N/A</v>
      </c>
      <c r="D325" s="77"/>
      <c r="E325" s="77"/>
      <c r="F325" s="43"/>
      <c r="G325" s="43"/>
      <c r="H325" s="43"/>
      <c r="I325" s="43"/>
      <c r="J325" s="44"/>
      <c r="K325" s="44"/>
      <c r="L325" s="45">
        <f t="shared" si="373"/>
        <v>0</v>
      </c>
      <c r="M325" s="45">
        <f t="shared" si="374"/>
        <v>0</v>
      </c>
      <c r="N325" s="45">
        <f t="shared" si="375"/>
        <v>0</v>
      </c>
      <c r="O325" s="45"/>
      <c r="P325" s="45"/>
      <c r="Q325" s="45"/>
      <c r="R325" s="45">
        <f t="shared" si="376"/>
        <v>0</v>
      </c>
      <c r="S325" s="45">
        <f t="shared" si="377"/>
        <v>0</v>
      </c>
      <c r="T325" s="45">
        <f t="shared" si="378"/>
        <v>0</v>
      </c>
      <c r="U325" s="45"/>
      <c r="V325" s="45"/>
      <c r="W325" s="45"/>
      <c r="X325" s="45"/>
      <c r="Y325" s="45"/>
      <c r="Z325" s="45"/>
      <c r="AA325" s="45"/>
      <c r="AB325" s="45">
        <f t="shared" si="379"/>
        <v>0</v>
      </c>
      <c r="AC325" s="45">
        <f t="shared" si="380"/>
        <v>0</v>
      </c>
      <c r="AD325" s="45">
        <f t="shared" si="381"/>
        <v>0</v>
      </c>
      <c r="AE325" s="44"/>
      <c r="AF325" s="44"/>
      <c r="AG325" s="44"/>
      <c r="AH325" s="44"/>
      <c r="AI325" s="44"/>
      <c r="AJ325" s="44"/>
      <c r="AK325" s="44"/>
      <c r="AL325" s="44">
        <f t="shared" si="382"/>
        <v>0</v>
      </c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>
        <f t="shared" si="383"/>
        <v>0</v>
      </c>
      <c r="BS325" s="312">
        <f t="shared" si="394"/>
        <v>0</v>
      </c>
      <c r="BT325" s="312">
        <f t="shared" si="395"/>
        <v>0</v>
      </c>
      <c r="BU325" s="312">
        <f t="shared" si="396"/>
        <v>0</v>
      </c>
      <c r="BV325" s="312">
        <f t="shared" si="397"/>
        <v>0</v>
      </c>
      <c r="BW325" s="313">
        <f t="shared" si="398"/>
        <v>0</v>
      </c>
      <c r="BX325" s="313">
        <f t="shared" si="399"/>
        <v>0</v>
      </c>
      <c r="BY325" s="313">
        <f t="shared" si="400"/>
        <v>0</v>
      </c>
      <c r="BZ325" s="313">
        <f t="shared" si="401"/>
        <v>0</v>
      </c>
      <c r="CA325" s="44"/>
      <c r="CB325" s="45">
        <f t="shared" si="384"/>
        <v>0</v>
      </c>
      <c r="CC325" s="46">
        <f t="shared" si="385"/>
        <v>0</v>
      </c>
      <c r="CD325" s="47">
        <f t="shared" si="386"/>
        <v>0</v>
      </c>
      <c r="CE325" s="62"/>
      <c r="CF325" s="237" t="e">
        <f>VLOOKUP(A325,labo!B:C,2,FALSE)</f>
        <v>#N/A</v>
      </c>
      <c r="CG325" s="106">
        <f t="shared" si="387"/>
        <v>0</v>
      </c>
      <c r="CI325" s="51"/>
      <c r="CJ325" s="51"/>
      <c r="CK325" s="251" t="e">
        <f t="shared" si="392"/>
        <v>#N/A</v>
      </c>
      <c r="CL325" s="323">
        <f t="shared" si="393"/>
        <v>0</v>
      </c>
      <c r="CM325" s="349"/>
    </row>
    <row r="326" spans="1:91">
      <c r="A326" s="77"/>
      <c r="B326" s="41" t="e">
        <f>VLOOKUP(A326,'vs mars'!B:D,3,FALSE)</f>
        <v>#N/A</v>
      </c>
      <c r="C326" s="42" t="e">
        <f>VLOOKUP(A326,'vs mars'!B:AC,28,FALSE)</f>
        <v>#N/A</v>
      </c>
      <c r="D326" s="77"/>
      <c r="E326" s="77"/>
      <c r="F326" s="43"/>
      <c r="G326" s="43"/>
      <c r="H326" s="43"/>
      <c r="I326" s="43"/>
      <c r="J326" s="44"/>
      <c r="K326" s="44"/>
      <c r="L326" s="45">
        <f t="shared" si="373"/>
        <v>0</v>
      </c>
      <c r="M326" s="45">
        <f t="shared" si="374"/>
        <v>0</v>
      </c>
      <c r="N326" s="45">
        <f t="shared" si="375"/>
        <v>0</v>
      </c>
      <c r="O326" s="45"/>
      <c r="P326" s="45"/>
      <c r="Q326" s="45"/>
      <c r="R326" s="45">
        <f t="shared" si="376"/>
        <v>0</v>
      </c>
      <c r="S326" s="45">
        <f t="shared" si="377"/>
        <v>0</v>
      </c>
      <c r="T326" s="45">
        <f t="shared" si="378"/>
        <v>0</v>
      </c>
      <c r="U326" s="45"/>
      <c r="V326" s="45"/>
      <c r="W326" s="45"/>
      <c r="X326" s="45"/>
      <c r="Y326" s="45"/>
      <c r="Z326" s="45"/>
      <c r="AA326" s="45"/>
      <c r="AB326" s="45">
        <f t="shared" si="379"/>
        <v>0</v>
      </c>
      <c r="AC326" s="45">
        <f t="shared" si="380"/>
        <v>0</v>
      </c>
      <c r="AD326" s="45">
        <f t="shared" si="381"/>
        <v>0</v>
      </c>
      <c r="AE326" s="44"/>
      <c r="AF326" s="44"/>
      <c r="AG326" s="44"/>
      <c r="AH326" s="44"/>
      <c r="AI326" s="44"/>
      <c r="AJ326" s="44"/>
      <c r="AK326" s="44"/>
      <c r="AL326" s="44">
        <f t="shared" si="382"/>
        <v>0</v>
      </c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>
        <f t="shared" si="383"/>
        <v>0</v>
      </c>
      <c r="BS326" s="312">
        <f t="shared" si="394"/>
        <v>0</v>
      </c>
      <c r="BT326" s="312">
        <f t="shared" si="395"/>
        <v>0</v>
      </c>
      <c r="BU326" s="312">
        <f t="shared" si="396"/>
        <v>0</v>
      </c>
      <c r="BV326" s="312">
        <f t="shared" si="397"/>
        <v>0</v>
      </c>
      <c r="BW326" s="313">
        <f t="shared" si="398"/>
        <v>0</v>
      </c>
      <c r="BX326" s="313">
        <f t="shared" si="399"/>
        <v>0</v>
      </c>
      <c r="BY326" s="313">
        <f t="shared" si="400"/>
        <v>0</v>
      </c>
      <c r="BZ326" s="313">
        <f t="shared" si="401"/>
        <v>0</v>
      </c>
      <c r="CA326" s="44"/>
      <c r="CB326" s="45">
        <f t="shared" si="384"/>
        <v>0</v>
      </c>
      <c r="CC326" s="46">
        <f t="shared" si="385"/>
        <v>0</v>
      </c>
      <c r="CD326" s="47">
        <f t="shared" si="386"/>
        <v>0</v>
      </c>
      <c r="CE326" s="62"/>
      <c r="CF326" s="237" t="e">
        <f>VLOOKUP(A326,labo!B:C,2,FALSE)</f>
        <v>#N/A</v>
      </c>
      <c r="CG326" s="106">
        <f t="shared" si="387"/>
        <v>0</v>
      </c>
      <c r="CI326" s="51"/>
      <c r="CJ326" s="51"/>
      <c r="CK326" s="251" t="e">
        <f t="shared" si="392"/>
        <v>#N/A</v>
      </c>
      <c r="CL326" s="323">
        <f t="shared" si="393"/>
        <v>0</v>
      </c>
      <c r="CM326" s="349"/>
    </row>
    <row r="327" spans="1:91">
      <c r="A327" s="77"/>
      <c r="B327" s="41" t="e">
        <f>VLOOKUP(A327,'vs mars'!B:D,3,FALSE)</f>
        <v>#N/A</v>
      </c>
      <c r="C327" s="42" t="e">
        <f>VLOOKUP(A327,'vs mars'!B:AC,28,FALSE)</f>
        <v>#N/A</v>
      </c>
      <c r="D327" s="77"/>
      <c r="E327" s="77"/>
      <c r="F327" s="43"/>
      <c r="G327" s="43"/>
      <c r="H327" s="43"/>
      <c r="I327" s="43"/>
      <c r="J327" s="44"/>
      <c r="K327" s="44"/>
      <c r="L327" s="45">
        <f t="shared" si="373"/>
        <v>0</v>
      </c>
      <c r="M327" s="45">
        <f t="shared" si="374"/>
        <v>0</v>
      </c>
      <c r="N327" s="45">
        <f t="shared" si="375"/>
        <v>0</v>
      </c>
      <c r="O327" s="45"/>
      <c r="P327" s="45"/>
      <c r="Q327" s="45"/>
      <c r="R327" s="45">
        <f t="shared" si="376"/>
        <v>0</v>
      </c>
      <c r="S327" s="45">
        <f t="shared" si="377"/>
        <v>0</v>
      </c>
      <c r="T327" s="45">
        <f t="shared" si="378"/>
        <v>0</v>
      </c>
      <c r="U327" s="45"/>
      <c r="V327" s="45"/>
      <c r="W327" s="45"/>
      <c r="X327" s="45"/>
      <c r="Y327" s="45"/>
      <c r="Z327" s="45"/>
      <c r="AA327" s="45"/>
      <c r="AB327" s="45">
        <f t="shared" si="379"/>
        <v>0</v>
      </c>
      <c r="AC327" s="45">
        <f t="shared" si="380"/>
        <v>0</v>
      </c>
      <c r="AD327" s="45">
        <f t="shared" si="381"/>
        <v>0</v>
      </c>
      <c r="AE327" s="44"/>
      <c r="AF327" s="44"/>
      <c r="AG327" s="44"/>
      <c r="AH327" s="44"/>
      <c r="AI327" s="44"/>
      <c r="AJ327" s="44"/>
      <c r="AK327" s="44"/>
      <c r="AL327" s="44">
        <f t="shared" si="382"/>
        <v>0</v>
      </c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>
        <f t="shared" si="383"/>
        <v>0</v>
      </c>
      <c r="BS327" s="312">
        <f t="shared" si="394"/>
        <v>0</v>
      </c>
      <c r="BT327" s="312">
        <f t="shared" si="395"/>
        <v>0</v>
      </c>
      <c r="BU327" s="312">
        <f t="shared" si="396"/>
        <v>0</v>
      </c>
      <c r="BV327" s="312">
        <f t="shared" si="397"/>
        <v>0</v>
      </c>
      <c r="BW327" s="313">
        <f t="shared" si="398"/>
        <v>0</v>
      </c>
      <c r="BX327" s="313">
        <f t="shared" si="399"/>
        <v>0</v>
      </c>
      <c r="BY327" s="313">
        <f t="shared" si="400"/>
        <v>0</v>
      </c>
      <c r="BZ327" s="313">
        <f t="shared" si="401"/>
        <v>0</v>
      </c>
      <c r="CA327" s="44"/>
      <c r="CB327" s="45">
        <f t="shared" si="384"/>
        <v>0</v>
      </c>
      <c r="CC327" s="46">
        <f t="shared" si="385"/>
        <v>0</v>
      </c>
      <c r="CD327" s="47">
        <f t="shared" si="386"/>
        <v>0</v>
      </c>
      <c r="CE327" s="62"/>
      <c r="CF327" s="237" t="e">
        <f>VLOOKUP(A327,labo!B:C,2,FALSE)</f>
        <v>#N/A</v>
      </c>
      <c r="CG327" s="106">
        <f t="shared" si="387"/>
        <v>0</v>
      </c>
      <c r="CI327" s="51"/>
      <c r="CJ327" s="51"/>
      <c r="CK327" s="251" t="e">
        <f t="shared" si="392"/>
        <v>#N/A</v>
      </c>
      <c r="CL327" s="323">
        <f t="shared" si="393"/>
        <v>0</v>
      </c>
      <c r="CM327" s="349"/>
    </row>
    <row r="328" spans="1:91">
      <c r="A328" s="77"/>
      <c r="B328" s="41" t="e">
        <f>VLOOKUP(A328,'vs mars'!B:D,3,FALSE)</f>
        <v>#N/A</v>
      </c>
      <c r="C328" s="42" t="e">
        <f>VLOOKUP(A328,'vs mars'!B:AC,28,FALSE)</f>
        <v>#N/A</v>
      </c>
      <c r="D328" s="77"/>
      <c r="E328" s="77"/>
      <c r="F328" s="43"/>
      <c r="G328" s="43"/>
      <c r="H328" s="43"/>
      <c r="I328" s="43"/>
      <c r="J328" s="44"/>
      <c r="K328" s="44"/>
      <c r="L328" s="45">
        <f t="shared" si="373"/>
        <v>0</v>
      </c>
      <c r="M328" s="45">
        <f t="shared" si="374"/>
        <v>0</v>
      </c>
      <c r="N328" s="45">
        <f t="shared" si="375"/>
        <v>0</v>
      </c>
      <c r="O328" s="45"/>
      <c r="P328" s="45"/>
      <c r="Q328" s="45"/>
      <c r="R328" s="45">
        <f t="shared" si="376"/>
        <v>0</v>
      </c>
      <c r="S328" s="45">
        <f t="shared" si="377"/>
        <v>0</v>
      </c>
      <c r="T328" s="45">
        <f t="shared" si="378"/>
        <v>0</v>
      </c>
      <c r="U328" s="45"/>
      <c r="V328" s="45"/>
      <c r="W328" s="45"/>
      <c r="X328" s="45"/>
      <c r="Y328" s="45"/>
      <c r="Z328" s="45"/>
      <c r="AA328" s="45"/>
      <c r="AB328" s="45">
        <f t="shared" si="379"/>
        <v>0</v>
      </c>
      <c r="AC328" s="45">
        <f t="shared" si="380"/>
        <v>0</v>
      </c>
      <c r="AD328" s="45">
        <f t="shared" si="381"/>
        <v>0</v>
      </c>
      <c r="AE328" s="44"/>
      <c r="AF328" s="44"/>
      <c r="AG328" s="44"/>
      <c r="AH328" s="44"/>
      <c r="AI328" s="44"/>
      <c r="AJ328" s="44"/>
      <c r="AK328" s="44"/>
      <c r="AL328" s="44">
        <f t="shared" si="382"/>
        <v>0</v>
      </c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>
        <f t="shared" si="383"/>
        <v>0</v>
      </c>
      <c r="BS328" s="312">
        <f t="shared" si="394"/>
        <v>0</v>
      </c>
      <c r="BT328" s="312">
        <f t="shared" si="395"/>
        <v>0</v>
      </c>
      <c r="BU328" s="312">
        <f t="shared" si="396"/>
        <v>0</v>
      </c>
      <c r="BV328" s="312">
        <f t="shared" si="397"/>
        <v>0</v>
      </c>
      <c r="BW328" s="313">
        <f t="shared" si="398"/>
        <v>0</v>
      </c>
      <c r="BX328" s="313">
        <f t="shared" si="399"/>
        <v>0</v>
      </c>
      <c r="BY328" s="313">
        <f t="shared" si="400"/>
        <v>0</v>
      </c>
      <c r="BZ328" s="313">
        <f t="shared" si="401"/>
        <v>0</v>
      </c>
      <c r="CA328" s="44"/>
      <c r="CB328" s="45">
        <f t="shared" si="384"/>
        <v>0</v>
      </c>
      <c r="CC328" s="46">
        <f t="shared" si="385"/>
        <v>0</v>
      </c>
      <c r="CD328" s="47">
        <f t="shared" si="386"/>
        <v>0</v>
      </c>
      <c r="CE328" s="62"/>
      <c r="CF328" s="237" t="e">
        <f>VLOOKUP(A328,labo!B:C,2,FALSE)</f>
        <v>#N/A</v>
      </c>
      <c r="CG328" s="106">
        <f t="shared" si="387"/>
        <v>0</v>
      </c>
      <c r="CI328" s="51"/>
      <c r="CJ328" s="51"/>
      <c r="CK328" s="251" t="e">
        <f t="shared" si="392"/>
        <v>#N/A</v>
      </c>
      <c r="CL328" s="323">
        <f t="shared" si="393"/>
        <v>0</v>
      </c>
      <c r="CM328" s="349"/>
    </row>
    <row r="329" spans="1:91">
      <c r="A329" s="77"/>
      <c r="B329" s="41" t="e">
        <f>VLOOKUP(A329,'vs mars'!B:D,3,FALSE)</f>
        <v>#N/A</v>
      </c>
      <c r="C329" s="42" t="e">
        <f>VLOOKUP(A329,'vs mars'!B:AC,28,FALSE)</f>
        <v>#N/A</v>
      </c>
      <c r="D329" s="77"/>
      <c r="E329" s="77"/>
      <c r="F329" s="43"/>
      <c r="G329" s="43"/>
      <c r="H329" s="43"/>
      <c r="I329" s="43"/>
      <c r="J329" s="44"/>
      <c r="K329" s="44"/>
      <c r="L329" s="45">
        <f t="shared" si="373"/>
        <v>0</v>
      </c>
      <c r="M329" s="45">
        <f t="shared" si="374"/>
        <v>0</v>
      </c>
      <c r="N329" s="45">
        <f t="shared" si="375"/>
        <v>0</v>
      </c>
      <c r="O329" s="45"/>
      <c r="P329" s="45"/>
      <c r="Q329" s="45"/>
      <c r="R329" s="45">
        <f t="shared" si="376"/>
        <v>0</v>
      </c>
      <c r="S329" s="45">
        <f t="shared" si="377"/>
        <v>0</v>
      </c>
      <c r="T329" s="45">
        <f t="shared" si="378"/>
        <v>0</v>
      </c>
      <c r="U329" s="45"/>
      <c r="V329" s="45"/>
      <c r="W329" s="45"/>
      <c r="X329" s="45"/>
      <c r="Y329" s="45"/>
      <c r="Z329" s="45"/>
      <c r="AA329" s="45"/>
      <c r="AB329" s="45">
        <f t="shared" si="379"/>
        <v>0</v>
      </c>
      <c r="AC329" s="45">
        <f t="shared" si="380"/>
        <v>0</v>
      </c>
      <c r="AD329" s="45">
        <f t="shared" si="381"/>
        <v>0</v>
      </c>
      <c r="AE329" s="44"/>
      <c r="AF329" s="44"/>
      <c r="AG329" s="44"/>
      <c r="AH329" s="44"/>
      <c r="AI329" s="44"/>
      <c r="AJ329" s="44"/>
      <c r="AK329" s="44"/>
      <c r="AL329" s="44">
        <f t="shared" si="382"/>
        <v>0</v>
      </c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>
        <f t="shared" si="383"/>
        <v>0</v>
      </c>
      <c r="BS329" s="312">
        <f t="shared" si="394"/>
        <v>0</v>
      </c>
      <c r="BT329" s="312">
        <f t="shared" si="395"/>
        <v>0</v>
      </c>
      <c r="BU329" s="312">
        <f t="shared" si="396"/>
        <v>0</v>
      </c>
      <c r="BV329" s="312">
        <f t="shared" si="397"/>
        <v>0</v>
      </c>
      <c r="BW329" s="313">
        <f t="shared" si="398"/>
        <v>0</v>
      </c>
      <c r="BX329" s="313">
        <f t="shared" si="399"/>
        <v>0</v>
      </c>
      <c r="BY329" s="313">
        <f t="shared" si="400"/>
        <v>0</v>
      </c>
      <c r="BZ329" s="313">
        <f t="shared" si="401"/>
        <v>0</v>
      </c>
      <c r="CA329" s="44"/>
      <c r="CB329" s="45">
        <f t="shared" si="384"/>
        <v>0</v>
      </c>
      <c r="CC329" s="46">
        <f t="shared" si="385"/>
        <v>0</v>
      </c>
      <c r="CD329" s="47">
        <f t="shared" si="386"/>
        <v>0</v>
      </c>
      <c r="CE329" s="62"/>
      <c r="CF329" s="237" t="e">
        <f>VLOOKUP(A329,labo!B:C,2,FALSE)</f>
        <v>#N/A</v>
      </c>
      <c r="CG329" s="106">
        <f t="shared" si="387"/>
        <v>0</v>
      </c>
      <c r="CI329" s="51"/>
      <c r="CJ329" s="51"/>
      <c r="CK329" s="251" t="e">
        <f t="shared" si="392"/>
        <v>#N/A</v>
      </c>
      <c r="CL329" s="323">
        <f t="shared" si="393"/>
        <v>0</v>
      </c>
      <c r="CM329" s="349"/>
    </row>
    <row r="330" spans="1:91">
      <c r="A330" s="77"/>
      <c r="B330" s="41" t="e">
        <f>VLOOKUP(A330,'vs mars'!B:D,3,FALSE)</f>
        <v>#N/A</v>
      </c>
      <c r="C330" s="42" t="e">
        <f>VLOOKUP(A330,'vs mars'!B:AC,28,FALSE)</f>
        <v>#N/A</v>
      </c>
      <c r="D330" s="77"/>
      <c r="E330" s="77"/>
      <c r="F330" s="43"/>
      <c r="G330" s="43"/>
      <c r="H330" s="43"/>
      <c r="I330" s="43"/>
      <c r="J330" s="44"/>
      <c r="K330" s="44"/>
      <c r="L330" s="45">
        <f t="shared" si="373"/>
        <v>0</v>
      </c>
      <c r="M330" s="45">
        <f t="shared" si="374"/>
        <v>0</v>
      </c>
      <c r="N330" s="45">
        <f t="shared" si="375"/>
        <v>0</v>
      </c>
      <c r="O330" s="45"/>
      <c r="P330" s="45"/>
      <c r="Q330" s="45"/>
      <c r="R330" s="45">
        <f t="shared" si="376"/>
        <v>0</v>
      </c>
      <c r="S330" s="45">
        <f t="shared" si="377"/>
        <v>0</v>
      </c>
      <c r="T330" s="45">
        <f t="shared" si="378"/>
        <v>0</v>
      </c>
      <c r="U330" s="45"/>
      <c r="V330" s="45"/>
      <c r="W330" s="45"/>
      <c r="X330" s="45"/>
      <c r="Y330" s="45"/>
      <c r="Z330" s="45"/>
      <c r="AA330" s="45"/>
      <c r="AB330" s="45">
        <f t="shared" si="379"/>
        <v>0</v>
      </c>
      <c r="AC330" s="45">
        <f t="shared" si="380"/>
        <v>0</v>
      </c>
      <c r="AD330" s="45">
        <f t="shared" si="381"/>
        <v>0</v>
      </c>
      <c r="AE330" s="44"/>
      <c r="AF330" s="44"/>
      <c r="AG330" s="44"/>
      <c r="AH330" s="44"/>
      <c r="AI330" s="44"/>
      <c r="AJ330" s="44"/>
      <c r="AK330" s="44"/>
      <c r="AL330" s="44">
        <f t="shared" si="382"/>
        <v>0</v>
      </c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>
        <f t="shared" si="383"/>
        <v>0</v>
      </c>
      <c r="BS330" s="312">
        <f t="shared" si="394"/>
        <v>0</v>
      </c>
      <c r="BT330" s="312">
        <f t="shared" si="395"/>
        <v>0</v>
      </c>
      <c r="BU330" s="312">
        <f t="shared" si="396"/>
        <v>0</v>
      </c>
      <c r="BV330" s="312">
        <f t="shared" si="397"/>
        <v>0</v>
      </c>
      <c r="BW330" s="313">
        <f t="shared" si="398"/>
        <v>0</v>
      </c>
      <c r="BX330" s="313">
        <f t="shared" si="399"/>
        <v>0</v>
      </c>
      <c r="BY330" s="313">
        <f t="shared" si="400"/>
        <v>0</v>
      </c>
      <c r="BZ330" s="313">
        <f t="shared" si="401"/>
        <v>0</v>
      </c>
      <c r="CA330" s="44"/>
      <c r="CB330" s="45">
        <f t="shared" si="384"/>
        <v>0</v>
      </c>
      <c r="CC330" s="46">
        <f t="shared" si="385"/>
        <v>0</v>
      </c>
      <c r="CD330" s="47">
        <f t="shared" si="386"/>
        <v>0</v>
      </c>
      <c r="CE330" s="62"/>
      <c r="CF330" s="237" t="e">
        <f>VLOOKUP(A330,labo!B:C,2,FALSE)</f>
        <v>#N/A</v>
      </c>
      <c r="CG330" s="106">
        <f t="shared" si="387"/>
        <v>0</v>
      </c>
      <c r="CI330" s="51"/>
      <c r="CJ330" s="51"/>
      <c r="CK330" s="251" t="e">
        <f t="shared" si="392"/>
        <v>#N/A</v>
      </c>
      <c r="CL330" s="323">
        <f t="shared" si="393"/>
        <v>0</v>
      </c>
      <c r="CM330" s="349"/>
    </row>
    <row r="331" spans="1:91">
      <c r="A331" s="77"/>
      <c r="B331" s="41" t="e">
        <f>VLOOKUP(A331,'vs mars'!B:D,3,FALSE)</f>
        <v>#N/A</v>
      </c>
      <c r="C331" s="42" t="e">
        <f>VLOOKUP(A331,'vs mars'!B:AC,28,FALSE)</f>
        <v>#N/A</v>
      </c>
      <c r="D331" s="77"/>
      <c r="E331" s="77"/>
      <c r="F331" s="43"/>
      <c r="G331" s="43"/>
      <c r="H331" s="43"/>
      <c r="I331" s="43"/>
      <c r="J331" s="44"/>
      <c r="K331" s="44"/>
      <c r="L331" s="45">
        <f t="shared" si="373"/>
        <v>0</v>
      </c>
      <c r="M331" s="45">
        <f t="shared" si="374"/>
        <v>0</v>
      </c>
      <c r="N331" s="45">
        <f t="shared" si="375"/>
        <v>0</v>
      </c>
      <c r="O331" s="45"/>
      <c r="P331" s="45"/>
      <c r="Q331" s="45"/>
      <c r="R331" s="45">
        <f t="shared" si="376"/>
        <v>0</v>
      </c>
      <c r="S331" s="45">
        <f t="shared" si="377"/>
        <v>0</v>
      </c>
      <c r="T331" s="45">
        <f t="shared" si="378"/>
        <v>0</v>
      </c>
      <c r="U331" s="45"/>
      <c r="V331" s="45"/>
      <c r="W331" s="45"/>
      <c r="X331" s="45"/>
      <c r="Y331" s="45"/>
      <c r="Z331" s="45"/>
      <c r="AA331" s="45"/>
      <c r="AB331" s="45">
        <f t="shared" si="379"/>
        <v>0</v>
      </c>
      <c r="AC331" s="45">
        <f t="shared" si="380"/>
        <v>0</v>
      </c>
      <c r="AD331" s="45">
        <f t="shared" si="381"/>
        <v>0</v>
      </c>
      <c r="AE331" s="44"/>
      <c r="AF331" s="44"/>
      <c r="AG331" s="44"/>
      <c r="AH331" s="44"/>
      <c r="AI331" s="44"/>
      <c r="AJ331" s="44"/>
      <c r="AK331" s="44"/>
      <c r="AL331" s="44">
        <f t="shared" si="382"/>
        <v>0</v>
      </c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>
        <f t="shared" si="383"/>
        <v>0</v>
      </c>
      <c r="BS331" s="312">
        <f t="shared" si="394"/>
        <v>0</v>
      </c>
      <c r="BT331" s="312">
        <f t="shared" si="395"/>
        <v>0</v>
      </c>
      <c r="BU331" s="312">
        <f t="shared" si="396"/>
        <v>0</v>
      </c>
      <c r="BV331" s="312">
        <f t="shared" si="397"/>
        <v>0</v>
      </c>
      <c r="BW331" s="313">
        <f t="shared" si="398"/>
        <v>0</v>
      </c>
      <c r="BX331" s="313">
        <f t="shared" si="399"/>
        <v>0</v>
      </c>
      <c r="BY331" s="313">
        <f t="shared" si="400"/>
        <v>0</v>
      </c>
      <c r="BZ331" s="313">
        <f t="shared" si="401"/>
        <v>0</v>
      </c>
      <c r="CA331" s="44"/>
      <c r="CB331" s="45">
        <f t="shared" si="384"/>
        <v>0</v>
      </c>
      <c r="CC331" s="46">
        <f t="shared" si="385"/>
        <v>0</v>
      </c>
      <c r="CD331" s="47">
        <f t="shared" si="386"/>
        <v>0</v>
      </c>
      <c r="CE331" s="62"/>
      <c r="CF331" s="237" t="e">
        <f>VLOOKUP(A331,labo!B:C,2,FALSE)</f>
        <v>#N/A</v>
      </c>
      <c r="CG331" s="106">
        <f t="shared" si="387"/>
        <v>0</v>
      </c>
      <c r="CI331" s="51"/>
      <c r="CJ331" s="51"/>
      <c r="CK331" s="251" t="e">
        <f t="shared" si="392"/>
        <v>#N/A</v>
      </c>
      <c r="CL331" s="323">
        <f t="shared" si="393"/>
        <v>0</v>
      </c>
      <c r="CM331" s="349"/>
    </row>
    <row r="332" spans="1:91">
      <c r="A332" s="77"/>
      <c r="B332" s="41" t="e">
        <f>VLOOKUP(A332,'vs mars'!B:D,3,FALSE)</f>
        <v>#N/A</v>
      </c>
      <c r="C332" s="42" t="e">
        <f>VLOOKUP(A332,'vs mars'!B:AC,28,FALSE)</f>
        <v>#N/A</v>
      </c>
      <c r="D332" s="77"/>
      <c r="E332" s="77"/>
      <c r="F332" s="43"/>
      <c r="G332" s="43"/>
      <c r="H332" s="43"/>
      <c r="I332" s="43"/>
      <c r="J332" s="44"/>
      <c r="K332" s="44"/>
      <c r="L332" s="45">
        <f t="shared" si="373"/>
        <v>0</v>
      </c>
      <c r="M332" s="45">
        <f t="shared" si="374"/>
        <v>0</v>
      </c>
      <c r="N332" s="45">
        <f t="shared" si="375"/>
        <v>0</v>
      </c>
      <c r="O332" s="45"/>
      <c r="P332" s="45"/>
      <c r="Q332" s="45"/>
      <c r="R332" s="45">
        <f t="shared" si="376"/>
        <v>0</v>
      </c>
      <c r="S332" s="45">
        <f t="shared" si="377"/>
        <v>0</v>
      </c>
      <c r="T332" s="45">
        <f t="shared" si="378"/>
        <v>0</v>
      </c>
      <c r="U332" s="45"/>
      <c r="V332" s="45"/>
      <c r="W332" s="45"/>
      <c r="X332" s="45"/>
      <c r="Y332" s="45"/>
      <c r="Z332" s="45"/>
      <c r="AA332" s="45"/>
      <c r="AB332" s="45">
        <f t="shared" si="379"/>
        <v>0</v>
      </c>
      <c r="AC332" s="45">
        <f t="shared" si="380"/>
        <v>0</v>
      </c>
      <c r="AD332" s="45">
        <f t="shared" si="381"/>
        <v>0</v>
      </c>
      <c r="AE332" s="44"/>
      <c r="AF332" s="44"/>
      <c r="AG332" s="44"/>
      <c r="AH332" s="44"/>
      <c r="AI332" s="44"/>
      <c r="AJ332" s="44"/>
      <c r="AK332" s="44"/>
      <c r="AL332" s="44">
        <f t="shared" si="382"/>
        <v>0</v>
      </c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>
        <f t="shared" si="383"/>
        <v>0</v>
      </c>
      <c r="BS332" s="312">
        <f t="shared" si="394"/>
        <v>0</v>
      </c>
      <c r="BT332" s="312">
        <f t="shared" si="395"/>
        <v>0</v>
      </c>
      <c r="BU332" s="312">
        <f t="shared" si="396"/>
        <v>0</v>
      </c>
      <c r="BV332" s="312">
        <f t="shared" si="397"/>
        <v>0</v>
      </c>
      <c r="BW332" s="313">
        <f t="shared" si="398"/>
        <v>0</v>
      </c>
      <c r="BX332" s="313">
        <f t="shared" si="399"/>
        <v>0</v>
      </c>
      <c r="BY332" s="313">
        <f t="shared" si="400"/>
        <v>0</v>
      </c>
      <c r="BZ332" s="313">
        <f t="shared" si="401"/>
        <v>0</v>
      </c>
      <c r="CA332" s="44"/>
      <c r="CB332" s="45">
        <f t="shared" si="384"/>
        <v>0</v>
      </c>
      <c r="CC332" s="46">
        <f t="shared" si="385"/>
        <v>0</v>
      </c>
      <c r="CD332" s="47">
        <f t="shared" si="386"/>
        <v>0</v>
      </c>
      <c r="CE332" s="62"/>
      <c r="CF332" s="237" t="e">
        <f>VLOOKUP(A332,labo!B:C,2,FALSE)</f>
        <v>#N/A</v>
      </c>
      <c r="CG332" s="106">
        <f t="shared" si="387"/>
        <v>0</v>
      </c>
      <c r="CI332" s="51"/>
      <c r="CJ332" s="51"/>
      <c r="CK332" s="251" t="e">
        <f t="shared" si="392"/>
        <v>#N/A</v>
      </c>
      <c r="CL332" s="323">
        <f t="shared" si="393"/>
        <v>0</v>
      </c>
      <c r="CM332" s="349"/>
    </row>
    <row r="333" spans="1:91">
      <c r="A333" s="77"/>
      <c r="B333" s="41" t="e">
        <f>VLOOKUP(A333,'vs mars'!B:D,3,FALSE)</f>
        <v>#N/A</v>
      </c>
      <c r="C333" s="42" t="e">
        <f>VLOOKUP(A333,'vs mars'!B:AC,28,FALSE)</f>
        <v>#N/A</v>
      </c>
      <c r="D333" s="77"/>
      <c r="E333" s="77"/>
      <c r="F333" s="43"/>
      <c r="G333" s="43"/>
      <c r="H333" s="43"/>
      <c r="I333" s="43"/>
      <c r="J333" s="44"/>
      <c r="K333" s="44"/>
      <c r="L333" s="45">
        <f t="shared" si="373"/>
        <v>0</v>
      </c>
      <c r="M333" s="45">
        <f t="shared" si="374"/>
        <v>0</v>
      </c>
      <c r="N333" s="45">
        <f t="shared" si="375"/>
        <v>0</v>
      </c>
      <c r="O333" s="45"/>
      <c r="P333" s="45"/>
      <c r="Q333" s="45"/>
      <c r="R333" s="45">
        <f t="shared" si="376"/>
        <v>0</v>
      </c>
      <c r="S333" s="45">
        <f t="shared" si="377"/>
        <v>0</v>
      </c>
      <c r="T333" s="45">
        <f t="shared" si="378"/>
        <v>0</v>
      </c>
      <c r="U333" s="45"/>
      <c r="V333" s="45"/>
      <c r="W333" s="45"/>
      <c r="X333" s="45"/>
      <c r="Y333" s="45"/>
      <c r="Z333" s="45"/>
      <c r="AA333" s="45"/>
      <c r="AB333" s="45">
        <f t="shared" si="379"/>
        <v>0</v>
      </c>
      <c r="AC333" s="45">
        <f t="shared" si="380"/>
        <v>0</v>
      </c>
      <c r="AD333" s="45">
        <f t="shared" si="381"/>
        <v>0</v>
      </c>
      <c r="AE333" s="44"/>
      <c r="AF333" s="44"/>
      <c r="AG333" s="44"/>
      <c r="AH333" s="44"/>
      <c r="AI333" s="44"/>
      <c r="AJ333" s="44"/>
      <c r="AK333" s="44"/>
      <c r="AL333" s="44">
        <f t="shared" si="382"/>
        <v>0</v>
      </c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>
        <f t="shared" si="383"/>
        <v>0</v>
      </c>
      <c r="BS333" s="312">
        <f t="shared" si="394"/>
        <v>0</v>
      </c>
      <c r="BT333" s="312">
        <f t="shared" si="395"/>
        <v>0</v>
      </c>
      <c r="BU333" s="312">
        <f t="shared" si="396"/>
        <v>0</v>
      </c>
      <c r="BV333" s="312">
        <f t="shared" si="397"/>
        <v>0</v>
      </c>
      <c r="BW333" s="313">
        <f t="shared" si="398"/>
        <v>0</v>
      </c>
      <c r="BX333" s="313">
        <f t="shared" si="399"/>
        <v>0</v>
      </c>
      <c r="BY333" s="313">
        <f t="shared" si="400"/>
        <v>0</v>
      </c>
      <c r="BZ333" s="313">
        <f t="shared" si="401"/>
        <v>0</v>
      </c>
      <c r="CA333" s="44"/>
      <c r="CB333" s="45">
        <f t="shared" si="384"/>
        <v>0</v>
      </c>
      <c r="CC333" s="46">
        <f t="shared" si="385"/>
        <v>0</v>
      </c>
      <c r="CD333" s="47">
        <f t="shared" si="386"/>
        <v>0</v>
      </c>
      <c r="CE333" s="62"/>
      <c r="CF333" s="237" t="e">
        <f>VLOOKUP(A333,labo!B:C,2,FALSE)</f>
        <v>#N/A</v>
      </c>
      <c r="CG333" s="106">
        <f t="shared" si="387"/>
        <v>0</v>
      </c>
      <c r="CI333" s="51"/>
      <c r="CJ333" s="51"/>
      <c r="CK333" s="251" t="e">
        <f t="shared" si="392"/>
        <v>#N/A</v>
      </c>
      <c r="CL333" s="323">
        <f t="shared" si="393"/>
        <v>0</v>
      </c>
      <c r="CM333" s="349"/>
    </row>
    <row r="334" spans="1:91">
      <c r="A334" s="77"/>
      <c r="B334" s="41" t="e">
        <f>VLOOKUP(A334,'vs mars'!B:D,3,FALSE)</f>
        <v>#N/A</v>
      </c>
      <c r="C334" s="42" t="e">
        <f>VLOOKUP(A334,'vs mars'!B:AC,28,FALSE)</f>
        <v>#N/A</v>
      </c>
      <c r="D334" s="77"/>
      <c r="E334" s="77"/>
      <c r="F334" s="43"/>
      <c r="G334" s="43"/>
      <c r="H334" s="43"/>
      <c r="I334" s="43"/>
      <c r="J334" s="44"/>
      <c r="K334" s="44"/>
      <c r="L334" s="45">
        <f t="shared" si="373"/>
        <v>0</v>
      </c>
      <c r="M334" s="45">
        <f t="shared" si="374"/>
        <v>0</v>
      </c>
      <c r="N334" s="45">
        <f t="shared" si="375"/>
        <v>0</v>
      </c>
      <c r="O334" s="45"/>
      <c r="P334" s="45"/>
      <c r="Q334" s="45"/>
      <c r="R334" s="45">
        <f t="shared" si="376"/>
        <v>0</v>
      </c>
      <c r="S334" s="45">
        <f t="shared" si="377"/>
        <v>0</v>
      </c>
      <c r="T334" s="45">
        <f t="shared" si="378"/>
        <v>0</v>
      </c>
      <c r="U334" s="45"/>
      <c r="V334" s="45"/>
      <c r="W334" s="45"/>
      <c r="X334" s="45"/>
      <c r="Y334" s="45"/>
      <c r="Z334" s="45"/>
      <c r="AA334" s="45"/>
      <c r="AB334" s="45">
        <f t="shared" si="379"/>
        <v>0</v>
      </c>
      <c r="AC334" s="45">
        <f t="shared" si="380"/>
        <v>0</v>
      </c>
      <c r="AD334" s="45">
        <f t="shared" si="381"/>
        <v>0</v>
      </c>
      <c r="AE334" s="44"/>
      <c r="AF334" s="44"/>
      <c r="AG334" s="44"/>
      <c r="AH334" s="44"/>
      <c r="AI334" s="44"/>
      <c r="AJ334" s="44"/>
      <c r="AK334" s="44"/>
      <c r="AL334" s="44">
        <f t="shared" si="382"/>
        <v>0</v>
      </c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>
        <f t="shared" si="383"/>
        <v>0</v>
      </c>
      <c r="BS334" s="312">
        <f t="shared" si="394"/>
        <v>0</v>
      </c>
      <c r="BT334" s="312">
        <f t="shared" si="395"/>
        <v>0</v>
      </c>
      <c r="BU334" s="312">
        <f t="shared" si="396"/>
        <v>0</v>
      </c>
      <c r="BV334" s="312">
        <f t="shared" si="397"/>
        <v>0</v>
      </c>
      <c r="BW334" s="313">
        <f t="shared" si="398"/>
        <v>0</v>
      </c>
      <c r="BX334" s="313">
        <f t="shared" si="399"/>
        <v>0</v>
      </c>
      <c r="BY334" s="313">
        <f t="shared" si="400"/>
        <v>0</v>
      </c>
      <c r="BZ334" s="313">
        <f t="shared" si="401"/>
        <v>0</v>
      </c>
      <c r="CA334" s="44"/>
      <c r="CB334" s="45">
        <f t="shared" si="384"/>
        <v>0</v>
      </c>
      <c r="CC334" s="46">
        <f t="shared" si="385"/>
        <v>0</v>
      </c>
      <c r="CD334" s="47">
        <f t="shared" si="386"/>
        <v>0</v>
      </c>
      <c r="CE334" s="62"/>
      <c r="CF334" s="237" t="e">
        <f>VLOOKUP(A334,labo!B:C,2,FALSE)</f>
        <v>#N/A</v>
      </c>
      <c r="CG334" s="106">
        <f t="shared" si="387"/>
        <v>0</v>
      </c>
      <c r="CI334" s="51"/>
      <c r="CJ334" s="51"/>
      <c r="CK334" s="251" t="e">
        <f t="shared" si="392"/>
        <v>#N/A</v>
      </c>
      <c r="CL334" s="323">
        <f t="shared" si="393"/>
        <v>0</v>
      </c>
      <c r="CM334" s="349"/>
    </row>
    <row r="335" spans="1:91">
      <c r="A335" s="77"/>
      <c r="B335" s="41" t="e">
        <f>VLOOKUP(A335,'vs mars'!B:D,3,FALSE)</f>
        <v>#N/A</v>
      </c>
      <c r="C335" s="42" t="e">
        <f>VLOOKUP(A335,'vs mars'!B:AC,28,FALSE)</f>
        <v>#N/A</v>
      </c>
      <c r="D335" s="77"/>
      <c r="E335" s="77"/>
      <c r="F335" s="43"/>
      <c r="G335" s="43"/>
      <c r="H335" s="43"/>
      <c r="I335" s="43"/>
      <c r="J335" s="44"/>
      <c r="K335" s="44"/>
      <c r="L335" s="45">
        <f t="shared" si="373"/>
        <v>0</v>
      </c>
      <c r="M335" s="45">
        <f t="shared" si="374"/>
        <v>0</v>
      </c>
      <c r="N335" s="45">
        <f t="shared" si="375"/>
        <v>0</v>
      </c>
      <c r="O335" s="45"/>
      <c r="P335" s="45"/>
      <c r="Q335" s="45"/>
      <c r="R335" s="45">
        <f t="shared" si="376"/>
        <v>0</v>
      </c>
      <c r="S335" s="45">
        <f t="shared" si="377"/>
        <v>0</v>
      </c>
      <c r="T335" s="45">
        <f t="shared" si="378"/>
        <v>0</v>
      </c>
      <c r="U335" s="45"/>
      <c r="V335" s="45"/>
      <c r="W335" s="45"/>
      <c r="X335" s="45"/>
      <c r="Y335" s="45"/>
      <c r="Z335" s="45"/>
      <c r="AA335" s="45"/>
      <c r="AB335" s="45">
        <f t="shared" si="379"/>
        <v>0</v>
      </c>
      <c r="AC335" s="45">
        <f t="shared" si="380"/>
        <v>0</v>
      </c>
      <c r="AD335" s="45">
        <f t="shared" si="381"/>
        <v>0</v>
      </c>
      <c r="AE335" s="44"/>
      <c r="AF335" s="44"/>
      <c r="AG335" s="44"/>
      <c r="AH335" s="44"/>
      <c r="AI335" s="44"/>
      <c r="AJ335" s="44"/>
      <c r="AK335" s="44"/>
      <c r="AL335" s="44">
        <f t="shared" si="382"/>
        <v>0</v>
      </c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>
        <f t="shared" si="383"/>
        <v>0</v>
      </c>
      <c r="BS335" s="312">
        <f t="shared" si="394"/>
        <v>0</v>
      </c>
      <c r="BT335" s="312">
        <f t="shared" si="395"/>
        <v>0</v>
      </c>
      <c r="BU335" s="312">
        <f t="shared" si="396"/>
        <v>0</v>
      </c>
      <c r="BV335" s="312">
        <f t="shared" si="397"/>
        <v>0</v>
      </c>
      <c r="BW335" s="313">
        <f t="shared" si="398"/>
        <v>0</v>
      </c>
      <c r="BX335" s="313">
        <f t="shared" si="399"/>
        <v>0</v>
      </c>
      <c r="BY335" s="313">
        <f t="shared" si="400"/>
        <v>0</v>
      </c>
      <c r="BZ335" s="313">
        <f t="shared" si="401"/>
        <v>0</v>
      </c>
      <c r="CA335" s="44"/>
      <c r="CB335" s="45">
        <f t="shared" si="384"/>
        <v>0</v>
      </c>
      <c r="CC335" s="46">
        <f t="shared" si="385"/>
        <v>0</v>
      </c>
      <c r="CD335" s="47">
        <f t="shared" si="386"/>
        <v>0</v>
      </c>
      <c r="CE335" s="62"/>
      <c r="CF335" s="237" t="e">
        <f>VLOOKUP(A335,labo!B:C,2,FALSE)</f>
        <v>#N/A</v>
      </c>
      <c r="CG335" s="106">
        <f t="shared" si="387"/>
        <v>0</v>
      </c>
      <c r="CI335" s="51"/>
      <c r="CJ335" s="51"/>
      <c r="CK335" s="251" t="e">
        <f t="shared" si="392"/>
        <v>#N/A</v>
      </c>
      <c r="CL335" s="323">
        <f t="shared" si="393"/>
        <v>0</v>
      </c>
      <c r="CM335" s="349"/>
    </row>
    <row r="336" spans="1:91">
      <c r="A336" s="77"/>
      <c r="B336" s="41" t="e">
        <f>VLOOKUP(A336,'vs mars'!B:D,3,FALSE)</f>
        <v>#N/A</v>
      </c>
      <c r="C336" s="42" t="e">
        <f>VLOOKUP(A336,'vs mars'!B:AC,28,FALSE)</f>
        <v>#N/A</v>
      </c>
      <c r="D336" s="77"/>
      <c r="E336" s="77"/>
      <c r="F336" s="43"/>
      <c r="G336" s="43"/>
      <c r="H336" s="43"/>
      <c r="I336" s="43"/>
      <c r="J336" s="44"/>
      <c r="K336" s="44"/>
      <c r="L336" s="45">
        <f t="shared" si="373"/>
        <v>0</v>
      </c>
      <c r="M336" s="45">
        <f t="shared" si="374"/>
        <v>0</v>
      </c>
      <c r="N336" s="45">
        <f t="shared" si="375"/>
        <v>0</v>
      </c>
      <c r="O336" s="45"/>
      <c r="P336" s="45"/>
      <c r="Q336" s="45"/>
      <c r="R336" s="45">
        <f t="shared" si="376"/>
        <v>0</v>
      </c>
      <c r="S336" s="45">
        <f t="shared" si="377"/>
        <v>0</v>
      </c>
      <c r="T336" s="45">
        <f t="shared" si="378"/>
        <v>0</v>
      </c>
      <c r="U336" s="45"/>
      <c r="V336" s="45"/>
      <c r="W336" s="45"/>
      <c r="X336" s="45"/>
      <c r="Y336" s="45"/>
      <c r="Z336" s="45"/>
      <c r="AA336" s="45"/>
      <c r="AB336" s="45">
        <f t="shared" si="379"/>
        <v>0</v>
      </c>
      <c r="AC336" s="45">
        <f t="shared" si="380"/>
        <v>0</v>
      </c>
      <c r="AD336" s="45">
        <f t="shared" si="381"/>
        <v>0</v>
      </c>
      <c r="AE336" s="44"/>
      <c r="AF336" s="44"/>
      <c r="AG336" s="44"/>
      <c r="AH336" s="44"/>
      <c r="AI336" s="44"/>
      <c r="AJ336" s="44"/>
      <c r="AK336" s="44"/>
      <c r="AL336" s="44">
        <f t="shared" si="382"/>
        <v>0</v>
      </c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>
        <f t="shared" si="383"/>
        <v>0</v>
      </c>
      <c r="BS336" s="312">
        <f t="shared" si="394"/>
        <v>0</v>
      </c>
      <c r="BT336" s="312">
        <f t="shared" si="395"/>
        <v>0</v>
      </c>
      <c r="BU336" s="312">
        <f t="shared" si="396"/>
        <v>0</v>
      </c>
      <c r="BV336" s="312">
        <f t="shared" si="397"/>
        <v>0</v>
      </c>
      <c r="BW336" s="313">
        <f t="shared" si="398"/>
        <v>0</v>
      </c>
      <c r="BX336" s="313">
        <f t="shared" si="399"/>
        <v>0</v>
      </c>
      <c r="BY336" s="313">
        <f t="shared" si="400"/>
        <v>0</v>
      </c>
      <c r="BZ336" s="313">
        <f t="shared" si="401"/>
        <v>0</v>
      </c>
      <c r="CA336" s="44"/>
      <c r="CB336" s="45">
        <f t="shared" si="384"/>
        <v>0</v>
      </c>
      <c r="CC336" s="46">
        <f t="shared" si="385"/>
        <v>0</v>
      </c>
      <c r="CD336" s="47">
        <f t="shared" si="386"/>
        <v>0</v>
      </c>
      <c r="CE336" s="62"/>
      <c r="CF336" s="237" t="e">
        <f>VLOOKUP(A336,labo!B:C,2,FALSE)</f>
        <v>#N/A</v>
      </c>
      <c r="CG336" s="106">
        <f t="shared" si="387"/>
        <v>0</v>
      </c>
      <c r="CI336" s="51"/>
      <c r="CJ336" s="51"/>
      <c r="CK336" s="251" t="e">
        <f t="shared" si="392"/>
        <v>#N/A</v>
      </c>
      <c r="CL336" s="323">
        <f t="shared" si="393"/>
        <v>0</v>
      </c>
      <c r="CM336" s="349"/>
    </row>
    <row r="337" spans="1:91">
      <c r="A337" s="77"/>
      <c r="B337" s="41" t="e">
        <f>VLOOKUP(A337,'vs mars'!B:D,3,FALSE)</f>
        <v>#N/A</v>
      </c>
      <c r="C337" s="42" t="e">
        <f>VLOOKUP(A337,'vs mars'!B:AC,28,FALSE)</f>
        <v>#N/A</v>
      </c>
      <c r="D337" s="77"/>
      <c r="E337" s="77"/>
      <c r="F337" s="43"/>
      <c r="G337" s="43"/>
      <c r="H337" s="43"/>
      <c r="I337" s="43"/>
      <c r="J337" s="44"/>
      <c r="K337" s="44"/>
      <c r="L337" s="45">
        <f t="shared" si="373"/>
        <v>0</v>
      </c>
      <c r="M337" s="45">
        <f t="shared" si="374"/>
        <v>0</v>
      </c>
      <c r="N337" s="45">
        <f t="shared" si="375"/>
        <v>0</v>
      </c>
      <c r="O337" s="45"/>
      <c r="P337" s="45"/>
      <c r="Q337" s="45"/>
      <c r="R337" s="45">
        <f t="shared" si="376"/>
        <v>0</v>
      </c>
      <c r="S337" s="45">
        <f t="shared" si="377"/>
        <v>0</v>
      </c>
      <c r="T337" s="45">
        <f t="shared" si="378"/>
        <v>0</v>
      </c>
      <c r="U337" s="45"/>
      <c r="V337" s="45"/>
      <c r="W337" s="45"/>
      <c r="X337" s="45"/>
      <c r="Y337" s="45"/>
      <c r="Z337" s="45"/>
      <c r="AA337" s="45"/>
      <c r="AB337" s="45">
        <f t="shared" si="379"/>
        <v>0</v>
      </c>
      <c r="AC337" s="45">
        <f t="shared" si="380"/>
        <v>0</v>
      </c>
      <c r="AD337" s="45">
        <f t="shared" si="381"/>
        <v>0</v>
      </c>
      <c r="AE337" s="44"/>
      <c r="AF337" s="44"/>
      <c r="AG337" s="44"/>
      <c r="AH337" s="44"/>
      <c r="AI337" s="44"/>
      <c r="AJ337" s="44"/>
      <c r="AK337" s="44"/>
      <c r="AL337" s="44">
        <f t="shared" si="382"/>
        <v>0</v>
      </c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>
        <f t="shared" si="383"/>
        <v>0</v>
      </c>
      <c r="BS337" s="312">
        <f t="shared" si="394"/>
        <v>0</v>
      </c>
      <c r="BT337" s="312">
        <f t="shared" si="395"/>
        <v>0</v>
      </c>
      <c r="BU337" s="312">
        <f t="shared" si="396"/>
        <v>0</v>
      </c>
      <c r="BV337" s="312">
        <f t="shared" si="397"/>
        <v>0</v>
      </c>
      <c r="BW337" s="313">
        <f t="shared" si="398"/>
        <v>0</v>
      </c>
      <c r="BX337" s="313">
        <f t="shared" si="399"/>
        <v>0</v>
      </c>
      <c r="BY337" s="313">
        <f t="shared" si="400"/>
        <v>0</v>
      </c>
      <c r="BZ337" s="313">
        <f t="shared" si="401"/>
        <v>0</v>
      </c>
      <c r="CA337" s="44"/>
      <c r="CB337" s="45">
        <f t="shared" si="384"/>
        <v>0</v>
      </c>
      <c r="CC337" s="46">
        <f t="shared" si="385"/>
        <v>0</v>
      </c>
      <c r="CD337" s="47">
        <f t="shared" si="386"/>
        <v>0</v>
      </c>
      <c r="CE337" s="62"/>
      <c r="CF337" s="237" t="e">
        <f>VLOOKUP(A337,labo!B:C,2,FALSE)</f>
        <v>#N/A</v>
      </c>
      <c r="CG337" s="106">
        <f t="shared" si="387"/>
        <v>0</v>
      </c>
      <c r="CI337" s="51"/>
      <c r="CJ337" s="51"/>
      <c r="CK337" s="251" t="e">
        <f t="shared" si="392"/>
        <v>#N/A</v>
      </c>
      <c r="CL337" s="323">
        <f t="shared" si="393"/>
        <v>0</v>
      </c>
      <c r="CM337" s="349"/>
    </row>
    <row r="338" spans="1:91">
      <c r="A338" s="77"/>
      <c r="B338" s="41" t="e">
        <f>VLOOKUP(A338,'vs mars'!B:D,3,FALSE)</f>
        <v>#N/A</v>
      </c>
      <c r="C338" s="42" t="e">
        <f>VLOOKUP(A338,'vs mars'!B:AC,28,FALSE)</f>
        <v>#N/A</v>
      </c>
      <c r="D338" s="77"/>
      <c r="E338" s="77"/>
      <c r="F338" s="43"/>
      <c r="G338" s="43"/>
      <c r="H338" s="43"/>
      <c r="I338" s="43"/>
      <c r="J338" s="44"/>
      <c r="K338" s="44"/>
      <c r="L338" s="45">
        <f t="shared" si="373"/>
        <v>0</v>
      </c>
      <c r="M338" s="45">
        <f t="shared" si="374"/>
        <v>0</v>
      </c>
      <c r="N338" s="45">
        <f t="shared" si="375"/>
        <v>0</v>
      </c>
      <c r="O338" s="45"/>
      <c r="P338" s="45"/>
      <c r="Q338" s="45"/>
      <c r="R338" s="45">
        <f t="shared" si="376"/>
        <v>0</v>
      </c>
      <c r="S338" s="45">
        <f t="shared" si="377"/>
        <v>0</v>
      </c>
      <c r="T338" s="45">
        <f t="shared" si="378"/>
        <v>0</v>
      </c>
      <c r="U338" s="45"/>
      <c r="V338" s="45"/>
      <c r="W338" s="45"/>
      <c r="X338" s="45"/>
      <c r="Y338" s="45"/>
      <c r="Z338" s="45"/>
      <c r="AA338" s="45"/>
      <c r="AB338" s="45">
        <f t="shared" si="379"/>
        <v>0</v>
      </c>
      <c r="AC338" s="45">
        <f t="shared" si="380"/>
        <v>0</v>
      </c>
      <c r="AD338" s="45">
        <f t="shared" si="381"/>
        <v>0</v>
      </c>
      <c r="AE338" s="44"/>
      <c r="AF338" s="44"/>
      <c r="AG338" s="44"/>
      <c r="AH338" s="44"/>
      <c r="AI338" s="44"/>
      <c r="AJ338" s="44"/>
      <c r="AK338" s="44"/>
      <c r="AL338" s="44">
        <f t="shared" si="382"/>
        <v>0</v>
      </c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>
        <f t="shared" si="383"/>
        <v>0</v>
      </c>
      <c r="BS338" s="312">
        <f t="shared" si="394"/>
        <v>0</v>
      </c>
      <c r="BT338" s="312">
        <f t="shared" si="395"/>
        <v>0</v>
      </c>
      <c r="BU338" s="312">
        <f t="shared" si="396"/>
        <v>0</v>
      </c>
      <c r="BV338" s="312">
        <f t="shared" si="397"/>
        <v>0</v>
      </c>
      <c r="BW338" s="313">
        <f t="shared" si="398"/>
        <v>0</v>
      </c>
      <c r="BX338" s="313">
        <f t="shared" si="399"/>
        <v>0</v>
      </c>
      <c r="BY338" s="313">
        <f t="shared" si="400"/>
        <v>0</v>
      </c>
      <c r="BZ338" s="313">
        <f t="shared" si="401"/>
        <v>0</v>
      </c>
      <c r="CA338" s="44"/>
      <c r="CB338" s="45">
        <f t="shared" si="384"/>
        <v>0</v>
      </c>
      <c r="CC338" s="46">
        <f t="shared" si="385"/>
        <v>0</v>
      </c>
      <c r="CD338" s="47">
        <f t="shared" si="386"/>
        <v>0</v>
      </c>
      <c r="CE338" s="62"/>
      <c r="CF338" s="237" t="e">
        <f>VLOOKUP(A338,labo!B:C,2,FALSE)</f>
        <v>#N/A</v>
      </c>
      <c r="CG338" s="106">
        <f t="shared" si="387"/>
        <v>0</v>
      </c>
      <c r="CI338" s="51"/>
      <c r="CJ338" s="51"/>
      <c r="CK338" s="251" t="e">
        <f t="shared" si="392"/>
        <v>#N/A</v>
      </c>
      <c r="CL338" s="323">
        <f t="shared" si="393"/>
        <v>0</v>
      </c>
      <c r="CM338" s="349"/>
    </row>
    <row r="339" spans="1:91">
      <c r="A339" s="77"/>
      <c r="B339" s="41" t="e">
        <f>VLOOKUP(A339,'vs mars'!B:D,3,FALSE)</f>
        <v>#N/A</v>
      </c>
      <c r="C339" s="42" t="e">
        <f>VLOOKUP(A339,'vs mars'!B:AC,28,FALSE)</f>
        <v>#N/A</v>
      </c>
      <c r="D339" s="77"/>
      <c r="E339" s="77"/>
      <c r="F339" s="43"/>
      <c r="G339" s="43"/>
      <c r="H339" s="43"/>
      <c r="I339" s="43"/>
      <c r="J339" s="44"/>
      <c r="K339" s="44"/>
      <c r="L339" s="45">
        <f t="shared" si="373"/>
        <v>0</v>
      </c>
      <c r="M339" s="45">
        <f t="shared" si="374"/>
        <v>0</v>
      </c>
      <c r="N339" s="45">
        <f t="shared" si="375"/>
        <v>0</v>
      </c>
      <c r="O339" s="45"/>
      <c r="P339" s="45"/>
      <c r="Q339" s="45"/>
      <c r="R339" s="45">
        <f t="shared" si="376"/>
        <v>0</v>
      </c>
      <c r="S339" s="45">
        <f t="shared" si="377"/>
        <v>0</v>
      </c>
      <c r="T339" s="45">
        <f t="shared" si="378"/>
        <v>0</v>
      </c>
      <c r="U339" s="45"/>
      <c r="V339" s="45"/>
      <c r="W339" s="45"/>
      <c r="X339" s="45"/>
      <c r="Y339" s="45"/>
      <c r="Z339" s="45"/>
      <c r="AA339" s="45"/>
      <c r="AB339" s="45">
        <f t="shared" si="379"/>
        <v>0</v>
      </c>
      <c r="AC339" s="45">
        <f t="shared" si="380"/>
        <v>0</v>
      </c>
      <c r="AD339" s="45">
        <f t="shared" si="381"/>
        <v>0</v>
      </c>
      <c r="AE339" s="44"/>
      <c r="AF339" s="44"/>
      <c r="AG339" s="44"/>
      <c r="AH339" s="44"/>
      <c r="AI339" s="44"/>
      <c r="AJ339" s="44"/>
      <c r="AK339" s="44"/>
      <c r="AL339" s="44">
        <f t="shared" si="382"/>
        <v>0</v>
      </c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>
        <f t="shared" si="383"/>
        <v>0</v>
      </c>
      <c r="BS339" s="312">
        <f t="shared" si="394"/>
        <v>0</v>
      </c>
      <c r="BT339" s="312">
        <f t="shared" si="395"/>
        <v>0</v>
      </c>
      <c r="BU339" s="312">
        <f t="shared" si="396"/>
        <v>0</v>
      </c>
      <c r="BV339" s="312">
        <f t="shared" si="397"/>
        <v>0</v>
      </c>
      <c r="BW339" s="313">
        <f t="shared" si="398"/>
        <v>0</v>
      </c>
      <c r="BX339" s="313">
        <f t="shared" si="399"/>
        <v>0</v>
      </c>
      <c r="BY339" s="313">
        <f t="shared" si="400"/>
        <v>0</v>
      </c>
      <c r="BZ339" s="313">
        <f t="shared" si="401"/>
        <v>0</v>
      </c>
      <c r="CA339" s="44"/>
      <c r="CB339" s="45">
        <f t="shared" si="384"/>
        <v>0</v>
      </c>
      <c r="CC339" s="46">
        <f t="shared" si="385"/>
        <v>0</v>
      </c>
      <c r="CD339" s="47">
        <f t="shared" si="386"/>
        <v>0</v>
      </c>
      <c r="CE339" s="62"/>
      <c r="CF339" s="237" t="e">
        <f>VLOOKUP(A339,labo!B:C,2,FALSE)</f>
        <v>#N/A</v>
      </c>
      <c r="CG339" s="106">
        <f t="shared" si="387"/>
        <v>0</v>
      </c>
      <c r="CI339" s="51"/>
      <c r="CJ339" s="51"/>
      <c r="CK339" s="251" t="e">
        <f t="shared" si="392"/>
        <v>#N/A</v>
      </c>
      <c r="CL339" s="323">
        <f t="shared" si="393"/>
        <v>0</v>
      </c>
      <c r="CM339" s="349"/>
    </row>
    <row r="340" spans="1:91">
      <c r="A340" s="77"/>
      <c r="B340" s="41" t="e">
        <f>VLOOKUP(A340,'vs mars'!B:D,3,FALSE)</f>
        <v>#N/A</v>
      </c>
      <c r="C340" s="42" t="e">
        <f>VLOOKUP(A340,'vs mars'!B:AC,28,FALSE)</f>
        <v>#N/A</v>
      </c>
      <c r="D340" s="77"/>
      <c r="E340" s="77"/>
      <c r="F340" s="43"/>
      <c r="G340" s="43"/>
      <c r="H340" s="43"/>
      <c r="I340" s="43"/>
      <c r="J340" s="44"/>
      <c r="K340" s="44"/>
      <c r="L340" s="45">
        <f t="shared" si="373"/>
        <v>0</v>
      </c>
      <c r="M340" s="45">
        <f t="shared" si="374"/>
        <v>0</v>
      </c>
      <c r="N340" s="45">
        <f t="shared" si="375"/>
        <v>0</v>
      </c>
      <c r="O340" s="45"/>
      <c r="P340" s="45"/>
      <c r="Q340" s="45"/>
      <c r="R340" s="45">
        <f t="shared" si="376"/>
        <v>0</v>
      </c>
      <c r="S340" s="45">
        <f t="shared" si="377"/>
        <v>0</v>
      </c>
      <c r="T340" s="45">
        <f t="shared" si="378"/>
        <v>0</v>
      </c>
      <c r="U340" s="45"/>
      <c r="V340" s="45"/>
      <c r="W340" s="45"/>
      <c r="X340" s="45"/>
      <c r="Y340" s="45"/>
      <c r="Z340" s="45"/>
      <c r="AA340" s="45"/>
      <c r="AB340" s="45">
        <f t="shared" si="379"/>
        <v>0</v>
      </c>
      <c r="AC340" s="45">
        <f t="shared" si="380"/>
        <v>0</v>
      </c>
      <c r="AD340" s="45">
        <f t="shared" si="381"/>
        <v>0</v>
      </c>
      <c r="AE340" s="44"/>
      <c r="AF340" s="44"/>
      <c r="AG340" s="44"/>
      <c r="AH340" s="44"/>
      <c r="AI340" s="44"/>
      <c r="AJ340" s="44"/>
      <c r="AK340" s="44"/>
      <c r="AL340" s="44">
        <f t="shared" si="382"/>
        <v>0</v>
      </c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4"/>
      <c r="BN340" s="44"/>
      <c r="BO340" s="44"/>
      <c r="BP340" s="44"/>
      <c r="BQ340" s="44"/>
      <c r="BR340" s="44">
        <f t="shared" si="383"/>
        <v>0</v>
      </c>
      <c r="BS340" s="312">
        <f t="shared" si="394"/>
        <v>0</v>
      </c>
      <c r="BT340" s="312">
        <f t="shared" si="395"/>
        <v>0</v>
      </c>
      <c r="BU340" s="312">
        <f t="shared" si="396"/>
        <v>0</v>
      </c>
      <c r="BV340" s="312">
        <f t="shared" si="397"/>
        <v>0</v>
      </c>
      <c r="BW340" s="313">
        <f t="shared" si="398"/>
        <v>0</v>
      </c>
      <c r="BX340" s="313">
        <f t="shared" si="399"/>
        <v>0</v>
      </c>
      <c r="BY340" s="313">
        <f t="shared" si="400"/>
        <v>0</v>
      </c>
      <c r="BZ340" s="313">
        <f t="shared" si="401"/>
        <v>0</v>
      </c>
      <c r="CA340" s="44"/>
      <c r="CB340" s="45">
        <f t="shared" si="384"/>
        <v>0</v>
      </c>
      <c r="CC340" s="46">
        <f t="shared" si="385"/>
        <v>0</v>
      </c>
      <c r="CD340" s="47">
        <f t="shared" si="386"/>
        <v>0</v>
      </c>
      <c r="CE340" s="62"/>
      <c r="CF340" s="237" t="e">
        <f>VLOOKUP(A340,labo!B:C,2,FALSE)</f>
        <v>#N/A</v>
      </c>
      <c r="CG340" s="106">
        <f t="shared" si="387"/>
        <v>0</v>
      </c>
      <c r="CI340" s="51"/>
      <c r="CJ340" s="51"/>
      <c r="CK340" s="251" t="e">
        <f t="shared" si="392"/>
        <v>#N/A</v>
      </c>
      <c r="CL340" s="323">
        <f t="shared" si="393"/>
        <v>0</v>
      </c>
      <c r="CM340" s="349"/>
    </row>
    <row r="341" spans="1:91">
      <c r="A341" s="77"/>
      <c r="B341" s="41" t="e">
        <f>VLOOKUP(A341,'vs mars'!B:D,3,FALSE)</f>
        <v>#N/A</v>
      </c>
      <c r="C341" s="42" t="e">
        <f>VLOOKUP(A341,'vs mars'!B:AC,28,FALSE)</f>
        <v>#N/A</v>
      </c>
      <c r="D341" s="77"/>
      <c r="E341" s="77"/>
      <c r="F341" s="43"/>
      <c r="G341" s="43"/>
      <c r="H341" s="43"/>
      <c r="I341" s="43"/>
      <c r="J341" s="44"/>
      <c r="K341" s="44"/>
      <c r="L341" s="45">
        <f t="shared" si="373"/>
        <v>0</v>
      </c>
      <c r="M341" s="45">
        <f t="shared" si="374"/>
        <v>0</v>
      </c>
      <c r="N341" s="45">
        <f t="shared" si="375"/>
        <v>0</v>
      </c>
      <c r="O341" s="45"/>
      <c r="P341" s="45"/>
      <c r="Q341" s="45"/>
      <c r="R341" s="45">
        <f t="shared" si="376"/>
        <v>0</v>
      </c>
      <c r="S341" s="45">
        <f t="shared" si="377"/>
        <v>0</v>
      </c>
      <c r="T341" s="45">
        <f t="shared" si="378"/>
        <v>0</v>
      </c>
      <c r="U341" s="45"/>
      <c r="V341" s="45"/>
      <c r="W341" s="45"/>
      <c r="X341" s="45"/>
      <c r="Y341" s="45"/>
      <c r="Z341" s="45"/>
      <c r="AA341" s="45"/>
      <c r="AB341" s="45">
        <f t="shared" si="379"/>
        <v>0</v>
      </c>
      <c r="AC341" s="45">
        <f t="shared" si="380"/>
        <v>0</v>
      </c>
      <c r="AD341" s="45">
        <f t="shared" si="381"/>
        <v>0</v>
      </c>
      <c r="AE341" s="44"/>
      <c r="AF341" s="44"/>
      <c r="AG341" s="44"/>
      <c r="AH341" s="44"/>
      <c r="AI341" s="44"/>
      <c r="AJ341" s="44"/>
      <c r="AK341" s="44"/>
      <c r="AL341" s="44">
        <f t="shared" si="382"/>
        <v>0</v>
      </c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>
        <f t="shared" si="383"/>
        <v>0</v>
      </c>
      <c r="BS341" s="312">
        <f t="shared" si="394"/>
        <v>0</v>
      </c>
      <c r="BT341" s="312">
        <f t="shared" si="395"/>
        <v>0</v>
      </c>
      <c r="BU341" s="312">
        <f t="shared" si="396"/>
        <v>0</v>
      </c>
      <c r="BV341" s="312">
        <f t="shared" si="397"/>
        <v>0</v>
      </c>
      <c r="BW341" s="313">
        <f t="shared" si="398"/>
        <v>0</v>
      </c>
      <c r="BX341" s="313">
        <f t="shared" si="399"/>
        <v>0</v>
      </c>
      <c r="BY341" s="313">
        <f t="shared" si="400"/>
        <v>0</v>
      </c>
      <c r="BZ341" s="313">
        <f t="shared" si="401"/>
        <v>0</v>
      </c>
      <c r="CA341" s="44"/>
      <c r="CB341" s="45">
        <f t="shared" si="384"/>
        <v>0</v>
      </c>
      <c r="CC341" s="46">
        <f t="shared" si="385"/>
        <v>0</v>
      </c>
      <c r="CD341" s="47">
        <f t="shared" si="386"/>
        <v>0</v>
      </c>
      <c r="CE341" s="62"/>
      <c r="CF341" s="237" t="e">
        <f>VLOOKUP(A341,labo!B:C,2,FALSE)</f>
        <v>#N/A</v>
      </c>
      <c r="CG341" s="106">
        <f t="shared" si="387"/>
        <v>0</v>
      </c>
      <c r="CI341" s="51"/>
      <c r="CJ341" s="51"/>
      <c r="CK341" s="251" t="e">
        <f t="shared" si="392"/>
        <v>#N/A</v>
      </c>
      <c r="CL341" s="323">
        <f t="shared" si="393"/>
        <v>0</v>
      </c>
      <c r="CM341" s="349"/>
    </row>
    <row r="342" spans="1:91">
      <c r="A342" s="77"/>
      <c r="B342" s="41" t="e">
        <f>VLOOKUP(A342,'vs mars'!B:D,3,FALSE)</f>
        <v>#N/A</v>
      </c>
      <c r="C342" s="42" t="e">
        <f>VLOOKUP(A342,'vs mars'!B:AC,28,FALSE)</f>
        <v>#N/A</v>
      </c>
      <c r="D342" s="77"/>
      <c r="E342" s="77"/>
      <c r="F342" s="43"/>
      <c r="G342" s="43"/>
      <c r="H342" s="43"/>
      <c r="I342" s="43"/>
      <c r="J342" s="44"/>
      <c r="K342" s="44"/>
      <c r="L342" s="45">
        <f t="shared" si="373"/>
        <v>0</v>
      </c>
      <c r="M342" s="45">
        <f t="shared" si="374"/>
        <v>0</v>
      </c>
      <c r="N342" s="45">
        <f t="shared" si="375"/>
        <v>0</v>
      </c>
      <c r="O342" s="45"/>
      <c r="P342" s="45"/>
      <c r="Q342" s="45"/>
      <c r="R342" s="45">
        <f t="shared" si="376"/>
        <v>0</v>
      </c>
      <c r="S342" s="45">
        <f t="shared" si="377"/>
        <v>0</v>
      </c>
      <c r="T342" s="45">
        <f t="shared" si="378"/>
        <v>0</v>
      </c>
      <c r="U342" s="45"/>
      <c r="V342" s="45"/>
      <c r="W342" s="45"/>
      <c r="X342" s="45"/>
      <c r="Y342" s="45"/>
      <c r="Z342" s="45"/>
      <c r="AA342" s="45"/>
      <c r="AB342" s="45">
        <f t="shared" si="379"/>
        <v>0</v>
      </c>
      <c r="AC342" s="45">
        <f t="shared" si="380"/>
        <v>0</v>
      </c>
      <c r="AD342" s="45">
        <f t="shared" si="381"/>
        <v>0</v>
      </c>
      <c r="AE342" s="44"/>
      <c r="AF342" s="44"/>
      <c r="AG342" s="44"/>
      <c r="AH342" s="44"/>
      <c r="AI342" s="44"/>
      <c r="AJ342" s="44"/>
      <c r="AK342" s="44"/>
      <c r="AL342" s="44">
        <f t="shared" si="382"/>
        <v>0</v>
      </c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>
        <f t="shared" si="383"/>
        <v>0</v>
      </c>
      <c r="BS342" s="312">
        <f t="shared" si="394"/>
        <v>0</v>
      </c>
      <c r="BT342" s="312">
        <f t="shared" si="395"/>
        <v>0</v>
      </c>
      <c r="BU342" s="312">
        <f t="shared" si="396"/>
        <v>0</v>
      </c>
      <c r="BV342" s="312">
        <f t="shared" si="397"/>
        <v>0</v>
      </c>
      <c r="BW342" s="313">
        <f t="shared" si="398"/>
        <v>0</v>
      </c>
      <c r="BX342" s="313">
        <f t="shared" si="399"/>
        <v>0</v>
      </c>
      <c r="BY342" s="313">
        <f t="shared" si="400"/>
        <v>0</v>
      </c>
      <c r="BZ342" s="313">
        <f t="shared" si="401"/>
        <v>0</v>
      </c>
      <c r="CA342" s="44"/>
      <c r="CB342" s="45">
        <f t="shared" si="384"/>
        <v>0</v>
      </c>
      <c r="CC342" s="46">
        <f t="shared" si="385"/>
        <v>0</v>
      </c>
      <c r="CD342" s="47">
        <f t="shared" si="386"/>
        <v>0</v>
      </c>
      <c r="CE342" s="62"/>
      <c r="CF342" s="237" t="e">
        <f>VLOOKUP(A342,labo!B:C,2,FALSE)</f>
        <v>#N/A</v>
      </c>
      <c r="CG342" s="106">
        <f t="shared" si="387"/>
        <v>0</v>
      </c>
      <c r="CI342" s="51"/>
      <c r="CJ342" s="51"/>
      <c r="CK342" s="251" t="e">
        <f t="shared" si="392"/>
        <v>#N/A</v>
      </c>
      <c r="CL342" s="323">
        <f t="shared" si="393"/>
        <v>0</v>
      </c>
      <c r="CM342" s="349"/>
    </row>
    <row r="343" spans="1:91" ht="15.75" thickBot="1">
      <c r="A343" s="77"/>
      <c r="B343" s="41" t="e">
        <f>VLOOKUP(A343,'vs mars'!B:D,3,FALSE)</f>
        <v>#N/A</v>
      </c>
      <c r="C343" s="42" t="e">
        <f>VLOOKUP(A343,'vs mars'!B:AC,28,FALSE)</f>
        <v>#N/A</v>
      </c>
      <c r="D343" s="77"/>
      <c r="E343" s="77"/>
      <c r="F343" s="43"/>
      <c r="G343" s="43"/>
      <c r="H343" s="43"/>
      <c r="I343" s="43"/>
      <c r="J343" s="44"/>
      <c r="K343" s="44"/>
      <c r="L343" s="45">
        <f t="shared" si="373"/>
        <v>0</v>
      </c>
      <c r="M343" s="45">
        <f t="shared" si="374"/>
        <v>0</v>
      </c>
      <c r="N343" s="45">
        <f t="shared" si="375"/>
        <v>0</v>
      </c>
      <c r="O343" s="45"/>
      <c r="P343" s="45"/>
      <c r="Q343" s="45"/>
      <c r="R343" s="45">
        <f t="shared" si="376"/>
        <v>0</v>
      </c>
      <c r="S343" s="45">
        <f t="shared" si="377"/>
        <v>0</v>
      </c>
      <c r="T343" s="45">
        <f t="shared" si="378"/>
        <v>0</v>
      </c>
      <c r="U343" s="45"/>
      <c r="V343" s="45"/>
      <c r="W343" s="45"/>
      <c r="X343" s="45"/>
      <c r="Y343" s="45"/>
      <c r="Z343" s="45"/>
      <c r="AA343" s="45"/>
      <c r="AB343" s="45">
        <f t="shared" si="379"/>
        <v>0</v>
      </c>
      <c r="AC343" s="45">
        <f t="shared" si="380"/>
        <v>0</v>
      </c>
      <c r="AD343" s="45">
        <f t="shared" si="381"/>
        <v>0</v>
      </c>
      <c r="AE343" s="44"/>
      <c r="AF343" s="44"/>
      <c r="AG343" s="44"/>
      <c r="AH343" s="44"/>
      <c r="AI343" s="44"/>
      <c r="AJ343" s="44"/>
      <c r="AK343" s="44"/>
      <c r="AL343" s="44">
        <f t="shared" si="382"/>
        <v>0</v>
      </c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>
        <f t="shared" si="383"/>
        <v>0</v>
      </c>
      <c r="BS343" s="312">
        <f t="shared" si="394"/>
        <v>0</v>
      </c>
      <c r="BT343" s="312">
        <f t="shared" si="395"/>
        <v>0</v>
      </c>
      <c r="BU343" s="312">
        <f t="shared" si="396"/>
        <v>0</v>
      </c>
      <c r="BV343" s="312">
        <f t="shared" si="397"/>
        <v>0</v>
      </c>
      <c r="BW343" s="313">
        <f t="shared" si="398"/>
        <v>0</v>
      </c>
      <c r="BX343" s="313">
        <f t="shared" si="399"/>
        <v>0</v>
      </c>
      <c r="BY343" s="313">
        <f t="shared" si="400"/>
        <v>0</v>
      </c>
      <c r="BZ343" s="313">
        <f t="shared" si="401"/>
        <v>0</v>
      </c>
      <c r="CA343" s="44"/>
      <c r="CB343" s="45">
        <f t="shared" si="384"/>
        <v>0</v>
      </c>
      <c r="CC343" s="46">
        <f t="shared" si="385"/>
        <v>0</v>
      </c>
      <c r="CD343" s="47">
        <f t="shared" si="386"/>
        <v>0</v>
      </c>
      <c r="CE343" s="62"/>
      <c r="CF343" s="237" t="e">
        <f>VLOOKUP(A343,labo!B:C,2,FALSE)</f>
        <v>#N/A</v>
      </c>
      <c r="CG343" s="106">
        <f t="shared" si="387"/>
        <v>0</v>
      </c>
      <c r="CI343" s="51"/>
      <c r="CJ343" s="51"/>
      <c r="CK343" s="251" t="e">
        <f t="shared" si="392"/>
        <v>#N/A</v>
      </c>
      <c r="CL343" s="323">
        <f t="shared" si="393"/>
        <v>0</v>
      </c>
      <c r="CM343" s="349"/>
    </row>
    <row r="344" spans="1:91" ht="15.75" thickBot="1">
      <c r="A344" s="310" t="s">
        <v>178</v>
      </c>
      <c r="B344" s="310"/>
      <c r="C344" s="36"/>
      <c r="D344" s="37"/>
      <c r="E344" s="48">
        <f t="shared" ref="E344:AJ344" si="402">SUM(E2:E343)</f>
        <v>491200</v>
      </c>
      <c r="F344" s="48">
        <f t="shared" si="402"/>
        <v>51300</v>
      </c>
      <c r="G344" s="48">
        <f t="shared" si="402"/>
        <v>71500</v>
      </c>
      <c r="H344" s="48">
        <f t="shared" si="402"/>
        <v>0</v>
      </c>
      <c r="I344" s="48">
        <f t="shared" si="402"/>
        <v>391174</v>
      </c>
      <c r="J344" s="48">
        <f t="shared" si="402"/>
        <v>96819278.545454532</v>
      </c>
      <c r="K344" s="48">
        <f t="shared" si="402"/>
        <v>9673987.3636363633</v>
      </c>
      <c r="L344" s="48">
        <f t="shared" si="402"/>
        <v>1062932.6590909089</v>
      </c>
      <c r="M344" s="48">
        <f t="shared" si="402"/>
        <v>6590182.4863636354</v>
      </c>
      <c r="N344" s="48">
        <f t="shared" si="402"/>
        <v>2977476.7287272732</v>
      </c>
      <c r="O344" s="48">
        <f t="shared" si="402"/>
        <v>21167173</v>
      </c>
      <c r="P344" s="48">
        <f t="shared" si="402"/>
        <v>1007500</v>
      </c>
      <c r="Q344" s="48">
        <f t="shared" si="402"/>
        <v>5031410</v>
      </c>
      <c r="R344" s="48">
        <f>SUM(R2:R343)</f>
        <v>262060.8299999999</v>
      </c>
      <c r="S344" s="48">
        <f t="shared" si="402"/>
        <v>1624777.1460000004</v>
      </c>
      <c r="T344" s="48">
        <f t="shared" si="402"/>
        <v>733770.32400000014</v>
      </c>
      <c r="U344" s="48">
        <f t="shared" si="402"/>
        <v>0</v>
      </c>
      <c r="V344" s="48">
        <f t="shared" si="402"/>
        <v>2362815.0909090908</v>
      </c>
      <c r="W344" s="48">
        <f t="shared" si="402"/>
        <v>13578984.181818182</v>
      </c>
      <c r="X344" s="48">
        <f t="shared" si="402"/>
        <v>0</v>
      </c>
      <c r="Y344" s="48">
        <f t="shared" si="402"/>
        <v>0</v>
      </c>
      <c r="Z344" s="48">
        <f t="shared" si="402"/>
        <v>33750.909090909088</v>
      </c>
      <c r="AA344" s="48">
        <f t="shared" si="402"/>
        <v>0</v>
      </c>
      <c r="AB344" s="48">
        <f t="shared" si="402"/>
        <v>159755.5018181818</v>
      </c>
      <c r="AC344" s="48">
        <f t="shared" si="402"/>
        <v>990484.11127272714</v>
      </c>
      <c r="AD344" s="48">
        <f t="shared" si="402"/>
        <v>447315.4050909091</v>
      </c>
      <c r="AE344" s="48">
        <f t="shared" si="402"/>
        <v>10418401</v>
      </c>
      <c r="AF344" s="48">
        <f t="shared" si="402"/>
        <v>0</v>
      </c>
      <c r="AG344" s="48">
        <f t="shared" si="402"/>
        <v>783701</v>
      </c>
      <c r="AH344" s="48">
        <f t="shared" si="402"/>
        <v>18150000</v>
      </c>
      <c r="AI344" s="48">
        <f t="shared" si="402"/>
        <v>606000</v>
      </c>
      <c r="AJ344" s="48">
        <f t="shared" si="402"/>
        <v>307149.25</v>
      </c>
      <c r="AK344" s="48">
        <f t="shared" ref="AK344:BP344" si="403">SUM(AK2:AK343)</f>
        <v>23630.25</v>
      </c>
      <c r="AL344" s="48">
        <f t="shared" si="403"/>
        <v>23630.25</v>
      </c>
      <c r="AM344" s="48">
        <f t="shared" si="403"/>
        <v>118131.25</v>
      </c>
      <c r="AN344" s="48">
        <f t="shared" si="403"/>
        <v>18419851</v>
      </c>
      <c r="AO344" s="48">
        <f t="shared" si="403"/>
        <v>0</v>
      </c>
      <c r="AP344" s="48">
        <f t="shared" si="403"/>
        <v>0</v>
      </c>
      <c r="AQ344" s="48">
        <f t="shared" si="403"/>
        <v>0</v>
      </c>
      <c r="AR344" s="48">
        <f t="shared" si="403"/>
        <v>0</v>
      </c>
      <c r="AS344" s="48">
        <f t="shared" si="403"/>
        <v>0</v>
      </c>
      <c r="AT344" s="48">
        <f t="shared" si="403"/>
        <v>574891</v>
      </c>
      <c r="AU344" s="48">
        <f t="shared" si="403"/>
        <v>0</v>
      </c>
      <c r="AV344" s="48">
        <f t="shared" si="403"/>
        <v>0</v>
      </c>
      <c r="AW344" s="48">
        <f t="shared" si="403"/>
        <v>0</v>
      </c>
      <c r="AX344" s="48">
        <f t="shared" si="403"/>
        <v>0</v>
      </c>
      <c r="AY344" s="48">
        <f t="shared" si="403"/>
        <v>440</v>
      </c>
      <c r="AZ344" s="48">
        <f t="shared" si="403"/>
        <v>0</v>
      </c>
      <c r="BA344" s="48">
        <f t="shared" si="403"/>
        <v>0</v>
      </c>
      <c r="BB344" s="48">
        <f t="shared" si="403"/>
        <v>0</v>
      </c>
      <c r="BC344" s="48">
        <f t="shared" si="403"/>
        <v>0</v>
      </c>
      <c r="BD344" s="48">
        <f t="shared" si="403"/>
        <v>0</v>
      </c>
      <c r="BE344" s="48">
        <f t="shared" si="403"/>
        <v>2615265</v>
      </c>
      <c r="BF344" s="48">
        <f t="shared" si="403"/>
        <v>1221482</v>
      </c>
      <c r="BG344" s="48">
        <f t="shared" si="403"/>
        <v>1489410</v>
      </c>
      <c r="BH344" s="48">
        <f t="shared" si="403"/>
        <v>0</v>
      </c>
      <c r="BI344" s="48">
        <f t="shared" si="403"/>
        <v>0</v>
      </c>
      <c r="BJ344" s="48">
        <f t="shared" si="403"/>
        <v>0</v>
      </c>
      <c r="BK344" s="48">
        <f t="shared" si="403"/>
        <v>0</v>
      </c>
      <c r="BL344" s="48">
        <f t="shared" si="403"/>
        <v>0</v>
      </c>
      <c r="BM344" s="48">
        <f t="shared" si="403"/>
        <v>0</v>
      </c>
      <c r="BN344" s="48">
        <f t="shared" si="403"/>
        <v>0</v>
      </c>
      <c r="BO344" s="48">
        <f t="shared" si="403"/>
        <v>0</v>
      </c>
      <c r="BP344" s="48">
        <f t="shared" si="403"/>
        <v>0</v>
      </c>
      <c r="BQ344" s="48">
        <f t="shared" ref="BQ344:CC344" si="404">SUM(BQ2:BQ343)</f>
        <v>585258.30000000005</v>
      </c>
      <c r="BR344" s="48">
        <f t="shared" si="404"/>
        <v>68499.366666666669</v>
      </c>
      <c r="BS344" s="48">
        <f>SUM(BS2:BS343)</f>
        <v>28560</v>
      </c>
      <c r="BT344" s="48">
        <f t="shared" si="404"/>
        <v>51408</v>
      </c>
      <c r="BU344" s="48">
        <f t="shared" si="404"/>
        <v>51408</v>
      </c>
      <c r="BV344" s="48">
        <f t="shared" si="404"/>
        <v>154224</v>
      </c>
      <c r="BW344" s="48">
        <f t="shared" si="404"/>
        <v>8534.5</v>
      </c>
      <c r="BX344" s="48">
        <f t="shared" si="404"/>
        <v>15362.1</v>
      </c>
      <c r="BY344" s="48">
        <f t="shared" si="404"/>
        <v>15362.1</v>
      </c>
      <c r="BZ344" s="48">
        <f t="shared" si="404"/>
        <v>46086.3</v>
      </c>
      <c r="CA344" s="48">
        <f t="shared" si="404"/>
        <v>2</v>
      </c>
      <c r="CB344" s="49">
        <f t="shared" si="404"/>
        <v>221305514.94993937</v>
      </c>
      <c r="CC344" s="49">
        <f t="shared" si="404"/>
        <v>79468439.704545453</v>
      </c>
      <c r="CD344" s="49">
        <f>E344+H344+I344+J344+K344+O344+P344+Q344+U344+V344+W344+X344+Y344+Z344+AA344+AE344+AF344+AG344+AH344+AI344+AJ344+AN344+AO344+AT344+AU344+AV344+AW344+AY344+BA344+BB344</f>
        <v>199817706.34090906</v>
      </c>
      <c r="CG344" s="48">
        <f>SUM(CG2:CG343)</f>
        <v>14739148.272727273</v>
      </c>
      <c r="CI344" s="51"/>
      <c r="CJ344" s="51"/>
      <c r="CK344" s="51"/>
      <c r="CL344" s="51"/>
      <c r="CM344" s="336"/>
    </row>
    <row r="345" spans="1:91" s="51" customFormat="1" ht="15.75" thickBot="1">
      <c r="E345" s="37" t="s">
        <v>189</v>
      </c>
      <c r="F345" s="37" t="s">
        <v>176</v>
      </c>
      <c r="G345" s="2" t="s">
        <v>2169</v>
      </c>
      <c r="H345" s="37" t="s">
        <v>190</v>
      </c>
      <c r="I345" s="37" t="s">
        <v>191</v>
      </c>
      <c r="J345" s="35" t="s">
        <v>137</v>
      </c>
      <c r="K345" s="35" t="s">
        <v>1997</v>
      </c>
      <c r="L345" s="35" t="s">
        <v>176</v>
      </c>
      <c r="M345" s="35" t="s">
        <v>138</v>
      </c>
      <c r="N345" s="35" t="s">
        <v>140</v>
      </c>
      <c r="O345" s="35" t="s">
        <v>141</v>
      </c>
      <c r="P345" s="2" t="s">
        <v>291</v>
      </c>
      <c r="Q345" s="35" t="s">
        <v>130</v>
      </c>
      <c r="R345" s="35" t="s">
        <v>176</v>
      </c>
      <c r="S345" s="35" t="s">
        <v>142</v>
      </c>
      <c r="T345" s="35" t="s">
        <v>144</v>
      </c>
      <c r="U345" s="35" t="s">
        <v>182</v>
      </c>
      <c r="V345" s="35" t="s">
        <v>181</v>
      </c>
      <c r="W345" s="35" t="s">
        <v>129</v>
      </c>
      <c r="X345" s="35" t="s">
        <v>179</v>
      </c>
      <c r="Y345" s="35" t="s">
        <v>180</v>
      </c>
      <c r="Z345" s="35" t="s">
        <v>1589</v>
      </c>
      <c r="AA345" s="35" t="s">
        <v>135</v>
      </c>
      <c r="AB345" s="35" t="s">
        <v>176</v>
      </c>
      <c r="AC345" s="35" t="s">
        <v>131</v>
      </c>
      <c r="AD345" s="35" t="s">
        <v>133</v>
      </c>
      <c r="AE345" s="35" t="s">
        <v>134</v>
      </c>
      <c r="AF345" s="35" t="s">
        <v>2126</v>
      </c>
      <c r="AG345" s="35" t="s">
        <v>136</v>
      </c>
      <c r="AH345" s="35" t="s">
        <v>145</v>
      </c>
      <c r="AI345" s="35" t="s">
        <v>146</v>
      </c>
      <c r="AJ345" s="35" t="s">
        <v>147</v>
      </c>
      <c r="AK345" s="35" t="s">
        <v>148</v>
      </c>
      <c r="AL345" s="35" t="s">
        <v>149</v>
      </c>
      <c r="AM345" s="35" t="s">
        <v>150</v>
      </c>
      <c r="AN345" s="35" t="s">
        <v>151</v>
      </c>
      <c r="AO345" s="35" t="s">
        <v>152</v>
      </c>
      <c r="AP345" s="35" t="s">
        <v>176</v>
      </c>
      <c r="AQ345" s="35" t="s">
        <v>153</v>
      </c>
      <c r="AR345" s="35" t="s">
        <v>154</v>
      </c>
      <c r="AS345" s="35" t="s">
        <v>155</v>
      </c>
      <c r="AT345" s="35" t="s">
        <v>156</v>
      </c>
      <c r="AU345" s="35" t="s">
        <v>183</v>
      </c>
      <c r="AV345" s="35" t="s">
        <v>157</v>
      </c>
      <c r="AW345" s="35" t="s">
        <v>158</v>
      </c>
      <c r="AX345" s="2" t="s">
        <v>2171</v>
      </c>
      <c r="AY345" s="35" t="s">
        <v>159</v>
      </c>
      <c r="AZ345" s="2" t="s">
        <v>2170</v>
      </c>
      <c r="BA345" s="35" t="s">
        <v>160</v>
      </c>
      <c r="BB345" s="35" t="s">
        <v>161</v>
      </c>
      <c r="BC345" s="35" t="s">
        <v>176</v>
      </c>
      <c r="BD345" s="2" t="s">
        <v>2172</v>
      </c>
      <c r="CF345" s="239"/>
      <c r="CH345" s="40"/>
      <c r="CM345" s="336"/>
    </row>
    <row r="346" spans="1:91" s="51" customFormat="1">
      <c r="CC346" s="51">
        <f>CB344-CD344</f>
        <v>21487808.609030306</v>
      </c>
      <c r="CF346" s="239"/>
      <c r="CH346" s="40"/>
      <c r="CM346" s="336"/>
    </row>
    <row r="347" spans="1:91" s="51" customFormat="1">
      <c r="C347" s="51" t="s">
        <v>2244</v>
      </c>
      <c r="D347" s="51">
        <f>+M344+S344+AC344+AQ344+BJ344+BO344+BT344+BX344+CONTROLES!L279+CONTROLES!R279+CONTROLES!AB279+CONTROLES!AP279+CONTROLES!BF279+CONTROLES!BK279+CONTROLES!BP279+CONTROLES!BT279+'point sur les patentes'!G143+'point sur les patentes'!L143</f>
        <v>12487305.585409088</v>
      </c>
      <c r="CF347" s="239"/>
      <c r="CH347" s="40"/>
      <c r="CM347" s="336"/>
    </row>
    <row r="348" spans="1:91" s="51" customFormat="1">
      <c r="D348" s="736"/>
      <c r="E348" s="736"/>
      <c r="CB348" s="51">
        <f>+'vs mars'!X425</f>
        <v>0</v>
      </c>
      <c r="CF348" s="239"/>
      <c r="CH348" s="40"/>
      <c r="CM348" s="336"/>
    </row>
    <row r="349" spans="1:91" s="51" customFormat="1">
      <c r="D349" s="737"/>
      <c r="E349" s="736"/>
      <c r="CC349" s="328">
        <f>CD344-CB348</f>
        <v>199817706.34090906</v>
      </c>
      <c r="CF349" s="239"/>
      <c r="CH349" s="40"/>
      <c r="CM349" s="336"/>
    </row>
    <row r="350" spans="1:91" s="51" customFormat="1">
      <c r="D350" s="736"/>
      <c r="E350" s="736"/>
      <c r="CF350" s="239"/>
      <c r="CH350" s="40"/>
      <c r="CM350" s="336"/>
    </row>
    <row r="351" spans="1:91" s="51" customFormat="1">
      <c r="D351" s="736">
        <f>AH344+AI344+AJ344+AN344+AU344+AY344+AT344</f>
        <v>38058331.25</v>
      </c>
      <c r="E351" s="736"/>
      <c r="CF351" s="239"/>
      <c r="CH351" s="40"/>
      <c r="CM351" s="336"/>
    </row>
    <row r="352" spans="1:91" s="51" customFormat="1">
      <c r="CF352" s="239"/>
      <c r="CH352" s="40"/>
      <c r="CM352" s="336"/>
    </row>
    <row r="353" spans="84:91" s="51" customFormat="1">
      <c r="CF353" s="239"/>
      <c r="CH353" s="40"/>
      <c r="CM353" s="336"/>
    </row>
    <row r="354" spans="84:91" s="51" customFormat="1">
      <c r="CF354" s="239"/>
      <c r="CH354" s="40"/>
      <c r="CM354" s="336"/>
    </row>
    <row r="355" spans="84:91" s="51" customFormat="1">
      <c r="CF355" s="239"/>
      <c r="CH355" s="40"/>
      <c r="CM355" s="336"/>
    </row>
    <row r="356" spans="84:91" s="51" customFormat="1">
      <c r="CF356" s="239"/>
      <c r="CH356" s="40"/>
      <c r="CM356" s="336"/>
    </row>
    <row r="357" spans="84:91" s="51" customFormat="1">
      <c r="CF357" s="239"/>
      <c r="CH357" s="40"/>
      <c r="CM357" s="336"/>
    </row>
    <row r="358" spans="84:91" s="51" customFormat="1">
      <c r="CF358" s="239"/>
      <c r="CH358" s="40"/>
      <c r="CM358" s="336"/>
    </row>
    <row r="359" spans="84:91" s="51" customFormat="1">
      <c r="CF359" s="239"/>
      <c r="CH359" s="40"/>
      <c r="CM359" s="336"/>
    </row>
    <row r="360" spans="84:91" s="51" customFormat="1">
      <c r="CF360" s="239"/>
      <c r="CH360" s="40"/>
      <c r="CM360" s="336"/>
    </row>
    <row r="361" spans="84:91" s="51" customFormat="1">
      <c r="CF361" s="239"/>
      <c r="CH361" s="40"/>
      <c r="CM361" s="336"/>
    </row>
    <row r="362" spans="84:91" s="51" customFormat="1">
      <c r="CF362" s="239"/>
      <c r="CH362" s="40"/>
      <c r="CM362" s="336"/>
    </row>
    <row r="363" spans="84:91" s="51" customFormat="1">
      <c r="CF363" s="239"/>
      <c r="CH363" s="40"/>
      <c r="CM363" s="336"/>
    </row>
    <row r="364" spans="84:91" s="51" customFormat="1">
      <c r="CF364" s="239"/>
      <c r="CH364" s="40"/>
      <c r="CM364" s="336"/>
    </row>
    <row r="365" spans="84:91" s="51" customFormat="1">
      <c r="CF365" s="239"/>
      <c r="CH365" s="40"/>
      <c r="CM365" s="336"/>
    </row>
    <row r="366" spans="84:91" s="51" customFormat="1">
      <c r="CF366" s="239"/>
      <c r="CH366" s="40"/>
      <c r="CM366" s="336"/>
    </row>
    <row r="367" spans="84:91" s="51" customFormat="1">
      <c r="CF367" s="239"/>
      <c r="CH367" s="40"/>
      <c r="CM367" s="336"/>
    </row>
    <row r="368" spans="84:91" s="51" customFormat="1">
      <c r="CF368" s="239"/>
      <c r="CH368" s="40"/>
      <c r="CM368" s="336"/>
    </row>
    <row r="369" spans="84:91" s="51" customFormat="1">
      <c r="CF369" s="239"/>
      <c r="CH369" s="40"/>
      <c r="CM369" s="336"/>
    </row>
    <row r="370" spans="84:91" s="51" customFormat="1">
      <c r="CF370" s="239"/>
      <c r="CH370" s="40"/>
      <c r="CM370" s="336"/>
    </row>
    <row r="371" spans="84:91" s="51" customFormat="1">
      <c r="CF371" s="239"/>
      <c r="CH371" s="40"/>
      <c r="CM371" s="336"/>
    </row>
    <row r="372" spans="84:91" s="51" customFormat="1">
      <c r="CF372" s="239"/>
      <c r="CH372" s="40"/>
      <c r="CM372" s="336"/>
    </row>
    <row r="373" spans="84:91" s="51" customFormat="1">
      <c r="CF373" s="239"/>
      <c r="CH373" s="40"/>
      <c r="CM373" s="336"/>
    </row>
    <row r="374" spans="84:91" s="51" customFormat="1">
      <c r="CF374" s="239"/>
      <c r="CH374" s="40"/>
      <c r="CM374" s="336"/>
    </row>
    <row r="375" spans="84:91" s="51" customFormat="1">
      <c r="CF375" s="239"/>
      <c r="CH375" s="40"/>
      <c r="CM375" s="336"/>
    </row>
    <row r="376" spans="84:91" s="51" customFormat="1">
      <c r="CF376" s="239"/>
      <c r="CH376" s="40"/>
      <c r="CM376" s="336"/>
    </row>
    <row r="377" spans="84:91" s="51" customFormat="1">
      <c r="CF377" s="239"/>
      <c r="CH377" s="40"/>
      <c r="CM377" s="336"/>
    </row>
    <row r="378" spans="84:91" s="51" customFormat="1">
      <c r="CF378" s="239"/>
      <c r="CH378" s="40"/>
      <c r="CM378" s="336"/>
    </row>
    <row r="379" spans="84:91" s="51" customFormat="1">
      <c r="CF379" s="239"/>
      <c r="CH379" s="40"/>
      <c r="CM379" s="336"/>
    </row>
    <row r="380" spans="84:91" s="51" customFormat="1">
      <c r="CF380" s="239"/>
      <c r="CH380" s="40"/>
      <c r="CM380" s="336"/>
    </row>
    <row r="381" spans="84:91" s="51" customFormat="1">
      <c r="CF381" s="239"/>
      <c r="CH381" s="40"/>
      <c r="CM381" s="336"/>
    </row>
    <row r="382" spans="84:91" s="51" customFormat="1">
      <c r="CF382" s="239"/>
      <c r="CH382" s="40"/>
      <c r="CM382" s="336"/>
    </row>
    <row r="383" spans="84:91" s="51" customFormat="1">
      <c r="CF383" s="239"/>
      <c r="CH383" s="40"/>
      <c r="CM383" s="336"/>
    </row>
    <row r="384" spans="84:91" s="51" customFormat="1">
      <c r="CF384" s="239"/>
      <c r="CH384" s="40"/>
      <c r="CM384" s="336"/>
    </row>
    <row r="385" spans="84:91" s="51" customFormat="1">
      <c r="CF385" s="239"/>
      <c r="CH385" s="40"/>
      <c r="CM385" s="336"/>
    </row>
    <row r="386" spans="84:91" s="51" customFormat="1">
      <c r="CF386" s="239"/>
      <c r="CH386" s="40"/>
      <c r="CM386" s="336"/>
    </row>
    <row r="387" spans="84:91" s="51" customFormat="1">
      <c r="CF387" s="239"/>
      <c r="CH387" s="40"/>
      <c r="CM387" s="336"/>
    </row>
    <row r="388" spans="84:91" s="51" customFormat="1">
      <c r="CF388" s="239"/>
      <c r="CH388" s="40"/>
      <c r="CM388" s="336"/>
    </row>
    <row r="389" spans="84:91" s="51" customFormat="1">
      <c r="CF389" s="239"/>
      <c r="CH389" s="40"/>
      <c r="CM389" s="336"/>
    </row>
    <row r="390" spans="84:91" s="51" customFormat="1">
      <c r="CF390" s="239"/>
      <c r="CH390" s="40"/>
      <c r="CM390" s="336"/>
    </row>
    <row r="391" spans="84:91" s="51" customFormat="1">
      <c r="CF391" s="239"/>
      <c r="CH391" s="40"/>
      <c r="CM391" s="336"/>
    </row>
    <row r="392" spans="84:91" s="51" customFormat="1">
      <c r="CF392" s="239"/>
      <c r="CH392" s="40"/>
      <c r="CM392" s="336"/>
    </row>
    <row r="393" spans="84:91" s="51" customFormat="1">
      <c r="CF393" s="239"/>
      <c r="CH393" s="40"/>
      <c r="CM393" s="336"/>
    </row>
    <row r="394" spans="84:91" s="51" customFormat="1">
      <c r="CF394" s="239"/>
      <c r="CH394" s="40"/>
      <c r="CM394" s="336"/>
    </row>
    <row r="395" spans="84:91" s="51" customFormat="1">
      <c r="CF395" s="239"/>
      <c r="CH395" s="40"/>
      <c r="CM395" s="336"/>
    </row>
    <row r="396" spans="84:91" s="51" customFormat="1">
      <c r="CF396" s="239"/>
      <c r="CH396" s="40"/>
      <c r="CM396" s="336"/>
    </row>
    <row r="397" spans="84:91" s="51" customFormat="1">
      <c r="CF397" s="239"/>
      <c r="CH397" s="40"/>
      <c r="CM397" s="336"/>
    </row>
    <row r="398" spans="84:91" s="51" customFormat="1">
      <c r="CF398" s="239"/>
      <c r="CH398" s="40"/>
      <c r="CM398" s="336"/>
    </row>
    <row r="399" spans="84:91" s="51" customFormat="1">
      <c r="CF399" s="239"/>
      <c r="CH399" s="40"/>
      <c r="CM399" s="336"/>
    </row>
    <row r="400" spans="84:91" s="51" customFormat="1">
      <c r="CF400" s="239"/>
      <c r="CH400" s="40"/>
      <c r="CM400" s="336"/>
    </row>
    <row r="401" spans="84:91" s="51" customFormat="1">
      <c r="CF401" s="239"/>
      <c r="CH401" s="40"/>
      <c r="CM401" s="336"/>
    </row>
    <row r="402" spans="84:91" s="51" customFormat="1">
      <c r="CF402" s="239"/>
      <c r="CH402" s="40"/>
      <c r="CM402" s="336"/>
    </row>
    <row r="403" spans="84:91" s="51" customFormat="1">
      <c r="CF403" s="239"/>
      <c r="CH403" s="40"/>
      <c r="CM403" s="336"/>
    </row>
    <row r="404" spans="84:91" s="51" customFormat="1">
      <c r="CF404" s="239"/>
      <c r="CH404" s="40"/>
      <c r="CM404" s="336"/>
    </row>
    <row r="405" spans="84:91" s="51" customFormat="1">
      <c r="CF405" s="239"/>
      <c r="CH405" s="40"/>
      <c r="CM405" s="336"/>
    </row>
    <row r="406" spans="84:91" s="51" customFormat="1">
      <c r="CF406" s="239"/>
      <c r="CH406" s="40"/>
      <c r="CM406" s="336"/>
    </row>
    <row r="407" spans="84:91" s="51" customFormat="1">
      <c r="CF407" s="239"/>
      <c r="CH407" s="40"/>
      <c r="CM407" s="336"/>
    </row>
    <row r="408" spans="84:91" s="51" customFormat="1">
      <c r="CF408" s="239"/>
      <c r="CH408" s="40"/>
      <c r="CM408" s="336"/>
    </row>
    <row r="409" spans="84:91" s="51" customFormat="1">
      <c r="CF409" s="239"/>
      <c r="CH409" s="40"/>
      <c r="CM409" s="336"/>
    </row>
    <row r="410" spans="84:91" s="51" customFormat="1">
      <c r="CF410" s="239"/>
      <c r="CH410" s="40"/>
      <c r="CM410" s="336"/>
    </row>
    <row r="411" spans="84:91" s="51" customFormat="1">
      <c r="CF411" s="239"/>
      <c r="CH411" s="40"/>
      <c r="CM411" s="336"/>
    </row>
    <row r="412" spans="84:91" s="51" customFormat="1">
      <c r="CF412" s="239"/>
      <c r="CH412" s="40"/>
      <c r="CM412" s="336"/>
    </row>
    <row r="413" spans="84:91" s="51" customFormat="1">
      <c r="CF413" s="239"/>
      <c r="CH413" s="40"/>
      <c r="CM413" s="336"/>
    </row>
    <row r="414" spans="84:91" s="51" customFormat="1">
      <c r="CF414" s="239"/>
      <c r="CH414" s="40"/>
      <c r="CM414" s="336"/>
    </row>
    <row r="415" spans="84:91" s="51" customFormat="1">
      <c r="CF415" s="239"/>
      <c r="CH415" s="40"/>
      <c r="CM415" s="336"/>
    </row>
    <row r="416" spans="84:91" s="51" customFormat="1">
      <c r="CF416" s="239"/>
      <c r="CH416" s="40"/>
      <c r="CM416" s="336"/>
    </row>
    <row r="417" spans="84:91" s="51" customFormat="1">
      <c r="CF417" s="239"/>
      <c r="CM417" s="336"/>
    </row>
    <row r="418" spans="84:91" s="51" customFormat="1">
      <c r="CF418" s="239"/>
      <c r="CM418" s="336"/>
    </row>
    <row r="419" spans="84:91" s="51" customFormat="1">
      <c r="CF419" s="239"/>
      <c r="CM419" s="336"/>
    </row>
    <row r="420" spans="84:91" s="51" customFormat="1">
      <c r="CF420" s="239"/>
      <c r="CM420" s="336"/>
    </row>
    <row r="421" spans="84:91" s="51" customFormat="1">
      <c r="CF421" s="239"/>
      <c r="CM421" s="336"/>
    </row>
    <row r="422" spans="84:91" s="51" customFormat="1">
      <c r="CF422" s="239"/>
      <c r="CM422" s="336"/>
    </row>
    <row r="423" spans="84:91" s="51" customFormat="1">
      <c r="CF423" s="239"/>
      <c r="CM423" s="336"/>
    </row>
    <row r="424" spans="84:91" s="51" customFormat="1">
      <c r="CF424" s="239"/>
      <c r="CM424" s="336"/>
    </row>
    <row r="425" spans="84:91" s="51" customFormat="1">
      <c r="CF425" s="239"/>
      <c r="CM425" s="336"/>
    </row>
    <row r="426" spans="84:91" s="51" customFormat="1">
      <c r="CF426" s="239"/>
      <c r="CM426" s="336"/>
    </row>
    <row r="427" spans="84:91" s="51" customFormat="1">
      <c r="CF427" s="239"/>
      <c r="CM427" s="336"/>
    </row>
    <row r="428" spans="84:91" s="51" customFormat="1">
      <c r="CF428" s="239"/>
      <c r="CM428" s="336"/>
    </row>
    <row r="429" spans="84:91" s="51" customFormat="1">
      <c r="CF429" s="239"/>
      <c r="CM429" s="336"/>
    </row>
    <row r="430" spans="84:91" s="51" customFormat="1">
      <c r="CF430" s="239"/>
      <c r="CM430" s="336"/>
    </row>
    <row r="431" spans="84:91" s="51" customFormat="1">
      <c r="CF431" s="239"/>
      <c r="CM431" s="336"/>
    </row>
    <row r="432" spans="84:91" s="51" customFormat="1">
      <c r="CF432" s="239"/>
      <c r="CM432" s="336"/>
    </row>
    <row r="433" spans="84:91" s="51" customFormat="1">
      <c r="CF433" s="239"/>
      <c r="CM433" s="336"/>
    </row>
    <row r="434" spans="84:91" s="51" customFormat="1">
      <c r="CF434" s="239"/>
      <c r="CM434" s="336"/>
    </row>
    <row r="435" spans="84:91" s="51" customFormat="1">
      <c r="CF435" s="239"/>
      <c r="CM435" s="336"/>
    </row>
    <row r="436" spans="84:91" s="51" customFormat="1">
      <c r="CF436" s="239"/>
      <c r="CM436" s="336"/>
    </row>
    <row r="437" spans="84:91" s="51" customFormat="1">
      <c r="CF437" s="239"/>
      <c r="CM437" s="336"/>
    </row>
    <row r="438" spans="84:91" s="51" customFormat="1">
      <c r="CF438" s="239"/>
      <c r="CM438" s="336"/>
    </row>
    <row r="439" spans="84:91" s="51" customFormat="1">
      <c r="CF439" s="239"/>
      <c r="CM439" s="336"/>
    </row>
    <row r="440" spans="84:91" s="51" customFormat="1">
      <c r="CF440" s="239"/>
      <c r="CM440" s="336"/>
    </row>
    <row r="441" spans="84:91" s="51" customFormat="1">
      <c r="CF441" s="239"/>
      <c r="CM441" s="336"/>
    </row>
    <row r="442" spans="84:91" s="51" customFormat="1">
      <c r="CF442" s="239"/>
      <c r="CM442" s="336"/>
    </row>
    <row r="443" spans="84:91" s="51" customFormat="1">
      <c r="CF443" s="239"/>
      <c r="CM443" s="336"/>
    </row>
    <row r="444" spans="84:91" s="51" customFormat="1">
      <c r="CF444" s="239"/>
      <c r="CM444" s="336"/>
    </row>
    <row r="445" spans="84:91" s="51" customFormat="1">
      <c r="CF445" s="239"/>
      <c r="CM445" s="336"/>
    </row>
    <row r="446" spans="84:91" s="51" customFormat="1">
      <c r="CF446" s="239"/>
      <c r="CM446" s="336"/>
    </row>
    <row r="447" spans="84:91" s="51" customFormat="1">
      <c r="CF447" s="239"/>
      <c r="CM447" s="336"/>
    </row>
    <row r="448" spans="84:91" s="51" customFormat="1">
      <c r="CF448" s="239"/>
      <c r="CM448" s="336"/>
    </row>
    <row r="449" spans="84:91" s="51" customFormat="1">
      <c r="CF449" s="239"/>
      <c r="CM449" s="336"/>
    </row>
    <row r="450" spans="84:91" s="51" customFormat="1">
      <c r="CF450" s="239"/>
      <c r="CM450" s="336"/>
    </row>
    <row r="451" spans="84:91" s="51" customFormat="1">
      <c r="CF451" s="239"/>
      <c r="CM451" s="336"/>
    </row>
    <row r="452" spans="84:91" s="51" customFormat="1">
      <c r="CF452" s="239"/>
      <c r="CM452" s="336"/>
    </row>
    <row r="453" spans="84:91" s="51" customFormat="1">
      <c r="CF453" s="239"/>
      <c r="CM453" s="336"/>
    </row>
    <row r="454" spans="84:91" s="51" customFormat="1">
      <c r="CF454" s="239"/>
      <c r="CM454" s="336"/>
    </row>
    <row r="455" spans="84:91" s="51" customFormat="1">
      <c r="CF455" s="239"/>
      <c r="CM455" s="336"/>
    </row>
    <row r="456" spans="84:91" s="51" customFormat="1">
      <c r="CF456" s="239"/>
      <c r="CM456" s="336"/>
    </row>
    <row r="457" spans="84:91" s="51" customFormat="1">
      <c r="CF457" s="239"/>
      <c r="CM457" s="336"/>
    </row>
    <row r="458" spans="84:91" s="51" customFormat="1">
      <c r="CF458" s="239"/>
      <c r="CM458" s="336"/>
    </row>
    <row r="459" spans="84:91" s="51" customFormat="1">
      <c r="CF459" s="239"/>
      <c r="CM459" s="336"/>
    </row>
    <row r="460" spans="84:91" s="51" customFormat="1">
      <c r="CF460" s="239"/>
      <c r="CM460" s="336"/>
    </row>
    <row r="461" spans="84:91" s="51" customFormat="1">
      <c r="CF461" s="239"/>
      <c r="CM461" s="336"/>
    </row>
    <row r="462" spans="84:91" s="51" customFormat="1">
      <c r="CF462" s="239"/>
      <c r="CM462" s="336"/>
    </row>
    <row r="463" spans="84:91" s="51" customFormat="1">
      <c r="CF463" s="239"/>
      <c r="CM463" s="336"/>
    </row>
    <row r="464" spans="84:91" s="51" customFormat="1">
      <c r="CF464" s="239"/>
      <c r="CM464" s="336"/>
    </row>
    <row r="465" spans="84:91" s="51" customFormat="1">
      <c r="CF465" s="239"/>
      <c r="CM465" s="336"/>
    </row>
    <row r="466" spans="84:91" s="51" customFormat="1">
      <c r="CF466" s="239"/>
      <c r="CM466" s="336"/>
    </row>
    <row r="467" spans="84:91" s="51" customFormat="1">
      <c r="CF467" s="239"/>
      <c r="CM467" s="336"/>
    </row>
    <row r="468" spans="84:91" s="51" customFormat="1">
      <c r="CF468" s="239"/>
      <c r="CM468" s="336"/>
    </row>
    <row r="469" spans="84:91" s="51" customFormat="1">
      <c r="CF469" s="239"/>
      <c r="CM469" s="336"/>
    </row>
    <row r="470" spans="84:91" s="51" customFormat="1">
      <c r="CF470" s="239"/>
      <c r="CM470" s="336"/>
    </row>
    <row r="471" spans="84:91" s="51" customFormat="1">
      <c r="CF471" s="239"/>
      <c r="CM471" s="336"/>
    </row>
    <row r="472" spans="84:91" s="51" customFormat="1">
      <c r="CF472" s="239"/>
      <c r="CM472" s="336"/>
    </row>
    <row r="473" spans="84:91" s="51" customFormat="1">
      <c r="CF473" s="239"/>
      <c r="CM473" s="336"/>
    </row>
    <row r="474" spans="84:91" s="51" customFormat="1">
      <c r="CF474" s="239"/>
      <c r="CM474" s="336"/>
    </row>
    <row r="475" spans="84:91" s="51" customFormat="1">
      <c r="CF475" s="239"/>
      <c r="CM475" s="336"/>
    </row>
    <row r="476" spans="84:91" s="51" customFormat="1">
      <c r="CF476" s="239"/>
      <c r="CM476" s="336"/>
    </row>
    <row r="477" spans="84:91" s="51" customFormat="1">
      <c r="CF477" s="239"/>
      <c r="CM477" s="336"/>
    </row>
    <row r="478" spans="84:91" s="51" customFormat="1">
      <c r="CF478" s="239"/>
      <c r="CM478" s="336"/>
    </row>
    <row r="479" spans="84:91" s="51" customFormat="1">
      <c r="CF479" s="239"/>
      <c r="CM479" s="336"/>
    </row>
    <row r="480" spans="84:91" s="51" customFormat="1">
      <c r="CF480" s="239"/>
      <c r="CM480" s="336"/>
    </row>
    <row r="481" spans="84:91" s="51" customFormat="1">
      <c r="CF481" s="239"/>
      <c r="CM481" s="336"/>
    </row>
    <row r="482" spans="84:91" s="51" customFormat="1">
      <c r="CF482" s="239"/>
      <c r="CM482" s="336"/>
    </row>
    <row r="483" spans="84:91" s="51" customFormat="1">
      <c r="CF483" s="239"/>
      <c r="CM483" s="336"/>
    </row>
    <row r="484" spans="84:91" s="51" customFormat="1">
      <c r="CF484" s="239"/>
      <c r="CM484" s="336"/>
    </row>
    <row r="485" spans="84:91" s="51" customFormat="1">
      <c r="CF485" s="239"/>
      <c r="CM485" s="336"/>
    </row>
    <row r="486" spans="84:91" s="51" customFormat="1">
      <c r="CF486" s="239"/>
      <c r="CM486" s="336"/>
    </row>
    <row r="487" spans="84:91" s="51" customFormat="1">
      <c r="CF487" s="239"/>
      <c r="CM487" s="336"/>
    </row>
    <row r="488" spans="84:91" s="51" customFormat="1">
      <c r="CF488" s="239"/>
      <c r="CM488" s="336"/>
    </row>
    <row r="489" spans="84:91" s="51" customFormat="1">
      <c r="CF489" s="239"/>
      <c r="CM489" s="336"/>
    </row>
    <row r="490" spans="84:91" s="51" customFormat="1">
      <c r="CF490" s="239"/>
      <c r="CM490" s="336"/>
    </row>
    <row r="491" spans="84:91" s="51" customFormat="1">
      <c r="CF491" s="239"/>
      <c r="CM491" s="336"/>
    </row>
    <row r="492" spans="84:91" s="51" customFormat="1">
      <c r="CF492" s="239"/>
      <c r="CM492" s="336"/>
    </row>
    <row r="493" spans="84:91" s="51" customFormat="1">
      <c r="CF493" s="239"/>
      <c r="CM493" s="336"/>
    </row>
    <row r="494" spans="84:91" s="51" customFormat="1">
      <c r="CF494" s="239"/>
      <c r="CM494" s="336"/>
    </row>
    <row r="495" spans="84:91" s="51" customFormat="1">
      <c r="CF495" s="239"/>
      <c r="CM495" s="336"/>
    </row>
    <row r="496" spans="84:91" s="51" customFormat="1">
      <c r="CF496" s="239"/>
      <c r="CM496" s="336"/>
    </row>
    <row r="497" spans="84:91" s="51" customFormat="1">
      <c r="CF497" s="239"/>
      <c r="CM497" s="336"/>
    </row>
    <row r="498" spans="84:91" s="51" customFormat="1">
      <c r="CF498" s="239"/>
      <c r="CM498" s="336"/>
    </row>
    <row r="499" spans="84:91" s="51" customFormat="1">
      <c r="CF499" s="239"/>
      <c r="CM499" s="336"/>
    </row>
    <row r="500" spans="84:91" s="51" customFormat="1">
      <c r="CF500" s="239"/>
      <c r="CM500" s="336"/>
    </row>
    <row r="501" spans="84:91" s="51" customFormat="1">
      <c r="CF501" s="239"/>
      <c r="CM501" s="336"/>
    </row>
    <row r="502" spans="84:91" s="51" customFormat="1">
      <c r="CF502" s="239"/>
      <c r="CM502" s="336"/>
    </row>
    <row r="503" spans="84:91" s="51" customFormat="1">
      <c r="CF503" s="239"/>
      <c r="CM503" s="336"/>
    </row>
    <row r="504" spans="84:91" s="51" customFormat="1">
      <c r="CF504" s="239"/>
      <c r="CM504" s="336"/>
    </row>
    <row r="505" spans="84:91" s="51" customFormat="1">
      <c r="CF505" s="239"/>
      <c r="CM505" s="336"/>
    </row>
    <row r="506" spans="84:91" s="51" customFormat="1">
      <c r="CF506" s="239"/>
      <c r="CM506" s="336"/>
    </row>
    <row r="507" spans="84:91" s="51" customFormat="1">
      <c r="CF507" s="239"/>
      <c r="CM507" s="336"/>
    </row>
    <row r="508" spans="84:91" s="51" customFormat="1">
      <c r="CF508" s="239"/>
      <c r="CM508" s="336"/>
    </row>
    <row r="509" spans="84:91" s="51" customFormat="1">
      <c r="CF509" s="239"/>
      <c r="CM509" s="336"/>
    </row>
    <row r="510" spans="84:91" s="51" customFormat="1">
      <c r="CF510" s="239"/>
      <c r="CM510" s="336"/>
    </row>
    <row r="511" spans="84:91" s="51" customFormat="1">
      <c r="CF511" s="239"/>
      <c r="CM511" s="336"/>
    </row>
    <row r="512" spans="84:91" s="51" customFormat="1">
      <c r="CF512" s="239"/>
      <c r="CM512" s="336"/>
    </row>
    <row r="513" spans="84:91" s="51" customFormat="1">
      <c r="CF513" s="239"/>
      <c r="CM513" s="336"/>
    </row>
    <row r="514" spans="84:91" s="51" customFormat="1">
      <c r="CF514" s="239"/>
      <c r="CM514" s="336"/>
    </row>
    <row r="515" spans="84:91" s="51" customFormat="1">
      <c r="CF515" s="239"/>
      <c r="CM515" s="336"/>
    </row>
    <row r="516" spans="84:91" s="51" customFormat="1">
      <c r="CF516" s="239"/>
      <c r="CM516" s="336"/>
    </row>
    <row r="517" spans="84:91" s="51" customFormat="1">
      <c r="CF517" s="239"/>
      <c r="CM517" s="336"/>
    </row>
    <row r="518" spans="84:91" s="51" customFormat="1">
      <c r="CF518" s="239"/>
      <c r="CM518" s="336"/>
    </row>
    <row r="519" spans="84:91" s="51" customFormat="1">
      <c r="CF519" s="239"/>
      <c r="CM519" s="336"/>
    </row>
    <row r="520" spans="84:91" s="51" customFormat="1">
      <c r="CF520" s="239"/>
      <c r="CM520" s="336"/>
    </row>
    <row r="521" spans="84:91" s="51" customFormat="1">
      <c r="CF521" s="239"/>
      <c r="CM521" s="336"/>
    </row>
    <row r="522" spans="84:91" s="51" customFormat="1">
      <c r="CF522" s="239"/>
      <c r="CM522" s="336"/>
    </row>
    <row r="523" spans="84:91" s="51" customFormat="1">
      <c r="CF523" s="239"/>
      <c r="CM523" s="336"/>
    </row>
    <row r="524" spans="84:91" s="51" customFormat="1">
      <c r="CF524" s="239"/>
      <c r="CM524" s="336"/>
    </row>
    <row r="525" spans="84:91" s="51" customFormat="1">
      <c r="CF525" s="239"/>
      <c r="CM525" s="336"/>
    </row>
    <row r="526" spans="84:91" s="51" customFormat="1">
      <c r="CF526" s="239"/>
      <c r="CM526" s="336"/>
    </row>
    <row r="527" spans="84:91" s="51" customFormat="1">
      <c r="CF527" s="239"/>
      <c r="CM527" s="336"/>
    </row>
    <row r="528" spans="84:91" s="51" customFormat="1">
      <c r="CF528" s="239"/>
      <c r="CM528" s="336"/>
    </row>
    <row r="529" spans="84:91" s="51" customFormat="1">
      <c r="CF529" s="239"/>
      <c r="CM529" s="336"/>
    </row>
    <row r="530" spans="84:91" s="51" customFormat="1">
      <c r="CF530" s="239"/>
      <c r="CM530" s="336"/>
    </row>
    <row r="531" spans="84:91" s="51" customFormat="1">
      <c r="CF531" s="239"/>
      <c r="CM531" s="336"/>
    </row>
    <row r="532" spans="84:91" s="51" customFormat="1">
      <c r="CF532" s="239"/>
      <c r="CM532" s="336"/>
    </row>
    <row r="533" spans="84:91" s="51" customFormat="1">
      <c r="CF533" s="239"/>
      <c r="CM533" s="336"/>
    </row>
    <row r="534" spans="84:91" s="51" customFormat="1">
      <c r="CF534" s="239"/>
      <c r="CM534" s="336"/>
    </row>
    <row r="535" spans="84:91" s="51" customFormat="1">
      <c r="CF535" s="239"/>
      <c r="CM535" s="336"/>
    </row>
    <row r="536" spans="84:91" s="51" customFormat="1">
      <c r="CF536" s="239"/>
      <c r="CM536" s="336"/>
    </row>
    <row r="537" spans="84:91" s="51" customFormat="1">
      <c r="CF537" s="239"/>
      <c r="CM537" s="336"/>
    </row>
    <row r="538" spans="84:91" s="51" customFormat="1">
      <c r="CF538" s="239"/>
      <c r="CM538" s="336"/>
    </row>
    <row r="539" spans="84:91" s="51" customFormat="1">
      <c r="CF539" s="239"/>
      <c r="CM539" s="336"/>
    </row>
    <row r="540" spans="84:91" s="51" customFormat="1">
      <c r="CF540" s="239"/>
      <c r="CM540" s="336"/>
    </row>
    <row r="541" spans="84:91" s="51" customFormat="1">
      <c r="CF541" s="239"/>
      <c r="CM541" s="336"/>
    </row>
    <row r="542" spans="84:91" s="51" customFormat="1">
      <c r="CF542" s="239"/>
      <c r="CM542" s="336"/>
    </row>
    <row r="543" spans="84:91" s="51" customFormat="1">
      <c r="CF543" s="239"/>
      <c r="CM543" s="336"/>
    </row>
    <row r="544" spans="84:91" s="51" customFormat="1">
      <c r="CF544" s="239"/>
      <c r="CM544" s="336"/>
    </row>
    <row r="545" spans="84:91" s="51" customFormat="1">
      <c r="CF545" s="239"/>
      <c r="CM545" s="336"/>
    </row>
    <row r="546" spans="84:91" s="51" customFormat="1">
      <c r="CF546" s="239"/>
      <c r="CM546" s="336"/>
    </row>
    <row r="547" spans="84:91" s="51" customFormat="1">
      <c r="CF547" s="239"/>
      <c r="CM547" s="336"/>
    </row>
    <row r="548" spans="84:91" s="51" customFormat="1">
      <c r="CF548" s="239"/>
      <c r="CM548" s="336"/>
    </row>
    <row r="549" spans="84:91" s="51" customFormat="1">
      <c r="CF549" s="239"/>
      <c r="CM549" s="336"/>
    </row>
    <row r="550" spans="84:91" s="51" customFormat="1">
      <c r="CF550" s="239"/>
      <c r="CM550" s="336"/>
    </row>
    <row r="551" spans="84:91" s="51" customFormat="1">
      <c r="CF551" s="239"/>
      <c r="CM551" s="336"/>
    </row>
    <row r="552" spans="84:91" s="51" customFormat="1">
      <c r="CF552" s="239"/>
      <c r="CM552" s="336"/>
    </row>
    <row r="553" spans="84:91" s="51" customFormat="1">
      <c r="CF553" s="239"/>
      <c r="CM553" s="336"/>
    </row>
    <row r="554" spans="84:91" s="51" customFormat="1">
      <c r="CF554" s="239"/>
      <c r="CM554" s="336"/>
    </row>
    <row r="555" spans="84:91" s="51" customFormat="1">
      <c r="CF555" s="239"/>
      <c r="CM555" s="336"/>
    </row>
    <row r="556" spans="84:91" s="51" customFormat="1">
      <c r="CF556" s="239"/>
      <c r="CM556" s="336"/>
    </row>
    <row r="557" spans="84:91" s="51" customFormat="1">
      <c r="CF557" s="239"/>
      <c r="CM557" s="336"/>
    </row>
    <row r="558" spans="84:91" s="51" customFormat="1">
      <c r="CF558" s="239"/>
      <c r="CM558" s="336"/>
    </row>
    <row r="559" spans="84:91" s="51" customFormat="1">
      <c r="CF559" s="239"/>
      <c r="CM559" s="336"/>
    </row>
    <row r="560" spans="84:91" s="51" customFormat="1">
      <c r="CF560" s="239"/>
      <c r="CM560" s="336"/>
    </row>
    <row r="561" spans="84:91" s="51" customFormat="1">
      <c r="CF561" s="239"/>
      <c r="CM561" s="336"/>
    </row>
    <row r="562" spans="84:91" s="51" customFormat="1">
      <c r="CF562" s="239"/>
      <c r="CM562" s="336"/>
    </row>
    <row r="563" spans="84:91" s="51" customFormat="1">
      <c r="CF563" s="239"/>
      <c r="CM563" s="336"/>
    </row>
    <row r="564" spans="84:91" s="51" customFormat="1">
      <c r="CF564" s="239"/>
      <c r="CM564" s="336"/>
    </row>
    <row r="565" spans="84:91" s="51" customFormat="1">
      <c r="CF565" s="239"/>
      <c r="CM565" s="336"/>
    </row>
    <row r="566" spans="84:91" s="51" customFormat="1">
      <c r="CF566" s="239"/>
      <c r="CM566" s="336"/>
    </row>
    <row r="567" spans="84:91" s="51" customFormat="1">
      <c r="CF567" s="239"/>
      <c r="CM567" s="336"/>
    </row>
    <row r="568" spans="84:91" s="51" customFormat="1">
      <c r="CF568" s="239"/>
      <c r="CM568" s="336"/>
    </row>
    <row r="569" spans="84:91" s="51" customFormat="1">
      <c r="CF569" s="239"/>
      <c r="CM569" s="336"/>
    </row>
    <row r="570" spans="84:91" s="51" customFormat="1">
      <c r="CF570" s="239"/>
      <c r="CM570" s="336"/>
    </row>
    <row r="571" spans="84:91" s="51" customFormat="1">
      <c r="CF571" s="239"/>
      <c r="CM571" s="336"/>
    </row>
    <row r="572" spans="84:91" s="51" customFormat="1">
      <c r="CF572" s="239"/>
      <c r="CM572" s="336"/>
    </row>
    <row r="573" spans="84:91" s="51" customFormat="1">
      <c r="CF573" s="239"/>
      <c r="CM573" s="336"/>
    </row>
    <row r="574" spans="84:91" s="51" customFormat="1">
      <c r="CF574" s="239"/>
      <c r="CM574" s="336"/>
    </row>
    <row r="575" spans="84:91" s="51" customFormat="1">
      <c r="CF575" s="239"/>
      <c r="CM575" s="336"/>
    </row>
    <row r="576" spans="84:91" s="51" customFormat="1">
      <c r="CF576" s="239"/>
      <c r="CM576" s="336"/>
    </row>
    <row r="577" spans="84:91" s="51" customFormat="1">
      <c r="CF577" s="239"/>
      <c r="CM577" s="336"/>
    </row>
    <row r="578" spans="84:91" s="51" customFormat="1">
      <c r="CF578" s="239"/>
      <c r="CM578" s="336"/>
    </row>
    <row r="579" spans="84:91" s="51" customFormat="1">
      <c r="CF579" s="239"/>
      <c r="CM579" s="336"/>
    </row>
    <row r="580" spans="84:91" s="51" customFormat="1">
      <c r="CF580" s="239"/>
      <c r="CM580" s="336"/>
    </row>
    <row r="581" spans="84:91" s="51" customFormat="1">
      <c r="CF581" s="239"/>
      <c r="CM581" s="336"/>
    </row>
    <row r="582" spans="84:91" s="51" customFormat="1">
      <c r="CF582" s="239"/>
      <c r="CM582" s="336"/>
    </row>
    <row r="583" spans="84:91" s="51" customFormat="1">
      <c r="CF583" s="239"/>
      <c r="CM583" s="336"/>
    </row>
    <row r="584" spans="84:91" s="51" customFormat="1">
      <c r="CF584" s="239"/>
      <c r="CM584" s="336"/>
    </row>
    <row r="585" spans="84:91" s="51" customFormat="1">
      <c r="CF585" s="239"/>
      <c r="CM585" s="336"/>
    </row>
    <row r="586" spans="84:91" s="51" customFormat="1">
      <c r="CF586" s="239"/>
      <c r="CM586" s="336"/>
    </row>
    <row r="587" spans="84:91" s="51" customFormat="1">
      <c r="CF587" s="239"/>
      <c r="CM587" s="336"/>
    </row>
    <row r="588" spans="84:91" s="51" customFormat="1">
      <c r="CF588" s="239"/>
      <c r="CM588" s="336"/>
    </row>
    <row r="589" spans="84:91" s="51" customFormat="1">
      <c r="CF589" s="239"/>
      <c r="CM589" s="336"/>
    </row>
    <row r="590" spans="84:91" s="51" customFormat="1">
      <c r="CF590" s="239"/>
      <c r="CM590" s="336"/>
    </row>
    <row r="591" spans="84:91" s="51" customFormat="1">
      <c r="CF591" s="239"/>
      <c r="CM591" s="336"/>
    </row>
    <row r="592" spans="84:91" s="51" customFormat="1">
      <c r="CF592" s="239"/>
      <c r="CM592" s="336"/>
    </row>
    <row r="593" spans="84:91" s="51" customFormat="1">
      <c r="CF593" s="239"/>
      <c r="CM593" s="336"/>
    </row>
    <row r="594" spans="84:91" s="51" customFormat="1">
      <c r="CF594" s="239"/>
      <c r="CM594" s="336"/>
    </row>
    <row r="595" spans="84:91" s="51" customFormat="1">
      <c r="CF595" s="239"/>
      <c r="CM595" s="336"/>
    </row>
    <row r="596" spans="84:91" s="51" customFormat="1">
      <c r="CF596" s="239"/>
      <c r="CM596" s="336"/>
    </row>
    <row r="597" spans="84:91" s="51" customFormat="1">
      <c r="CF597" s="239"/>
      <c r="CM597" s="336"/>
    </row>
    <row r="598" spans="84:91" s="51" customFormat="1">
      <c r="CF598" s="239"/>
      <c r="CM598" s="336"/>
    </row>
    <row r="599" spans="84:91" s="51" customFormat="1">
      <c r="CF599" s="239"/>
      <c r="CM599" s="336"/>
    </row>
    <row r="600" spans="84:91" s="51" customFormat="1">
      <c r="CF600" s="239"/>
      <c r="CM600" s="336"/>
    </row>
    <row r="601" spans="84:91" s="51" customFormat="1">
      <c r="CF601" s="239"/>
      <c r="CM601" s="336"/>
    </row>
    <row r="602" spans="84:91" s="51" customFormat="1">
      <c r="CF602" s="239"/>
      <c r="CM602" s="336"/>
    </row>
    <row r="603" spans="84:91" s="51" customFormat="1">
      <c r="CF603" s="239"/>
      <c r="CM603" s="336"/>
    </row>
    <row r="604" spans="84:91" s="51" customFormat="1">
      <c r="CF604" s="239"/>
      <c r="CM604" s="336"/>
    </row>
    <row r="605" spans="84:91" s="51" customFormat="1">
      <c r="CF605" s="239"/>
      <c r="CM605" s="336"/>
    </row>
    <row r="606" spans="84:91" s="51" customFormat="1">
      <c r="CF606" s="239"/>
      <c r="CM606" s="336"/>
    </row>
    <row r="607" spans="84:91" s="51" customFormat="1">
      <c r="CF607" s="239"/>
      <c r="CM607" s="336"/>
    </row>
    <row r="608" spans="84:91" s="51" customFormat="1">
      <c r="CF608" s="239"/>
      <c r="CM608" s="336"/>
    </row>
    <row r="609" spans="84:91" s="51" customFormat="1">
      <c r="CF609" s="239"/>
      <c r="CM609" s="336"/>
    </row>
    <row r="610" spans="84:91" s="51" customFormat="1">
      <c r="CF610" s="239"/>
      <c r="CM610" s="336"/>
    </row>
    <row r="611" spans="84:91" s="51" customFormat="1">
      <c r="CF611" s="239"/>
      <c r="CM611" s="336"/>
    </row>
    <row r="612" spans="84:91" s="51" customFormat="1">
      <c r="CF612" s="239"/>
      <c r="CM612" s="336"/>
    </row>
    <row r="613" spans="84:91" s="51" customFormat="1">
      <c r="CF613" s="239"/>
      <c r="CM613" s="336"/>
    </row>
    <row r="614" spans="84:91" s="51" customFormat="1">
      <c r="CF614" s="239"/>
      <c r="CM614" s="336"/>
    </row>
    <row r="615" spans="84:91" s="51" customFormat="1">
      <c r="CF615" s="239"/>
      <c r="CM615" s="336"/>
    </row>
    <row r="616" spans="84:91" s="51" customFormat="1">
      <c r="CF616" s="239"/>
      <c r="CM616" s="336"/>
    </row>
    <row r="617" spans="84:91" s="51" customFormat="1">
      <c r="CF617" s="239"/>
      <c r="CM617" s="336"/>
    </row>
    <row r="618" spans="84:91" s="51" customFormat="1">
      <c r="CF618" s="239"/>
      <c r="CM618" s="336"/>
    </row>
    <row r="619" spans="84:91" s="51" customFormat="1">
      <c r="CF619" s="239"/>
      <c r="CM619" s="336"/>
    </row>
    <row r="620" spans="84:91" s="51" customFormat="1">
      <c r="CF620" s="239"/>
      <c r="CM620" s="336"/>
    </row>
    <row r="621" spans="84:91" s="51" customFormat="1">
      <c r="CF621" s="239"/>
      <c r="CM621" s="336"/>
    </row>
    <row r="622" spans="84:91" s="51" customFormat="1">
      <c r="CF622" s="239"/>
      <c r="CM622" s="336"/>
    </row>
    <row r="623" spans="84:91" s="51" customFormat="1">
      <c r="CF623" s="239"/>
      <c r="CM623" s="336"/>
    </row>
    <row r="624" spans="84:91" s="51" customFormat="1">
      <c r="CF624" s="239"/>
      <c r="CM624" s="336"/>
    </row>
    <row r="625" spans="84:91" s="51" customFormat="1">
      <c r="CF625" s="239"/>
      <c r="CM625" s="336"/>
    </row>
    <row r="626" spans="84:91" s="51" customFormat="1">
      <c r="CF626" s="239"/>
      <c r="CM626" s="336"/>
    </row>
    <row r="627" spans="84:91" s="51" customFormat="1">
      <c r="CF627" s="239"/>
      <c r="CM627" s="336"/>
    </row>
    <row r="628" spans="84:91" s="51" customFormat="1">
      <c r="CF628" s="239"/>
      <c r="CM628" s="336"/>
    </row>
    <row r="629" spans="84:91" s="51" customFormat="1">
      <c r="CF629" s="239"/>
      <c r="CM629" s="336"/>
    </row>
    <row r="630" spans="84:91" s="51" customFormat="1">
      <c r="CF630" s="239"/>
      <c r="CM630" s="336"/>
    </row>
    <row r="631" spans="84:91" s="51" customFormat="1">
      <c r="CF631" s="239"/>
      <c r="CM631" s="336"/>
    </row>
    <row r="632" spans="84:91" s="51" customFormat="1">
      <c r="CF632" s="239"/>
      <c r="CM632" s="336"/>
    </row>
    <row r="633" spans="84:91" s="51" customFormat="1">
      <c r="CF633" s="239"/>
      <c r="CM633" s="336"/>
    </row>
    <row r="634" spans="84:91" s="51" customFormat="1">
      <c r="CF634" s="239"/>
      <c r="CM634" s="336"/>
    </row>
    <row r="635" spans="84:91" s="51" customFormat="1">
      <c r="CF635" s="239"/>
      <c r="CM635" s="336"/>
    </row>
    <row r="636" spans="84:91" s="51" customFormat="1">
      <c r="CF636" s="239"/>
      <c r="CM636" s="336"/>
    </row>
    <row r="637" spans="84:91" s="51" customFormat="1">
      <c r="CF637" s="239"/>
      <c r="CM637" s="336"/>
    </row>
    <row r="638" spans="84:91" s="51" customFormat="1">
      <c r="CF638" s="239"/>
      <c r="CM638" s="336"/>
    </row>
    <row r="639" spans="84:91" s="51" customFormat="1">
      <c r="CF639" s="239"/>
      <c r="CM639" s="336"/>
    </row>
    <row r="640" spans="84:91" s="51" customFormat="1">
      <c r="CF640" s="239"/>
      <c r="CM640" s="336"/>
    </row>
    <row r="641" spans="84:91" s="51" customFormat="1">
      <c r="CF641" s="239"/>
      <c r="CM641" s="336"/>
    </row>
    <row r="642" spans="84:91" s="51" customFormat="1">
      <c r="CF642" s="239"/>
      <c r="CM642" s="336"/>
    </row>
    <row r="643" spans="84:91" s="51" customFormat="1">
      <c r="CF643" s="239"/>
      <c r="CM643" s="336"/>
    </row>
    <row r="644" spans="84:91" s="51" customFormat="1">
      <c r="CF644" s="239"/>
      <c r="CM644" s="336"/>
    </row>
    <row r="645" spans="84:91" s="51" customFormat="1">
      <c r="CF645" s="239"/>
      <c r="CM645" s="336"/>
    </row>
    <row r="646" spans="84:91" s="51" customFormat="1">
      <c r="CF646" s="239"/>
      <c r="CM646" s="336"/>
    </row>
    <row r="647" spans="84:91" s="51" customFormat="1">
      <c r="CF647" s="239"/>
      <c r="CM647" s="336"/>
    </row>
    <row r="648" spans="84:91" s="51" customFormat="1">
      <c r="CF648" s="239"/>
      <c r="CM648" s="336"/>
    </row>
    <row r="649" spans="84:91" s="51" customFormat="1">
      <c r="CF649" s="239"/>
      <c r="CM649" s="336"/>
    </row>
    <row r="650" spans="84:91" s="51" customFormat="1">
      <c r="CF650" s="239"/>
      <c r="CM650" s="336"/>
    </row>
    <row r="651" spans="84:91" s="51" customFormat="1">
      <c r="CF651" s="239"/>
      <c r="CM651" s="336"/>
    </row>
    <row r="652" spans="84:91" s="51" customFormat="1">
      <c r="CF652" s="239"/>
      <c r="CM652" s="336"/>
    </row>
    <row r="653" spans="84:91" s="51" customFormat="1">
      <c r="CF653" s="239"/>
      <c r="CM653" s="336"/>
    </row>
    <row r="654" spans="84:91" s="51" customFormat="1">
      <c r="CF654" s="239"/>
      <c r="CM654" s="336"/>
    </row>
    <row r="655" spans="84:91" s="51" customFormat="1">
      <c r="CF655" s="239"/>
      <c r="CM655" s="336"/>
    </row>
    <row r="656" spans="84:91" s="51" customFormat="1">
      <c r="CF656" s="239"/>
      <c r="CM656" s="336"/>
    </row>
    <row r="657" spans="84:91" s="51" customFormat="1">
      <c r="CF657" s="239"/>
      <c r="CM657" s="336"/>
    </row>
    <row r="658" spans="84:91" s="51" customFormat="1">
      <c r="CF658" s="239"/>
      <c r="CM658" s="336"/>
    </row>
    <row r="659" spans="84:91" s="51" customFormat="1">
      <c r="CF659" s="239"/>
      <c r="CM659" s="336"/>
    </row>
    <row r="660" spans="84:91" s="51" customFormat="1">
      <c r="CF660" s="239"/>
      <c r="CM660" s="336"/>
    </row>
    <row r="661" spans="84:91" s="51" customFormat="1">
      <c r="CF661" s="239"/>
      <c r="CM661" s="336"/>
    </row>
    <row r="662" spans="84:91" s="51" customFormat="1">
      <c r="CF662" s="239"/>
      <c r="CM662" s="336"/>
    </row>
    <row r="663" spans="84:91" s="51" customFormat="1">
      <c r="CF663" s="239"/>
      <c r="CM663" s="336"/>
    </row>
    <row r="664" spans="84:91" s="51" customFormat="1">
      <c r="CF664" s="239"/>
      <c r="CM664" s="336"/>
    </row>
    <row r="665" spans="84:91" s="51" customFormat="1">
      <c r="CF665" s="239"/>
      <c r="CM665" s="336"/>
    </row>
    <row r="666" spans="84:91" s="51" customFormat="1">
      <c r="CF666" s="239"/>
      <c r="CM666" s="336"/>
    </row>
    <row r="667" spans="84:91" s="51" customFormat="1">
      <c r="CF667" s="239"/>
      <c r="CM667" s="336"/>
    </row>
    <row r="668" spans="84:91" s="51" customFormat="1">
      <c r="CF668" s="239"/>
      <c r="CM668" s="336"/>
    </row>
    <row r="669" spans="84:91" s="51" customFormat="1">
      <c r="CF669" s="239"/>
      <c r="CM669" s="336"/>
    </row>
    <row r="670" spans="84:91" s="51" customFormat="1">
      <c r="CF670" s="239"/>
      <c r="CM670" s="336"/>
    </row>
    <row r="671" spans="84:91" s="51" customFormat="1">
      <c r="CF671" s="239"/>
      <c r="CM671" s="336"/>
    </row>
    <row r="672" spans="84:91" s="51" customFormat="1">
      <c r="CF672" s="239"/>
      <c r="CM672" s="336"/>
    </row>
    <row r="673" spans="84:91" s="51" customFormat="1">
      <c r="CF673" s="239"/>
      <c r="CM673" s="336"/>
    </row>
    <row r="674" spans="84:91" s="51" customFormat="1">
      <c r="CF674" s="239"/>
      <c r="CM674" s="336"/>
    </row>
    <row r="675" spans="84:91" s="51" customFormat="1">
      <c r="CF675" s="239"/>
      <c r="CM675" s="336"/>
    </row>
    <row r="676" spans="84:91" s="51" customFormat="1">
      <c r="CF676" s="239"/>
      <c r="CM676" s="336"/>
    </row>
    <row r="677" spans="84:91" s="51" customFormat="1">
      <c r="CF677" s="239"/>
      <c r="CM677" s="336"/>
    </row>
    <row r="678" spans="84:91" s="51" customFormat="1">
      <c r="CF678" s="239"/>
      <c r="CM678" s="336"/>
    </row>
    <row r="679" spans="84:91" s="51" customFormat="1">
      <c r="CF679" s="239"/>
      <c r="CM679" s="336"/>
    </row>
    <row r="680" spans="84:91" s="51" customFormat="1">
      <c r="CF680" s="239"/>
      <c r="CM680" s="336"/>
    </row>
    <row r="681" spans="84:91" s="51" customFormat="1">
      <c r="CF681" s="239"/>
      <c r="CM681" s="336"/>
    </row>
    <row r="682" spans="84:91" s="51" customFormat="1">
      <c r="CF682" s="239"/>
      <c r="CM682" s="336"/>
    </row>
    <row r="683" spans="84:91" s="51" customFormat="1">
      <c r="CF683" s="239"/>
      <c r="CM683" s="336"/>
    </row>
    <row r="684" spans="84:91" s="51" customFormat="1">
      <c r="CF684" s="239"/>
      <c r="CM684" s="336"/>
    </row>
    <row r="685" spans="84:91" s="51" customFormat="1">
      <c r="CF685" s="239"/>
      <c r="CM685" s="336"/>
    </row>
    <row r="686" spans="84:91" s="51" customFormat="1">
      <c r="CF686" s="239"/>
      <c r="CM686" s="336"/>
    </row>
    <row r="687" spans="84:91" s="51" customFormat="1">
      <c r="CF687" s="239"/>
      <c r="CM687" s="336"/>
    </row>
    <row r="688" spans="84:91" s="51" customFormat="1">
      <c r="CF688" s="239"/>
      <c r="CM688" s="336"/>
    </row>
    <row r="689" spans="84:91" s="51" customFormat="1">
      <c r="CF689" s="239"/>
      <c r="CM689" s="336"/>
    </row>
    <row r="690" spans="84:91" s="51" customFormat="1">
      <c r="CF690" s="239"/>
      <c r="CM690" s="336"/>
    </row>
    <row r="691" spans="84:91" s="51" customFormat="1">
      <c r="CF691" s="239"/>
      <c r="CM691" s="336"/>
    </row>
    <row r="692" spans="84:91" s="51" customFormat="1">
      <c r="CF692" s="239"/>
      <c r="CM692" s="336"/>
    </row>
    <row r="693" spans="84:91" s="51" customFormat="1">
      <c r="CF693" s="239"/>
      <c r="CM693" s="336"/>
    </row>
    <row r="694" spans="84:91" s="51" customFormat="1">
      <c r="CF694" s="239"/>
      <c r="CM694" s="336"/>
    </row>
    <row r="695" spans="84:91" s="51" customFormat="1">
      <c r="CF695" s="239"/>
      <c r="CM695" s="336"/>
    </row>
    <row r="696" spans="84:91" s="51" customFormat="1">
      <c r="CF696" s="239"/>
      <c r="CM696" s="336"/>
    </row>
    <row r="697" spans="84:91" s="51" customFormat="1">
      <c r="CF697" s="239"/>
      <c r="CM697" s="336"/>
    </row>
    <row r="698" spans="84:91" s="51" customFormat="1">
      <c r="CF698" s="239"/>
      <c r="CM698" s="336"/>
    </row>
    <row r="699" spans="84:91" s="51" customFormat="1">
      <c r="CF699" s="239"/>
      <c r="CM699" s="336"/>
    </row>
    <row r="700" spans="84:91" s="51" customFormat="1">
      <c r="CF700" s="239"/>
      <c r="CM700" s="336"/>
    </row>
    <row r="701" spans="84:91" s="51" customFormat="1">
      <c r="CF701" s="239"/>
      <c r="CM701" s="336"/>
    </row>
    <row r="702" spans="84:91" s="51" customFormat="1">
      <c r="CF702" s="239"/>
      <c r="CM702" s="336"/>
    </row>
    <row r="703" spans="84:91" s="51" customFormat="1">
      <c r="CF703" s="239"/>
      <c r="CM703" s="336"/>
    </row>
    <row r="704" spans="84:91" s="51" customFormat="1">
      <c r="CF704" s="239"/>
      <c r="CM704" s="336"/>
    </row>
    <row r="705" spans="84:91" s="51" customFormat="1">
      <c r="CF705" s="239"/>
      <c r="CM705" s="336"/>
    </row>
    <row r="706" spans="84:91" s="51" customFormat="1">
      <c r="CF706" s="239"/>
      <c r="CM706" s="336"/>
    </row>
    <row r="707" spans="84:91" s="51" customFormat="1">
      <c r="CF707" s="239"/>
      <c r="CM707" s="336"/>
    </row>
    <row r="708" spans="84:91" s="51" customFormat="1">
      <c r="CF708" s="239"/>
      <c r="CM708" s="336"/>
    </row>
    <row r="709" spans="84:91" s="51" customFormat="1">
      <c r="CF709" s="239"/>
      <c r="CM709" s="336"/>
    </row>
    <row r="710" spans="84:91" s="51" customFormat="1">
      <c r="CF710" s="239"/>
      <c r="CM710" s="336"/>
    </row>
    <row r="711" spans="84:91" s="51" customFormat="1">
      <c r="CF711" s="239"/>
      <c r="CM711" s="336"/>
    </row>
    <row r="712" spans="84:91" s="51" customFormat="1">
      <c r="CF712" s="239"/>
      <c r="CM712" s="336"/>
    </row>
    <row r="713" spans="84:91" s="51" customFormat="1">
      <c r="CF713" s="239"/>
      <c r="CM713" s="336"/>
    </row>
    <row r="714" spans="84:91" s="51" customFormat="1">
      <c r="CF714" s="239"/>
      <c r="CM714" s="336"/>
    </row>
    <row r="715" spans="84:91" s="51" customFormat="1">
      <c r="CF715" s="239"/>
      <c r="CM715" s="336"/>
    </row>
    <row r="716" spans="84:91" s="51" customFormat="1">
      <c r="CF716" s="239"/>
      <c r="CM716" s="336"/>
    </row>
    <row r="717" spans="84:91" s="51" customFormat="1">
      <c r="CF717" s="239"/>
      <c r="CM717" s="336"/>
    </row>
    <row r="718" spans="84:91" s="51" customFormat="1">
      <c r="CF718" s="239"/>
      <c r="CM718" s="336"/>
    </row>
    <row r="719" spans="84:91" s="51" customFormat="1">
      <c r="CF719" s="239"/>
      <c r="CM719" s="336"/>
    </row>
    <row r="720" spans="84:91" s="51" customFormat="1">
      <c r="CF720" s="239"/>
      <c r="CM720" s="336"/>
    </row>
    <row r="721" spans="84:91" s="51" customFormat="1">
      <c r="CF721" s="239"/>
      <c r="CM721" s="336"/>
    </row>
    <row r="722" spans="84:91" s="51" customFormat="1">
      <c r="CF722" s="239"/>
      <c r="CM722" s="336"/>
    </row>
    <row r="723" spans="84:91" s="51" customFormat="1">
      <c r="CF723" s="239"/>
      <c r="CM723" s="336"/>
    </row>
    <row r="724" spans="84:91" s="51" customFormat="1">
      <c r="CF724" s="239"/>
      <c r="CM724" s="336"/>
    </row>
    <row r="725" spans="84:91" s="51" customFormat="1">
      <c r="CF725" s="239"/>
      <c r="CM725" s="336"/>
    </row>
    <row r="726" spans="84:91" s="51" customFormat="1">
      <c r="CF726" s="239"/>
      <c r="CM726" s="336"/>
    </row>
    <row r="727" spans="84:91" s="51" customFormat="1">
      <c r="CF727" s="239"/>
      <c r="CM727" s="336"/>
    </row>
    <row r="728" spans="84:91" s="51" customFormat="1">
      <c r="CF728" s="239"/>
      <c r="CM728" s="336"/>
    </row>
    <row r="729" spans="84:91" s="51" customFormat="1">
      <c r="CF729" s="239"/>
      <c r="CM729" s="336"/>
    </row>
    <row r="730" spans="84:91" s="51" customFormat="1">
      <c r="CF730" s="239"/>
      <c r="CM730" s="336"/>
    </row>
    <row r="731" spans="84:91" s="51" customFormat="1">
      <c r="CF731" s="239"/>
      <c r="CM731" s="336"/>
    </row>
    <row r="732" spans="84:91" s="51" customFormat="1">
      <c r="CF732" s="239"/>
      <c r="CM732" s="336"/>
    </row>
    <row r="733" spans="84:91" s="51" customFormat="1">
      <c r="CF733" s="239"/>
      <c r="CM733" s="336"/>
    </row>
    <row r="734" spans="84:91" s="51" customFormat="1">
      <c r="CF734" s="239"/>
      <c r="CM734" s="336"/>
    </row>
    <row r="735" spans="84:91" s="51" customFormat="1">
      <c r="CF735" s="239"/>
      <c r="CM735" s="336"/>
    </row>
    <row r="736" spans="84:91" s="51" customFormat="1">
      <c r="CF736" s="239"/>
      <c r="CM736" s="336"/>
    </row>
    <row r="737" spans="84:91" s="51" customFormat="1">
      <c r="CF737" s="239"/>
      <c r="CM737" s="336"/>
    </row>
    <row r="738" spans="84:91" s="51" customFormat="1">
      <c r="CF738" s="239"/>
      <c r="CM738" s="336"/>
    </row>
    <row r="739" spans="84:91" s="51" customFormat="1">
      <c r="CF739" s="239"/>
      <c r="CM739" s="336"/>
    </row>
    <row r="740" spans="84:91" s="51" customFormat="1">
      <c r="CF740" s="239"/>
      <c r="CM740" s="336"/>
    </row>
    <row r="741" spans="84:91" s="51" customFormat="1">
      <c r="CF741" s="239"/>
      <c r="CM741" s="336"/>
    </row>
    <row r="742" spans="84:91" s="51" customFormat="1">
      <c r="CF742" s="239"/>
      <c r="CM742" s="336"/>
    </row>
    <row r="743" spans="84:91" s="51" customFormat="1">
      <c r="CF743" s="239"/>
      <c r="CM743" s="336"/>
    </row>
    <row r="744" spans="84:91" s="51" customFormat="1">
      <c r="CF744" s="239"/>
      <c r="CM744" s="336"/>
    </row>
    <row r="745" spans="84:91" s="51" customFormat="1">
      <c r="CF745" s="239"/>
      <c r="CM745" s="336"/>
    </row>
    <row r="746" spans="84:91" s="51" customFormat="1">
      <c r="CF746" s="239"/>
      <c r="CM746" s="336"/>
    </row>
    <row r="747" spans="84:91" s="51" customFormat="1">
      <c r="CF747" s="239"/>
      <c r="CM747" s="336"/>
    </row>
    <row r="748" spans="84:91" s="51" customFormat="1">
      <c r="CF748" s="239"/>
      <c r="CM748" s="336"/>
    </row>
    <row r="749" spans="84:91" s="51" customFormat="1">
      <c r="CF749" s="239"/>
      <c r="CM749" s="336"/>
    </row>
    <row r="750" spans="84:91" s="51" customFormat="1">
      <c r="CF750" s="239"/>
      <c r="CM750" s="336"/>
    </row>
    <row r="751" spans="84:91" s="51" customFormat="1">
      <c r="CF751" s="239"/>
      <c r="CM751" s="336"/>
    </row>
    <row r="752" spans="84:91" s="51" customFormat="1">
      <c r="CF752" s="239"/>
      <c r="CM752" s="336"/>
    </row>
    <row r="753" spans="84:91" s="51" customFormat="1">
      <c r="CF753" s="239"/>
      <c r="CM753" s="336"/>
    </row>
    <row r="754" spans="84:91" s="51" customFormat="1">
      <c r="CF754" s="239"/>
      <c r="CM754" s="336"/>
    </row>
    <row r="755" spans="84:91" s="51" customFormat="1">
      <c r="CF755" s="239"/>
      <c r="CM755" s="336"/>
    </row>
    <row r="756" spans="84:91" s="51" customFormat="1">
      <c r="CF756" s="239"/>
      <c r="CM756" s="336"/>
    </row>
    <row r="757" spans="84:91" s="51" customFormat="1">
      <c r="CF757" s="239"/>
      <c r="CM757" s="336"/>
    </row>
    <row r="758" spans="84:91" s="51" customFormat="1">
      <c r="CF758" s="239"/>
      <c r="CM758" s="336"/>
    </row>
    <row r="759" spans="84:91" s="51" customFormat="1">
      <c r="CF759" s="239"/>
      <c r="CM759" s="336"/>
    </row>
    <row r="760" spans="84:91" s="51" customFormat="1">
      <c r="CF760" s="239"/>
      <c r="CM760" s="336"/>
    </row>
    <row r="761" spans="84:91" s="51" customFormat="1">
      <c r="CF761" s="239"/>
      <c r="CM761" s="336"/>
    </row>
    <row r="762" spans="84:91" s="51" customFormat="1">
      <c r="CF762" s="239"/>
      <c r="CM762" s="336"/>
    </row>
    <row r="763" spans="84:91" s="51" customFormat="1">
      <c r="CF763" s="239"/>
      <c r="CM763" s="336"/>
    </row>
    <row r="764" spans="84:91" s="51" customFormat="1">
      <c r="CF764" s="239"/>
      <c r="CM764" s="336"/>
    </row>
    <row r="765" spans="84:91" s="51" customFormat="1">
      <c r="CF765" s="239"/>
      <c r="CM765" s="336"/>
    </row>
    <row r="766" spans="84:91" s="51" customFormat="1">
      <c r="CF766" s="239"/>
      <c r="CM766" s="336"/>
    </row>
    <row r="767" spans="84:91" s="51" customFormat="1">
      <c r="CF767" s="239"/>
      <c r="CM767" s="336"/>
    </row>
    <row r="768" spans="84:91" s="51" customFormat="1">
      <c r="CF768" s="239"/>
      <c r="CM768" s="336"/>
    </row>
    <row r="769" spans="84:91" s="51" customFormat="1">
      <c r="CF769" s="239"/>
      <c r="CM769" s="336"/>
    </row>
    <row r="770" spans="84:91" s="51" customFormat="1">
      <c r="CF770" s="239"/>
      <c r="CM770" s="336"/>
    </row>
    <row r="771" spans="84:91" s="51" customFormat="1">
      <c r="CF771" s="239"/>
      <c r="CM771" s="336"/>
    </row>
    <row r="772" spans="84:91" s="51" customFormat="1">
      <c r="CF772" s="239"/>
      <c r="CM772" s="336"/>
    </row>
    <row r="773" spans="84:91" s="51" customFormat="1">
      <c r="CF773" s="239"/>
      <c r="CM773" s="336"/>
    </row>
    <row r="774" spans="84:91" s="51" customFormat="1">
      <c r="CF774" s="239"/>
      <c r="CM774" s="336"/>
    </row>
    <row r="775" spans="84:91" s="51" customFormat="1">
      <c r="CF775" s="239"/>
      <c r="CM775" s="336"/>
    </row>
    <row r="776" spans="84:91" s="51" customFormat="1">
      <c r="CF776" s="239"/>
      <c r="CM776" s="336"/>
    </row>
    <row r="777" spans="84:91" s="51" customFormat="1">
      <c r="CF777" s="239"/>
      <c r="CM777" s="336"/>
    </row>
    <row r="778" spans="84:91" s="51" customFormat="1">
      <c r="CF778" s="239"/>
      <c r="CM778" s="336"/>
    </row>
    <row r="779" spans="84:91" s="51" customFormat="1">
      <c r="CF779" s="239"/>
      <c r="CM779" s="336"/>
    </row>
    <row r="780" spans="84:91" s="51" customFormat="1">
      <c r="CF780" s="239"/>
      <c r="CM780" s="336"/>
    </row>
    <row r="781" spans="84:91" s="51" customFormat="1">
      <c r="CF781" s="239"/>
      <c r="CM781" s="336"/>
    </row>
    <row r="782" spans="84:91" s="51" customFormat="1">
      <c r="CF782" s="239"/>
      <c r="CM782" s="336"/>
    </row>
    <row r="783" spans="84:91" s="51" customFormat="1">
      <c r="CF783" s="239"/>
      <c r="CM783" s="336"/>
    </row>
    <row r="784" spans="84:91" s="51" customFormat="1">
      <c r="CF784" s="239"/>
      <c r="CM784" s="336"/>
    </row>
    <row r="785" spans="84:91" s="51" customFormat="1">
      <c r="CF785" s="239"/>
      <c r="CM785" s="336"/>
    </row>
    <row r="786" spans="84:91" s="51" customFormat="1">
      <c r="CF786" s="239"/>
      <c r="CM786" s="336"/>
    </row>
    <row r="787" spans="84:91" s="51" customFormat="1">
      <c r="CF787" s="239"/>
      <c r="CM787" s="336"/>
    </row>
    <row r="788" spans="84:91" s="51" customFormat="1">
      <c r="CF788" s="239"/>
      <c r="CM788" s="336"/>
    </row>
    <row r="789" spans="84:91" s="51" customFormat="1">
      <c r="CF789" s="239"/>
      <c r="CM789" s="336"/>
    </row>
    <row r="790" spans="84:91" s="51" customFormat="1">
      <c r="CF790" s="239"/>
      <c r="CM790" s="336"/>
    </row>
    <row r="791" spans="84:91" s="51" customFormat="1">
      <c r="CF791" s="239"/>
      <c r="CM791" s="336"/>
    </row>
    <row r="792" spans="84:91" s="51" customFormat="1">
      <c r="CF792" s="239"/>
      <c r="CM792" s="336"/>
    </row>
    <row r="793" spans="84:91" s="51" customFormat="1">
      <c r="CF793" s="239"/>
      <c r="CM793" s="336"/>
    </row>
    <row r="794" spans="84:91" s="51" customFormat="1">
      <c r="CF794" s="239"/>
      <c r="CM794" s="336"/>
    </row>
    <row r="795" spans="84:91" s="51" customFormat="1">
      <c r="CF795" s="239"/>
      <c r="CM795" s="336"/>
    </row>
    <row r="796" spans="84:91" s="51" customFormat="1">
      <c r="CF796" s="239"/>
      <c r="CM796" s="336"/>
    </row>
    <row r="797" spans="84:91" s="51" customFormat="1">
      <c r="CF797" s="239"/>
      <c r="CM797" s="336"/>
    </row>
    <row r="798" spans="84:91" s="51" customFormat="1">
      <c r="CF798" s="239"/>
      <c r="CM798" s="336"/>
    </row>
    <row r="799" spans="84:91" s="51" customFormat="1">
      <c r="CF799" s="239"/>
      <c r="CM799" s="336"/>
    </row>
    <row r="800" spans="84:91" s="51" customFormat="1">
      <c r="CF800" s="239"/>
      <c r="CM800" s="336"/>
    </row>
    <row r="801" spans="84:91" s="51" customFormat="1">
      <c r="CF801" s="239"/>
      <c r="CM801" s="336"/>
    </row>
    <row r="802" spans="84:91" s="51" customFormat="1">
      <c r="CF802" s="239"/>
      <c r="CM802" s="336"/>
    </row>
    <row r="803" spans="84:91" s="51" customFormat="1">
      <c r="CF803" s="239"/>
      <c r="CM803" s="336"/>
    </row>
    <row r="804" spans="84:91" s="51" customFormat="1">
      <c r="CF804" s="239"/>
      <c r="CM804" s="336"/>
    </row>
    <row r="805" spans="84:91" s="51" customFormat="1">
      <c r="CF805" s="239"/>
      <c r="CM805" s="336"/>
    </row>
    <row r="806" spans="84:91" s="51" customFormat="1">
      <c r="CF806" s="239"/>
      <c r="CM806" s="336"/>
    </row>
    <row r="807" spans="84:91" s="51" customFormat="1">
      <c r="CF807" s="239"/>
      <c r="CM807" s="336"/>
    </row>
    <row r="808" spans="84:91" s="51" customFormat="1">
      <c r="CF808" s="239"/>
      <c r="CM808" s="336"/>
    </row>
    <row r="809" spans="84:91" s="51" customFormat="1">
      <c r="CF809" s="239"/>
      <c r="CM809" s="336"/>
    </row>
    <row r="810" spans="84:91" s="51" customFormat="1">
      <c r="CF810" s="239"/>
      <c r="CM810" s="336"/>
    </row>
    <row r="811" spans="84:91" s="51" customFormat="1">
      <c r="CF811" s="239"/>
      <c r="CM811" s="336"/>
    </row>
    <row r="812" spans="84:91" s="51" customFormat="1">
      <c r="CF812" s="239"/>
      <c r="CM812" s="336"/>
    </row>
    <row r="813" spans="84:91" s="51" customFormat="1">
      <c r="CF813" s="239"/>
      <c r="CM813" s="336"/>
    </row>
    <row r="814" spans="84:91" s="51" customFormat="1">
      <c r="CF814" s="239"/>
      <c r="CM814" s="336"/>
    </row>
    <row r="815" spans="84:91" s="51" customFormat="1">
      <c r="CF815" s="239"/>
      <c r="CM815" s="336"/>
    </row>
    <row r="816" spans="84:91" s="51" customFormat="1">
      <c r="CF816" s="239"/>
      <c r="CM816" s="336"/>
    </row>
    <row r="817" spans="84:91" s="51" customFormat="1">
      <c r="CF817" s="239"/>
      <c r="CM817" s="336"/>
    </row>
    <row r="818" spans="84:91" s="51" customFormat="1">
      <c r="CF818" s="239"/>
      <c r="CM818" s="336"/>
    </row>
    <row r="819" spans="84:91" s="51" customFormat="1">
      <c r="CF819" s="239"/>
      <c r="CM819" s="336"/>
    </row>
    <row r="820" spans="84:91" s="51" customFormat="1">
      <c r="CF820" s="239"/>
      <c r="CM820" s="336"/>
    </row>
    <row r="821" spans="84:91" s="51" customFormat="1">
      <c r="CF821" s="239"/>
      <c r="CM821" s="336"/>
    </row>
    <row r="822" spans="84:91" s="51" customFormat="1">
      <c r="CF822" s="239"/>
      <c r="CM822" s="336"/>
    </row>
    <row r="823" spans="84:91" s="51" customFormat="1">
      <c r="CF823" s="239"/>
      <c r="CM823" s="336"/>
    </row>
    <row r="824" spans="84:91" s="51" customFormat="1">
      <c r="CF824" s="239"/>
      <c r="CM824" s="336"/>
    </row>
    <row r="825" spans="84:91" s="51" customFormat="1">
      <c r="CF825" s="239"/>
      <c r="CM825" s="336"/>
    </row>
    <row r="826" spans="84:91" s="51" customFormat="1">
      <c r="CF826" s="239"/>
      <c r="CM826" s="336"/>
    </row>
    <row r="827" spans="84:91" s="51" customFormat="1">
      <c r="CF827" s="239"/>
      <c r="CM827" s="336"/>
    </row>
    <row r="828" spans="84:91" s="51" customFormat="1">
      <c r="CF828" s="239"/>
      <c r="CM828" s="336"/>
    </row>
    <row r="829" spans="84:91" s="51" customFormat="1">
      <c r="CF829" s="239"/>
      <c r="CM829" s="336"/>
    </row>
    <row r="830" spans="84:91" s="51" customFormat="1">
      <c r="CF830" s="239"/>
      <c r="CM830" s="336"/>
    </row>
    <row r="831" spans="84:91" s="51" customFormat="1">
      <c r="CF831" s="239"/>
      <c r="CM831" s="336"/>
    </row>
    <row r="832" spans="84:91" s="51" customFormat="1">
      <c r="CF832" s="239"/>
      <c r="CM832" s="336"/>
    </row>
    <row r="833" spans="84:91" s="51" customFormat="1">
      <c r="CF833" s="239"/>
      <c r="CM833" s="336"/>
    </row>
    <row r="834" spans="84:91" s="51" customFormat="1">
      <c r="CF834" s="239"/>
      <c r="CM834" s="336"/>
    </row>
    <row r="835" spans="84:91" s="51" customFormat="1">
      <c r="CF835" s="239"/>
      <c r="CM835" s="336"/>
    </row>
    <row r="836" spans="84:91" s="51" customFormat="1">
      <c r="CF836" s="239"/>
      <c r="CM836" s="336"/>
    </row>
    <row r="837" spans="84:91" s="51" customFormat="1">
      <c r="CF837" s="239"/>
      <c r="CM837" s="336"/>
    </row>
    <row r="838" spans="84:91" s="51" customFormat="1">
      <c r="CF838" s="239"/>
      <c r="CM838" s="336"/>
    </row>
    <row r="839" spans="84:91" s="51" customFormat="1">
      <c r="CF839" s="239"/>
      <c r="CM839" s="336"/>
    </row>
    <row r="840" spans="84:91" s="51" customFormat="1">
      <c r="CF840" s="239"/>
      <c r="CM840" s="336"/>
    </row>
    <row r="841" spans="84:91" s="51" customFormat="1">
      <c r="CF841" s="239"/>
      <c r="CM841" s="336"/>
    </row>
    <row r="842" spans="84:91" s="51" customFormat="1">
      <c r="CF842" s="239"/>
      <c r="CM842" s="336"/>
    </row>
    <row r="843" spans="84:91" s="51" customFormat="1">
      <c r="CF843" s="239"/>
      <c r="CM843" s="336"/>
    </row>
    <row r="844" spans="84:91" s="51" customFormat="1">
      <c r="CF844" s="239"/>
      <c r="CM844" s="336"/>
    </row>
    <row r="845" spans="84:91" s="51" customFormat="1">
      <c r="CF845" s="239"/>
      <c r="CM845" s="336"/>
    </row>
    <row r="846" spans="84:91" s="51" customFormat="1">
      <c r="CF846" s="239"/>
      <c r="CM846" s="336"/>
    </row>
    <row r="847" spans="84:91" s="51" customFormat="1">
      <c r="CF847" s="239"/>
      <c r="CM847" s="336"/>
    </row>
    <row r="848" spans="84:91" s="51" customFormat="1">
      <c r="CF848" s="239"/>
      <c r="CM848" s="336"/>
    </row>
    <row r="849" spans="84:91" s="51" customFormat="1">
      <c r="CF849" s="239"/>
      <c r="CM849" s="336"/>
    </row>
    <row r="850" spans="84:91" s="51" customFormat="1">
      <c r="CF850" s="239"/>
      <c r="CM850" s="336"/>
    </row>
    <row r="851" spans="84:91" s="51" customFormat="1">
      <c r="CF851" s="239"/>
      <c r="CM851" s="336"/>
    </row>
    <row r="852" spans="84:91" s="51" customFormat="1">
      <c r="CF852" s="239"/>
      <c r="CM852" s="336"/>
    </row>
    <row r="853" spans="84:91" s="51" customFormat="1">
      <c r="CF853" s="239"/>
      <c r="CM853" s="336"/>
    </row>
    <row r="854" spans="84:91" s="51" customFormat="1">
      <c r="CF854" s="239"/>
      <c r="CM854" s="336"/>
    </row>
    <row r="855" spans="84:91" s="51" customFormat="1">
      <c r="CF855" s="239"/>
      <c r="CM855" s="336"/>
    </row>
    <row r="856" spans="84:91" s="51" customFormat="1">
      <c r="CF856" s="239"/>
      <c r="CM856" s="336"/>
    </row>
    <row r="857" spans="84:91" s="51" customFormat="1">
      <c r="CF857" s="239"/>
      <c r="CM857" s="336"/>
    </row>
    <row r="858" spans="84:91" s="51" customFormat="1">
      <c r="CF858" s="239"/>
      <c r="CM858" s="336"/>
    </row>
    <row r="859" spans="84:91" s="51" customFormat="1">
      <c r="CF859" s="239"/>
      <c r="CM859" s="336"/>
    </row>
    <row r="860" spans="84:91" s="51" customFormat="1">
      <c r="CF860" s="239"/>
      <c r="CM860" s="336"/>
    </row>
    <row r="861" spans="84:91" s="51" customFormat="1">
      <c r="CF861" s="239"/>
      <c r="CM861" s="336"/>
    </row>
    <row r="862" spans="84:91" s="51" customFormat="1">
      <c r="CF862" s="239"/>
      <c r="CM862" s="336"/>
    </row>
    <row r="863" spans="84:91" s="51" customFormat="1">
      <c r="CF863" s="239"/>
      <c r="CM863" s="336"/>
    </row>
    <row r="864" spans="84:91" s="51" customFormat="1">
      <c r="CF864" s="239"/>
      <c r="CM864" s="336"/>
    </row>
    <row r="865" spans="84:91" s="51" customFormat="1">
      <c r="CF865" s="239"/>
      <c r="CM865" s="336"/>
    </row>
    <row r="866" spans="84:91" s="51" customFormat="1">
      <c r="CF866" s="239"/>
      <c r="CM866" s="336"/>
    </row>
    <row r="867" spans="84:91" s="51" customFormat="1">
      <c r="CF867" s="239"/>
      <c r="CM867" s="336"/>
    </row>
    <row r="868" spans="84:91" s="51" customFormat="1">
      <c r="CF868" s="239"/>
      <c r="CM868" s="336"/>
    </row>
    <row r="869" spans="84:91" s="51" customFormat="1">
      <c r="CF869" s="239"/>
      <c r="CM869" s="336"/>
    </row>
    <row r="870" spans="84:91" s="51" customFormat="1">
      <c r="CF870" s="239"/>
      <c r="CM870" s="336"/>
    </row>
    <row r="871" spans="84:91" s="51" customFormat="1">
      <c r="CF871" s="239"/>
      <c r="CM871" s="336"/>
    </row>
    <row r="872" spans="84:91" s="51" customFormat="1">
      <c r="CF872" s="239"/>
      <c r="CM872" s="336"/>
    </row>
    <row r="873" spans="84:91" s="51" customFormat="1">
      <c r="CF873" s="239"/>
      <c r="CM873" s="336"/>
    </row>
    <row r="874" spans="84:91" s="51" customFormat="1">
      <c r="CF874" s="239"/>
      <c r="CM874" s="336"/>
    </row>
    <row r="875" spans="84:91" s="51" customFormat="1">
      <c r="CF875" s="239"/>
      <c r="CM875" s="336"/>
    </row>
    <row r="876" spans="84:91" s="51" customFormat="1">
      <c r="CF876" s="239"/>
      <c r="CM876" s="336"/>
    </row>
    <row r="877" spans="84:91" s="51" customFormat="1">
      <c r="CF877" s="239"/>
      <c r="CM877" s="336"/>
    </row>
    <row r="878" spans="84:91" s="51" customFormat="1">
      <c r="CF878" s="239"/>
      <c r="CM878" s="336"/>
    </row>
    <row r="879" spans="84:91" s="51" customFormat="1">
      <c r="CF879" s="239"/>
      <c r="CM879" s="336"/>
    </row>
    <row r="880" spans="84:91" s="51" customFormat="1">
      <c r="CF880" s="239"/>
      <c r="CM880" s="336"/>
    </row>
    <row r="881" spans="84:91" s="51" customFormat="1">
      <c r="CF881" s="239"/>
      <c r="CM881" s="336"/>
    </row>
    <row r="882" spans="84:91" s="51" customFormat="1">
      <c r="CF882" s="239"/>
      <c r="CM882" s="336"/>
    </row>
    <row r="883" spans="84:91" s="51" customFormat="1">
      <c r="CF883" s="239"/>
      <c r="CM883" s="336"/>
    </row>
    <row r="884" spans="84:91" s="51" customFormat="1">
      <c r="CF884" s="239"/>
      <c r="CM884" s="336"/>
    </row>
    <row r="885" spans="84:91" s="51" customFormat="1">
      <c r="CF885" s="239"/>
      <c r="CM885" s="336"/>
    </row>
    <row r="886" spans="84:91" s="51" customFormat="1">
      <c r="CF886" s="239"/>
      <c r="CM886" s="336"/>
    </row>
    <row r="887" spans="84:91" s="51" customFormat="1">
      <c r="CF887" s="239"/>
      <c r="CM887" s="336"/>
    </row>
    <row r="888" spans="84:91" s="51" customFormat="1">
      <c r="CF888" s="239"/>
      <c r="CM888" s="336"/>
    </row>
    <row r="889" spans="84:91" s="51" customFormat="1">
      <c r="CF889" s="239"/>
      <c r="CM889" s="336"/>
    </row>
    <row r="890" spans="84:91" s="51" customFormat="1">
      <c r="CF890" s="239"/>
      <c r="CM890" s="336"/>
    </row>
    <row r="891" spans="84:91" s="51" customFormat="1">
      <c r="CF891" s="239"/>
      <c r="CM891" s="336"/>
    </row>
    <row r="892" spans="84:91" s="51" customFormat="1">
      <c r="CF892" s="239"/>
      <c r="CM892" s="336"/>
    </row>
    <row r="893" spans="84:91" s="51" customFormat="1">
      <c r="CF893" s="239"/>
      <c r="CM893" s="336"/>
    </row>
    <row r="894" spans="84:91" s="51" customFormat="1">
      <c r="CF894" s="239"/>
      <c r="CM894" s="336"/>
    </row>
    <row r="895" spans="84:91" s="51" customFormat="1">
      <c r="CF895" s="239"/>
      <c r="CM895" s="336"/>
    </row>
    <row r="896" spans="84:91" s="51" customFormat="1">
      <c r="CF896" s="239"/>
      <c r="CM896" s="336"/>
    </row>
    <row r="897" spans="84:91" s="51" customFormat="1">
      <c r="CF897" s="239"/>
      <c r="CM897" s="336"/>
    </row>
    <row r="898" spans="84:91" s="51" customFormat="1">
      <c r="CF898" s="239"/>
      <c r="CM898" s="336"/>
    </row>
    <row r="899" spans="84:91" s="51" customFormat="1">
      <c r="CF899" s="239"/>
      <c r="CM899" s="336"/>
    </row>
    <row r="900" spans="84:91" s="51" customFormat="1">
      <c r="CF900" s="239"/>
      <c r="CM900" s="336"/>
    </row>
    <row r="901" spans="84:91" s="51" customFormat="1">
      <c r="CF901" s="239"/>
      <c r="CM901" s="336"/>
    </row>
    <row r="902" spans="84:91" s="51" customFormat="1">
      <c r="CF902" s="239"/>
      <c r="CM902" s="336"/>
    </row>
    <row r="903" spans="84:91" s="51" customFormat="1">
      <c r="CF903" s="239"/>
      <c r="CM903" s="336"/>
    </row>
    <row r="904" spans="84:91" s="51" customFormat="1">
      <c r="CF904" s="239"/>
      <c r="CM904" s="336"/>
    </row>
    <row r="905" spans="84:91" s="51" customFormat="1">
      <c r="CF905" s="239"/>
      <c r="CM905" s="336"/>
    </row>
    <row r="906" spans="84:91" s="51" customFormat="1">
      <c r="CF906" s="239"/>
      <c r="CM906" s="336"/>
    </row>
    <row r="907" spans="84:91" s="51" customFormat="1">
      <c r="CF907" s="239"/>
      <c r="CM907" s="336"/>
    </row>
    <row r="908" spans="84:91" s="51" customFormat="1">
      <c r="CF908" s="239"/>
      <c r="CM908" s="336"/>
    </row>
    <row r="909" spans="84:91" s="51" customFormat="1">
      <c r="CF909" s="239"/>
      <c r="CM909" s="336"/>
    </row>
    <row r="910" spans="84:91" s="51" customFormat="1">
      <c r="CF910" s="239"/>
      <c r="CM910" s="336"/>
    </row>
    <row r="911" spans="84:91" s="51" customFormat="1">
      <c r="CF911" s="239"/>
      <c r="CM911" s="336"/>
    </row>
    <row r="912" spans="84:91" s="51" customFormat="1">
      <c r="CF912" s="239"/>
      <c r="CM912" s="336"/>
    </row>
    <row r="913" spans="84:91" s="51" customFormat="1">
      <c r="CF913" s="239"/>
      <c r="CM913" s="336"/>
    </row>
    <row r="914" spans="84:91" s="51" customFormat="1">
      <c r="CF914" s="239"/>
      <c r="CM914" s="336"/>
    </row>
    <row r="915" spans="84:91" s="51" customFormat="1">
      <c r="CF915" s="239"/>
      <c r="CM915" s="336"/>
    </row>
    <row r="916" spans="84:91" s="51" customFormat="1">
      <c r="CF916" s="239"/>
      <c r="CM916" s="336"/>
    </row>
    <row r="917" spans="84:91" s="51" customFormat="1">
      <c r="CF917" s="239"/>
      <c r="CM917" s="336"/>
    </row>
    <row r="918" spans="84:91" s="51" customFormat="1">
      <c r="CF918" s="239"/>
      <c r="CM918" s="336"/>
    </row>
    <row r="919" spans="84:91" s="51" customFormat="1">
      <c r="CF919" s="239"/>
      <c r="CM919" s="336"/>
    </row>
    <row r="920" spans="84:91" s="51" customFormat="1">
      <c r="CF920" s="239"/>
      <c r="CM920" s="336"/>
    </row>
    <row r="921" spans="84:91" s="51" customFormat="1">
      <c r="CF921" s="239"/>
      <c r="CM921" s="336"/>
    </row>
    <row r="922" spans="84:91" s="51" customFormat="1">
      <c r="CF922" s="239"/>
      <c r="CM922" s="336"/>
    </row>
    <row r="923" spans="84:91" s="51" customFormat="1">
      <c r="CF923" s="239"/>
      <c r="CM923" s="336"/>
    </row>
    <row r="924" spans="84:91" s="51" customFormat="1">
      <c r="CF924" s="239"/>
      <c r="CM924" s="336"/>
    </row>
    <row r="925" spans="84:91" s="51" customFormat="1">
      <c r="CF925" s="239"/>
      <c r="CM925" s="336"/>
    </row>
    <row r="926" spans="84:91" s="51" customFormat="1">
      <c r="CF926" s="239"/>
      <c r="CM926" s="336"/>
    </row>
    <row r="927" spans="84:91" s="51" customFormat="1">
      <c r="CF927" s="239"/>
      <c r="CM927" s="336"/>
    </row>
    <row r="928" spans="84:91" s="51" customFormat="1">
      <c r="CF928" s="239"/>
      <c r="CM928" s="336"/>
    </row>
    <row r="929" spans="84:91" s="51" customFormat="1">
      <c r="CF929" s="239"/>
      <c r="CM929" s="336"/>
    </row>
    <row r="930" spans="84:91" s="51" customFormat="1">
      <c r="CF930" s="239"/>
      <c r="CM930" s="336"/>
    </row>
    <row r="931" spans="84:91" s="51" customFormat="1">
      <c r="CF931" s="239"/>
      <c r="CM931" s="336"/>
    </row>
    <row r="932" spans="84:91" s="51" customFormat="1">
      <c r="CF932" s="239"/>
      <c r="CM932" s="336"/>
    </row>
    <row r="933" spans="84:91" s="51" customFormat="1">
      <c r="CF933" s="239"/>
      <c r="CM933" s="336"/>
    </row>
    <row r="934" spans="84:91" s="51" customFormat="1">
      <c r="CF934" s="239"/>
      <c r="CM934" s="336"/>
    </row>
    <row r="935" spans="84:91" s="51" customFormat="1">
      <c r="CF935" s="239"/>
      <c r="CM935" s="336"/>
    </row>
    <row r="936" spans="84:91" s="51" customFormat="1">
      <c r="CF936" s="239"/>
      <c r="CM936" s="336"/>
    </row>
    <row r="937" spans="84:91" s="51" customFormat="1">
      <c r="CF937" s="239"/>
      <c r="CM937" s="336"/>
    </row>
    <row r="938" spans="84:91" s="51" customFormat="1">
      <c r="CF938" s="239"/>
      <c r="CM938" s="336"/>
    </row>
    <row r="939" spans="84:91" s="51" customFormat="1">
      <c r="CF939" s="239"/>
      <c r="CM939" s="336"/>
    </row>
    <row r="940" spans="84:91" s="51" customFormat="1">
      <c r="CF940" s="239"/>
      <c r="CM940" s="336"/>
    </row>
    <row r="941" spans="84:91" s="51" customFormat="1">
      <c r="CF941" s="239"/>
      <c r="CM941" s="336"/>
    </row>
    <row r="942" spans="84:91" s="51" customFormat="1">
      <c r="CF942" s="239"/>
      <c r="CM942" s="336"/>
    </row>
    <row r="943" spans="84:91" s="51" customFormat="1">
      <c r="CF943" s="239"/>
      <c r="CM943" s="336"/>
    </row>
    <row r="944" spans="84:91" s="51" customFormat="1">
      <c r="CF944" s="239"/>
      <c r="CM944" s="336"/>
    </row>
    <row r="945" spans="84:91" s="51" customFormat="1">
      <c r="CF945" s="239"/>
      <c r="CM945" s="336"/>
    </row>
    <row r="946" spans="84:91" s="51" customFormat="1">
      <c r="CF946" s="239"/>
      <c r="CM946" s="336"/>
    </row>
    <row r="947" spans="84:91" s="51" customFormat="1">
      <c r="CF947" s="239"/>
      <c r="CM947" s="336"/>
    </row>
    <row r="948" spans="84:91" s="51" customFormat="1">
      <c r="CF948" s="239"/>
      <c r="CM948" s="336"/>
    </row>
    <row r="949" spans="84:91" s="51" customFormat="1">
      <c r="CF949" s="239"/>
      <c r="CM949" s="336"/>
    </row>
    <row r="950" spans="84:91" s="51" customFormat="1">
      <c r="CF950" s="239"/>
      <c r="CM950" s="336"/>
    </row>
    <row r="951" spans="84:91" s="51" customFormat="1">
      <c r="CF951" s="239"/>
      <c r="CM951" s="336"/>
    </row>
    <row r="952" spans="84:91" s="51" customFormat="1">
      <c r="CF952" s="239"/>
      <c r="CM952" s="336"/>
    </row>
    <row r="953" spans="84:91" s="51" customFormat="1">
      <c r="CF953" s="239"/>
      <c r="CM953" s="336"/>
    </row>
    <row r="954" spans="84:91" s="51" customFormat="1">
      <c r="CF954" s="239"/>
      <c r="CM954" s="336"/>
    </row>
    <row r="955" spans="84:91" s="51" customFormat="1">
      <c r="CF955" s="239"/>
      <c r="CM955" s="336"/>
    </row>
    <row r="956" spans="84:91" s="51" customFormat="1">
      <c r="CF956" s="239"/>
      <c r="CM956" s="336"/>
    </row>
    <row r="957" spans="84:91" s="51" customFormat="1">
      <c r="CF957" s="239"/>
      <c r="CM957" s="336"/>
    </row>
    <row r="958" spans="84:91" s="51" customFormat="1">
      <c r="CF958" s="239"/>
      <c r="CM958" s="336"/>
    </row>
    <row r="959" spans="84:91" s="51" customFormat="1">
      <c r="CF959" s="239"/>
      <c r="CM959" s="336"/>
    </row>
    <row r="960" spans="84:91" s="51" customFormat="1">
      <c r="CF960" s="239"/>
      <c r="CM960" s="336"/>
    </row>
    <row r="961" spans="84:91" s="51" customFormat="1">
      <c r="CF961" s="239"/>
      <c r="CM961" s="336"/>
    </row>
    <row r="962" spans="84:91" s="51" customFormat="1">
      <c r="CF962" s="239"/>
      <c r="CM962" s="336"/>
    </row>
    <row r="963" spans="84:91" s="51" customFormat="1">
      <c r="CF963" s="239"/>
      <c r="CM963" s="336"/>
    </row>
    <row r="964" spans="84:91" s="51" customFormat="1">
      <c r="CF964" s="239"/>
      <c r="CM964" s="336"/>
    </row>
    <row r="965" spans="84:91" s="51" customFormat="1">
      <c r="CF965" s="239"/>
      <c r="CM965" s="336"/>
    </row>
    <row r="966" spans="84:91" s="51" customFormat="1">
      <c r="CF966" s="239"/>
      <c r="CM966" s="336"/>
    </row>
    <row r="967" spans="84:91" s="51" customFormat="1">
      <c r="CF967" s="239"/>
      <c r="CM967" s="336"/>
    </row>
    <row r="968" spans="84:91" s="51" customFormat="1">
      <c r="CF968" s="239"/>
      <c r="CM968" s="336"/>
    </row>
    <row r="969" spans="84:91" s="51" customFormat="1">
      <c r="CF969" s="239"/>
      <c r="CM969" s="336"/>
    </row>
    <row r="970" spans="84:91" s="51" customFormat="1">
      <c r="CF970" s="239"/>
      <c r="CM970" s="336"/>
    </row>
    <row r="971" spans="84:91" s="51" customFormat="1">
      <c r="CF971" s="239"/>
      <c r="CM971" s="336"/>
    </row>
    <row r="972" spans="84:91" s="51" customFormat="1">
      <c r="CF972" s="239"/>
      <c r="CM972" s="336"/>
    </row>
    <row r="973" spans="84:91" s="51" customFormat="1">
      <c r="CF973" s="239"/>
      <c r="CM973" s="336"/>
    </row>
    <row r="974" spans="84:91" s="51" customFormat="1">
      <c r="CF974" s="239"/>
      <c r="CM974" s="336"/>
    </row>
    <row r="975" spans="84:91" s="51" customFormat="1">
      <c r="CF975" s="239"/>
      <c r="CM975" s="336"/>
    </row>
    <row r="976" spans="84:91" s="51" customFormat="1">
      <c r="CF976" s="239"/>
      <c r="CM976" s="336"/>
    </row>
    <row r="977" spans="84:91" s="51" customFormat="1">
      <c r="CF977" s="239"/>
      <c r="CM977" s="336"/>
    </row>
    <row r="978" spans="84:91" s="51" customFormat="1">
      <c r="CF978" s="239"/>
      <c r="CM978" s="336"/>
    </row>
    <row r="979" spans="84:91" s="51" customFormat="1">
      <c r="CF979" s="239"/>
      <c r="CM979" s="336"/>
    </row>
    <row r="980" spans="84:91" s="51" customFormat="1">
      <c r="CF980" s="239"/>
      <c r="CM980" s="336"/>
    </row>
    <row r="981" spans="84:91" s="51" customFormat="1">
      <c r="CF981" s="239"/>
      <c r="CM981" s="336"/>
    </row>
    <row r="982" spans="84:91" s="51" customFormat="1">
      <c r="CF982" s="239"/>
      <c r="CM982" s="336"/>
    </row>
    <row r="983" spans="84:91" s="51" customFormat="1">
      <c r="CF983" s="239"/>
      <c r="CM983" s="336"/>
    </row>
    <row r="984" spans="84:91" s="51" customFormat="1">
      <c r="CF984" s="239"/>
      <c r="CM984" s="336"/>
    </row>
    <row r="985" spans="84:91" s="51" customFormat="1">
      <c r="CF985" s="239"/>
      <c r="CM985" s="336"/>
    </row>
    <row r="986" spans="84:91" s="51" customFormat="1">
      <c r="CF986" s="239"/>
      <c r="CM986" s="336"/>
    </row>
    <row r="987" spans="84:91" s="51" customFormat="1">
      <c r="CF987" s="239"/>
      <c r="CM987" s="336"/>
    </row>
    <row r="988" spans="84:91" s="51" customFormat="1">
      <c r="CF988" s="239"/>
      <c r="CM988" s="336"/>
    </row>
    <row r="989" spans="84:91" s="51" customFormat="1">
      <c r="CF989" s="239"/>
      <c r="CM989" s="336"/>
    </row>
    <row r="990" spans="84:91" s="51" customFormat="1">
      <c r="CF990" s="239"/>
      <c r="CM990" s="336"/>
    </row>
    <row r="991" spans="84:91" s="51" customFormat="1">
      <c r="CF991" s="239"/>
      <c r="CM991" s="336"/>
    </row>
    <row r="992" spans="84:91" s="51" customFormat="1">
      <c r="CF992" s="239"/>
      <c r="CM992" s="336"/>
    </row>
    <row r="993" spans="84:91" s="51" customFormat="1">
      <c r="CF993" s="239"/>
      <c r="CM993" s="336"/>
    </row>
    <row r="994" spans="84:91" s="51" customFormat="1">
      <c r="CF994" s="239"/>
      <c r="CM994" s="336"/>
    </row>
    <row r="995" spans="84:91" s="51" customFormat="1">
      <c r="CF995" s="239"/>
      <c r="CM995" s="336"/>
    </row>
    <row r="996" spans="84:91" s="51" customFormat="1">
      <c r="CF996" s="239"/>
      <c r="CM996" s="336"/>
    </row>
    <row r="997" spans="84:91" s="51" customFormat="1">
      <c r="CF997" s="239"/>
      <c r="CM997" s="336"/>
    </row>
    <row r="998" spans="84:91" s="51" customFormat="1">
      <c r="CF998" s="239"/>
      <c r="CM998" s="336"/>
    </row>
    <row r="999" spans="84:91" s="51" customFormat="1">
      <c r="CF999" s="239"/>
      <c r="CM999" s="336"/>
    </row>
    <row r="1000" spans="84:91" s="51" customFormat="1">
      <c r="CF1000" s="239"/>
      <c r="CM1000" s="336"/>
    </row>
    <row r="1001" spans="84:91" s="51" customFormat="1">
      <c r="CF1001" s="239"/>
      <c r="CM1001" s="336"/>
    </row>
    <row r="1002" spans="84:91" s="51" customFormat="1">
      <c r="CF1002" s="239"/>
      <c r="CM1002" s="336"/>
    </row>
    <row r="1003" spans="84:91" s="51" customFormat="1">
      <c r="CF1003" s="239"/>
      <c r="CM1003" s="336"/>
    </row>
    <row r="1004" spans="84:91" s="51" customFormat="1">
      <c r="CF1004" s="239"/>
      <c r="CM1004" s="336"/>
    </row>
    <row r="1005" spans="84:91" s="51" customFormat="1">
      <c r="CF1005" s="239"/>
      <c r="CM1005" s="336"/>
    </row>
    <row r="1006" spans="84:91" s="51" customFormat="1">
      <c r="CF1006" s="239"/>
      <c r="CM1006" s="336"/>
    </row>
    <row r="1007" spans="84:91" s="51" customFormat="1">
      <c r="CF1007" s="239"/>
      <c r="CM1007" s="336"/>
    </row>
    <row r="1008" spans="84:91" s="51" customFormat="1">
      <c r="CF1008" s="239"/>
      <c r="CM1008" s="336"/>
    </row>
    <row r="1009" spans="84:91" s="51" customFormat="1">
      <c r="CF1009" s="239"/>
      <c r="CM1009" s="336"/>
    </row>
    <row r="1010" spans="84:91" s="51" customFormat="1">
      <c r="CF1010" s="239"/>
      <c r="CM1010" s="336"/>
    </row>
    <row r="1011" spans="84:91" s="51" customFormat="1">
      <c r="CF1011" s="239"/>
      <c r="CM1011" s="336"/>
    </row>
    <row r="1012" spans="84:91" s="51" customFormat="1">
      <c r="CF1012" s="239"/>
      <c r="CM1012" s="336"/>
    </row>
    <row r="1013" spans="84:91" s="51" customFormat="1">
      <c r="CF1013" s="239"/>
      <c r="CM1013" s="336"/>
    </row>
    <row r="1014" spans="84:91" s="51" customFormat="1">
      <c r="CF1014" s="239"/>
      <c r="CM1014" s="336"/>
    </row>
    <row r="1015" spans="84:91" s="51" customFormat="1">
      <c r="CF1015" s="239"/>
      <c r="CM1015" s="336"/>
    </row>
    <row r="1016" spans="84:91" s="51" customFormat="1">
      <c r="CF1016" s="239"/>
      <c r="CM1016" s="336"/>
    </row>
    <row r="1017" spans="84:91" s="51" customFormat="1">
      <c r="CF1017" s="239"/>
      <c r="CM1017" s="336"/>
    </row>
    <row r="1018" spans="84:91" s="51" customFormat="1">
      <c r="CF1018" s="239"/>
      <c r="CM1018" s="336"/>
    </row>
    <row r="1019" spans="84:91" s="51" customFormat="1">
      <c r="CF1019" s="239"/>
      <c r="CM1019" s="336"/>
    </row>
    <row r="1020" spans="84:91" s="51" customFormat="1">
      <c r="CF1020" s="239"/>
      <c r="CM1020" s="336"/>
    </row>
    <row r="1021" spans="84:91" s="51" customFormat="1">
      <c r="CF1021" s="239"/>
      <c r="CM1021" s="336"/>
    </row>
    <row r="1022" spans="84:91" s="51" customFormat="1">
      <c r="CF1022" s="239"/>
      <c r="CM1022" s="336"/>
    </row>
    <row r="1023" spans="84:91" s="51" customFormat="1">
      <c r="CF1023" s="239"/>
      <c r="CM1023" s="336"/>
    </row>
    <row r="1024" spans="84:91" s="51" customFormat="1">
      <c r="CF1024" s="239"/>
      <c r="CM1024" s="336"/>
    </row>
    <row r="1025" spans="84:91" s="51" customFormat="1">
      <c r="CF1025" s="239"/>
      <c r="CM1025" s="336"/>
    </row>
    <row r="1026" spans="84:91" s="51" customFormat="1">
      <c r="CF1026" s="239"/>
      <c r="CM1026" s="336"/>
    </row>
    <row r="1027" spans="84:91" s="51" customFormat="1">
      <c r="CF1027" s="239"/>
      <c r="CM1027" s="336"/>
    </row>
    <row r="1028" spans="84:91" s="51" customFormat="1">
      <c r="CF1028" s="239"/>
      <c r="CM1028" s="336"/>
    </row>
    <row r="1029" spans="84:91" s="51" customFormat="1">
      <c r="CF1029" s="239"/>
      <c r="CM1029" s="336"/>
    </row>
    <row r="1030" spans="84:91" s="51" customFormat="1">
      <c r="CF1030" s="239"/>
      <c r="CM1030" s="336"/>
    </row>
    <row r="1031" spans="84:91" s="51" customFormat="1">
      <c r="CF1031" s="239"/>
      <c r="CM1031" s="336"/>
    </row>
    <row r="1032" spans="84:91" s="51" customFormat="1">
      <c r="CF1032" s="239"/>
      <c r="CM1032" s="336"/>
    </row>
    <row r="1033" spans="84:91" s="51" customFormat="1">
      <c r="CF1033" s="239"/>
      <c r="CM1033" s="336"/>
    </row>
    <row r="1034" spans="84:91" s="51" customFormat="1">
      <c r="CF1034" s="239"/>
      <c r="CM1034" s="336"/>
    </row>
    <row r="1035" spans="84:91" s="51" customFormat="1">
      <c r="CF1035" s="239"/>
      <c r="CM1035" s="336"/>
    </row>
    <row r="1036" spans="84:91" s="51" customFormat="1">
      <c r="CF1036" s="239"/>
      <c r="CM1036" s="336"/>
    </row>
    <row r="1037" spans="84:91" s="51" customFormat="1">
      <c r="CF1037" s="239"/>
      <c r="CM1037" s="336"/>
    </row>
    <row r="1038" spans="84:91" s="51" customFormat="1">
      <c r="CF1038" s="239"/>
      <c r="CM1038" s="336"/>
    </row>
    <row r="1039" spans="84:91" s="51" customFormat="1">
      <c r="CF1039" s="239"/>
      <c r="CM1039" s="336"/>
    </row>
    <row r="1040" spans="84:91" s="51" customFormat="1">
      <c r="CF1040" s="239"/>
      <c r="CM1040" s="336"/>
    </row>
    <row r="1041" spans="84:91" s="51" customFormat="1">
      <c r="CF1041" s="239"/>
      <c r="CM1041" s="336"/>
    </row>
    <row r="1042" spans="84:91" s="51" customFormat="1">
      <c r="CF1042" s="239"/>
      <c r="CM1042" s="336"/>
    </row>
    <row r="1043" spans="84:91" s="51" customFormat="1">
      <c r="CF1043" s="239"/>
      <c r="CM1043" s="336"/>
    </row>
    <row r="1044" spans="84:91" s="51" customFormat="1">
      <c r="CF1044" s="239"/>
      <c r="CM1044" s="336"/>
    </row>
    <row r="1045" spans="84:91" s="51" customFormat="1">
      <c r="CF1045" s="239"/>
      <c r="CM1045" s="336"/>
    </row>
    <row r="1046" spans="84:91" s="51" customFormat="1">
      <c r="CF1046" s="239"/>
      <c r="CM1046" s="336"/>
    </row>
    <row r="1047" spans="84:91" s="51" customFormat="1">
      <c r="CF1047" s="239"/>
      <c r="CM1047" s="336"/>
    </row>
    <row r="1048" spans="84:91" s="51" customFormat="1">
      <c r="CF1048" s="239"/>
      <c r="CM1048" s="336"/>
    </row>
    <row r="1049" spans="84:91" s="51" customFormat="1">
      <c r="CF1049" s="239"/>
      <c r="CM1049" s="336"/>
    </row>
    <row r="1050" spans="84:91" s="51" customFormat="1">
      <c r="CF1050" s="239"/>
      <c r="CM1050" s="336"/>
    </row>
    <row r="1051" spans="84:91" s="51" customFormat="1">
      <c r="CF1051" s="239"/>
      <c r="CM1051" s="336"/>
    </row>
    <row r="1052" spans="84:91" s="51" customFormat="1">
      <c r="CF1052" s="239"/>
      <c r="CM1052" s="336"/>
    </row>
    <row r="1053" spans="84:91" s="51" customFormat="1">
      <c r="CF1053" s="239"/>
      <c r="CM1053" s="336"/>
    </row>
    <row r="1054" spans="84:91" s="51" customFormat="1">
      <c r="CF1054" s="239"/>
      <c r="CM1054" s="336"/>
    </row>
    <row r="1055" spans="84:91" s="51" customFormat="1">
      <c r="CF1055" s="239"/>
      <c r="CM1055" s="336"/>
    </row>
    <row r="1056" spans="84:91" s="51" customFormat="1">
      <c r="CF1056" s="239"/>
      <c r="CM1056" s="336"/>
    </row>
    <row r="1057" spans="84:91" s="51" customFormat="1">
      <c r="CF1057" s="239"/>
      <c r="CM1057" s="336"/>
    </row>
    <row r="1058" spans="84:91" s="51" customFormat="1">
      <c r="CF1058" s="239"/>
      <c r="CM1058" s="336"/>
    </row>
    <row r="1059" spans="84:91" s="51" customFormat="1">
      <c r="CF1059" s="239"/>
      <c r="CM1059" s="336"/>
    </row>
    <row r="1060" spans="84:91" s="51" customFormat="1">
      <c r="CF1060" s="239"/>
      <c r="CM1060" s="336"/>
    </row>
    <row r="1061" spans="84:91" s="51" customFormat="1">
      <c r="CF1061" s="239"/>
      <c r="CM1061" s="336"/>
    </row>
    <row r="1062" spans="84:91" s="51" customFormat="1">
      <c r="CF1062" s="239"/>
      <c r="CM1062" s="336"/>
    </row>
    <row r="1063" spans="84:91" s="51" customFormat="1">
      <c r="CF1063" s="239"/>
      <c r="CM1063" s="336"/>
    </row>
    <row r="1064" spans="84:91" s="51" customFormat="1">
      <c r="CF1064" s="239"/>
      <c r="CM1064" s="336"/>
    </row>
    <row r="1065" spans="84:91" s="51" customFormat="1">
      <c r="CF1065" s="239"/>
      <c r="CM1065" s="336"/>
    </row>
    <row r="1066" spans="84:91" s="51" customFormat="1">
      <c r="CF1066" s="239"/>
      <c r="CM1066" s="336"/>
    </row>
    <row r="1067" spans="84:91" s="51" customFormat="1">
      <c r="CF1067" s="239"/>
      <c r="CM1067" s="336"/>
    </row>
    <row r="1068" spans="84:91" s="51" customFormat="1">
      <c r="CF1068" s="239"/>
      <c r="CM1068" s="336"/>
    </row>
    <row r="1069" spans="84:91" s="51" customFormat="1">
      <c r="CF1069" s="239"/>
      <c r="CM1069" s="336"/>
    </row>
    <row r="1070" spans="84:91" s="51" customFormat="1">
      <c r="CF1070" s="239"/>
      <c r="CM1070" s="336"/>
    </row>
    <row r="1071" spans="84:91" s="51" customFormat="1">
      <c r="CF1071" s="239"/>
      <c r="CM1071" s="336"/>
    </row>
    <row r="1072" spans="84:91" s="51" customFormat="1">
      <c r="CF1072" s="239"/>
      <c r="CM1072" s="336"/>
    </row>
    <row r="1073" spans="84:91" s="51" customFormat="1">
      <c r="CF1073" s="239"/>
      <c r="CM1073" s="336"/>
    </row>
    <row r="1074" spans="84:91" s="51" customFormat="1">
      <c r="CF1074" s="239"/>
      <c r="CM1074" s="336"/>
    </row>
    <row r="1075" spans="84:91" s="51" customFormat="1">
      <c r="CF1075" s="239"/>
      <c r="CM1075" s="336"/>
    </row>
    <row r="1076" spans="84:91" s="51" customFormat="1">
      <c r="CF1076" s="239"/>
      <c r="CM1076" s="336"/>
    </row>
    <row r="1077" spans="84:91" s="51" customFormat="1">
      <c r="CF1077" s="239"/>
      <c r="CM1077" s="336"/>
    </row>
    <row r="1078" spans="84:91" s="51" customFormat="1">
      <c r="CF1078" s="239"/>
      <c r="CM1078" s="336"/>
    </row>
    <row r="1079" spans="84:91" s="51" customFormat="1">
      <c r="CF1079" s="239"/>
      <c r="CM1079" s="336"/>
    </row>
    <row r="1080" spans="84:91" s="51" customFormat="1">
      <c r="CF1080" s="239"/>
      <c r="CM1080" s="336"/>
    </row>
    <row r="1081" spans="84:91" s="51" customFormat="1">
      <c r="CF1081" s="239"/>
      <c r="CM1081" s="336"/>
    </row>
    <row r="1082" spans="84:91" s="51" customFormat="1">
      <c r="CF1082" s="239"/>
      <c r="CM1082" s="336"/>
    </row>
    <row r="1083" spans="84:91" s="51" customFormat="1">
      <c r="CF1083" s="239"/>
      <c r="CM1083" s="336"/>
    </row>
    <row r="1084" spans="84:91" s="51" customFormat="1">
      <c r="CF1084" s="239"/>
      <c r="CM1084" s="336"/>
    </row>
    <row r="1085" spans="84:91" s="51" customFormat="1">
      <c r="CF1085" s="239"/>
      <c r="CM1085" s="336"/>
    </row>
    <row r="1086" spans="84:91" s="51" customFormat="1">
      <c r="CF1086" s="239"/>
      <c r="CM1086" s="336"/>
    </row>
    <row r="1087" spans="84:91" s="51" customFormat="1">
      <c r="CF1087" s="239"/>
      <c r="CM1087" s="336"/>
    </row>
    <row r="1088" spans="84:91" s="51" customFormat="1">
      <c r="CF1088" s="239"/>
      <c r="CM1088" s="336"/>
    </row>
    <row r="1089" spans="84:91" s="51" customFormat="1">
      <c r="CF1089" s="239"/>
      <c r="CM1089" s="336"/>
    </row>
    <row r="1090" spans="84:91" s="51" customFormat="1">
      <c r="CF1090" s="239"/>
      <c r="CM1090" s="336"/>
    </row>
    <row r="1091" spans="84:91" s="51" customFormat="1">
      <c r="CF1091" s="239"/>
      <c r="CM1091" s="336"/>
    </row>
    <row r="1092" spans="84:91" s="51" customFormat="1">
      <c r="CF1092" s="239"/>
      <c r="CM1092" s="336"/>
    </row>
    <row r="1093" spans="84:91" s="51" customFormat="1">
      <c r="CF1093" s="239"/>
      <c r="CM1093" s="336"/>
    </row>
    <row r="1094" spans="84:91" s="51" customFormat="1">
      <c r="CF1094" s="239"/>
      <c r="CM1094" s="336"/>
    </row>
    <row r="1095" spans="84:91" s="51" customFormat="1">
      <c r="CF1095" s="239"/>
      <c r="CM1095" s="336"/>
    </row>
    <row r="1096" spans="84:91" s="51" customFormat="1">
      <c r="CF1096" s="239"/>
      <c r="CM1096" s="336"/>
    </row>
    <row r="1097" spans="84:91" s="51" customFormat="1">
      <c r="CF1097" s="239"/>
      <c r="CM1097" s="336"/>
    </row>
    <row r="1098" spans="84:91" s="51" customFormat="1">
      <c r="CF1098" s="239"/>
      <c r="CM1098" s="336"/>
    </row>
    <row r="1099" spans="84:91" s="51" customFormat="1">
      <c r="CF1099" s="239"/>
      <c r="CM1099" s="336"/>
    </row>
    <row r="1100" spans="84:91" s="51" customFormat="1">
      <c r="CF1100" s="239"/>
      <c r="CM1100" s="336"/>
    </row>
    <row r="1101" spans="84:91" s="51" customFormat="1">
      <c r="CF1101" s="239"/>
      <c r="CM1101" s="336"/>
    </row>
    <row r="1102" spans="84:91" s="51" customFormat="1">
      <c r="CF1102" s="239"/>
      <c r="CM1102" s="336"/>
    </row>
    <row r="1103" spans="84:91" s="51" customFormat="1">
      <c r="CF1103" s="239"/>
      <c r="CM1103" s="336"/>
    </row>
    <row r="1104" spans="84:91" s="51" customFormat="1">
      <c r="CF1104" s="239"/>
      <c r="CM1104" s="336"/>
    </row>
    <row r="1105" spans="84:91" s="51" customFormat="1">
      <c r="CF1105" s="239"/>
      <c r="CM1105" s="336"/>
    </row>
    <row r="1106" spans="84:91" s="51" customFormat="1">
      <c r="CF1106" s="239"/>
      <c r="CM1106" s="336"/>
    </row>
    <row r="1107" spans="84:91" s="51" customFormat="1">
      <c r="CF1107" s="239"/>
      <c r="CM1107" s="336"/>
    </row>
    <row r="1108" spans="84:91" s="51" customFormat="1">
      <c r="CF1108" s="239"/>
      <c r="CM1108" s="336"/>
    </row>
    <row r="1109" spans="84:91" s="51" customFormat="1">
      <c r="CF1109" s="239"/>
      <c r="CM1109" s="336"/>
    </row>
    <row r="1110" spans="84:91" s="51" customFormat="1">
      <c r="CF1110" s="239"/>
      <c r="CM1110" s="336"/>
    </row>
    <row r="1111" spans="84:91" s="51" customFormat="1">
      <c r="CF1111" s="239"/>
      <c r="CM1111" s="336"/>
    </row>
    <row r="1112" spans="84:91" s="51" customFormat="1">
      <c r="CF1112" s="239"/>
      <c r="CM1112" s="336"/>
    </row>
    <row r="1113" spans="84:91" s="51" customFormat="1">
      <c r="CF1113" s="239"/>
      <c r="CM1113" s="336"/>
    </row>
    <row r="1114" spans="84:91" s="51" customFormat="1">
      <c r="CF1114" s="239"/>
      <c r="CM1114" s="336"/>
    </row>
    <row r="1115" spans="84:91" s="51" customFormat="1">
      <c r="CF1115" s="239"/>
      <c r="CM1115" s="336"/>
    </row>
    <row r="1116" spans="84:91" s="51" customFormat="1">
      <c r="CF1116" s="239"/>
      <c r="CM1116" s="336"/>
    </row>
    <row r="1117" spans="84:91" s="51" customFormat="1">
      <c r="CF1117" s="239"/>
      <c r="CM1117" s="336"/>
    </row>
    <row r="1118" spans="84:91" s="51" customFormat="1">
      <c r="CF1118" s="239"/>
      <c r="CM1118" s="336"/>
    </row>
    <row r="1119" spans="84:91" s="51" customFormat="1">
      <c r="CF1119" s="239"/>
      <c r="CM1119" s="336"/>
    </row>
    <row r="1120" spans="84:91" s="51" customFormat="1">
      <c r="CF1120" s="239"/>
      <c r="CM1120" s="336"/>
    </row>
    <row r="1121" spans="84:91" s="51" customFormat="1">
      <c r="CF1121" s="239"/>
      <c r="CM1121" s="336"/>
    </row>
    <row r="1122" spans="84:91" s="51" customFormat="1">
      <c r="CF1122" s="239"/>
      <c r="CM1122" s="336"/>
    </row>
    <row r="1123" spans="84:91" s="51" customFormat="1">
      <c r="CF1123" s="239"/>
      <c r="CM1123" s="336"/>
    </row>
    <row r="1124" spans="84:91" s="51" customFormat="1">
      <c r="CF1124" s="239"/>
      <c r="CM1124" s="336"/>
    </row>
    <row r="1125" spans="84:91" s="51" customFormat="1">
      <c r="CF1125" s="239"/>
      <c r="CM1125" s="336"/>
    </row>
    <row r="1126" spans="84:91" s="51" customFormat="1">
      <c r="CF1126" s="239"/>
      <c r="CM1126" s="336"/>
    </row>
    <row r="1127" spans="84:91" s="51" customFormat="1">
      <c r="CF1127" s="239"/>
      <c r="CM1127" s="336"/>
    </row>
    <row r="1128" spans="84:91" s="51" customFormat="1">
      <c r="CF1128" s="239"/>
      <c r="CM1128" s="336"/>
    </row>
    <row r="1129" spans="84:91" s="51" customFormat="1">
      <c r="CF1129" s="239"/>
      <c r="CM1129" s="336"/>
    </row>
    <row r="1130" spans="84:91" s="51" customFormat="1">
      <c r="CF1130" s="239"/>
      <c r="CM1130" s="336"/>
    </row>
    <row r="1131" spans="84:91" s="51" customFormat="1">
      <c r="CF1131" s="239"/>
      <c r="CM1131" s="336"/>
    </row>
    <row r="1132" spans="84:91" s="51" customFormat="1">
      <c r="CF1132" s="239"/>
      <c r="CM1132" s="336"/>
    </row>
    <row r="1133" spans="84:91" s="51" customFormat="1">
      <c r="CF1133" s="239"/>
      <c r="CM1133" s="336"/>
    </row>
    <row r="1134" spans="84:91" s="51" customFormat="1">
      <c r="CF1134" s="239"/>
      <c r="CM1134" s="336"/>
    </row>
    <row r="1135" spans="84:91" s="51" customFormat="1">
      <c r="CF1135" s="239"/>
      <c r="CM1135" s="336"/>
    </row>
    <row r="1136" spans="84:91" s="51" customFormat="1">
      <c r="CF1136" s="239"/>
      <c r="CM1136" s="336"/>
    </row>
    <row r="1137" spans="84:91" s="51" customFormat="1">
      <c r="CF1137" s="239"/>
      <c r="CM1137" s="336"/>
    </row>
    <row r="1138" spans="84:91" s="51" customFormat="1">
      <c r="CF1138" s="239"/>
      <c r="CM1138" s="336"/>
    </row>
    <row r="1139" spans="84:91" s="51" customFormat="1">
      <c r="CF1139" s="239"/>
      <c r="CM1139" s="336"/>
    </row>
    <row r="1140" spans="84:91" s="51" customFormat="1">
      <c r="CF1140" s="239"/>
      <c r="CM1140" s="336"/>
    </row>
    <row r="1141" spans="84:91" s="51" customFormat="1">
      <c r="CF1141" s="239"/>
      <c r="CM1141" s="336"/>
    </row>
    <row r="1142" spans="84:91" s="51" customFormat="1">
      <c r="CF1142" s="239"/>
      <c r="CM1142" s="336"/>
    </row>
    <row r="1143" spans="84:91" s="51" customFormat="1">
      <c r="CF1143" s="239"/>
      <c r="CM1143" s="336"/>
    </row>
    <row r="1144" spans="84:91" s="51" customFormat="1">
      <c r="CF1144" s="239"/>
      <c r="CM1144" s="336"/>
    </row>
    <row r="1145" spans="84:91" s="51" customFormat="1">
      <c r="CF1145" s="239"/>
      <c r="CM1145" s="336"/>
    </row>
    <row r="1146" spans="84:91" s="51" customFormat="1">
      <c r="CF1146" s="239"/>
      <c r="CM1146" s="336"/>
    </row>
    <row r="1147" spans="84:91" s="51" customFormat="1">
      <c r="CF1147" s="239"/>
      <c r="CM1147" s="336"/>
    </row>
    <row r="1148" spans="84:91" s="51" customFormat="1">
      <c r="CF1148" s="239"/>
      <c r="CM1148" s="336"/>
    </row>
    <row r="1149" spans="84:91" s="51" customFormat="1">
      <c r="CF1149" s="239"/>
      <c r="CM1149" s="336"/>
    </row>
    <row r="1150" spans="84:91" s="51" customFormat="1">
      <c r="CF1150" s="239"/>
      <c r="CM1150" s="336"/>
    </row>
    <row r="1151" spans="84:91" s="51" customFormat="1">
      <c r="CF1151" s="239"/>
      <c r="CM1151" s="336"/>
    </row>
    <row r="1152" spans="84:91" s="51" customFormat="1">
      <c r="CF1152" s="239"/>
      <c r="CM1152" s="336"/>
    </row>
    <row r="1153" spans="84:91" s="51" customFormat="1">
      <c r="CF1153" s="239"/>
      <c r="CM1153" s="336"/>
    </row>
    <row r="1154" spans="84:91" s="51" customFormat="1">
      <c r="CF1154" s="239"/>
      <c r="CM1154" s="336"/>
    </row>
    <row r="1155" spans="84:91" s="51" customFormat="1">
      <c r="CF1155" s="239"/>
      <c r="CM1155" s="336"/>
    </row>
    <row r="1156" spans="84:91" s="51" customFormat="1">
      <c r="CF1156" s="239"/>
      <c r="CM1156" s="336"/>
    </row>
    <row r="1157" spans="84:91" s="51" customFormat="1">
      <c r="CF1157" s="239"/>
      <c r="CM1157" s="336"/>
    </row>
    <row r="1158" spans="84:91" s="51" customFormat="1">
      <c r="CF1158" s="239"/>
      <c r="CM1158" s="336"/>
    </row>
    <row r="1159" spans="84:91" s="51" customFormat="1">
      <c r="CF1159" s="239"/>
      <c r="CM1159" s="336"/>
    </row>
    <row r="1160" spans="84:91" s="51" customFormat="1">
      <c r="CF1160" s="239"/>
      <c r="CM1160" s="336"/>
    </row>
    <row r="1161" spans="84:91" s="51" customFormat="1">
      <c r="CF1161" s="239"/>
      <c r="CM1161" s="336"/>
    </row>
    <row r="1162" spans="84:91" s="51" customFormat="1">
      <c r="CF1162" s="239"/>
      <c r="CM1162" s="336"/>
    </row>
    <row r="1163" spans="84:91" s="51" customFormat="1">
      <c r="CF1163" s="239"/>
      <c r="CM1163" s="336"/>
    </row>
    <row r="1164" spans="84:91" s="51" customFormat="1">
      <c r="CF1164" s="239"/>
      <c r="CM1164" s="336"/>
    </row>
    <row r="1165" spans="84:91" s="51" customFormat="1">
      <c r="CF1165" s="239"/>
      <c r="CM1165" s="336"/>
    </row>
    <row r="1166" spans="84:91" s="51" customFormat="1">
      <c r="CF1166" s="239"/>
      <c r="CM1166" s="336"/>
    </row>
    <row r="1167" spans="84:91" s="51" customFormat="1">
      <c r="CF1167" s="239"/>
      <c r="CM1167" s="336"/>
    </row>
    <row r="1168" spans="84:91" s="51" customFormat="1">
      <c r="CF1168" s="239"/>
      <c r="CM1168" s="336"/>
    </row>
    <row r="1169" spans="84:91" s="51" customFormat="1">
      <c r="CF1169" s="239"/>
      <c r="CM1169" s="336"/>
    </row>
    <row r="1170" spans="84:91" s="51" customFormat="1">
      <c r="CF1170" s="239"/>
      <c r="CM1170" s="336"/>
    </row>
    <row r="1171" spans="84:91" s="51" customFormat="1">
      <c r="CF1171" s="239"/>
      <c r="CM1171" s="336"/>
    </row>
    <row r="1172" spans="84:91" s="51" customFormat="1">
      <c r="CF1172" s="239"/>
      <c r="CM1172" s="336"/>
    </row>
    <row r="1173" spans="84:91" s="51" customFormat="1">
      <c r="CF1173" s="239"/>
      <c r="CM1173" s="336"/>
    </row>
    <row r="1174" spans="84:91" s="51" customFormat="1">
      <c r="CF1174" s="239"/>
      <c r="CM1174" s="336"/>
    </row>
    <row r="1175" spans="84:91" s="51" customFormat="1">
      <c r="CF1175" s="239"/>
      <c r="CM1175" s="336"/>
    </row>
    <row r="1176" spans="84:91" s="51" customFormat="1">
      <c r="CF1176" s="239"/>
      <c r="CM1176" s="336"/>
    </row>
    <row r="1177" spans="84:91" s="51" customFormat="1">
      <c r="CF1177" s="239"/>
      <c r="CM1177" s="336"/>
    </row>
    <row r="1178" spans="84:91" s="51" customFormat="1">
      <c r="CF1178" s="239"/>
      <c r="CM1178" s="336"/>
    </row>
    <row r="1179" spans="84:91" s="51" customFormat="1">
      <c r="CF1179" s="239"/>
      <c r="CM1179" s="336"/>
    </row>
    <row r="1180" spans="84:91" s="51" customFormat="1">
      <c r="CF1180" s="239"/>
      <c r="CM1180" s="336"/>
    </row>
    <row r="1181" spans="84:91" s="51" customFormat="1">
      <c r="CF1181" s="239"/>
      <c r="CM1181" s="336"/>
    </row>
    <row r="1182" spans="84:91" s="51" customFormat="1">
      <c r="CF1182" s="239"/>
      <c r="CM1182" s="336"/>
    </row>
    <row r="1183" spans="84:91" s="51" customFormat="1">
      <c r="CF1183" s="239"/>
      <c r="CM1183" s="336"/>
    </row>
    <row r="1184" spans="84:91" s="51" customFormat="1">
      <c r="CF1184" s="239"/>
      <c r="CM1184" s="336"/>
    </row>
    <row r="1185" spans="84:91" s="51" customFormat="1">
      <c r="CF1185" s="239"/>
      <c r="CM1185" s="336"/>
    </row>
    <row r="1186" spans="84:91" s="51" customFormat="1">
      <c r="CF1186" s="239"/>
      <c r="CM1186" s="336"/>
    </row>
    <row r="1187" spans="84:91" s="51" customFormat="1">
      <c r="CF1187" s="239"/>
      <c r="CM1187" s="336"/>
    </row>
    <row r="1188" spans="84:91" s="51" customFormat="1">
      <c r="CF1188" s="239"/>
      <c r="CM1188" s="336"/>
    </row>
    <row r="1189" spans="84:91" s="51" customFormat="1">
      <c r="CF1189" s="239"/>
      <c r="CM1189" s="336"/>
    </row>
    <row r="1190" spans="84:91" s="51" customFormat="1">
      <c r="CF1190" s="239"/>
      <c r="CM1190" s="336"/>
    </row>
    <row r="1191" spans="84:91" s="51" customFormat="1">
      <c r="CF1191" s="239"/>
      <c r="CM1191" s="336"/>
    </row>
    <row r="1192" spans="84:91" s="51" customFormat="1">
      <c r="CF1192" s="239"/>
      <c r="CM1192" s="336"/>
    </row>
    <row r="1193" spans="84:91" s="51" customFormat="1">
      <c r="CF1193" s="239"/>
      <c r="CM1193" s="336"/>
    </row>
    <row r="1194" spans="84:91" s="51" customFormat="1">
      <c r="CF1194" s="239"/>
      <c r="CM1194" s="336"/>
    </row>
    <row r="1195" spans="84:91" s="51" customFormat="1">
      <c r="CF1195" s="239"/>
      <c r="CM1195" s="336"/>
    </row>
    <row r="1196" spans="84:91" s="51" customFormat="1">
      <c r="CF1196" s="239"/>
      <c r="CM1196" s="336"/>
    </row>
    <row r="1197" spans="84:91" s="51" customFormat="1">
      <c r="CF1197" s="239"/>
      <c r="CM1197" s="336"/>
    </row>
    <row r="1198" spans="84:91" s="51" customFormat="1">
      <c r="CF1198" s="239"/>
      <c r="CM1198" s="336"/>
    </row>
    <row r="1199" spans="84:91" s="51" customFormat="1">
      <c r="CF1199" s="239"/>
      <c r="CM1199" s="336"/>
    </row>
    <row r="1200" spans="84:91" s="51" customFormat="1">
      <c r="CF1200" s="239"/>
      <c r="CM1200" s="336"/>
    </row>
    <row r="1201" spans="84:91" s="51" customFormat="1">
      <c r="CF1201" s="239"/>
      <c r="CM1201" s="336"/>
    </row>
    <row r="1202" spans="84:91" s="51" customFormat="1">
      <c r="CF1202" s="239"/>
      <c r="CM1202" s="336"/>
    </row>
    <row r="1203" spans="84:91" s="51" customFormat="1">
      <c r="CF1203" s="239"/>
      <c r="CM1203" s="336"/>
    </row>
    <row r="1204" spans="84:91" s="51" customFormat="1">
      <c r="CF1204" s="239"/>
      <c r="CM1204" s="336"/>
    </row>
    <row r="1205" spans="84:91" s="51" customFormat="1">
      <c r="CF1205" s="239"/>
      <c r="CM1205" s="336"/>
    </row>
    <row r="1206" spans="84:91" s="51" customFormat="1">
      <c r="CF1206" s="239"/>
      <c r="CM1206" s="336"/>
    </row>
    <row r="1207" spans="84:91" s="51" customFormat="1">
      <c r="CF1207" s="239"/>
      <c r="CM1207" s="336"/>
    </row>
    <row r="1208" spans="84:91" s="51" customFormat="1">
      <c r="CF1208" s="239"/>
      <c r="CM1208" s="336"/>
    </row>
    <row r="1209" spans="84:91" s="51" customFormat="1">
      <c r="CF1209" s="239"/>
      <c r="CM1209" s="336"/>
    </row>
    <row r="1210" spans="84:91" s="51" customFormat="1">
      <c r="CF1210" s="239"/>
      <c r="CM1210" s="336"/>
    </row>
    <row r="1211" spans="84:91" s="51" customFormat="1">
      <c r="CF1211" s="239"/>
      <c r="CM1211" s="336"/>
    </row>
    <row r="1212" spans="84:91" s="51" customFormat="1">
      <c r="CF1212" s="239"/>
      <c r="CM1212" s="336"/>
    </row>
    <row r="1213" spans="84:91" s="51" customFormat="1">
      <c r="CF1213" s="239"/>
      <c r="CM1213" s="336"/>
    </row>
    <row r="1214" spans="84:91" s="51" customFormat="1">
      <c r="CF1214" s="239"/>
      <c r="CM1214" s="336"/>
    </row>
    <row r="1215" spans="84:91" s="51" customFormat="1">
      <c r="CF1215" s="239"/>
      <c r="CM1215" s="336"/>
    </row>
    <row r="1216" spans="84:91" s="51" customFormat="1">
      <c r="CF1216" s="239"/>
      <c r="CM1216" s="336"/>
    </row>
    <row r="1217" spans="84:91" s="51" customFormat="1">
      <c r="CF1217" s="239"/>
      <c r="CM1217" s="336"/>
    </row>
    <row r="1218" spans="84:91" s="51" customFormat="1">
      <c r="CF1218" s="239"/>
      <c r="CM1218" s="336"/>
    </row>
    <row r="1219" spans="84:91" s="51" customFormat="1">
      <c r="CF1219" s="239"/>
      <c r="CM1219" s="336"/>
    </row>
    <row r="1220" spans="84:91" s="51" customFormat="1">
      <c r="CF1220" s="239"/>
      <c r="CM1220" s="336"/>
    </row>
    <row r="1221" spans="84:91" s="51" customFormat="1">
      <c r="CF1221" s="239"/>
      <c r="CM1221" s="336"/>
    </row>
    <row r="1222" spans="84:91" s="51" customFormat="1">
      <c r="CF1222" s="239"/>
      <c r="CM1222" s="336"/>
    </row>
    <row r="1223" spans="84:91" s="51" customFormat="1">
      <c r="CF1223" s="239"/>
      <c r="CM1223" s="336"/>
    </row>
    <row r="1224" spans="84:91" s="51" customFormat="1">
      <c r="CF1224" s="239"/>
      <c r="CM1224" s="336"/>
    </row>
    <row r="1225" spans="84:91" s="51" customFormat="1">
      <c r="CF1225" s="239"/>
      <c r="CM1225" s="336"/>
    </row>
    <row r="1226" spans="84:91" s="51" customFormat="1">
      <c r="CF1226" s="239"/>
      <c r="CM1226" s="336"/>
    </row>
    <row r="1227" spans="84:91" s="51" customFormat="1">
      <c r="CF1227" s="239"/>
      <c r="CM1227" s="336"/>
    </row>
    <row r="1228" spans="84:91" s="51" customFormat="1">
      <c r="CF1228" s="239"/>
      <c r="CM1228" s="336"/>
    </row>
    <row r="1229" spans="84:91" s="51" customFormat="1">
      <c r="CF1229" s="239"/>
      <c r="CM1229" s="336"/>
    </row>
    <row r="1230" spans="84:91" s="51" customFormat="1">
      <c r="CF1230" s="239"/>
      <c r="CM1230" s="336"/>
    </row>
    <row r="1231" spans="84:91" s="51" customFormat="1">
      <c r="CF1231" s="239"/>
      <c r="CM1231" s="336"/>
    </row>
    <row r="1232" spans="84:91" s="51" customFormat="1">
      <c r="CF1232" s="239"/>
      <c r="CM1232" s="336"/>
    </row>
    <row r="1233" spans="84:91" s="51" customFormat="1">
      <c r="CF1233" s="239"/>
      <c r="CM1233" s="336"/>
    </row>
    <row r="1234" spans="84:91" s="51" customFormat="1">
      <c r="CF1234" s="239"/>
      <c r="CM1234" s="336"/>
    </row>
    <row r="1235" spans="84:91" s="51" customFormat="1">
      <c r="CF1235" s="239"/>
      <c r="CM1235" s="336"/>
    </row>
    <row r="1236" spans="84:91" s="51" customFormat="1">
      <c r="CF1236" s="239"/>
      <c r="CM1236" s="336"/>
    </row>
    <row r="1237" spans="84:91" s="51" customFormat="1">
      <c r="CF1237" s="239"/>
      <c r="CM1237" s="336"/>
    </row>
    <row r="1238" spans="84:91" s="51" customFormat="1">
      <c r="CF1238" s="239"/>
      <c r="CM1238" s="336"/>
    </row>
    <row r="1239" spans="84:91" s="51" customFormat="1">
      <c r="CF1239" s="239"/>
      <c r="CM1239" s="336"/>
    </row>
    <row r="1240" spans="84:91" s="51" customFormat="1">
      <c r="CF1240" s="239"/>
      <c r="CM1240" s="336"/>
    </row>
    <row r="1241" spans="84:91" s="51" customFormat="1">
      <c r="CF1241" s="239"/>
      <c r="CM1241" s="336"/>
    </row>
    <row r="1242" spans="84:91" s="51" customFormat="1">
      <c r="CF1242" s="239"/>
      <c r="CM1242" s="336"/>
    </row>
    <row r="1243" spans="84:91" s="51" customFormat="1">
      <c r="CF1243" s="239"/>
      <c r="CM1243" s="336"/>
    </row>
    <row r="1244" spans="84:91" s="51" customFormat="1">
      <c r="CF1244" s="239"/>
      <c r="CM1244" s="336"/>
    </row>
    <row r="1245" spans="84:91" s="51" customFormat="1">
      <c r="CF1245" s="239"/>
      <c r="CM1245" s="336"/>
    </row>
    <row r="1246" spans="84:91" s="51" customFormat="1">
      <c r="CF1246" s="239"/>
      <c r="CM1246" s="336"/>
    </row>
    <row r="1247" spans="84:91" s="51" customFormat="1">
      <c r="CF1247" s="239"/>
      <c r="CM1247" s="336"/>
    </row>
    <row r="1248" spans="84:91" s="51" customFormat="1">
      <c r="CF1248" s="239"/>
      <c r="CM1248" s="336"/>
    </row>
    <row r="1249" spans="84:91" s="51" customFormat="1">
      <c r="CF1249" s="239"/>
      <c r="CM1249" s="336"/>
    </row>
    <row r="1250" spans="84:91" s="51" customFormat="1">
      <c r="CF1250" s="239"/>
      <c r="CM1250" s="336"/>
    </row>
    <row r="1251" spans="84:91" s="51" customFormat="1">
      <c r="CF1251" s="239"/>
      <c r="CM1251" s="336"/>
    </row>
    <row r="1252" spans="84:91" s="51" customFormat="1">
      <c r="CF1252" s="239"/>
      <c r="CM1252" s="336"/>
    </row>
    <row r="1253" spans="84:91" s="51" customFormat="1">
      <c r="CF1253" s="239"/>
      <c r="CM1253" s="336"/>
    </row>
    <row r="1254" spans="84:91" s="51" customFormat="1">
      <c r="CF1254" s="239"/>
      <c r="CM1254" s="336"/>
    </row>
    <row r="1255" spans="84:91" s="51" customFormat="1">
      <c r="CF1255" s="239"/>
      <c r="CM1255" s="336"/>
    </row>
    <row r="1256" spans="84:91" s="51" customFormat="1">
      <c r="CF1256" s="239"/>
      <c r="CM1256" s="336"/>
    </row>
    <row r="1257" spans="84:91" s="51" customFormat="1">
      <c r="CF1257" s="239"/>
      <c r="CM1257" s="336"/>
    </row>
    <row r="1258" spans="84:91" s="51" customFormat="1">
      <c r="CF1258" s="239"/>
      <c r="CM1258" s="336"/>
    </row>
    <row r="1259" spans="84:91" s="51" customFormat="1">
      <c r="CF1259" s="239"/>
      <c r="CM1259" s="336"/>
    </row>
    <row r="1260" spans="84:91" s="51" customFormat="1">
      <c r="CF1260" s="239"/>
      <c r="CM1260" s="336"/>
    </row>
    <row r="1261" spans="84:91" s="51" customFormat="1">
      <c r="CF1261" s="239"/>
      <c r="CM1261" s="336"/>
    </row>
    <row r="1262" spans="84:91" s="51" customFormat="1">
      <c r="CF1262" s="239"/>
      <c r="CM1262" s="336"/>
    </row>
    <row r="1263" spans="84:91" s="51" customFormat="1">
      <c r="CF1263" s="239"/>
      <c r="CM1263" s="336"/>
    </row>
    <row r="1264" spans="84:91" s="51" customFormat="1">
      <c r="CF1264" s="239"/>
      <c r="CM1264" s="336"/>
    </row>
    <row r="1265" spans="84:91" s="51" customFormat="1">
      <c r="CF1265" s="239"/>
      <c r="CM1265" s="336"/>
    </row>
    <row r="1266" spans="84:91" s="51" customFormat="1">
      <c r="CF1266" s="239"/>
      <c r="CM1266" s="336"/>
    </row>
    <row r="1267" spans="84:91" s="51" customFormat="1">
      <c r="CF1267" s="239"/>
      <c r="CM1267" s="336"/>
    </row>
    <row r="1268" spans="84:91" s="51" customFormat="1">
      <c r="CF1268" s="239"/>
      <c r="CM1268" s="336"/>
    </row>
    <row r="1269" spans="84:91" s="51" customFormat="1">
      <c r="CF1269" s="239"/>
      <c r="CM1269" s="336"/>
    </row>
    <row r="1270" spans="84:91" s="51" customFormat="1">
      <c r="CF1270" s="239"/>
      <c r="CM1270" s="336"/>
    </row>
    <row r="1271" spans="84:91" s="51" customFormat="1">
      <c r="CF1271" s="239"/>
      <c r="CM1271" s="336"/>
    </row>
    <row r="1272" spans="84:91" s="51" customFormat="1">
      <c r="CF1272" s="239"/>
      <c r="CM1272" s="336"/>
    </row>
    <row r="1273" spans="84:91" s="51" customFormat="1">
      <c r="CF1273" s="239"/>
      <c r="CM1273" s="336"/>
    </row>
    <row r="1274" spans="84:91" s="51" customFormat="1">
      <c r="CF1274" s="239"/>
      <c r="CM1274" s="336"/>
    </row>
    <row r="1275" spans="84:91" s="51" customFormat="1">
      <c r="CF1275" s="239"/>
      <c r="CM1275" s="336"/>
    </row>
    <row r="1276" spans="84:91" s="51" customFormat="1">
      <c r="CF1276" s="239"/>
      <c r="CM1276" s="336"/>
    </row>
    <row r="1277" spans="84:91" s="51" customFormat="1">
      <c r="CF1277" s="239"/>
      <c r="CM1277" s="336"/>
    </row>
    <row r="1278" spans="84:91" s="51" customFormat="1">
      <c r="CF1278" s="239"/>
      <c r="CM1278" s="336"/>
    </row>
    <row r="1279" spans="84:91" s="51" customFormat="1">
      <c r="CF1279" s="239"/>
      <c r="CM1279" s="336"/>
    </row>
    <row r="1280" spans="84:91" s="51" customFormat="1">
      <c r="CF1280" s="239"/>
      <c r="CM1280" s="336"/>
    </row>
    <row r="1281" spans="84:91" s="51" customFormat="1">
      <c r="CF1281" s="239"/>
      <c r="CM1281" s="336"/>
    </row>
    <row r="1282" spans="84:91" s="51" customFormat="1">
      <c r="CF1282" s="239"/>
      <c r="CM1282" s="336"/>
    </row>
    <row r="1283" spans="84:91" s="51" customFormat="1">
      <c r="CF1283" s="239"/>
      <c r="CM1283" s="336"/>
    </row>
    <row r="1284" spans="84:91" s="51" customFormat="1">
      <c r="CF1284" s="239"/>
      <c r="CM1284" s="336"/>
    </row>
    <row r="1285" spans="84:91" s="51" customFormat="1">
      <c r="CF1285" s="239"/>
      <c r="CM1285" s="336"/>
    </row>
    <row r="1286" spans="84:91" s="51" customFormat="1">
      <c r="CF1286" s="239"/>
      <c r="CM1286" s="336"/>
    </row>
    <row r="1287" spans="84:91" s="51" customFormat="1">
      <c r="CF1287" s="239"/>
      <c r="CM1287" s="336"/>
    </row>
    <row r="1288" spans="84:91" s="51" customFormat="1">
      <c r="CF1288" s="239"/>
      <c r="CM1288" s="336"/>
    </row>
    <row r="1289" spans="84:91" s="51" customFormat="1">
      <c r="CF1289" s="239"/>
      <c r="CM1289" s="336"/>
    </row>
    <row r="1290" spans="84:91" s="51" customFormat="1">
      <c r="CF1290" s="239"/>
      <c r="CM1290" s="336"/>
    </row>
    <row r="1291" spans="84:91" s="51" customFormat="1">
      <c r="CF1291" s="239"/>
      <c r="CM1291" s="336"/>
    </row>
    <row r="1292" spans="84:91" s="51" customFormat="1">
      <c r="CF1292" s="239"/>
      <c r="CM1292" s="336"/>
    </row>
    <row r="1293" spans="84:91" s="51" customFormat="1">
      <c r="CF1293" s="239"/>
      <c r="CM1293" s="336"/>
    </row>
    <row r="1294" spans="84:91" s="51" customFormat="1">
      <c r="CF1294" s="239"/>
      <c r="CM1294" s="336"/>
    </row>
    <row r="1295" spans="84:91" s="51" customFormat="1">
      <c r="CF1295" s="239"/>
      <c r="CM1295" s="336"/>
    </row>
    <row r="1296" spans="84:91" s="51" customFormat="1">
      <c r="CF1296" s="239"/>
      <c r="CM1296" s="336"/>
    </row>
    <row r="1297" spans="84:91" s="51" customFormat="1">
      <c r="CF1297" s="239"/>
      <c r="CM1297" s="336"/>
    </row>
    <row r="1298" spans="84:91" s="51" customFormat="1">
      <c r="CF1298" s="239"/>
      <c r="CM1298" s="336"/>
    </row>
    <row r="1299" spans="84:91" s="51" customFormat="1">
      <c r="CF1299" s="239"/>
      <c r="CM1299" s="336"/>
    </row>
    <row r="1300" spans="84:91" s="51" customFormat="1">
      <c r="CF1300" s="239"/>
      <c r="CM1300" s="336"/>
    </row>
    <row r="1301" spans="84:91" s="51" customFormat="1">
      <c r="CF1301" s="239"/>
      <c r="CM1301" s="336"/>
    </row>
    <row r="1302" spans="84:91" s="51" customFormat="1">
      <c r="CF1302" s="239"/>
      <c r="CM1302" s="336"/>
    </row>
    <row r="1303" spans="84:91" s="51" customFormat="1">
      <c r="CF1303" s="239"/>
      <c r="CM1303" s="336"/>
    </row>
    <row r="1304" spans="84:91" s="51" customFormat="1">
      <c r="CF1304" s="239"/>
      <c r="CM1304" s="336"/>
    </row>
    <row r="1305" spans="84:91" s="51" customFormat="1">
      <c r="CF1305" s="239"/>
      <c r="CM1305" s="336"/>
    </row>
    <row r="1306" spans="84:91" s="51" customFormat="1">
      <c r="CF1306" s="239"/>
      <c r="CM1306" s="336"/>
    </row>
    <row r="1307" spans="84:91" s="51" customFormat="1">
      <c r="CF1307" s="239"/>
      <c r="CM1307" s="336"/>
    </row>
    <row r="1308" spans="84:91" s="51" customFormat="1">
      <c r="CF1308" s="239"/>
      <c r="CM1308" s="336"/>
    </row>
    <row r="1309" spans="84:91" s="51" customFormat="1">
      <c r="CF1309" s="239"/>
      <c r="CM1309" s="336"/>
    </row>
    <row r="1310" spans="84:91" s="51" customFormat="1">
      <c r="CF1310" s="239"/>
      <c r="CM1310" s="336"/>
    </row>
    <row r="1311" spans="84:91" s="51" customFormat="1">
      <c r="CF1311" s="239"/>
      <c r="CM1311" s="336"/>
    </row>
    <row r="1312" spans="84:91" s="51" customFormat="1">
      <c r="CF1312" s="239"/>
      <c r="CM1312" s="336"/>
    </row>
    <row r="1313" spans="84:91" s="51" customFormat="1">
      <c r="CF1313" s="239"/>
      <c r="CM1313" s="336"/>
    </row>
    <row r="1314" spans="84:91" s="51" customFormat="1">
      <c r="CF1314" s="239"/>
      <c r="CM1314" s="336"/>
    </row>
    <row r="1315" spans="84:91" s="51" customFormat="1">
      <c r="CF1315" s="239"/>
      <c r="CM1315" s="336"/>
    </row>
    <row r="1316" spans="84:91" s="51" customFormat="1">
      <c r="CF1316" s="239"/>
      <c r="CM1316" s="336"/>
    </row>
    <row r="1317" spans="84:91" s="51" customFormat="1">
      <c r="CF1317" s="239"/>
      <c r="CM1317" s="336"/>
    </row>
    <row r="1318" spans="84:91" s="51" customFormat="1">
      <c r="CF1318" s="239"/>
      <c r="CM1318" s="336"/>
    </row>
    <row r="1319" spans="84:91" s="51" customFormat="1">
      <c r="CF1319" s="239"/>
      <c r="CM1319" s="336"/>
    </row>
    <row r="1320" spans="84:91" s="51" customFormat="1">
      <c r="CF1320" s="239"/>
      <c r="CM1320" s="336"/>
    </row>
    <row r="1321" spans="84:91" s="51" customFormat="1">
      <c r="CF1321" s="239"/>
      <c r="CM1321" s="336"/>
    </row>
    <row r="1322" spans="84:91" s="51" customFormat="1">
      <c r="CF1322" s="239"/>
      <c r="CM1322" s="336"/>
    </row>
    <row r="1323" spans="84:91" s="51" customFormat="1">
      <c r="CF1323" s="239"/>
      <c r="CM1323" s="336"/>
    </row>
    <row r="1324" spans="84:91" s="51" customFormat="1">
      <c r="CF1324" s="239"/>
      <c r="CM1324" s="336"/>
    </row>
    <row r="1325" spans="84:91" s="51" customFormat="1">
      <c r="CF1325" s="239"/>
      <c r="CM1325" s="336"/>
    </row>
    <row r="1326" spans="84:91" s="51" customFormat="1">
      <c r="CF1326" s="239"/>
      <c r="CM1326" s="336"/>
    </row>
    <row r="1327" spans="84:91" s="51" customFormat="1">
      <c r="CF1327" s="239"/>
      <c r="CM1327" s="336"/>
    </row>
    <row r="1328" spans="84:91" s="51" customFormat="1">
      <c r="CF1328" s="239"/>
      <c r="CM1328" s="336"/>
    </row>
    <row r="1329" spans="84:91" s="51" customFormat="1">
      <c r="CF1329" s="239"/>
      <c r="CM1329" s="336"/>
    </row>
    <row r="1330" spans="84:91" s="51" customFormat="1">
      <c r="CF1330" s="239"/>
      <c r="CM1330" s="336"/>
    </row>
    <row r="1331" spans="84:91" s="51" customFormat="1">
      <c r="CF1331" s="239"/>
      <c r="CM1331" s="336"/>
    </row>
    <row r="1332" spans="84:91" s="51" customFormat="1">
      <c r="CF1332" s="239"/>
      <c r="CM1332" s="336"/>
    </row>
    <row r="1333" spans="84:91" s="51" customFormat="1">
      <c r="CF1333" s="239"/>
      <c r="CM1333" s="336"/>
    </row>
    <row r="1334" spans="84:91" s="51" customFormat="1">
      <c r="CF1334" s="239"/>
      <c r="CM1334" s="336"/>
    </row>
    <row r="1335" spans="84:91" s="51" customFormat="1">
      <c r="CF1335" s="239"/>
      <c r="CM1335" s="336"/>
    </row>
    <row r="1336" spans="84:91" s="51" customFormat="1">
      <c r="CF1336" s="239"/>
      <c r="CM1336" s="336"/>
    </row>
    <row r="1337" spans="84:91" s="51" customFormat="1">
      <c r="CF1337" s="239"/>
      <c r="CM1337" s="336"/>
    </row>
    <row r="1338" spans="84:91" s="51" customFormat="1">
      <c r="CF1338" s="239"/>
      <c r="CM1338" s="336"/>
    </row>
    <row r="1339" spans="84:91" s="51" customFormat="1">
      <c r="CF1339" s="239"/>
      <c r="CM1339" s="336"/>
    </row>
    <row r="1340" spans="84:91" s="51" customFormat="1">
      <c r="CF1340" s="239"/>
      <c r="CM1340" s="336"/>
    </row>
    <row r="1341" spans="84:91" s="51" customFormat="1">
      <c r="CF1341" s="239"/>
      <c r="CM1341" s="336"/>
    </row>
    <row r="1342" spans="84:91" s="51" customFormat="1">
      <c r="CF1342" s="239"/>
      <c r="CM1342" s="336"/>
    </row>
    <row r="1343" spans="84:91" s="51" customFormat="1">
      <c r="CF1343" s="239"/>
      <c r="CM1343" s="336"/>
    </row>
    <row r="1344" spans="84:91" s="51" customFormat="1">
      <c r="CF1344" s="239"/>
      <c r="CM1344" s="336"/>
    </row>
    <row r="1345" spans="84:91" s="51" customFormat="1">
      <c r="CF1345" s="239"/>
      <c r="CM1345" s="336"/>
    </row>
    <row r="1346" spans="84:91" s="51" customFormat="1">
      <c r="CF1346" s="239"/>
      <c r="CM1346" s="336"/>
    </row>
    <row r="1347" spans="84:91" s="51" customFormat="1">
      <c r="CF1347" s="239"/>
      <c r="CM1347" s="336"/>
    </row>
    <row r="1348" spans="84:91" s="51" customFormat="1">
      <c r="CF1348" s="239"/>
      <c r="CM1348" s="336"/>
    </row>
    <row r="1349" spans="84:91" s="51" customFormat="1">
      <c r="CF1349" s="239"/>
      <c r="CM1349" s="336"/>
    </row>
    <row r="1350" spans="84:91" s="51" customFormat="1">
      <c r="CF1350" s="239"/>
      <c r="CM1350" s="336"/>
    </row>
    <row r="1351" spans="84:91" s="51" customFormat="1">
      <c r="CF1351" s="239"/>
      <c r="CM1351" s="336"/>
    </row>
    <row r="1352" spans="84:91" s="51" customFormat="1">
      <c r="CF1352" s="239"/>
      <c r="CM1352" s="336"/>
    </row>
    <row r="1353" spans="84:91" s="51" customFormat="1">
      <c r="CF1353" s="239"/>
      <c r="CM1353" s="336"/>
    </row>
    <row r="1354" spans="84:91" s="51" customFormat="1">
      <c r="CF1354" s="239"/>
      <c r="CM1354" s="336"/>
    </row>
    <row r="1355" spans="84:91" s="51" customFormat="1">
      <c r="CF1355" s="239"/>
      <c r="CM1355" s="336"/>
    </row>
    <row r="1356" spans="84:91" s="51" customFormat="1">
      <c r="CF1356" s="239"/>
      <c r="CM1356" s="336"/>
    </row>
    <row r="1357" spans="84:91" s="51" customFormat="1">
      <c r="CF1357" s="239"/>
      <c r="CM1357" s="336"/>
    </row>
    <row r="1358" spans="84:91" s="51" customFormat="1">
      <c r="CF1358" s="239"/>
      <c r="CM1358" s="336"/>
    </row>
    <row r="1359" spans="84:91" s="51" customFormat="1">
      <c r="CF1359" s="239"/>
      <c r="CM1359" s="336"/>
    </row>
    <row r="1360" spans="84:91" s="51" customFormat="1">
      <c r="CF1360" s="239"/>
      <c r="CM1360" s="336"/>
    </row>
    <row r="1361" spans="84:91" s="51" customFormat="1">
      <c r="CF1361" s="239"/>
      <c r="CM1361" s="336"/>
    </row>
    <row r="1362" spans="84:91" s="51" customFormat="1">
      <c r="CF1362" s="239"/>
      <c r="CM1362" s="336"/>
    </row>
    <row r="1363" spans="84:91" s="51" customFormat="1">
      <c r="CF1363" s="239"/>
      <c r="CM1363" s="336"/>
    </row>
    <row r="1364" spans="84:91" s="51" customFormat="1">
      <c r="CF1364" s="239"/>
      <c r="CM1364" s="336"/>
    </row>
    <row r="1365" spans="84:91" s="51" customFormat="1">
      <c r="CF1365" s="239"/>
      <c r="CM1365" s="336"/>
    </row>
    <row r="1366" spans="84:91" s="51" customFormat="1">
      <c r="CF1366" s="239"/>
      <c r="CM1366" s="336"/>
    </row>
    <row r="1367" spans="84:91" s="51" customFormat="1">
      <c r="CF1367" s="239"/>
      <c r="CM1367" s="336"/>
    </row>
    <row r="1368" spans="84:91" s="51" customFormat="1">
      <c r="CF1368" s="239"/>
      <c r="CM1368" s="336"/>
    </row>
    <row r="1369" spans="84:91" s="51" customFormat="1">
      <c r="CF1369" s="239"/>
      <c r="CM1369" s="336"/>
    </row>
    <row r="1370" spans="84:91" s="51" customFormat="1">
      <c r="CF1370" s="239"/>
      <c r="CM1370" s="336"/>
    </row>
    <row r="1371" spans="84:91" s="51" customFormat="1">
      <c r="CF1371" s="239"/>
      <c r="CM1371" s="336"/>
    </row>
    <row r="1372" spans="84:91" s="51" customFormat="1">
      <c r="CF1372" s="239"/>
      <c r="CM1372" s="336"/>
    </row>
    <row r="1373" spans="84:91" s="51" customFormat="1">
      <c r="CF1373" s="239"/>
      <c r="CM1373" s="336"/>
    </row>
    <row r="1374" spans="84:91" s="51" customFormat="1">
      <c r="CF1374" s="239"/>
      <c r="CM1374" s="336"/>
    </row>
    <row r="1375" spans="84:91" s="51" customFormat="1">
      <c r="CF1375" s="239"/>
      <c r="CM1375" s="336"/>
    </row>
    <row r="1376" spans="84:91" s="51" customFormat="1">
      <c r="CF1376" s="239"/>
      <c r="CM1376" s="336"/>
    </row>
    <row r="1377" spans="84:91" s="51" customFormat="1">
      <c r="CF1377" s="239"/>
      <c r="CM1377" s="336"/>
    </row>
    <row r="1378" spans="84:91" s="51" customFormat="1">
      <c r="CF1378" s="239"/>
      <c r="CM1378" s="336"/>
    </row>
    <row r="1379" spans="84:91" s="51" customFormat="1">
      <c r="CF1379" s="239"/>
      <c r="CM1379" s="336"/>
    </row>
    <row r="1380" spans="84:91" s="51" customFormat="1">
      <c r="CF1380" s="239"/>
      <c r="CM1380" s="336"/>
    </row>
    <row r="1381" spans="84:91" s="51" customFormat="1">
      <c r="CF1381" s="239"/>
      <c r="CM1381" s="336"/>
    </row>
    <row r="1382" spans="84:91" s="51" customFormat="1">
      <c r="CF1382" s="239"/>
      <c r="CM1382" s="336"/>
    </row>
    <row r="1383" spans="84:91" s="51" customFormat="1">
      <c r="CF1383" s="239"/>
      <c r="CM1383" s="336"/>
    </row>
    <row r="1384" spans="84:91" s="51" customFormat="1">
      <c r="CF1384" s="239"/>
      <c r="CM1384" s="336"/>
    </row>
    <row r="1385" spans="84:91" s="51" customFormat="1">
      <c r="CF1385" s="239"/>
      <c r="CM1385" s="336"/>
    </row>
    <row r="1386" spans="84:91" s="51" customFormat="1">
      <c r="CF1386" s="239"/>
      <c r="CM1386" s="336"/>
    </row>
    <row r="1387" spans="84:91" s="51" customFormat="1">
      <c r="CF1387" s="239"/>
      <c r="CM1387" s="336"/>
    </row>
    <row r="1388" spans="84:91" s="51" customFormat="1">
      <c r="CF1388" s="239"/>
      <c r="CM1388" s="336"/>
    </row>
    <row r="1389" spans="84:91" s="51" customFormat="1">
      <c r="CF1389" s="239"/>
      <c r="CM1389" s="336"/>
    </row>
    <row r="1390" spans="84:91" s="51" customFormat="1">
      <c r="CF1390" s="239"/>
      <c r="CM1390" s="336"/>
    </row>
    <row r="1391" spans="84:91" s="51" customFormat="1">
      <c r="CF1391" s="239"/>
      <c r="CM1391" s="336"/>
    </row>
    <row r="1392" spans="84:91" s="51" customFormat="1">
      <c r="CF1392" s="239"/>
      <c r="CM1392" s="336"/>
    </row>
    <row r="1393" spans="84:91" s="51" customFormat="1">
      <c r="CF1393" s="239"/>
      <c r="CM1393" s="336"/>
    </row>
    <row r="1394" spans="84:91" s="51" customFormat="1">
      <c r="CF1394" s="239"/>
      <c r="CM1394" s="336"/>
    </row>
    <row r="1395" spans="84:91" s="51" customFormat="1">
      <c r="CF1395" s="239"/>
      <c r="CM1395" s="336"/>
    </row>
    <row r="1396" spans="84:91" s="51" customFormat="1">
      <c r="CF1396" s="239"/>
      <c r="CM1396" s="336"/>
    </row>
    <row r="1397" spans="84:91" s="51" customFormat="1">
      <c r="CF1397" s="239"/>
      <c r="CM1397" s="336"/>
    </row>
    <row r="1398" spans="84:91" s="51" customFormat="1">
      <c r="CF1398" s="239"/>
      <c r="CM1398" s="336"/>
    </row>
    <row r="1399" spans="84:91" s="51" customFormat="1">
      <c r="CF1399" s="239"/>
      <c r="CM1399" s="336"/>
    </row>
    <row r="1400" spans="84:91" s="51" customFormat="1">
      <c r="CF1400" s="239"/>
      <c r="CM1400" s="336"/>
    </row>
    <row r="1401" spans="84:91" s="51" customFormat="1">
      <c r="CF1401" s="239"/>
      <c r="CM1401" s="336"/>
    </row>
    <row r="1402" spans="84:91" s="51" customFormat="1">
      <c r="CF1402" s="239"/>
      <c r="CM1402" s="336"/>
    </row>
    <row r="1403" spans="84:91" s="51" customFormat="1">
      <c r="CF1403" s="239"/>
      <c r="CM1403" s="336"/>
    </row>
    <row r="1404" spans="84:91" s="51" customFormat="1">
      <c r="CF1404" s="239"/>
      <c r="CM1404" s="336"/>
    </row>
    <row r="1405" spans="84:91" s="51" customFormat="1">
      <c r="CF1405" s="239"/>
      <c r="CM1405" s="336"/>
    </row>
    <row r="1406" spans="84:91" s="51" customFormat="1">
      <c r="CF1406" s="239"/>
      <c r="CM1406" s="336"/>
    </row>
    <row r="1407" spans="84:91" s="51" customFormat="1">
      <c r="CF1407" s="239"/>
      <c r="CM1407" s="336"/>
    </row>
    <row r="1408" spans="84:91" s="51" customFormat="1">
      <c r="CF1408" s="239"/>
      <c r="CM1408" s="336"/>
    </row>
    <row r="1409" spans="84:91" s="51" customFormat="1">
      <c r="CF1409" s="239"/>
      <c r="CM1409" s="336"/>
    </row>
    <row r="1410" spans="84:91" s="51" customFormat="1">
      <c r="CF1410" s="239"/>
      <c r="CM1410" s="336"/>
    </row>
    <row r="1411" spans="84:91" s="51" customFormat="1">
      <c r="CF1411" s="239"/>
      <c r="CM1411" s="336"/>
    </row>
    <row r="1412" spans="84:91" s="51" customFormat="1">
      <c r="CF1412" s="239"/>
      <c r="CM1412" s="336"/>
    </row>
    <row r="1413" spans="84:91" s="51" customFormat="1">
      <c r="CF1413" s="239"/>
      <c r="CM1413" s="336"/>
    </row>
    <row r="1414" spans="84:91" s="51" customFormat="1">
      <c r="CF1414" s="239"/>
      <c r="CM1414" s="336"/>
    </row>
    <row r="1415" spans="84:91" s="51" customFormat="1">
      <c r="CF1415" s="239"/>
      <c r="CM1415" s="336"/>
    </row>
    <row r="1416" spans="84:91" s="51" customFormat="1">
      <c r="CF1416" s="239"/>
      <c r="CM1416" s="336"/>
    </row>
    <row r="1417" spans="84:91" s="51" customFormat="1">
      <c r="CF1417" s="239"/>
      <c r="CM1417" s="336"/>
    </row>
    <row r="1418" spans="84:91" s="51" customFormat="1">
      <c r="CF1418" s="239"/>
      <c r="CM1418" s="336"/>
    </row>
    <row r="1419" spans="84:91" s="51" customFormat="1">
      <c r="CF1419" s="239"/>
      <c r="CM1419" s="336"/>
    </row>
    <row r="1420" spans="84:91" s="51" customFormat="1">
      <c r="CF1420" s="239"/>
      <c r="CM1420" s="336"/>
    </row>
    <row r="1421" spans="84:91" s="51" customFormat="1">
      <c r="CF1421" s="239"/>
      <c r="CM1421" s="336"/>
    </row>
    <row r="1422" spans="84:91" s="51" customFormat="1">
      <c r="CF1422" s="239"/>
      <c r="CM1422" s="336"/>
    </row>
    <row r="1423" spans="84:91" s="51" customFormat="1">
      <c r="CF1423" s="239"/>
      <c r="CM1423" s="336"/>
    </row>
    <row r="1424" spans="84:91" s="51" customFormat="1">
      <c r="CF1424" s="239"/>
      <c r="CM1424" s="336"/>
    </row>
    <row r="1425" spans="84:91" s="51" customFormat="1">
      <c r="CF1425" s="239"/>
      <c r="CM1425" s="336"/>
    </row>
    <row r="1426" spans="84:91" s="51" customFormat="1">
      <c r="CF1426" s="239"/>
      <c r="CM1426" s="336"/>
    </row>
    <row r="1427" spans="84:91" s="51" customFormat="1">
      <c r="CF1427" s="239"/>
      <c r="CM1427" s="336"/>
    </row>
    <row r="1428" spans="84:91" s="51" customFormat="1">
      <c r="CF1428" s="239"/>
      <c r="CM1428" s="336"/>
    </row>
    <row r="1429" spans="84:91" s="51" customFormat="1">
      <c r="CF1429" s="239"/>
      <c r="CM1429" s="336"/>
    </row>
    <row r="1430" spans="84:91" s="51" customFormat="1">
      <c r="CF1430" s="239"/>
      <c r="CM1430" s="336"/>
    </row>
    <row r="1431" spans="84:91" s="51" customFormat="1">
      <c r="CF1431" s="239"/>
      <c r="CM1431" s="336"/>
    </row>
    <row r="1432" spans="84:91" s="51" customFormat="1">
      <c r="CF1432" s="239"/>
      <c r="CM1432" s="336"/>
    </row>
    <row r="1433" spans="84:91" s="51" customFormat="1">
      <c r="CF1433" s="239"/>
      <c r="CM1433" s="336"/>
    </row>
    <row r="1434" spans="84:91" s="51" customFormat="1">
      <c r="CF1434" s="239"/>
      <c r="CM1434" s="336"/>
    </row>
    <row r="1435" spans="84:91" s="51" customFormat="1">
      <c r="CF1435" s="239"/>
      <c r="CM1435" s="336"/>
    </row>
    <row r="1436" spans="84:91" s="51" customFormat="1">
      <c r="CF1436" s="239"/>
      <c r="CM1436" s="336"/>
    </row>
    <row r="1437" spans="84:91" s="51" customFormat="1">
      <c r="CF1437" s="239"/>
      <c r="CM1437" s="336"/>
    </row>
    <row r="1438" spans="84:91" s="51" customFormat="1">
      <c r="CF1438" s="239"/>
      <c r="CM1438" s="336"/>
    </row>
    <row r="1439" spans="84:91" s="51" customFormat="1">
      <c r="CF1439" s="239"/>
      <c r="CM1439" s="336"/>
    </row>
    <row r="1440" spans="84:91" s="51" customFormat="1">
      <c r="CF1440" s="239"/>
      <c r="CM1440" s="336"/>
    </row>
    <row r="1441" spans="84:91" s="51" customFormat="1">
      <c r="CF1441" s="239"/>
      <c r="CM1441" s="336"/>
    </row>
    <row r="1442" spans="84:91" s="51" customFormat="1">
      <c r="CF1442" s="239"/>
      <c r="CM1442" s="336"/>
    </row>
    <row r="1443" spans="84:91" s="51" customFormat="1">
      <c r="CF1443" s="239"/>
      <c r="CM1443" s="336"/>
    </row>
    <row r="1444" spans="84:91" s="51" customFormat="1">
      <c r="CF1444" s="239"/>
      <c r="CM1444" s="336"/>
    </row>
    <row r="1445" spans="84:91" s="51" customFormat="1">
      <c r="CF1445" s="239"/>
      <c r="CM1445" s="336"/>
    </row>
    <row r="1446" spans="84:91" s="51" customFormat="1">
      <c r="CF1446" s="239"/>
      <c r="CM1446" s="336"/>
    </row>
    <row r="1447" spans="84:91" s="51" customFormat="1">
      <c r="CF1447" s="239"/>
      <c r="CM1447" s="336"/>
    </row>
    <row r="1448" spans="84:91" s="51" customFormat="1">
      <c r="CF1448" s="239"/>
      <c r="CM1448" s="336"/>
    </row>
    <row r="1449" spans="84:91" s="51" customFormat="1">
      <c r="CF1449" s="239"/>
      <c r="CM1449" s="336"/>
    </row>
    <row r="1450" spans="84:91" s="51" customFormat="1">
      <c r="CF1450" s="239"/>
      <c r="CM1450" s="336"/>
    </row>
    <row r="1451" spans="84:91" s="51" customFormat="1">
      <c r="CF1451" s="239"/>
      <c r="CM1451" s="336"/>
    </row>
    <row r="1452" spans="84:91" s="51" customFormat="1">
      <c r="CF1452" s="239"/>
      <c r="CM1452" s="336"/>
    </row>
    <row r="1453" spans="84:91" s="51" customFormat="1">
      <c r="CF1453" s="239"/>
      <c r="CM1453" s="336"/>
    </row>
    <row r="1454" spans="84:91" s="51" customFormat="1">
      <c r="CF1454" s="239"/>
      <c r="CM1454" s="336"/>
    </row>
    <row r="1455" spans="84:91" s="51" customFormat="1">
      <c r="CF1455" s="239"/>
      <c r="CM1455" s="336"/>
    </row>
    <row r="1456" spans="84:91" s="51" customFormat="1">
      <c r="CF1456" s="239"/>
      <c r="CM1456" s="336"/>
    </row>
    <row r="1457" spans="84:91" s="51" customFormat="1">
      <c r="CF1457" s="239"/>
      <c r="CM1457" s="336"/>
    </row>
    <row r="1458" spans="84:91" s="51" customFormat="1">
      <c r="CF1458" s="239"/>
      <c r="CM1458" s="336"/>
    </row>
    <row r="1459" spans="84:91" s="51" customFormat="1">
      <c r="CF1459" s="239"/>
      <c r="CM1459" s="336"/>
    </row>
    <row r="1460" spans="84:91" s="51" customFormat="1">
      <c r="CF1460" s="239"/>
      <c r="CM1460" s="336"/>
    </row>
    <row r="1461" spans="84:91" s="51" customFormat="1">
      <c r="CF1461" s="239"/>
      <c r="CM1461" s="336"/>
    </row>
    <row r="1462" spans="84:91" s="51" customFormat="1">
      <c r="CF1462" s="239"/>
      <c r="CM1462" s="336"/>
    </row>
    <row r="1463" spans="84:91" s="51" customFormat="1">
      <c r="CF1463" s="239"/>
      <c r="CM1463" s="336"/>
    </row>
    <row r="1464" spans="84:91" s="51" customFormat="1">
      <c r="CF1464" s="239"/>
      <c r="CM1464" s="336"/>
    </row>
    <row r="1465" spans="84:91" s="51" customFormat="1">
      <c r="CF1465" s="239"/>
      <c r="CM1465" s="336"/>
    </row>
    <row r="1466" spans="84:91" s="51" customFormat="1">
      <c r="CF1466" s="239"/>
      <c r="CM1466" s="336"/>
    </row>
    <row r="1467" spans="84:91" s="51" customFormat="1">
      <c r="CF1467" s="239"/>
      <c r="CM1467" s="336"/>
    </row>
    <row r="1468" spans="84:91" s="51" customFormat="1">
      <c r="CF1468" s="239"/>
      <c r="CM1468" s="336"/>
    </row>
    <row r="1469" spans="84:91" s="51" customFormat="1">
      <c r="CF1469" s="239"/>
      <c r="CM1469" s="336"/>
    </row>
    <row r="1470" spans="84:91" s="51" customFormat="1">
      <c r="CF1470" s="239"/>
      <c r="CM1470" s="336"/>
    </row>
    <row r="1471" spans="84:91" s="51" customFormat="1">
      <c r="CF1471" s="239"/>
      <c r="CM1471" s="336"/>
    </row>
    <row r="1472" spans="84:91" s="51" customFormat="1">
      <c r="CF1472" s="239"/>
      <c r="CM1472" s="336"/>
    </row>
    <row r="1473" spans="84:91" s="51" customFormat="1">
      <c r="CF1473" s="239"/>
      <c r="CM1473" s="336"/>
    </row>
    <row r="1474" spans="84:91" s="51" customFormat="1">
      <c r="CF1474" s="239"/>
      <c r="CM1474" s="336"/>
    </row>
    <row r="1475" spans="84:91" s="51" customFormat="1">
      <c r="CF1475" s="239"/>
      <c r="CM1475" s="336"/>
    </row>
    <row r="1476" spans="84:91" s="51" customFormat="1">
      <c r="CF1476" s="239"/>
      <c r="CM1476" s="336"/>
    </row>
    <row r="1477" spans="84:91" s="51" customFormat="1">
      <c r="CF1477" s="239"/>
      <c r="CM1477" s="336"/>
    </row>
    <row r="1478" spans="84:91" s="51" customFormat="1">
      <c r="CF1478" s="239"/>
      <c r="CM1478" s="336"/>
    </row>
    <row r="1479" spans="84:91" s="51" customFormat="1">
      <c r="CF1479" s="239"/>
      <c r="CM1479" s="336"/>
    </row>
    <row r="1480" spans="84:91" s="51" customFormat="1">
      <c r="CF1480" s="239"/>
      <c r="CM1480" s="336"/>
    </row>
    <row r="1481" spans="84:91" s="51" customFormat="1">
      <c r="CF1481" s="239"/>
      <c r="CM1481" s="336"/>
    </row>
    <row r="1482" spans="84:91" s="51" customFormat="1">
      <c r="CF1482" s="239"/>
      <c r="CM1482" s="336"/>
    </row>
    <row r="1483" spans="84:91" s="51" customFormat="1">
      <c r="CF1483" s="239"/>
      <c r="CM1483" s="336"/>
    </row>
    <row r="1484" spans="84:91" s="51" customFormat="1">
      <c r="CF1484" s="239"/>
      <c r="CM1484" s="336"/>
    </row>
    <row r="1485" spans="84:91" s="51" customFormat="1">
      <c r="CF1485" s="239"/>
      <c r="CM1485" s="336"/>
    </row>
    <row r="1486" spans="84:91" s="51" customFormat="1">
      <c r="CF1486" s="239"/>
      <c r="CM1486" s="336"/>
    </row>
    <row r="1487" spans="84:91" s="51" customFormat="1">
      <c r="CF1487" s="239"/>
      <c r="CM1487" s="336"/>
    </row>
    <row r="1488" spans="84:91" s="51" customFormat="1">
      <c r="CF1488" s="239"/>
      <c r="CM1488" s="336"/>
    </row>
    <row r="1489" spans="84:91" s="51" customFormat="1">
      <c r="CF1489" s="239"/>
      <c r="CM1489" s="336"/>
    </row>
    <row r="1490" spans="84:91" s="51" customFormat="1">
      <c r="CF1490" s="239"/>
      <c r="CM1490" s="336"/>
    </row>
    <row r="1491" spans="84:91" s="51" customFormat="1">
      <c r="CF1491" s="239"/>
      <c r="CM1491" s="336"/>
    </row>
    <row r="1492" spans="84:91" s="51" customFormat="1">
      <c r="CF1492" s="239"/>
      <c r="CM1492" s="336"/>
    </row>
    <row r="1493" spans="84:91" s="51" customFormat="1">
      <c r="CF1493" s="239"/>
      <c r="CM1493" s="336"/>
    </row>
    <row r="1494" spans="84:91" s="51" customFormat="1">
      <c r="CF1494" s="239"/>
      <c r="CM1494" s="336"/>
    </row>
    <row r="1495" spans="84:91" s="51" customFormat="1">
      <c r="CF1495" s="239"/>
      <c r="CM1495" s="336"/>
    </row>
    <row r="1496" spans="84:91" s="51" customFormat="1">
      <c r="CF1496" s="239"/>
      <c r="CM1496" s="336"/>
    </row>
    <row r="1497" spans="84:91" s="51" customFormat="1">
      <c r="CF1497" s="239"/>
      <c r="CM1497" s="336"/>
    </row>
    <row r="1498" spans="84:91" s="51" customFormat="1">
      <c r="CF1498" s="239"/>
      <c r="CM1498" s="336"/>
    </row>
    <row r="1499" spans="84:91" s="51" customFormat="1">
      <c r="CF1499" s="239"/>
      <c r="CM1499" s="336"/>
    </row>
    <row r="1500" spans="84:91" s="51" customFormat="1">
      <c r="CF1500" s="239"/>
      <c r="CM1500" s="336"/>
    </row>
    <row r="1501" spans="84:91" s="51" customFormat="1">
      <c r="CF1501" s="239"/>
      <c r="CM1501" s="336"/>
    </row>
    <row r="1502" spans="84:91" s="51" customFormat="1">
      <c r="CF1502" s="239"/>
      <c r="CM1502" s="336"/>
    </row>
    <row r="1503" spans="84:91" s="51" customFormat="1">
      <c r="CF1503" s="239"/>
      <c r="CM1503" s="336"/>
    </row>
    <row r="1504" spans="84:91" s="51" customFormat="1">
      <c r="CF1504" s="239"/>
      <c r="CM1504" s="336"/>
    </row>
    <row r="1505" spans="84:91" s="51" customFormat="1">
      <c r="CF1505" s="239"/>
      <c r="CM1505" s="336"/>
    </row>
    <row r="1506" spans="84:91" s="51" customFormat="1">
      <c r="CF1506" s="239"/>
      <c r="CM1506" s="336"/>
    </row>
    <row r="1507" spans="84:91" s="51" customFormat="1">
      <c r="CF1507" s="239"/>
      <c r="CM1507" s="336"/>
    </row>
    <row r="1508" spans="84:91" s="51" customFormat="1">
      <c r="CF1508" s="239"/>
      <c r="CM1508" s="336"/>
    </row>
    <row r="1509" spans="84:91" s="51" customFormat="1">
      <c r="CF1509" s="239"/>
      <c r="CM1509" s="336"/>
    </row>
    <row r="1510" spans="84:91" s="51" customFormat="1">
      <c r="CF1510" s="239"/>
      <c r="CM1510" s="336"/>
    </row>
    <row r="1511" spans="84:91" s="51" customFormat="1">
      <c r="CF1511" s="239"/>
      <c r="CM1511" s="336"/>
    </row>
    <row r="1512" spans="84:91" s="51" customFormat="1">
      <c r="CF1512" s="239"/>
      <c r="CM1512" s="336"/>
    </row>
    <row r="1513" spans="84:91" s="51" customFormat="1">
      <c r="CF1513" s="239"/>
      <c r="CM1513" s="336"/>
    </row>
    <row r="1514" spans="84:91" s="51" customFormat="1">
      <c r="CF1514" s="239"/>
      <c r="CM1514" s="336"/>
    </row>
    <row r="1515" spans="84:91" s="51" customFormat="1">
      <c r="CF1515" s="239"/>
      <c r="CM1515" s="336"/>
    </row>
    <row r="1516" spans="84:91" s="51" customFormat="1">
      <c r="CF1516" s="239"/>
      <c r="CM1516" s="336"/>
    </row>
    <row r="1517" spans="84:91" s="51" customFormat="1">
      <c r="CF1517" s="239"/>
      <c r="CM1517" s="336"/>
    </row>
    <row r="1518" spans="84:91" s="51" customFormat="1">
      <c r="CF1518" s="239"/>
      <c r="CM1518" s="336"/>
    </row>
    <row r="1519" spans="84:91" s="51" customFormat="1">
      <c r="CF1519" s="239"/>
      <c r="CM1519" s="336"/>
    </row>
    <row r="1520" spans="84:91" s="51" customFormat="1">
      <c r="CF1520" s="239"/>
      <c r="CM1520" s="336"/>
    </row>
    <row r="1521" spans="84:91" s="51" customFormat="1">
      <c r="CF1521" s="239"/>
      <c r="CM1521" s="336"/>
    </row>
    <row r="1522" spans="84:91" s="51" customFormat="1">
      <c r="CF1522" s="239"/>
      <c r="CM1522" s="336"/>
    </row>
    <row r="1523" spans="84:91" s="51" customFormat="1">
      <c r="CF1523" s="239"/>
      <c r="CM1523" s="336"/>
    </row>
    <row r="1524" spans="84:91" s="51" customFormat="1">
      <c r="CF1524" s="239"/>
      <c r="CM1524" s="336"/>
    </row>
    <row r="1525" spans="84:91" s="51" customFormat="1">
      <c r="CF1525" s="239"/>
      <c r="CM1525" s="336"/>
    </row>
    <row r="1526" spans="84:91" s="51" customFormat="1">
      <c r="CF1526" s="239"/>
      <c r="CM1526" s="336"/>
    </row>
    <row r="1527" spans="84:91" s="51" customFormat="1">
      <c r="CF1527" s="239"/>
      <c r="CM1527" s="336"/>
    </row>
    <row r="1528" spans="84:91" s="51" customFormat="1">
      <c r="CF1528" s="239"/>
      <c r="CM1528" s="336"/>
    </row>
    <row r="1529" spans="84:91" s="51" customFormat="1">
      <c r="CF1529" s="239"/>
      <c r="CM1529" s="336"/>
    </row>
    <row r="1530" spans="84:91" s="51" customFormat="1">
      <c r="CF1530" s="239"/>
      <c r="CM1530" s="336"/>
    </row>
    <row r="1531" spans="84:91" s="51" customFormat="1">
      <c r="CF1531" s="239"/>
      <c r="CM1531" s="336"/>
    </row>
    <row r="1532" spans="84:91" s="51" customFormat="1">
      <c r="CF1532" s="239"/>
      <c r="CM1532" s="336"/>
    </row>
    <row r="1533" spans="84:91" s="51" customFormat="1">
      <c r="CF1533" s="239"/>
      <c r="CM1533" s="336"/>
    </row>
    <row r="1534" spans="84:91" s="51" customFormat="1">
      <c r="CF1534" s="239"/>
      <c r="CM1534" s="336"/>
    </row>
    <row r="1535" spans="84:91" s="51" customFormat="1">
      <c r="CF1535" s="239"/>
      <c r="CM1535" s="336"/>
    </row>
    <row r="1536" spans="84:91" s="51" customFormat="1">
      <c r="CF1536" s="239"/>
      <c r="CM1536" s="336"/>
    </row>
    <row r="1537" spans="84:91" s="51" customFormat="1">
      <c r="CF1537" s="239"/>
      <c r="CM1537" s="336"/>
    </row>
    <row r="1538" spans="84:91" s="51" customFormat="1">
      <c r="CF1538" s="239"/>
      <c r="CM1538" s="336"/>
    </row>
    <row r="1539" spans="84:91" s="51" customFormat="1">
      <c r="CF1539" s="239"/>
      <c r="CM1539" s="336"/>
    </row>
    <row r="1540" spans="84:91" s="51" customFormat="1">
      <c r="CF1540" s="239"/>
      <c r="CM1540" s="336"/>
    </row>
    <row r="1541" spans="84:91" s="51" customFormat="1">
      <c r="CF1541" s="239"/>
      <c r="CM1541" s="336"/>
    </row>
    <row r="1542" spans="84:91" s="51" customFormat="1">
      <c r="CF1542" s="239"/>
      <c r="CM1542" s="336"/>
    </row>
    <row r="1543" spans="84:91" s="51" customFormat="1">
      <c r="CF1543" s="239"/>
      <c r="CM1543" s="336"/>
    </row>
    <row r="1544" spans="84:91" s="51" customFormat="1">
      <c r="CF1544" s="239"/>
      <c r="CM1544" s="336"/>
    </row>
    <row r="1545" spans="84:91" s="51" customFormat="1">
      <c r="CF1545" s="239"/>
      <c r="CM1545" s="336"/>
    </row>
    <row r="1546" spans="84:91" s="51" customFormat="1">
      <c r="CF1546" s="239"/>
      <c r="CM1546" s="336"/>
    </row>
    <row r="1547" spans="84:91" s="51" customFormat="1">
      <c r="CF1547" s="239"/>
      <c r="CM1547" s="336"/>
    </row>
    <row r="1548" spans="84:91" s="51" customFormat="1">
      <c r="CF1548" s="239"/>
      <c r="CM1548" s="336"/>
    </row>
    <row r="1549" spans="84:91" s="51" customFormat="1">
      <c r="CF1549" s="239"/>
      <c r="CM1549" s="336"/>
    </row>
    <row r="1550" spans="84:91" s="51" customFormat="1">
      <c r="CF1550" s="239"/>
      <c r="CM1550" s="336"/>
    </row>
    <row r="1551" spans="84:91" s="51" customFormat="1">
      <c r="CF1551" s="239"/>
      <c r="CM1551" s="336"/>
    </row>
    <row r="1552" spans="84:91" s="51" customFormat="1">
      <c r="CF1552" s="239"/>
      <c r="CM1552" s="336"/>
    </row>
    <row r="1553" spans="84:91" s="51" customFormat="1">
      <c r="CF1553" s="239"/>
      <c r="CM1553" s="336"/>
    </row>
    <row r="1554" spans="84:91" s="51" customFormat="1">
      <c r="CF1554" s="239"/>
      <c r="CM1554" s="336"/>
    </row>
    <row r="1555" spans="84:91" s="51" customFormat="1">
      <c r="CF1555" s="239"/>
      <c r="CM1555" s="336"/>
    </row>
    <row r="1556" spans="84:91" s="51" customFormat="1">
      <c r="CF1556" s="239"/>
      <c r="CM1556" s="336"/>
    </row>
    <row r="1557" spans="84:91" s="51" customFormat="1">
      <c r="CF1557" s="239"/>
      <c r="CM1557" s="336"/>
    </row>
    <row r="1558" spans="84:91" s="51" customFormat="1">
      <c r="CF1558" s="239"/>
      <c r="CM1558" s="336"/>
    </row>
    <row r="1559" spans="84:91" s="51" customFormat="1">
      <c r="CF1559" s="239"/>
      <c r="CM1559" s="336"/>
    </row>
    <row r="1560" spans="84:91" s="51" customFormat="1">
      <c r="CF1560" s="239"/>
      <c r="CM1560" s="336"/>
    </row>
    <row r="1561" spans="84:91" s="51" customFormat="1">
      <c r="CF1561" s="239"/>
      <c r="CM1561" s="336"/>
    </row>
    <row r="1562" spans="84:91" s="51" customFormat="1">
      <c r="CF1562" s="239"/>
      <c r="CM1562" s="336"/>
    </row>
    <row r="1563" spans="84:91" s="51" customFormat="1">
      <c r="CF1563" s="239"/>
      <c r="CM1563" s="336"/>
    </row>
    <row r="1564" spans="84:91" s="51" customFormat="1">
      <c r="CF1564" s="239"/>
      <c r="CM1564" s="336"/>
    </row>
    <row r="1565" spans="84:91" s="51" customFormat="1">
      <c r="CF1565" s="239"/>
      <c r="CM1565" s="336"/>
    </row>
    <row r="1566" spans="84:91" s="51" customFormat="1">
      <c r="CF1566" s="239"/>
      <c r="CM1566" s="336"/>
    </row>
    <row r="1567" spans="84:91" s="51" customFormat="1">
      <c r="CF1567" s="239"/>
      <c r="CM1567" s="336"/>
    </row>
    <row r="1568" spans="84:91" s="51" customFormat="1">
      <c r="CF1568" s="239"/>
      <c r="CM1568" s="336"/>
    </row>
    <row r="1569" spans="84:91" s="51" customFormat="1">
      <c r="CF1569" s="239"/>
      <c r="CM1569" s="336"/>
    </row>
    <row r="1570" spans="84:91" s="51" customFormat="1">
      <c r="CF1570" s="239"/>
      <c r="CM1570" s="336"/>
    </row>
    <row r="1571" spans="84:91" s="51" customFormat="1">
      <c r="CF1571" s="239"/>
      <c r="CM1571" s="336"/>
    </row>
    <row r="1572" spans="84:91" s="51" customFormat="1">
      <c r="CF1572" s="239"/>
      <c r="CM1572" s="336"/>
    </row>
    <row r="1573" spans="84:91" s="51" customFormat="1">
      <c r="CF1573" s="239"/>
      <c r="CM1573" s="336"/>
    </row>
    <row r="1574" spans="84:91" s="51" customFormat="1">
      <c r="CF1574" s="239"/>
      <c r="CM1574" s="336"/>
    </row>
    <row r="1575" spans="84:91" s="51" customFormat="1">
      <c r="CF1575" s="239"/>
      <c r="CM1575" s="336"/>
    </row>
    <row r="1576" spans="84:91" s="51" customFormat="1">
      <c r="CF1576" s="239"/>
      <c r="CM1576" s="336"/>
    </row>
    <row r="1577" spans="84:91" s="51" customFormat="1">
      <c r="CF1577" s="239"/>
      <c r="CM1577" s="336"/>
    </row>
    <row r="1578" spans="84:91" s="51" customFormat="1">
      <c r="CF1578" s="239"/>
      <c r="CM1578" s="336"/>
    </row>
    <row r="1579" spans="84:91" s="51" customFormat="1">
      <c r="CF1579" s="239"/>
      <c r="CM1579" s="336"/>
    </row>
    <row r="1580" spans="84:91" s="51" customFormat="1">
      <c r="CF1580" s="239"/>
      <c r="CM1580" s="336"/>
    </row>
    <row r="1581" spans="84:91" s="51" customFormat="1">
      <c r="CF1581" s="239"/>
      <c r="CM1581" s="336"/>
    </row>
    <row r="1582" spans="84:91" s="51" customFormat="1">
      <c r="CF1582" s="239"/>
      <c r="CM1582" s="336"/>
    </row>
    <row r="1583" spans="84:91" s="51" customFormat="1">
      <c r="CF1583" s="239"/>
      <c r="CM1583" s="336"/>
    </row>
    <row r="1584" spans="84:91" s="51" customFormat="1">
      <c r="CF1584" s="239"/>
      <c r="CM1584" s="336"/>
    </row>
    <row r="1585" spans="84:91" s="51" customFormat="1">
      <c r="CF1585" s="239"/>
      <c r="CM1585" s="336"/>
    </row>
    <row r="1586" spans="84:91" s="51" customFormat="1">
      <c r="CF1586" s="239"/>
      <c r="CM1586" s="336"/>
    </row>
    <row r="1587" spans="84:91" s="51" customFormat="1">
      <c r="CF1587" s="239"/>
      <c r="CM1587" s="336"/>
    </row>
    <row r="1588" spans="84:91" s="51" customFormat="1">
      <c r="CF1588" s="239"/>
      <c r="CM1588" s="336"/>
    </row>
    <row r="1589" spans="84:91" s="51" customFormat="1">
      <c r="CF1589" s="239"/>
      <c r="CM1589" s="336"/>
    </row>
    <row r="1590" spans="84:91" s="51" customFormat="1">
      <c r="CF1590" s="239"/>
      <c r="CM1590" s="336"/>
    </row>
    <row r="1591" spans="84:91" s="51" customFormat="1">
      <c r="CF1591" s="239"/>
      <c r="CM1591" s="336"/>
    </row>
    <row r="1592" spans="84:91" s="51" customFormat="1">
      <c r="CF1592" s="239"/>
      <c r="CM1592" s="336"/>
    </row>
    <row r="1593" spans="84:91" s="51" customFormat="1">
      <c r="CF1593" s="239"/>
      <c r="CM1593" s="336"/>
    </row>
    <row r="1594" spans="84:91" s="51" customFormat="1">
      <c r="CF1594" s="239"/>
      <c r="CM1594" s="336"/>
    </row>
    <row r="1595" spans="84:91" s="51" customFormat="1">
      <c r="CF1595" s="239"/>
      <c r="CM1595" s="336"/>
    </row>
    <row r="1596" spans="84:91" s="51" customFormat="1">
      <c r="CF1596" s="239"/>
      <c r="CM1596" s="336"/>
    </row>
    <row r="1597" spans="84:91" s="51" customFormat="1">
      <c r="CF1597" s="239"/>
      <c r="CM1597" s="336"/>
    </row>
    <row r="1598" spans="84:91" s="51" customFormat="1">
      <c r="CF1598" s="239"/>
      <c r="CM1598" s="336"/>
    </row>
    <row r="1599" spans="84:91" s="51" customFormat="1">
      <c r="CF1599" s="239"/>
      <c r="CM1599" s="336"/>
    </row>
    <row r="1600" spans="84:91" s="51" customFormat="1">
      <c r="CF1600" s="239"/>
      <c r="CM1600" s="336"/>
    </row>
    <row r="1601" spans="84:91" s="51" customFormat="1">
      <c r="CF1601" s="239"/>
      <c r="CM1601" s="336"/>
    </row>
    <row r="1602" spans="84:91" s="51" customFormat="1">
      <c r="CF1602" s="239"/>
      <c r="CM1602" s="336"/>
    </row>
    <row r="1603" spans="84:91" s="51" customFormat="1">
      <c r="CF1603" s="239"/>
      <c r="CM1603" s="336"/>
    </row>
    <row r="1604" spans="84:91" s="51" customFormat="1">
      <c r="CF1604" s="239"/>
      <c r="CM1604" s="336"/>
    </row>
    <row r="1605" spans="84:91" s="51" customFormat="1">
      <c r="CF1605" s="239"/>
      <c r="CM1605" s="336"/>
    </row>
    <row r="1606" spans="84:91" s="51" customFormat="1">
      <c r="CF1606" s="239"/>
      <c r="CM1606" s="336"/>
    </row>
    <row r="1607" spans="84:91" s="51" customFormat="1">
      <c r="CF1607" s="239"/>
      <c r="CM1607" s="336"/>
    </row>
    <row r="1608" spans="84:91" s="51" customFormat="1">
      <c r="CF1608" s="239"/>
      <c r="CM1608" s="336"/>
    </row>
    <row r="1609" spans="84:91" s="51" customFormat="1">
      <c r="CF1609" s="239"/>
      <c r="CM1609" s="336"/>
    </row>
    <row r="1610" spans="84:91" s="51" customFormat="1">
      <c r="CF1610" s="239"/>
      <c r="CM1610" s="336"/>
    </row>
    <row r="1611" spans="84:91" s="51" customFormat="1">
      <c r="CF1611" s="239"/>
      <c r="CM1611" s="336"/>
    </row>
    <row r="1612" spans="84:91" s="51" customFormat="1">
      <c r="CF1612" s="239"/>
      <c r="CM1612" s="336"/>
    </row>
    <row r="1613" spans="84:91" s="51" customFormat="1">
      <c r="CF1613" s="239"/>
      <c r="CM1613" s="336"/>
    </row>
    <row r="1614" spans="84:91" s="51" customFormat="1">
      <c r="CF1614" s="239"/>
      <c r="CM1614" s="336"/>
    </row>
    <row r="1615" spans="84:91" s="51" customFormat="1">
      <c r="CF1615" s="239"/>
      <c r="CM1615" s="336"/>
    </row>
    <row r="1616" spans="84:91" s="51" customFormat="1">
      <c r="CF1616" s="239"/>
      <c r="CM1616" s="336"/>
    </row>
    <row r="1617" spans="84:91" s="51" customFormat="1">
      <c r="CF1617" s="239"/>
      <c r="CM1617" s="336"/>
    </row>
    <row r="1618" spans="84:91" s="51" customFormat="1">
      <c r="CF1618" s="239"/>
      <c r="CM1618" s="336"/>
    </row>
    <row r="1619" spans="84:91" s="51" customFormat="1">
      <c r="CF1619" s="239"/>
      <c r="CM1619" s="336"/>
    </row>
    <row r="1620" spans="84:91" s="51" customFormat="1">
      <c r="CF1620" s="239"/>
      <c r="CM1620" s="336"/>
    </row>
    <row r="1621" spans="84:91" s="51" customFormat="1">
      <c r="CF1621" s="239"/>
      <c r="CM1621" s="336"/>
    </row>
    <row r="1622" spans="84:91" s="51" customFormat="1">
      <c r="CF1622" s="239"/>
      <c r="CM1622" s="336"/>
    </row>
    <row r="1623" spans="84:91" s="51" customFormat="1">
      <c r="CF1623" s="239"/>
      <c r="CM1623" s="336"/>
    </row>
    <row r="1624" spans="84:91" s="51" customFormat="1">
      <c r="CF1624" s="239"/>
      <c r="CM1624" s="336"/>
    </row>
    <row r="1625" spans="84:91" s="51" customFormat="1">
      <c r="CF1625" s="239"/>
      <c r="CM1625" s="336"/>
    </row>
    <row r="1626" spans="84:91" s="51" customFormat="1">
      <c r="CF1626" s="239"/>
      <c r="CM1626" s="336"/>
    </row>
    <row r="1627" spans="84:91" s="51" customFormat="1">
      <c r="CF1627" s="239"/>
      <c r="CM1627" s="336"/>
    </row>
    <row r="1628" spans="84:91" s="51" customFormat="1">
      <c r="CF1628" s="239"/>
      <c r="CM1628" s="336"/>
    </row>
    <row r="1629" spans="84:91" s="51" customFormat="1">
      <c r="CF1629" s="239"/>
      <c r="CM1629" s="336"/>
    </row>
    <row r="1630" spans="84:91" s="51" customFormat="1">
      <c r="CF1630" s="239"/>
      <c r="CM1630" s="336"/>
    </row>
    <row r="1631" spans="84:91" s="51" customFormat="1">
      <c r="CF1631" s="239"/>
      <c r="CM1631" s="336"/>
    </row>
    <row r="1632" spans="84:91" s="51" customFormat="1">
      <c r="CF1632" s="239"/>
      <c r="CM1632" s="336"/>
    </row>
    <row r="1633" spans="84:91" s="51" customFormat="1">
      <c r="CF1633" s="239"/>
      <c r="CM1633" s="336"/>
    </row>
    <row r="1634" spans="84:91" s="51" customFormat="1">
      <c r="CF1634" s="239"/>
      <c r="CM1634" s="336"/>
    </row>
    <row r="1635" spans="84:91" s="51" customFormat="1">
      <c r="CF1635" s="239"/>
      <c r="CM1635" s="336"/>
    </row>
    <row r="1636" spans="84:91" s="51" customFormat="1">
      <c r="CF1636" s="239"/>
      <c r="CM1636" s="336"/>
    </row>
    <row r="1637" spans="84:91" s="51" customFormat="1">
      <c r="CF1637" s="239"/>
      <c r="CM1637" s="336"/>
    </row>
    <row r="1638" spans="84:91" s="51" customFormat="1">
      <c r="CF1638" s="239"/>
      <c r="CM1638" s="336"/>
    </row>
    <row r="1639" spans="84:91" s="51" customFormat="1">
      <c r="CF1639" s="239"/>
      <c r="CM1639" s="336"/>
    </row>
    <row r="1640" spans="84:91" s="51" customFormat="1">
      <c r="CF1640" s="239"/>
      <c r="CM1640" s="336"/>
    </row>
    <row r="1641" spans="84:91" s="51" customFormat="1">
      <c r="CF1641" s="239"/>
      <c r="CM1641" s="336"/>
    </row>
    <row r="1642" spans="84:91" s="51" customFormat="1">
      <c r="CF1642" s="239"/>
      <c r="CM1642" s="336"/>
    </row>
    <row r="1643" spans="84:91" s="51" customFormat="1">
      <c r="CF1643" s="239"/>
      <c r="CM1643" s="336"/>
    </row>
    <row r="1644" spans="84:91" s="51" customFormat="1">
      <c r="CF1644" s="239"/>
      <c r="CM1644" s="336"/>
    </row>
    <row r="1645" spans="84:91" s="51" customFormat="1">
      <c r="CF1645" s="239"/>
      <c r="CM1645" s="336"/>
    </row>
    <row r="1646" spans="84:91" s="51" customFormat="1">
      <c r="CF1646" s="239"/>
      <c r="CM1646" s="336"/>
    </row>
    <row r="1647" spans="84:91" s="51" customFormat="1">
      <c r="CF1647" s="239"/>
      <c r="CM1647" s="336"/>
    </row>
    <row r="1648" spans="84:91" s="51" customFormat="1">
      <c r="CF1648" s="239"/>
      <c r="CM1648" s="336"/>
    </row>
    <row r="1649" spans="84:91" s="51" customFormat="1">
      <c r="CF1649" s="239"/>
      <c r="CM1649" s="336"/>
    </row>
    <row r="1650" spans="84:91" s="51" customFormat="1">
      <c r="CF1650" s="239"/>
      <c r="CM1650" s="336"/>
    </row>
    <row r="1651" spans="84:91" s="51" customFormat="1">
      <c r="CF1651" s="239"/>
      <c r="CM1651" s="336"/>
    </row>
    <row r="1652" spans="84:91" s="51" customFormat="1">
      <c r="CF1652" s="239"/>
      <c r="CM1652" s="336"/>
    </row>
    <row r="1653" spans="84:91" s="51" customFormat="1">
      <c r="CF1653" s="239"/>
      <c r="CM1653" s="336"/>
    </row>
    <row r="1654" spans="84:91" s="51" customFormat="1">
      <c r="CF1654" s="239"/>
      <c r="CM1654" s="336"/>
    </row>
    <row r="1655" spans="84:91" s="51" customFormat="1">
      <c r="CF1655" s="239"/>
      <c r="CM1655" s="336"/>
    </row>
    <row r="1656" spans="84:91" s="51" customFormat="1">
      <c r="CF1656" s="239"/>
      <c r="CM1656" s="336"/>
    </row>
    <row r="1657" spans="84:91" s="51" customFormat="1">
      <c r="CF1657" s="239"/>
      <c r="CM1657" s="336"/>
    </row>
    <row r="1658" spans="84:91" s="51" customFormat="1">
      <c r="CF1658" s="239"/>
      <c r="CM1658" s="336"/>
    </row>
    <row r="1659" spans="84:91" s="51" customFormat="1">
      <c r="CF1659" s="239"/>
      <c r="CM1659" s="336"/>
    </row>
    <row r="1660" spans="84:91" s="51" customFormat="1">
      <c r="CF1660" s="239"/>
      <c r="CM1660" s="336"/>
    </row>
    <row r="1661" spans="84:91" s="51" customFormat="1">
      <c r="CF1661" s="239"/>
      <c r="CM1661" s="336"/>
    </row>
    <row r="1662" spans="84:91" s="51" customFormat="1">
      <c r="CF1662" s="239"/>
      <c r="CM1662" s="336"/>
    </row>
    <row r="1663" spans="84:91" s="51" customFormat="1">
      <c r="CF1663" s="239"/>
      <c r="CM1663" s="336"/>
    </row>
    <row r="1664" spans="84:91" s="51" customFormat="1">
      <c r="CF1664" s="239"/>
      <c r="CM1664" s="336"/>
    </row>
    <row r="1665" spans="84:91" s="51" customFormat="1">
      <c r="CF1665" s="239"/>
      <c r="CM1665" s="336"/>
    </row>
    <row r="1666" spans="84:91" s="51" customFormat="1">
      <c r="CF1666" s="239"/>
      <c r="CM1666" s="336"/>
    </row>
    <row r="1667" spans="84:91" s="51" customFormat="1">
      <c r="CF1667" s="239"/>
      <c r="CM1667" s="336"/>
    </row>
    <row r="1668" spans="84:91" s="51" customFormat="1">
      <c r="CF1668" s="239"/>
      <c r="CM1668" s="336"/>
    </row>
    <row r="1669" spans="84:91" s="51" customFormat="1">
      <c r="CF1669" s="239"/>
      <c r="CM1669" s="336"/>
    </row>
    <row r="1670" spans="84:91" s="51" customFormat="1">
      <c r="CF1670" s="239"/>
      <c r="CM1670" s="336"/>
    </row>
    <row r="1671" spans="84:91" s="51" customFormat="1">
      <c r="CF1671" s="239"/>
      <c r="CM1671" s="336"/>
    </row>
    <row r="1672" spans="84:91" s="51" customFormat="1">
      <c r="CF1672" s="239"/>
      <c r="CM1672" s="336"/>
    </row>
    <row r="1673" spans="84:91" s="51" customFormat="1">
      <c r="CF1673" s="239"/>
      <c r="CM1673" s="336"/>
    </row>
    <row r="1674" spans="84:91" s="51" customFormat="1">
      <c r="CF1674" s="239"/>
      <c r="CM1674" s="336"/>
    </row>
    <row r="1675" spans="84:91" s="51" customFormat="1">
      <c r="CF1675" s="239"/>
      <c r="CM1675" s="336"/>
    </row>
    <row r="1676" spans="84:91" s="51" customFormat="1">
      <c r="CF1676" s="239"/>
      <c r="CM1676" s="336"/>
    </row>
    <row r="1677" spans="84:91" s="51" customFormat="1">
      <c r="CF1677" s="239"/>
      <c r="CM1677" s="336"/>
    </row>
    <row r="1678" spans="84:91" s="51" customFormat="1">
      <c r="CF1678" s="239"/>
      <c r="CM1678" s="336"/>
    </row>
    <row r="1679" spans="84:91" s="51" customFormat="1">
      <c r="CF1679" s="239"/>
      <c r="CM1679" s="336"/>
    </row>
    <row r="1680" spans="84:91" s="51" customFormat="1">
      <c r="CF1680" s="239"/>
      <c r="CM1680" s="336"/>
    </row>
    <row r="1681" spans="84:91" s="51" customFormat="1">
      <c r="CF1681" s="239"/>
      <c r="CM1681" s="336"/>
    </row>
    <row r="1682" spans="84:91" s="51" customFormat="1">
      <c r="CF1682" s="239"/>
      <c r="CM1682" s="336"/>
    </row>
    <row r="1683" spans="84:91" s="51" customFormat="1">
      <c r="CF1683" s="239"/>
      <c r="CM1683" s="336"/>
    </row>
    <row r="1684" spans="84:91" s="51" customFormat="1">
      <c r="CF1684" s="239"/>
      <c r="CM1684" s="336"/>
    </row>
    <row r="1685" spans="84:91" s="51" customFormat="1">
      <c r="CF1685" s="239"/>
      <c r="CM1685" s="336"/>
    </row>
    <row r="1686" spans="84:91" s="51" customFormat="1">
      <c r="CF1686" s="239"/>
      <c r="CM1686" s="336"/>
    </row>
    <row r="1687" spans="84:91" s="51" customFormat="1">
      <c r="CF1687" s="239"/>
      <c r="CM1687" s="336"/>
    </row>
    <row r="1688" spans="84:91" s="51" customFormat="1">
      <c r="CF1688" s="239"/>
      <c r="CM1688" s="336"/>
    </row>
    <row r="1689" spans="84:91" s="51" customFormat="1">
      <c r="CF1689" s="239"/>
      <c r="CM1689" s="336"/>
    </row>
    <row r="1690" spans="84:91" s="51" customFormat="1">
      <c r="CF1690" s="239"/>
      <c r="CM1690" s="336"/>
    </row>
    <row r="1691" spans="84:91" s="51" customFormat="1">
      <c r="CF1691" s="239"/>
      <c r="CM1691" s="336"/>
    </row>
    <row r="1692" spans="84:91" s="51" customFormat="1">
      <c r="CF1692" s="239"/>
      <c r="CM1692" s="336"/>
    </row>
    <row r="1693" spans="84:91" s="51" customFormat="1">
      <c r="CF1693" s="239"/>
      <c r="CM1693" s="336"/>
    </row>
    <row r="1694" spans="84:91" s="51" customFormat="1">
      <c r="CF1694" s="239"/>
      <c r="CM1694" s="336"/>
    </row>
    <row r="1695" spans="84:91" s="51" customFormat="1">
      <c r="CF1695" s="239"/>
      <c r="CM1695" s="336"/>
    </row>
    <row r="1696" spans="84:91" s="51" customFormat="1">
      <c r="CF1696" s="239"/>
      <c r="CM1696" s="336"/>
    </row>
    <row r="1697" spans="84:91" s="51" customFormat="1">
      <c r="CF1697" s="239"/>
      <c r="CM1697" s="336"/>
    </row>
    <row r="1698" spans="84:91" s="51" customFormat="1">
      <c r="CF1698" s="239"/>
      <c r="CM1698" s="336"/>
    </row>
    <row r="1699" spans="84:91" s="51" customFormat="1">
      <c r="CF1699" s="239"/>
      <c r="CM1699" s="336"/>
    </row>
    <row r="1700" spans="84:91" s="51" customFormat="1">
      <c r="CF1700" s="239"/>
      <c r="CM1700" s="336"/>
    </row>
    <row r="1701" spans="84:91" s="51" customFormat="1">
      <c r="CF1701" s="239"/>
      <c r="CM1701" s="336"/>
    </row>
    <row r="1702" spans="84:91" s="51" customFormat="1">
      <c r="CF1702" s="239"/>
      <c r="CM1702" s="336"/>
    </row>
    <row r="1703" spans="84:91" s="51" customFormat="1">
      <c r="CF1703" s="239"/>
      <c r="CM1703" s="336"/>
    </row>
    <row r="1704" spans="84:91" s="51" customFormat="1">
      <c r="CF1704" s="239"/>
      <c r="CM1704" s="336"/>
    </row>
    <row r="1705" spans="84:91" s="51" customFormat="1">
      <c r="CF1705" s="239"/>
      <c r="CM1705" s="336"/>
    </row>
    <row r="1706" spans="84:91" s="51" customFormat="1">
      <c r="CF1706" s="239"/>
      <c r="CM1706" s="336"/>
    </row>
    <row r="1707" spans="84:91" s="51" customFormat="1">
      <c r="CF1707" s="239"/>
      <c r="CM1707" s="336"/>
    </row>
    <row r="1708" spans="84:91" s="51" customFormat="1">
      <c r="CF1708" s="239"/>
      <c r="CM1708" s="336"/>
    </row>
    <row r="1709" spans="84:91" s="51" customFormat="1">
      <c r="CF1709" s="239"/>
      <c r="CM1709" s="336"/>
    </row>
    <row r="1710" spans="84:91" s="51" customFormat="1">
      <c r="CF1710" s="239"/>
      <c r="CM1710" s="336"/>
    </row>
    <row r="1711" spans="84:91" s="51" customFormat="1">
      <c r="CF1711" s="239"/>
      <c r="CM1711" s="336"/>
    </row>
    <row r="1712" spans="84:91" s="51" customFormat="1">
      <c r="CF1712" s="239"/>
      <c r="CM1712" s="336"/>
    </row>
    <row r="1713" spans="84:91" s="51" customFormat="1">
      <c r="CF1713" s="239"/>
      <c r="CM1713" s="336"/>
    </row>
    <row r="1714" spans="84:91" s="51" customFormat="1">
      <c r="CF1714" s="239"/>
      <c r="CM1714" s="336"/>
    </row>
    <row r="1715" spans="84:91" s="51" customFormat="1">
      <c r="CF1715" s="239"/>
      <c r="CM1715" s="336"/>
    </row>
    <row r="1716" spans="84:91" s="51" customFormat="1">
      <c r="CF1716" s="239"/>
      <c r="CM1716" s="336"/>
    </row>
    <row r="1717" spans="84:91" s="51" customFormat="1">
      <c r="CF1717" s="239"/>
      <c r="CM1717" s="336"/>
    </row>
    <row r="1718" spans="84:91" s="51" customFormat="1">
      <c r="CF1718" s="239"/>
      <c r="CM1718" s="336"/>
    </row>
    <row r="1719" spans="84:91" s="51" customFormat="1">
      <c r="CF1719" s="239"/>
      <c r="CM1719" s="336"/>
    </row>
    <row r="1720" spans="84:91" s="51" customFormat="1">
      <c r="CF1720" s="239"/>
      <c r="CM1720" s="336"/>
    </row>
    <row r="1721" spans="84:91" s="51" customFormat="1">
      <c r="CF1721" s="239"/>
      <c r="CM1721" s="336"/>
    </row>
    <row r="1722" spans="84:91" s="51" customFormat="1">
      <c r="CF1722" s="239"/>
      <c r="CM1722" s="336"/>
    </row>
    <row r="1723" spans="84:91" s="51" customFormat="1">
      <c r="CF1723" s="239"/>
      <c r="CM1723" s="336"/>
    </row>
    <row r="1724" spans="84:91" s="51" customFormat="1">
      <c r="CF1724" s="239"/>
      <c r="CM1724" s="336"/>
    </row>
    <row r="1725" spans="84:91" s="51" customFormat="1">
      <c r="CF1725" s="239"/>
      <c r="CM1725" s="336"/>
    </row>
    <row r="1726" spans="84:91" s="51" customFormat="1">
      <c r="CF1726" s="239"/>
      <c r="CM1726" s="336"/>
    </row>
    <row r="1727" spans="84:91" s="51" customFormat="1">
      <c r="CF1727" s="239"/>
      <c r="CM1727" s="336"/>
    </row>
    <row r="1728" spans="84:91" s="51" customFormat="1">
      <c r="CF1728" s="239"/>
      <c r="CM1728" s="336"/>
    </row>
    <row r="1729" spans="84:91" s="51" customFormat="1">
      <c r="CF1729" s="239"/>
      <c r="CM1729" s="336"/>
    </row>
    <row r="1730" spans="84:91" s="51" customFormat="1">
      <c r="CF1730" s="239"/>
      <c r="CM1730" s="336"/>
    </row>
    <row r="1731" spans="84:91" s="51" customFormat="1">
      <c r="CF1731" s="239"/>
      <c r="CM1731" s="336"/>
    </row>
    <row r="1732" spans="84:91" s="51" customFormat="1">
      <c r="CF1732" s="239"/>
      <c r="CM1732" s="336"/>
    </row>
    <row r="1733" spans="84:91" s="51" customFormat="1">
      <c r="CF1733" s="239"/>
      <c r="CM1733" s="336"/>
    </row>
    <row r="1734" spans="84:91" s="51" customFormat="1">
      <c r="CF1734" s="239"/>
      <c r="CM1734" s="336"/>
    </row>
    <row r="1735" spans="84:91" s="51" customFormat="1">
      <c r="CF1735" s="239"/>
      <c r="CM1735" s="336"/>
    </row>
    <row r="1736" spans="84:91" s="51" customFormat="1">
      <c r="CF1736" s="239"/>
      <c r="CM1736" s="336"/>
    </row>
    <row r="1737" spans="84:91" s="51" customFormat="1">
      <c r="CF1737" s="239"/>
      <c r="CM1737" s="336"/>
    </row>
    <row r="1738" spans="84:91" s="51" customFormat="1">
      <c r="CF1738" s="239"/>
      <c r="CM1738" s="336"/>
    </row>
    <row r="1739" spans="84:91" s="51" customFormat="1">
      <c r="CF1739" s="239"/>
      <c r="CM1739" s="336"/>
    </row>
    <row r="1740" spans="84:91" s="51" customFormat="1">
      <c r="CF1740" s="239"/>
      <c r="CM1740" s="336"/>
    </row>
    <row r="1741" spans="84:91" s="51" customFormat="1">
      <c r="CF1741" s="239"/>
      <c r="CM1741" s="336"/>
    </row>
    <row r="1742" spans="84:91" s="51" customFormat="1">
      <c r="CF1742" s="239"/>
      <c r="CM1742" s="336"/>
    </row>
    <row r="1743" spans="84:91" s="51" customFormat="1">
      <c r="CF1743" s="239"/>
      <c r="CM1743" s="336"/>
    </row>
    <row r="1744" spans="84:91" s="51" customFormat="1">
      <c r="CF1744" s="239"/>
      <c r="CM1744" s="336"/>
    </row>
    <row r="1745" spans="84:91" s="51" customFormat="1">
      <c r="CF1745" s="239"/>
      <c r="CM1745" s="336"/>
    </row>
    <row r="1746" spans="84:91" s="51" customFormat="1">
      <c r="CF1746" s="239"/>
      <c r="CM1746" s="336"/>
    </row>
    <row r="1747" spans="84:91" s="51" customFormat="1">
      <c r="CF1747" s="239"/>
      <c r="CM1747" s="336"/>
    </row>
    <row r="1748" spans="84:91" s="51" customFormat="1">
      <c r="CF1748" s="239"/>
      <c r="CM1748" s="336"/>
    </row>
    <row r="1749" spans="84:91" s="51" customFormat="1">
      <c r="CF1749" s="239"/>
      <c r="CM1749" s="336"/>
    </row>
    <row r="1750" spans="84:91" s="51" customFormat="1">
      <c r="CF1750" s="239"/>
      <c r="CM1750" s="336"/>
    </row>
    <row r="1751" spans="84:91" s="51" customFormat="1">
      <c r="CF1751" s="239"/>
      <c r="CM1751" s="336"/>
    </row>
    <row r="1752" spans="84:91" s="51" customFormat="1">
      <c r="CF1752" s="239"/>
      <c r="CM1752" s="336"/>
    </row>
    <row r="1753" spans="84:91" s="51" customFormat="1">
      <c r="CF1753" s="239"/>
      <c r="CM1753" s="336"/>
    </row>
    <row r="1754" spans="84:91" s="51" customFormat="1">
      <c r="CF1754" s="239"/>
      <c r="CM1754" s="336"/>
    </row>
    <row r="1755" spans="84:91" s="51" customFormat="1">
      <c r="CF1755" s="239"/>
      <c r="CM1755" s="336"/>
    </row>
    <row r="1756" spans="84:91" s="51" customFormat="1">
      <c r="CF1756" s="239"/>
      <c r="CM1756" s="336"/>
    </row>
    <row r="1757" spans="84:91" s="51" customFormat="1">
      <c r="CF1757" s="239"/>
      <c r="CM1757" s="336"/>
    </row>
    <row r="1758" spans="84:91" s="51" customFormat="1">
      <c r="CF1758" s="239"/>
      <c r="CM1758" s="336"/>
    </row>
    <row r="1759" spans="84:91" s="51" customFormat="1">
      <c r="CF1759" s="239"/>
      <c r="CM1759" s="336"/>
    </row>
    <row r="1760" spans="84:91" s="51" customFormat="1">
      <c r="CF1760" s="239"/>
      <c r="CM1760" s="336"/>
    </row>
    <row r="1761" spans="84:91" s="51" customFormat="1">
      <c r="CF1761" s="239"/>
      <c r="CM1761" s="336"/>
    </row>
    <row r="1762" spans="84:91" s="51" customFormat="1">
      <c r="CF1762" s="239"/>
      <c r="CM1762" s="336"/>
    </row>
    <row r="1763" spans="84:91" s="51" customFormat="1">
      <c r="CF1763" s="239"/>
      <c r="CM1763" s="336"/>
    </row>
    <row r="1764" spans="84:91" s="51" customFormat="1">
      <c r="CF1764" s="239"/>
      <c r="CM1764" s="336"/>
    </row>
    <row r="1765" spans="84:91" s="51" customFormat="1">
      <c r="CF1765" s="239"/>
      <c r="CM1765" s="336"/>
    </row>
    <row r="1766" spans="84:91" s="51" customFormat="1">
      <c r="CF1766" s="239"/>
      <c r="CM1766" s="336"/>
    </row>
    <row r="1767" spans="84:91" s="51" customFormat="1">
      <c r="CF1767" s="239"/>
      <c r="CM1767" s="336"/>
    </row>
    <row r="1768" spans="84:91" s="51" customFormat="1">
      <c r="CF1768" s="239"/>
      <c r="CM1768" s="336"/>
    </row>
    <row r="1769" spans="84:91" s="51" customFormat="1">
      <c r="CF1769" s="239"/>
      <c r="CM1769" s="336"/>
    </row>
    <row r="1770" spans="84:91" s="51" customFormat="1">
      <c r="CF1770" s="239"/>
      <c r="CM1770" s="336"/>
    </row>
    <row r="1771" spans="84:91" s="51" customFormat="1">
      <c r="CF1771" s="239"/>
      <c r="CM1771" s="336"/>
    </row>
    <row r="1772" spans="84:91" s="51" customFormat="1">
      <c r="CF1772" s="239"/>
      <c r="CM1772" s="336"/>
    </row>
    <row r="1773" spans="84:91" s="51" customFormat="1">
      <c r="CF1773" s="239"/>
      <c r="CM1773" s="336"/>
    </row>
    <row r="1774" spans="84:91" s="51" customFormat="1">
      <c r="CF1774" s="239"/>
      <c r="CM1774" s="336"/>
    </row>
    <row r="1775" spans="84:91" s="51" customFormat="1">
      <c r="CF1775" s="239"/>
      <c r="CM1775" s="336"/>
    </row>
    <row r="1776" spans="84:91" s="51" customFormat="1">
      <c r="CF1776" s="239"/>
      <c r="CM1776" s="336"/>
    </row>
    <row r="1777" spans="84:91" s="51" customFormat="1">
      <c r="CF1777" s="239"/>
      <c r="CM1777" s="336"/>
    </row>
    <row r="1778" spans="84:91" s="51" customFormat="1">
      <c r="CF1778" s="239"/>
      <c r="CM1778" s="336"/>
    </row>
    <row r="1779" spans="84:91" s="51" customFormat="1">
      <c r="CF1779" s="239"/>
      <c r="CM1779" s="336"/>
    </row>
    <row r="1780" spans="84:91" s="51" customFormat="1">
      <c r="CF1780" s="239"/>
      <c r="CM1780" s="336"/>
    </row>
    <row r="1781" spans="84:91" s="51" customFormat="1">
      <c r="CF1781" s="239"/>
      <c r="CM1781" s="336"/>
    </row>
    <row r="1782" spans="84:91" s="51" customFormat="1">
      <c r="CF1782" s="239"/>
      <c r="CM1782" s="336"/>
    </row>
    <row r="1783" spans="84:91" s="51" customFormat="1">
      <c r="CF1783" s="239"/>
      <c r="CM1783" s="336"/>
    </row>
    <row r="1784" spans="84:91" s="51" customFormat="1">
      <c r="CF1784" s="239"/>
      <c r="CM1784" s="336"/>
    </row>
    <row r="1785" spans="84:91" s="51" customFormat="1">
      <c r="CF1785" s="239"/>
      <c r="CM1785" s="336"/>
    </row>
    <row r="1786" spans="84:91" s="51" customFormat="1">
      <c r="CF1786" s="239"/>
      <c r="CM1786" s="336"/>
    </row>
    <row r="1787" spans="84:91" s="51" customFormat="1">
      <c r="CF1787" s="239"/>
      <c r="CM1787" s="336"/>
    </row>
    <row r="1788" spans="84:91" s="51" customFormat="1">
      <c r="CF1788" s="239"/>
      <c r="CM1788" s="336"/>
    </row>
    <row r="1789" spans="84:91" s="51" customFormat="1">
      <c r="CF1789" s="239"/>
      <c r="CM1789" s="336"/>
    </row>
    <row r="1790" spans="84:91" s="51" customFormat="1">
      <c r="CF1790" s="239"/>
      <c r="CM1790" s="336"/>
    </row>
    <row r="1791" spans="84:91" s="51" customFormat="1">
      <c r="CF1791" s="239"/>
      <c r="CM1791" s="336"/>
    </row>
    <row r="1792" spans="84:91" s="51" customFormat="1">
      <c r="CF1792" s="239"/>
      <c r="CM1792" s="336"/>
    </row>
    <row r="1793" spans="84:91" s="51" customFormat="1">
      <c r="CF1793" s="239"/>
      <c r="CM1793" s="336"/>
    </row>
    <row r="1794" spans="84:91" s="51" customFormat="1">
      <c r="CF1794" s="239"/>
      <c r="CM1794" s="336"/>
    </row>
    <row r="1795" spans="84:91" s="51" customFormat="1">
      <c r="CF1795" s="239"/>
      <c r="CM1795" s="336"/>
    </row>
    <row r="1796" spans="84:91" s="51" customFormat="1">
      <c r="CF1796" s="239"/>
      <c r="CM1796" s="336"/>
    </row>
    <row r="1797" spans="84:91" s="51" customFormat="1">
      <c r="CF1797" s="239"/>
      <c r="CM1797" s="336"/>
    </row>
    <row r="1798" spans="84:91" s="51" customFormat="1">
      <c r="CF1798" s="239"/>
      <c r="CM1798" s="336"/>
    </row>
    <row r="1799" spans="84:91" s="51" customFormat="1">
      <c r="CF1799" s="239"/>
      <c r="CM1799" s="336"/>
    </row>
    <row r="1800" spans="84:91" s="51" customFormat="1">
      <c r="CF1800" s="239"/>
      <c r="CM1800" s="336"/>
    </row>
    <row r="1801" spans="84:91" s="51" customFormat="1">
      <c r="CF1801" s="239"/>
      <c r="CM1801" s="336"/>
    </row>
    <row r="1802" spans="84:91" s="51" customFormat="1">
      <c r="CF1802" s="239"/>
      <c r="CM1802" s="336"/>
    </row>
    <row r="1803" spans="84:91" s="51" customFormat="1">
      <c r="CF1803" s="239"/>
      <c r="CM1803" s="336"/>
    </row>
    <row r="1804" spans="84:91" s="51" customFormat="1">
      <c r="CF1804" s="239"/>
      <c r="CM1804" s="336"/>
    </row>
    <row r="1805" spans="84:91" s="51" customFormat="1">
      <c r="CF1805" s="239"/>
      <c r="CM1805" s="336"/>
    </row>
    <row r="1806" spans="84:91" s="51" customFormat="1">
      <c r="CF1806" s="239"/>
      <c r="CM1806" s="336"/>
    </row>
    <row r="1807" spans="84:91" s="51" customFormat="1">
      <c r="CF1807" s="239"/>
      <c r="CM1807" s="336"/>
    </row>
    <row r="1808" spans="84:91" s="51" customFormat="1">
      <c r="CF1808" s="239"/>
      <c r="CM1808" s="336"/>
    </row>
    <row r="1809" spans="84:91" s="51" customFormat="1">
      <c r="CF1809" s="239"/>
      <c r="CM1809" s="336"/>
    </row>
    <row r="1810" spans="84:91" s="51" customFormat="1">
      <c r="CF1810" s="239"/>
      <c r="CM1810" s="336"/>
    </row>
    <row r="1811" spans="84:91" s="51" customFormat="1">
      <c r="CF1811" s="239"/>
      <c r="CM1811" s="336"/>
    </row>
    <row r="1812" spans="84:91" s="51" customFormat="1">
      <c r="CF1812" s="239"/>
      <c r="CM1812" s="336"/>
    </row>
    <row r="1813" spans="84:91" s="51" customFormat="1">
      <c r="CF1813" s="239"/>
      <c r="CM1813" s="336"/>
    </row>
    <row r="1814" spans="84:91" s="51" customFormat="1">
      <c r="CF1814" s="239"/>
      <c r="CM1814" s="336"/>
    </row>
    <row r="1815" spans="84:91" s="51" customFormat="1">
      <c r="CF1815" s="239"/>
      <c r="CM1815" s="336"/>
    </row>
    <row r="1816" spans="84:91" s="51" customFormat="1">
      <c r="CF1816" s="239"/>
      <c r="CM1816" s="336"/>
    </row>
    <row r="1817" spans="84:91" s="51" customFormat="1">
      <c r="CF1817" s="239"/>
      <c r="CM1817" s="336"/>
    </row>
    <row r="1818" spans="84:91" s="51" customFormat="1">
      <c r="CF1818" s="239"/>
      <c r="CM1818" s="336"/>
    </row>
    <row r="1819" spans="84:91" s="51" customFormat="1">
      <c r="CF1819" s="239"/>
      <c r="CM1819" s="336"/>
    </row>
    <row r="1820" spans="84:91" s="51" customFormat="1">
      <c r="CF1820" s="239"/>
      <c r="CM1820" s="336"/>
    </row>
    <row r="1821" spans="84:91" s="51" customFormat="1">
      <c r="CF1821" s="239"/>
      <c r="CM1821" s="336"/>
    </row>
    <row r="1822" spans="84:91" s="51" customFormat="1">
      <c r="CF1822" s="239"/>
      <c r="CM1822" s="336"/>
    </row>
    <row r="1823" spans="84:91" s="51" customFormat="1">
      <c r="CF1823" s="239"/>
      <c r="CM1823" s="336"/>
    </row>
    <row r="1824" spans="84:91" s="51" customFormat="1">
      <c r="CF1824" s="239"/>
      <c r="CM1824" s="336"/>
    </row>
    <row r="1825" spans="84:91" s="51" customFormat="1">
      <c r="CF1825" s="239"/>
      <c r="CM1825" s="336"/>
    </row>
    <row r="1826" spans="84:91" s="51" customFormat="1">
      <c r="CF1826" s="239"/>
      <c r="CM1826" s="336"/>
    </row>
    <row r="1827" spans="84:91" s="51" customFormat="1">
      <c r="CF1827" s="239"/>
      <c r="CM1827" s="336"/>
    </row>
    <row r="1828" spans="84:91" s="51" customFormat="1">
      <c r="CF1828" s="239"/>
      <c r="CM1828" s="336"/>
    </row>
    <row r="1829" spans="84:91" s="51" customFormat="1">
      <c r="CF1829" s="239"/>
      <c r="CM1829" s="336"/>
    </row>
    <row r="1830" spans="84:91" s="51" customFormat="1">
      <c r="CF1830" s="239"/>
      <c r="CM1830" s="336"/>
    </row>
    <row r="1831" spans="84:91" s="51" customFormat="1">
      <c r="CF1831" s="239"/>
      <c r="CM1831" s="336"/>
    </row>
    <row r="1832" spans="84:91" s="51" customFormat="1">
      <c r="CF1832" s="239"/>
      <c r="CM1832" s="336"/>
    </row>
    <row r="1833" spans="84:91" s="51" customFormat="1">
      <c r="CF1833" s="239"/>
      <c r="CM1833" s="336"/>
    </row>
    <row r="1834" spans="84:91" s="51" customFormat="1">
      <c r="CF1834" s="239"/>
      <c r="CM1834" s="336"/>
    </row>
    <row r="1835" spans="84:91" s="51" customFormat="1">
      <c r="CF1835" s="239"/>
      <c r="CM1835" s="336"/>
    </row>
    <row r="1836" spans="84:91" s="51" customFormat="1">
      <c r="CF1836" s="239"/>
      <c r="CM1836" s="336"/>
    </row>
    <row r="1837" spans="84:91" s="51" customFormat="1">
      <c r="CF1837" s="239"/>
      <c r="CM1837" s="336"/>
    </row>
    <row r="1838" spans="84:91" s="51" customFormat="1">
      <c r="CF1838" s="239"/>
      <c r="CM1838" s="336"/>
    </row>
    <row r="1839" spans="84:91" s="51" customFormat="1">
      <c r="CF1839" s="239"/>
      <c r="CM1839" s="336"/>
    </row>
    <row r="1840" spans="84:91" s="51" customFormat="1">
      <c r="CF1840" s="239"/>
      <c r="CM1840" s="336"/>
    </row>
    <row r="1841" spans="84:91" s="51" customFormat="1">
      <c r="CF1841" s="239"/>
      <c r="CM1841" s="336"/>
    </row>
    <row r="1842" spans="84:91" s="51" customFormat="1">
      <c r="CF1842" s="239"/>
      <c r="CM1842" s="336"/>
    </row>
    <row r="1843" spans="84:91" s="51" customFormat="1">
      <c r="CF1843" s="239"/>
      <c r="CM1843" s="336"/>
    </row>
    <row r="1844" spans="84:91" s="51" customFormat="1">
      <c r="CF1844" s="239"/>
      <c r="CM1844" s="336"/>
    </row>
    <row r="1845" spans="84:91" s="51" customFormat="1">
      <c r="CF1845" s="239"/>
      <c r="CM1845" s="336"/>
    </row>
    <row r="1846" spans="84:91" s="51" customFormat="1">
      <c r="CF1846" s="239"/>
      <c r="CM1846" s="336"/>
    </row>
    <row r="1847" spans="84:91" s="51" customFormat="1">
      <c r="CF1847" s="239"/>
      <c r="CM1847" s="336"/>
    </row>
    <row r="1848" spans="84:91" s="51" customFormat="1">
      <c r="CF1848" s="239"/>
      <c r="CM1848" s="336"/>
    </row>
    <row r="1849" spans="84:91" s="51" customFormat="1">
      <c r="CF1849" s="239"/>
      <c r="CM1849" s="336"/>
    </row>
    <row r="1850" spans="84:91" s="51" customFormat="1">
      <c r="CF1850" s="239"/>
      <c r="CM1850" s="336"/>
    </row>
    <row r="1851" spans="84:91" s="51" customFormat="1">
      <c r="CF1851" s="239"/>
      <c r="CM1851" s="336"/>
    </row>
    <row r="1852" spans="84:91" s="51" customFormat="1">
      <c r="CF1852" s="239"/>
      <c r="CM1852" s="336"/>
    </row>
    <row r="1853" spans="84:91" s="51" customFormat="1">
      <c r="CF1853" s="239"/>
      <c r="CM1853" s="336"/>
    </row>
    <row r="1854" spans="84:91" s="51" customFormat="1">
      <c r="CF1854" s="239"/>
      <c r="CM1854" s="336"/>
    </row>
    <row r="1855" spans="84:91" s="51" customFormat="1">
      <c r="CF1855" s="239"/>
      <c r="CM1855" s="336"/>
    </row>
    <row r="1856" spans="84:91" s="51" customFormat="1">
      <c r="CF1856" s="239"/>
      <c r="CM1856" s="336"/>
    </row>
    <row r="1857" spans="84:91" s="51" customFormat="1">
      <c r="CF1857" s="239"/>
      <c r="CM1857" s="336"/>
    </row>
    <row r="1858" spans="84:91" s="51" customFormat="1">
      <c r="CF1858" s="239"/>
      <c r="CM1858" s="336"/>
    </row>
    <row r="1859" spans="84:91" s="51" customFormat="1">
      <c r="CF1859" s="239"/>
      <c r="CM1859" s="336"/>
    </row>
    <row r="1860" spans="84:91" s="51" customFormat="1">
      <c r="CF1860" s="239"/>
      <c r="CM1860" s="336"/>
    </row>
    <row r="1861" spans="84:91" s="51" customFormat="1">
      <c r="CF1861" s="239"/>
      <c r="CM1861" s="336"/>
    </row>
    <row r="1862" spans="84:91" s="51" customFormat="1">
      <c r="CF1862" s="239"/>
      <c r="CM1862" s="336"/>
    </row>
    <row r="1863" spans="84:91" s="51" customFormat="1">
      <c r="CF1863" s="239"/>
      <c r="CM1863" s="336"/>
    </row>
    <row r="1864" spans="84:91" s="51" customFormat="1">
      <c r="CF1864" s="239"/>
      <c r="CM1864" s="336"/>
    </row>
    <row r="1865" spans="84:91" s="51" customFormat="1">
      <c r="CF1865" s="239"/>
      <c r="CM1865" s="336"/>
    </row>
    <row r="1866" spans="84:91" s="51" customFormat="1">
      <c r="CF1866" s="239"/>
      <c r="CM1866" s="336"/>
    </row>
    <row r="1867" spans="84:91" s="51" customFormat="1">
      <c r="CF1867" s="239"/>
      <c r="CM1867" s="336"/>
    </row>
    <row r="1868" spans="84:91" s="51" customFormat="1">
      <c r="CF1868" s="239"/>
      <c r="CM1868" s="336"/>
    </row>
    <row r="1869" spans="84:91" s="51" customFormat="1">
      <c r="CF1869" s="239"/>
      <c r="CM1869" s="336"/>
    </row>
    <row r="1870" spans="84:91" s="51" customFormat="1">
      <c r="CF1870" s="239"/>
      <c r="CM1870" s="336"/>
    </row>
    <row r="1871" spans="84:91" s="51" customFormat="1">
      <c r="CF1871" s="239"/>
      <c r="CM1871" s="336"/>
    </row>
    <row r="1872" spans="84:91" s="51" customFormat="1">
      <c r="CF1872" s="239"/>
      <c r="CM1872" s="336"/>
    </row>
    <row r="1873" spans="84:91" s="51" customFormat="1">
      <c r="CF1873" s="239"/>
      <c r="CM1873" s="336"/>
    </row>
    <row r="1874" spans="84:91" s="51" customFormat="1">
      <c r="CF1874" s="239"/>
      <c r="CM1874" s="336"/>
    </row>
    <row r="1875" spans="84:91" s="51" customFormat="1">
      <c r="CF1875" s="239"/>
      <c r="CM1875" s="336"/>
    </row>
    <row r="1876" spans="84:91" s="51" customFormat="1">
      <c r="CF1876" s="239"/>
      <c r="CM1876" s="336"/>
    </row>
    <row r="1877" spans="84:91" s="51" customFormat="1">
      <c r="CF1877" s="239"/>
      <c r="CM1877" s="336"/>
    </row>
    <row r="1878" spans="84:91" s="51" customFormat="1">
      <c r="CF1878" s="239"/>
      <c r="CM1878" s="336"/>
    </row>
    <row r="1879" spans="84:91" s="51" customFormat="1">
      <c r="CF1879" s="239"/>
      <c r="CM1879" s="336"/>
    </row>
    <row r="1880" spans="84:91" s="51" customFormat="1">
      <c r="CF1880" s="239"/>
      <c r="CM1880" s="336"/>
    </row>
    <row r="1881" spans="84:91" s="51" customFormat="1">
      <c r="CF1881" s="239"/>
      <c r="CM1881" s="336"/>
    </row>
    <row r="1882" spans="84:91" s="51" customFormat="1">
      <c r="CF1882" s="239"/>
      <c r="CM1882" s="336"/>
    </row>
    <row r="1883" spans="84:91" s="51" customFormat="1">
      <c r="CF1883" s="239"/>
      <c r="CM1883" s="336"/>
    </row>
    <row r="1884" spans="84:91" s="51" customFormat="1">
      <c r="CF1884" s="239"/>
      <c r="CM1884" s="336"/>
    </row>
    <row r="1885" spans="84:91" s="51" customFormat="1">
      <c r="CF1885" s="239"/>
      <c r="CM1885" s="336"/>
    </row>
    <row r="1886" spans="84:91" s="51" customFormat="1">
      <c r="CF1886" s="239"/>
      <c r="CM1886" s="336"/>
    </row>
    <row r="1887" spans="84:91" s="51" customFormat="1">
      <c r="CF1887" s="239"/>
      <c r="CM1887" s="336"/>
    </row>
    <row r="1888" spans="84:91" s="51" customFormat="1">
      <c r="CF1888" s="239"/>
      <c r="CM1888" s="336"/>
    </row>
    <row r="1889" spans="84:91" s="51" customFormat="1">
      <c r="CF1889" s="239"/>
      <c r="CM1889" s="336"/>
    </row>
    <row r="1890" spans="84:91" s="51" customFormat="1">
      <c r="CF1890" s="239"/>
      <c r="CM1890" s="336"/>
    </row>
    <row r="1891" spans="84:91" s="51" customFormat="1">
      <c r="CF1891" s="239"/>
      <c r="CM1891" s="336"/>
    </row>
    <row r="1892" spans="84:91" s="51" customFormat="1">
      <c r="CF1892" s="239"/>
      <c r="CM1892" s="336"/>
    </row>
    <row r="1893" spans="84:91" s="51" customFormat="1">
      <c r="CF1893" s="239"/>
      <c r="CM1893" s="336"/>
    </row>
    <row r="1894" spans="84:91" s="51" customFormat="1">
      <c r="CF1894" s="239"/>
      <c r="CM1894" s="336"/>
    </row>
    <row r="1895" spans="84:91" s="51" customFormat="1">
      <c r="CF1895" s="239"/>
      <c r="CM1895" s="336"/>
    </row>
    <row r="1896" spans="84:91" s="51" customFormat="1">
      <c r="CF1896" s="239"/>
      <c r="CM1896" s="336"/>
    </row>
    <row r="1897" spans="84:91" s="51" customFormat="1">
      <c r="CF1897" s="239"/>
      <c r="CM1897" s="336"/>
    </row>
    <row r="1898" spans="84:91" s="51" customFormat="1">
      <c r="CF1898" s="239"/>
      <c r="CM1898" s="336"/>
    </row>
    <row r="1899" spans="84:91" s="51" customFormat="1">
      <c r="CF1899" s="239"/>
      <c r="CM1899" s="336"/>
    </row>
    <row r="1900" spans="84:91" s="51" customFormat="1">
      <c r="CF1900" s="239"/>
      <c r="CM1900" s="336"/>
    </row>
    <row r="1901" spans="84:91" s="51" customFormat="1">
      <c r="CF1901" s="239"/>
      <c r="CM1901" s="336"/>
    </row>
    <row r="1902" spans="84:91" s="51" customFormat="1">
      <c r="CF1902" s="239"/>
      <c r="CM1902" s="336"/>
    </row>
    <row r="1903" spans="84:91" s="51" customFormat="1">
      <c r="CF1903" s="239"/>
      <c r="CM1903" s="336"/>
    </row>
    <row r="1904" spans="84:91" s="51" customFormat="1">
      <c r="CF1904" s="239"/>
      <c r="CM1904" s="336"/>
    </row>
    <row r="1905" spans="84:91" s="51" customFormat="1">
      <c r="CF1905" s="239"/>
      <c r="CM1905" s="336"/>
    </row>
    <row r="1906" spans="84:91" s="51" customFormat="1">
      <c r="CF1906" s="239"/>
      <c r="CM1906" s="336"/>
    </row>
    <row r="1907" spans="84:91" s="51" customFormat="1">
      <c r="CF1907" s="239"/>
      <c r="CM1907" s="336"/>
    </row>
    <row r="1908" spans="84:91" s="51" customFormat="1">
      <c r="CF1908" s="239"/>
      <c r="CM1908" s="336"/>
    </row>
    <row r="1909" spans="84:91" s="51" customFormat="1">
      <c r="CF1909" s="239"/>
      <c r="CM1909" s="336"/>
    </row>
    <row r="1910" spans="84:91" s="51" customFormat="1">
      <c r="CF1910" s="239"/>
      <c r="CM1910" s="336"/>
    </row>
    <row r="1911" spans="84:91" s="51" customFormat="1">
      <c r="CF1911" s="239"/>
      <c r="CM1911" s="336"/>
    </row>
    <row r="1912" spans="84:91" s="51" customFormat="1">
      <c r="CF1912" s="239"/>
      <c r="CM1912" s="336"/>
    </row>
    <row r="1913" spans="84:91" s="51" customFormat="1">
      <c r="CF1913" s="239"/>
      <c r="CM1913" s="336"/>
    </row>
    <row r="1914" spans="84:91" s="51" customFormat="1">
      <c r="CF1914" s="239"/>
      <c r="CM1914" s="336"/>
    </row>
    <row r="1915" spans="84:91" s="51" customFormat="1">
      <c r="CF1915" s="239"/>
      <c r="CM1915" s="336"/>
    </row>
    <row r="1916" spans="84:91" s="51" customFormat="1">
      <c r="CF1916" s="239"/>
      <c r="CM1916" s="336"/>
    </row>
    <row r="1917" spans="84:91" s="51" customFormat="1">
      <c r="CF1917" s="239"/>
      <c r="CM1917" s="336"/>
    </row>
    <row r="1918" spans="84:91" s="51" customFormat="1">
      <c r="CF1918" s="239"/>
      <c r="CM1918" s="336"/>
    </row>
    <row r="1919" spans="84:91" s="51" customFormat="1">
      <c r="CF1919" s="239"/>
      <c r="CM1919" s="336"/>
    </row>
    <row r="1920" spans="84:91" s="51" customFormat="1">
      <c r="CF1920" s="239"/>
      <c r="CM1920" s="336"/>
    </row>
    <row r="1921" spans="84:91" s="51" customFormat="1">
      <c r="CF1921" s="239"/>
      <c r="CM1921" s="336"/>
    </row>
    <row r="1922" spans="84:91" s="51" customFormat="1">
      <c r="CF1922" s="239"/>
      <c r="CM1922" s="336"/>
    </row>
    <row r="1923" spans="84:91" s="51" customFormat="1">
      <c r="CF1923" s="239"/>
      <c r="CM1923" s="336"/>
    </row>
    <row r="1924" spans="84:91" s="51" customFormat="1">
      <c r="CF1924" s="239"/>
      <c r="CM1924" s="336"/>
    </row>
    <row r="1925" spans="84:91" s="51" customFormat="1">
      <c r="CF1925" s="239"/>
      <c r="CM1925" s="336"/>
    </row>
    <row r="1926" spans="84:91" s="51" customFormat="1">
      <c r="CF1926" s="239"/>
      <c r="CM1926" s="336"/>
    </row>
    <row r="1927" spans="84:91" s="51" customFormat="1">
      <c r="CF1927" s="239"/>
      <c r="CM1927" s="336"/>
    </row>
    <row r="1928" spans="84:91" s="51" customFormat="1">
      <c r="CF1928" s="239"/>
      <c r="CM1928" s="336"/>
    </row>
    <row r="1929" spans="84:91" s="51" customFormat="1">
      <c r="CF1929" s="239"/>
      <c r="CM1929" s="336"/>
    </row>
    <row r="1930" spans="84:91" s="51" customFormat="1">
      <c r="CF1930" s="239"/>
      <c r="CM1930" s="336"/>
    </row>
    <row r="1931" spans="84:91" s="51" customFormat="1">
      <c r="CF1931" s="239"/>
      <c r="CM1931" s="336"/>
    </row>
    <row r="1932" spans="84:91" s="51" customFormat="1">
      <c r="CF1932" s="239"/>
      <c r="CM1932" s="336"/>
    </row>
    <row r="1933" spans="84:91" s="51" customFormat="1">
      <c r="CF1933" s="239"/>
      <c r="CM1933" s="336"/>
    </row>
    <row r="1934" spans="84:91" s="51" customFormat="1">
      <c r="CF1934" s="239"/>
      <c r="CM1934" s="336"/>
    </row>
    <row r="1935" spans="84:91" s="51" customFormat="1">
      <c r="CF1935" s="239"/>
      <c r="CM1935" s="336"/>
    </row>
    <row r="1936" spans="84:91" s="51" customFormat="1">
      <c r="CF1936" s="239"/>
      <c r="CM1936" s="336"/>
    </row>
    <row r="1937" spans="84:91" s="51" customFormat="1">
      <c r="CF1937" s="239"/>
      <c r="CM1937" s="336"/>
    </row>
    <row r="1938" spans="84:91" s="51" customFormat="1">
      <c r="CF1938" s="239"/>
      <c r="CM1938" s="336"/>
    </row>
    <row r="1939" spans="84:91" s="51" customFormat="1">
      <c r="CF1939" s="239"/>
      <c r="CM1939" s="336"/>
    </row>
    <row r="1940" spans="84:91" s="51" customFormat="1">
      <c r="CF1940" s="239"/>
      <c r="CM1940" s="336"/>
    </row>
    <row r="1941" spans="84:91" s="51" customFormat="1">
      <c r="CF1941" s="239"/>
      <c r="CM1941" s="336"/>
    </row>
    <row r="1942" spans="84:91" s="51" customFormat="1">
      <c r="CF1942" s="239"/>
      <c r="CM1942" s="336"/>
    </row>
    <row r="1943" spans="84:91" s="51" customFormat="1">
      <c r="CF1943" s="239"/>
      <c r="CM1943" s="336"/>
    </row>
    <row r="1944" spans="84:91" s="51" customFormat="1">
      <c r="CF1944" s="239"/>
      <c r="CM1944" s="336"/>
    </row>
    <row r="1945" spans="84:91" s="51" customFormat="1">
      <c r="CF1945" s="239"/>
      <c r="CM1945" s="336"/>
    </row>
    <row r="1946" spans="84:91" s="51" customFormat="1">
      <c r="CF1946" s="239"/>
      <c r="CM1946" s="336"/>
    </row>
    <row r="1947" spans="84:91" s="51" customFormat="1">
      <c r="CF1947" s="239"/>
      <c r="CM1947" s="336"/>
    </row>
    <row r="1948" spans="84:91" s="51" customFormat="1">
      <c r="CF1948" s="239"/>
      <c r="CM1948" s="336"/>
    </row>
    <row r="1949" spans="84:91" s="51" customFormat="1">
      <c r="CF1949" s="239"/>
      <c r="CM1949" s="336"/>
    </row>
    <row r="1950" spans="84:91" s="51" customFormat="1">
      <c r="CF1950" s="239"/>
      <c r="CM1950" s="336"/>
    </row>
    <row r="1951" spans="84:91" s="51" customFormat="1">
      <c r="CF1951" s="239"/>
      <c r="CM1951" s="336"/>
    </row>
    <row r="1952" spans="84:91" s="51" customFormat="1">
      <c r="CF1952" s="239"/>
      <c r="CM1952" s="336"/>
    </row>
    <row r="1953" spans="84:91" s="51" customFormat="1">
      <c r="CF1953" s="239"/>
      <c r="CM1953" s="336"/>
    </row>
    <row r="1954" spans="84:91" s="51" customFormat="1">
      <c r="CF1954" s="239"/>
      <c r="CM1954" s="336"/>
    </row>
    <row r="1955" spans="84:91" s="51" customFormat="1">
      <c r="CF1955" s="239"/>
      <c r="CM1955" s="336"/>
    </row>
    <row r="1956" spans="84:91" s="51" customFormat="1">
      <c r="CF1956" s="239"/>
      <c r="CM1956" s="336"/>
    </row>
    <row r="1957" spans="84:91" s="51" customFormat="1">
      <c r="CF1957" s="239"/>
      <c r="CM1957" s="336"/>
    </row>
    <row r="1958" spans="84:91" s="51" customFormat="1">
      <c r="CF1958" s="239"/>
      <c r="CM1958" s="336"/>
    </row>
    <row r="1959" spans="84:91" s="51" customFormat="1">
      <c r="CF1959" s="239"/>
      <c r="CM1959" s="336"/>
    </row>
    <row r="1960" spans="84:91" s="51" customFormat="1">
      <c r="CF1960" s="239"/>
      <c r="CM1960" s="336"/>
    </row>
    <row r="1961" spans="84:91" s="51" customFormat="1">
      <c r="CF1961" s="239"/>
      <c r="CM1961" s="336"/>
    </row>
    <row r="1962" spans="84:91" s="51" customFormat="1">
      <c r="CF1962" s="239"/>
      <c r="CM1962" s="336"/>
    </row>
    <row r="1963" spans="84:91" s="51" customFormat="1">
      <c r="CF1963" s="239"/>
      <c r="CM1963" s="336"/>
    </row>
    <row r="1964" spans="84:91" s="51" customFormat="1">
      <c r="CF1964" s="239"/>
      <c r="CM1964" s="336"/>
    </row>
    <row r="1965" spans="84:91" s="51" customFormat="1">
      <c r="CF1965" s="239"/>
      <c r="CM1965" s="336"/>
    </row>
    <row r="1966" spans="84:91" s="51" customFormat="1">
      <c r="CF1966" s="239"/>
      <c r="CM1966" s="336"/>
    </row>
    <row r="1967" spans="84:91" s="51" customFormat="1">
      <c r="CF1967" s="239"/>
      <c r="CM1967" s="336"/>
    </row>
    <row r="1968" spans="84:91" s="51" customFormat="1">
      <c r="CF1968" s="239"/>
      <c r="CM1968" s="336"/>
    </row>
    <row r="1969" spans="84:91" s="51" customFormat="1">
      <c r="CF1969" s="239"/>
      <c r="CM1969" s="336"/>
    </row>
    <row r="1970" spans="84:91" s="51" customFormat="1">
      <c r="CF1970" s="239"/>
      <c r="CM1970" s="336"/>
    </row>
    <row r="1971" spans="84:91" s="51" customFormat="1">
      <c r="CF1971" s="239"/>
      <c r="CM1971" s="336"/>
    </row>
    <row r="1972" spans="84:91" s="51" customFormat="1">
      <c r="CF1972" s="239"/>
      <c r="CM1972" s="336"/>
    </row>
    <row r="1973" spans="84:91" s="51" customFormat="1">
      <c r="CF1973" s="239"/>
      <c r="CM1973" s="336"/>
    </row>
    <row r="1974" spans="84:91" s="51" customFormat="1">
      <c r="CF1974" s="239"/>
      <c r="CM1974" s="336"/>
    </row>
    <row r="1975" spans="84:91" s="51" customFormat="1">
      <c r="CF1975" s="239"/>
      <c r="CM1975" s="336"/>
    </row>
    <row r="1976" spans="84:91" s="51" customFormat="1">
      <c r="CF1976" s="239"/>
      <c r="CM1976" s="336"/>
    </row>
    <row r="1977" spans="84:91" s="51" customFormat="1">
      <c r="CF1977" s="239"/>
      <c r="CM1977" s="336"/>
    </row>
    <row r="1978" spans="84:91" s="51" customFormat="1">
      <c r="CF1978" s="239"/>
      <c r="CM1978" s="336"/>
    </row>
    <row r="1979" spans="84:91" s="51" customFormat="1">
      <c r="CF1979" s="239"/>
      <c r="CM1979" s="336"/>
    </row>
    <row r="1980" spans="84:91" s="51" customFormat="1">
      <c r="CF1980" s="239"/>
      <c r="CM1980" s="336"/>
    </row>
    <row r="1981" spans="84:91" s="51" customFormat="1">
      <c r="CF1981" s="239"/>
      <c r="CM1981" s="336"/>
    </row>
    <row r="1982" spans="84:91" s="51" customFormat="1">
      <c r="CF1982" s="239"/>
      <c r="CM1982" s="336"/>
    </row>
    <row r="1983" spans="84:91" s="51" customFormat="1">
      <c r="CF1983" s="239"/>
      <c r="CM1983" s="336"/>
    </row>
    <row r="1984" spans="84:91" s="51" customFormat="1">
      <c r="CF1984" s="239"/>
      <c r="CM1984" s="336"/>
    </row>
    <row r="1985" spans="84:91" s="51" customFormat="1">
      <c r="CF1985" s="239"/>
      <c r="CM1985" s="336"/>
    </row>
    <row r="1986" spans="84:91" s="51" customFormat="1">
      <c r="CF1986" s="239"/>
      <c r="CM1986" s="336"/>
    </row>
    <row r="1987" spans="84:91" s="51" customFormat="1">
      <c r="CF1987" s="239"/>
      <c r="CM1987" s="336"/>
    </row>
    <row r="1988" spans="84:91" s="51" customFormat="1">
      <c r="CF1988" s="239"/>
      <c r="CM1988" s="336"/>
    </row>
    <row r="1989" spans="84:91" s="51" customFormat="1">
      <c r="CF1989" s="239"/>
      <c r="CM1989" s="336"/>
    </row>
    <row r="1990" spans="84:91" s="51" customFormat="1">
      <c r="CF1990" s="239"/>
      <c r="CM1990" s="336"/>
    </row>
    <row r="1991" spans="84:91" s="51" customFormat="1">
      <c r="CF1991" s="239"/>
      <c r="CM1991" s="336"/>
    </row>
    <row r="1992" spans="84:91" s="51" customFormat="1">
      <c r="CF1992" s="239"/>
      <c r="CM1992" s="336"/>
    </row>
    <row r="1993" spans="84:91" s="51" customFormat="1">
      <c r="CF1993" s="239"/>
      <c r="CM1993" s="336"/>
    </row>
    <row r="1994" spans="84:91" s="51" customFormat="1">
      <c r="CF1994" s="239"/>
      <c r="CM1994" s="336"/>
    </row>
    <row r="1995" spans="84:91" s="51" customFormat="1">
      <c r="CF1995" s="239"/>
      <c r="CM1995" s="336"/>
    </row>
    <row r="1996" spans="84:91" s="51" customFormat="1">
      <c r="CF1996" s="239"/>
      <c r="CM1996" s="336"/>
    </row>
    <row r="1997" spans="84:91" s="51" customFormat="1">
      <c r="CF1997" s="239"/>
      <c r="CM1997" s="336"/>
    </row>
    <row r="1998" spans="84:91" s="51" customFormat="1">
      <c r="CF1998" s="239"/>
      <c r="CM1998" s="336"/>
    </row>
    <row r="1999" spans="84:91" s="51" customFormat="1">
      <c r="CF1999" s="239"/>
      <c r="CM1999" s="336"/>
    </row>
    <row r="2000" spans="84:91" s="51" customFormat="1">
      <c r="CF2000" s="239"/>
      <c r="CM2000" s="336"/>
    </row>
    <row r="2001" spans="84:91" s="51" customFormat="1">
      <c r="CF2001" s="239"/>
      <c r="CM2001" s="336"/>
    </row>
    <row r="2002" spans="84:91" s="51" customFormat="1">
      <c r="CF2002" s="239"/>
      <c r="CM2002" s="336"/>
    </row>
    <row r="2003" spans="84:91" s="51" customFormat="1">
      <c r="CF2003" s="239"/>
      <c r="CM2003" s="336"/>
    </row>
    <row r="2004" spans="84:91" s="51" customFormat="1">
      <c r="CF2004" s="239"/>
      <c r="CM2004" s="336"/>
    </row>
    <row r="2005" spans="84:91" s="51" customFormat="1">
      <c r="CF2005" s="239"/>
      <c r="CM2005" s="336"/>
    </row>
    <row r="2006" spans="84:91" s="51" customFormat="1">
      <c r="CF2006" s="239"/>
      <c r="CM2006" s="336"/>
    </row>
    <row r="2007" spans="84:91" s="51" customFormat="1">
      <c r="CF2007" s="239"/>
      <c r="CM2007" s="336"/>
    </row>
    <row r="2008" spans="84:91" s="51" customFormat="1">
      <c r="CF2008" s="239"/>
      <c r="CM2008" s="336"/>
    </row>
    <row r="2009" spans="84:91" s="51" customFormat="1">
      <c r="CF2009" s="239"/>
      <c r="CM2009" s="336"/>
    </row>
    <row r="2010" spans="84:91" s="51" customFormat="1">
      <c r="CF2010" s="239"/>
      <c r="CM2010" s="336"/>
    </row>
    <row r="2011" spans="84:91" s="51" customFormat="1">
      <c r="CF2011" s="239"/>
      <c r="CM2011" s="336"/>
    </row>
    <row r="2012" spans="84:91" s="51" customFormat="1">
      <c r="CF2012" s="239"/>
      <c r="CM2012" s="336"/>
    </row>
    <row r="2013" spans="84:91" s="51" customFormat="1">
      <c r="CF2013" s="239"/>
      <c r="CM2013" s="336"/>
    </row>
    <row r="2014" spans="84:91" s="51" customFormat="1">
      <c r="CF2014" s="239"/>
      <c r="CM2014" s="336"/>
    </row>
    <row r="2015" spans="84:91" s="51" customFormat="1">
      <c r="CF2015" s="239"/>
      <c r="CM2015" s="336"/>
    </row>
    <row r="2016" spans="84:91" s="51" customFormat="1">
      <c r="CF2016" s="239"/>
      <c r="CM2016" s="336"/>
    </row>
    <row r="2017" spans="84:91" s="51" customFormat="1">
      <c r="CF2017" s="239"/>
      <c r="CM2017" s="336"/>
    </row>
    <row r="2018" spans="84:91" s="51" customFormat="1">
      <c r="CF2018" s="239"/>
      <c r="CM2018" s="336"/>
    </row>
    <row r="2019" spans="84:91" s="51" customFormat="1">
      <c r="CF2019" s="239"/>
      <c r="CM2019" s="336"/>
    </row>
    <row r="2020" spans="84:91" s="51" customFormat="1">
      <c r="CF2020" s="239"/>
      <c r="CM2020" s="336"/>
    </row>
    <row r="2021" spans="84:91" s="51" customFormat="1">
      <c r="CF2021" s="239"/>
      <c r="CM2021" s="336"/>
    </row>
    <row r="2022" spans="84:91" s="51" customFormat="1">
      <c r="CF2022" s="239"/>
      <c r="CM2022" s="336"/>
    </row>
    <row r="2023" spans="84:91" s="51" customFormat="1">
      <c r="CF2023" s="239"/>
      <c r="CM2023" s="336"/>
    </row>
    <row r="2024" spans="84:91" s="51" customFormat="1">
      <c r="CF2024" s="239"/>
      <c r="CM2024" s="336"/>
    </row>
    <row r="2025" spans="84:91" s="51" customFormat="1">
      <c r="CF2025" s="239"/>
      <c r="CM2025" s="336"/>
    </row>
    <row r="2026" spans="84:91" s="51" customFormat="1">
      <c r="CF2026" s="239"/>
      <c r="CM2026" s="336"/>
    </row>
    <row r="2027" spans="84:91" s="51" customFormat="1">
      <c r="CF2027" s="239"/>
      <c r="CM2027" s="336"/>
    </row>
    <row r="2028" spans="84:91" s="51" customFormat="1">
      <c r="CF2028" s="239"/>
      <c r="CM2028" s="336"/>
    </row>
    <row r="2029" spans="84:91" s="51" customFormat="1">
      <c r="CF2029" s="239"/>
      <c r="CM2029" s="336"/>
    </row>
    <row r="2030" spans="84:91" s="51" customFormat="1">
      <c r="CF2030" s="239"/>
      <c r="CM2030" s="336"/>
    </row>
    <row r="2031" spans="84:91" s="51" customFormat="1">
      <c r="CF2031" s="239"/>
      <c r="CM2031" s="336"/>
    </row>
    <row r="2032" spans="84:91" s="51" customFormat="1">
      <c r="CF2032" s="239"/>
      <c r="CM2032" s="336"/>
    </row>
    <row r="2033" spans="84:91" s="51" customFormat="1">
      <c r="CF2033" s="239"/>
      <c r="CM2033" s="336"/>
    </row>
    <row r="2034" spans="84:91" s="51" customFormat="1">
      <c r="CF2034" s="239"/>
      <c r="CM2034" s="336"/>
    </row>
    <row r="2035" spans="84:91" s="51" customFormat="1">
      <c r="CF2035" s="239"/>
      <c r="CM2035" s="336"/>
    </row>
    <row r="2036" spans="84:91" s="51" customFormat="1">
      <c r="CF2036" s="239"/>
      <c r="CM2036" s="336"/>
    </row>
    <row r="2037" spans="84:91" s="51" customFormat="1">
      <c r="CF2037" s="239"/>
      <c r="CM2037" s="336"/>
    </row>
    <row r="2038" spans="84:91" s="51" customFormat="1">
      <c r="CF2038" s="239"/>
      <c r="CM2038" s="336"/>
    </row>
    <row r="2039" spans="84:91" s="51" customFormat="1">
      <c r="CF2039" s="239"/>
      <c r="CM2039" s="336"/>
    </row>
    <row r="2040" spans="84:91" s="51" customFormat="1">
      <c r="CF2040" s="239"/>
      <c r="CM2040" s="336"/>
    </row>
    <row r="2041" spans="84:91" s="51" customFormat="1">
      <c r="CF2041" s="239"/>
      <c r="CM2041" s="336"/>
    </row>
    <row r="2042" spans="84:91" s="51" customFormat="1">
      <c r="CF2042" s="239"/>
      <c r="CM2042" s="336"/>
    </row>
    <row r="2043" spans="84:91" s="51" customFormat="1">
      <c r="CF2043" s="239"/>
      <c r="CM2043" s="336"/>
    </row>
    <row r="2044" spans="84:91" s="51" customFormat="1">
      <c r="CF2044" s="239"/>
      <c r="CM2044" s="336"/>
    </row>
    <row r="2045" spans="84:91" s="51" customFormat="1">
      <c r="CF2045" s="239"/>
      <c r="CM2045" s="336"/>
    </row>
    <row r="2046" spans="84:91" s="51" customFormat="1">
      <c r="CF2046" s="239"/>
      <c r="CM2046" s="336"/>
    </row>
    <row r="2047" spans="84:91" s="51" customFormat="1">
      <c r="CF2047" s="239"/>
      <c r="CM2047" s="336"/>
    </row>
    <row r="2048" spans="84:91" s="51" customFormat="1">
      <c r="CF2048" s="239"/>
      <c r="CM2048" s="336"/>
    </row>
    <row r="2049" spans="84:91" s="51" customFormat="1">
      <c r="CF2049" s="239"/>
      <c r="CM2049" s="336"/>
    </row>
    <row r="2050" spans="84:91" s="51" customFormat="1">
      <c r="CF2050" s="239"/>
      <c r="CM2050" s="336"/>
    </row>
    <row r="2051" spans="84:91" s="51" customFormat="1">
      <c r="CF2051" s="239"/>
      <c r="CM2051" s="336"/>
    </row>
    <row r="2052" spans="84:91" s="51" customFormat="1">
      <c r="CF2052" s="239"/>
      <c r="CM2052" s="336"/>
    </row>
    <row r="2053" spans="84:91" s="51" customFormat="1">
      <c r="CF2053" s="239"/>
      <c r="CM2053" s="336"/>
    </row>
    <row r="2054" spans="84:91" s="51" customFormat="1">
      <c r="CF2054" s="239"/>
      <c r="CM2054" s="336"/>
    </row>
    <row r="2055" spans="84:91" s="51" customFormat="1">
      <c r="CF2055" s="239"/>
      <c r="CM2055" s="336"/>
    </row>
    <row r="2056" spans="84:91" s="51" customFormat="1">
      <c r="CF2056" s="239"/>
      <c r="CM2056" s="336"/>
    </row>
    <row r="2057" spans="84:91" s="51" customFormat="1">
      <c r="CF2057" s="239"/>
      <c r="CM2057" s="336"/>
    </row>
    <row r="2058" spans="84:91" s="51" customFormat="1">
      <c r="CF2058" s="239"/>
      <c r="CM2058" s="336"/>
    </row>
    <row r="2059" spans="84:91" s="51" customFormat="1">
      <c r="CF2059" s="239"/>
      <c r="CM2059" s="336"/>
    </row>
    <row r="2060" spans="84:91" s="51" customFormat="1">
      <c r="CF2060" s="239"/>
      <c r="CM2060" s="336"/>
    </row>
    <row r="2061" spans="84:91" s="51" customFormat="1">
      <c r="CF2061" s="239"/>
      <c r="CM2061" s="336"/>
    </row>
    <row r="2062" spans="84:91" s="51" customFormat="1">
      <c r="CF2062" s="239"/>
      <c r="CM2062" s="336"/>
    </row>
    <row r="2063" spans="84:91" s="51" customFormat="1">
      <c r="CF2063" s="239"/>
      <c r="CM2063" s="336"/>
    </row>
    <row r="2064" spans="84:91" s="51" customFormat="1">
      <c r="CF2064" s="239"/>
      <c r="CM2064" s="336"/>
    </row>
    <row r="2065" spans="84:91" s="51" customFormat="1">
      <c r="CF2065" s="239"/>
      <c r="CM2065" s="336"/>
    </row>
    <row r="2066" spans="84:91" s="51" customFormat="1">
      <c r="CF2066" s="239"/>
      <c r="CM2066" s="336"/>
    </row>
    <row r="2067" spans="84:91" s="51" customFormat="1">
      <c r="CF2067" s="239"/>
      <c r="CM2067" s="336"/>
    </row>
    <row r="2068" spans="84:91" s="51" customFormat="1">
      <c r="CF2068" s="239"/>
      <c r="CM2068" s="336"/>
    </row>
    <row r="2069" spans="84:91" s="51" customFormat="1">
      <c r="CF2069" s="239"/>
      <c r="CM2069" s="336"/>
    </row>
    <row r="2070" spans="84:91" s="51" customFormat="1">
      <c r="CF2070" s="239"/>
      <c r="CM2070" s="336"/>
    </row>
    <row r="2071" spans="84:91" s="51" customFormat="1">
      <c r="CF2071" s="239"/>
      <c r="CM2071" s="336"/>
    </row>
    <row r="2072" spans="84:91" s="51" customFormat="1">
      <c r="CF2072" s="239"/>
      <c r="CM2072" s="336"/>
    </row>
    <row r="2073" spans="84:91" s="51" customFormat="1">
      <c r="CF2073" s="239"/>
      <c r="CM2073" s="336"/>
    </row>
    <row r="2074" spans="84:91" s="51" customFormat="1">
      <c r="CF2074" s="239"/>
      <c r="CM2074" s="336"/>
    </row>
    <row r="2075" spans="84:91" s="51" customFormat="1">
      <c r="CF2075" s="239"/>
      <c r="CM2075" s="336"/>
    </row>
    <row r="2076" spans="84:91" s="51" customFormat="1">
      <c r="CF2076" s="239"/>
      <c r="CM2076" s="336"/>
    </row>
    <row r="2077" spans="84:91" s="51" customFormat="1">
      <c r="CF2077" s="239"/>
      <c r="CM2077" s="336"/>
    </row>
    <row r="2078" spans="84:91" s="51" customFormat="1">
      <c r="CF2078" s="239"/>
      <c r="CM2078" s="336"/>
    </row>
    <row r="2079" spans="84:91" s="51" customFormat="1">
      <c r="CF2079" s="239"/>
      <c r="CM2079" s="336"/>
    </row>
    <row r="2080" spans="84:91" s="51" customFormat="1">
      <c r="CF2080" s="239"/>
      <c r="CM2080" s="336"/>
    </row>
    <row r="2081" spans="84:91" s="51" customFormat="1">
      <c r="CF2081" s="239"/>
      <c r="CM2081" s="336"/>
    </row>
    <row r="2082" spans="84:91" s="51" customFormat="1">
      <c r="CF2082" s="239"/>
      <c r="CM2082" s="336"/>
    </row>
    <row r="2083" spans="84:91" s="51" customFormat="1">
      <c r="CF2083" s="239"/>
      <c r="CM2083" s="336"/>
    </row>
    <row r="2084" spans="84:91" s="51" customFormat="1">
      <c r="CF2084" s="239"/>
      <c r="CM2084" s="336"/>
    </row>
    <row r="2085" spans="84:91" s="51" customFormat="1">
      <c r="CF2085" s="239"/>
      <c r="CM2085" s="336"/>
    </row>
    <row r="2086" spans="84:91" s="51" customFormat="1">
      <c r="CF2086" s="239"/>
      <c r="CM2086" s="336"/>
    </row>
    <row r="2087" spans="84:91" s="51" customFormat="1">
      <c r="CF2087" s="239"/>
      <c r="CM2087" s="336"/>
    </row>
    <row r="2088" spans="84:91" s="51" customFormat="1">
      <c r="CF2088" s="239"/>
      <c r="CM2088" s="336"/>
    </row>
    <row r="2089" spans="84:91" s="51" customFormat="1">
      <c r="CF2089" s="239"/>
      <c r="CM2089" s="336"/>
    </row>
    <row r="2090" spans="84:91" s="51" customFormat="1">
      <c r="CF2090" s="239"/>
      <c r="CM2090" s="336"/>
    </row>
    <row r="2091" spans="84:91" s="51" customFormat="1">
      <c r="CF2091" s="239"/>
      <c r="CM2091" s="336"/>
    </row>
    <row r="2092" spans="84:91" s="51" customFormat="1">
      <c r="CF2092" s="239"/>
      <c r="CM2092" s="336"/>
    </row>
    <row r="2093" spans="84:91" s="51" customFormat="1">
      <c r="CF2093" s="239"/>
      <c r="CM2093" s="336"/>
    </row>
    <row r="2094" spans="84:91" s="51" customFormat="1">
      <c r="CF2094" s="239"/>
      <c r="CM2094" s="336"/>
    </row>
    <row r="2095" spans="84:91" s="51" customFormat="1">
      <c r="CF2095" s="239"/>
      <c r="CM2095" s="336"/>
    </row>
    <row r="2096" spans="84:91" s="51" customFormat="1">
      <c r="CF2096" s="239"/>
      <c r="CM2096" s="336"/>
    </row>
    <row r="2097" spans="84:91" s="51" customFormat="1">
      <c r="CF2097" s="239"/>
      <c r="CM2097" s="336"/>
    </row>
    <row r="2098" spans="84:91" s="51" customFormat="1">
      <c r="CF2098" s="239"/>
      <c r="CM2098" s="336"/>
    </row>
    <row r="2099" spans="84:91" s="51" customFormat="1">
      <c r="CF2099" s="239"/>
      <c r="CM2099" s="336"/>
    </row>
    <row r="2100" spans="84:91" s="51" customFormat="1">
      <c r="CF2100" s="239"/>
      <c r="CM2100" s="336"/>
    </row>
    <row r="2101" spans="84:91" s="51" customFormat="1">
      <c r="CF2101" s="239"/>
      <c r="CM2101" s="336"/>
    </row>
    <row r="2102" spans="84:91" s="51" customFormat="1">
      <c r="CF2102" s="239"/>
      <c r="CM2102" s="336"/>
    </row>
    <row r="2103" spans="84:91" s="51" customFormat="1">
      <c r="CF2103" s="239"/>
      <c r="CM2103" s="336"/>
    </row>
    <row r="2104" spans="84:91" s="51" customFormat="1">
      <c r="CF2104" s="239"/>
      <c r="CM2104" s="336"/>
    </row>
    <row r="2105" spans="84:91" s="51" customFormat="1">
      <c r="CF2105" s="239"/>
      <c r="CM2105" s="336"/>
    </row>
    <row r="2106" spans="84:91" s="51" customFormat="1">
      <c r="CF2106" s="239"/>
      <c r="CM2106" s="336"/>
    </row>
    <row r="2107" spans="84:91" s="51" customFormat="1">
      <c r="CF2107" s="239"/>
      <c r="CM2107" s="336"/>
    </row>
    <row r="2108" spans="84:91" s="51" customFormat="1">
      <c r="CF2108" s="239"/>
      <c r="CM2108" s="336"/>
    </row>
    <row r="2109" spans="84:91" s="51" customFormat="1">
      <c r="CF2109" s="239"/>
      <c r="CM2109" s="336"/>
    </row>
    <row r="2110" spans="84:91" s="51" customFormat="1">
      <c r="CF2110" s="239"/>
      <c r="CM2110" s="336"/>
    </row>
    <row r="2111" spans="84:91" s="51" customFormat="1">
      <c r="CF2111" s="239"/>
      <c r="CM2111" s="336"/>
    </row>
    <row r="2112" spans="84:91" s="51" customFormat="1">
      <c r="CF2112" s="239"/>
      <c r="CM2112" s="336"/>
    </row>
    <row r="2113" spans="84:91" s="51" customFormat="1">
      <c r="CF2113" s="239"/>
      <c r="CM2113" s="336"/>
    </row>
    <row r="2114" spans="84:91" s="51" customFormat="1">
      <c r="CF2114" s="239"/>
      <c r="CM2114" s="336"/>
    </row>
    <row r="2115" spans="84:91" s="51" customFormat="1">
      <c r="CF2115" s="239"/>
      <c r="CM2115" s="336"/>
    </row>
    <row r="2116" spans="84:91" s="51" customFormat="1">
      <c r="CF2116" s="239"/>
      <c r="CM2116" s="336"/>
    </row>
    <row r="2117" spans="84:91" s="51" customFormat="1">
      <c r="CF2117" s="239"/>
      <c r="CM2117" s="336"/>
    </row>
    <row r="2118" spans="84:91" s="51" customFormat="1">
      <c r="CF2118" s="239"/>
      <c r="CM2118" s="336"/>
    </row>
    <row r="2119" spans="84:91" s="51" customFormat="1">
      <c r="CF2119" s="239"/>
      <c r="CM2119" s="336"/>
    </row>
    <row r="2120" spans="84:91" s="51" customFormat="1">
      <c r="CF2120" s="239"/>
      <c r="CM2120" s="336"/>
    </row>
    <row r="2121" spans="84:91" s="51" customFormat="1">
      <c r="CF2121" s="239"/>
      <c r="CM2121" s="336"/>
    </row>
    <row r="2122" spans="84:91" s="51" customFormat="1">
      <c r="CF2122" s="239"/>
      <c r="CM2122" s="336"/>
    </row>
    <row r="2123" spans="84:91" s="51" customFormat="1">
      <c r="CF2123" s="239"/>
      <c r="CM2123" s="336"/>
    </row>
    <row r="2124" spans="84:91" s="51" customFormat="1">
      <c r="CF2124" s="239"/>
      <c r="CM2124" s="336"/>
    </row>
    <row r="2125" spans="84:91" s="51" customFormat="1">
      <c r="CF2125" s="239"/>
      <c r="CM2125" s="336"/>
    </row>
    <row r="2126" spans="84:91" s="51" customFormat="1">
      <c r="CF2126" s="239"/>
      <c r="CM2126" s="336"/>
    </row>
    <row r="2127" spans="84:91" s="51" customFormat="1">
      <c r="CF2127" s="239"/>
      <c r="CM2127" s="336"/>
    </row>
    <row r="2128" spans="84:91" s="51" customFormat="1">
      <c r="CF2128" s="239"/>
      <c r="CM2128" s="336"/>
    </row>
    <row r="2129" spans="84:91" s="51" customFormat="1">
      <c r="CF2129" s="239"/>
      <c r="CM2129" s="336"/>
    </row>
    <row r="2130" spans="84:91" s="51" customFormat="1">
      <c r="CF2130" s="239"/>
      <c r="CM2130" s="336"/>
    </row>
    <row r="2131" spans="84:91" s="51" customFormat="1">
      <c r="CF2131" s="239"/>
      <c r="CM2131" s="336"/>
    </row>
    <row r="2132" spans="84:91" s="51" customFormat="1">
      <c r="CF2132" s="239"/>
      <c r="CM2132" s="336"/>
    </row>
    <row r="2133" spans="84:91" s="51" customFormat="1">
      <c r="CF2133" s="239"/>
      <c r="CM2133" s="336"/>
    </row>
    <row r="2134" spans="84:91" s="51" customFormat="1">
      <c r="CF2134" s="239"/>
      <c r="CM2134" s="336"/>
    </row>
    <row r="2135" spans="84:91" s="51" customFormat="1">
      <c r="CF2135" s="239"/>
      <c r="CM2135" s="336"/>
    </row>
    <row r="2136" spans="84:91" s="51" customFormat="1">
      <c r="CF2136" s="239"/>
      <c r="CM2136" s="336"/>
    </row>
    <row r="2137" spans="84:91" s="51" customFormat="1">
      <c r="CF2137" s="239"/>
      <c r="CM2137" s="336"/>
    </row>
    <row r="2138" spans="84:91" s="51" customFormat="1">
      <c r="CF2138" s="239"/>
      <c r="CM2138" s="336"/>
    </row>
    <row r="2139" spans="84:91" s="51" customFormat="1">
      <c r="CF2139" s="239"/>
      <c r="CM2139" s="336"/>
    </row>
    <row r="2140" spans="84:91" s="51" customFormat="1">
      <c r="CF2140" s="239"/>
      <c r="CM2140" s="336"/>
    </row>
    <row r="2141" spans="84:91" s="51" customFormat="1">
      <c r="CF2141" s="239"/>
      <c r="CM2141" s="336"/>
    </row>
    <row r="2142" spans="84:91" s="51" customFormat="1">
      <c r="CF2142" s="239"/>
      <c r="CM2142" s="336"/>
    </row>
    <row r="2143" spans="84:91" s="51" customFormat="1">
      <c r="CF2143" s="239"/>
      <c r="CM2143" s="336"/>
    </row>
    <row r="2144" spans="84:91" s="51" customFormat="1">
      <c r="CF2144" s="239"/>
      <c r="CM2144" s="336"/>
    </row>
    <row r="2145" spans="84:91" s="51" customFormat="1">
      <c r="CF2145" s="239"/>
      <c r="CM2145" s="336"/>
    </row>
    <row r="2146" spans="84:91" s="51" customFormat="1">
      <c r="CF2146" s="239"/>
      <c r="CM2146" s="336"/>
    </row>
    <row r="2147" spans="84:91" s="51" customFormat="1">
      <c r="CF2147" s="239"/>
      <c r="CM2147" s="336"/>
    </row>
    <row r="2148" spans="84:91" s="51" customFormat="1">
      <c r="CF2148" s="239"/>
      <c r="CM2148" s="336"/>
    </row>
    <row r="2149" spans="84:91" s="51" customFormat="1">
      <c r="CF2149" s="239"/>
      <c r="CM2149" s="336"/>
    </row>
    <row r="2150" spans="84:91" s="51" customFormat="1">
      <c r="CF2150" s="239"/>
      <c r="CM2150" s="336"/>
    </row>
    <row r="2151" spans="84:91" s="51" customFormat="1">
      <c r="CF2151" s="239"/>
      <c r="CM2151" s="336"/>
    </row>
    <row r="2152" spans="84:91" s="51" customFormat="1">
      <c r="CF2152" s="239"/>
      <c r="CM2152" s="336"/>
    </row>
    <row r="2153" spans="84:91" s="51" customFormat="1">
      <c r="CF2153" s="239"/>
      <c r="CM2153" s="336"/>
    </row>
    <row r="2154" spans="84:91" s="51" customFormat="1">
      <c r="CF2154" s="239"/>
      <c r="CM2154" s="336"/>
    </row>
    <row r="2155" spans="84:91" s="51" customFormat="1">
      <c r="CF2155" s="239"/>
      <c r="CM2155" s="336"/>
    </row>
    <row r="2156" spans="84:91" s="51" customFormat="1">
      <c r="CF2156" s="239"/>
      <c r="CM2156" s="336"/>
    </row>
    <row r="2157" spans="84:91" s="51" customFormat="1">
      <c r="CF2157" s="239"/>
      <c r="CM2157" s="336"/>
    </row>
    <row r="2158" spans="84:91" s="51" customFormat="1">
      <c r="CF2158" s="239"/>
      <c r="CM2158" s="336"/>
    </row>
    <row r="2159" spans="84:91" s="51" customFormat="1">
      <c r="CF2159" s="239"/>
      <c r="CM2159" s="336"/>
    </row>
    <row r="2160" spans="84:91" s="51" customFormat="1">
      <c r="CF2160" s="239"/>
      <c r="CM2160" s="336"/>
    </row>
    <row r="2161" spans="84:91" s="51" customFormat="1">
      <c r="CF2161" s="239"/>
      <c r="CM2161" s="336"/>
    </row>
    <row r="2162" spans="84:91" s="51" customFormat="1">
      <c r="CF2162" s="239"/>
      <c r="CM2162" s="336"/>
    </row>
    <row r="2163" spans="84:91" s="51" customFormat="1">
      <c r="CF2163" s="239"/>
      <c r="CM2163" s="336"/>
    </row>
    <row r="2164" spans="84:91" s="51" customFormat="1">
      <c r="CF2164" s="239"/>
      <c r="CM2164" s="336"/>
    </row>
    <row r="2165" spans="84:91" s="51" customFormat="1">
      <c r="CF2165" s="239"/>
      <c r="CM2165" s="336"/>
    </row>
    <row r="2166" spans="84:91" s="51" customFormat="1">
      <c r="CF2166" s="239"/>
      <c r="CM2166" s="336"/>
    </row>
    <row r="2167" spans="84:91" s="51" customFormat="1">
      <c r="CF2167" s="239"/>
      <c r="CM2167" s="336"/>
    </row>
    <row r="2168" spans="84:91" s="51" customFormat="1">
      <c r="CF2168" s="239"/>
      <c r="CM2168" s="336"/>
    </row>
    <row r="2169" spans="84:91" s="51" customFormat="1">
      <c r="CF2169" s="239"/>
      <c r="CM2169" s="336"/>
    </row>
    <row r="2170" spans="84:91" s="51" customFormat="1">
      <c r="CF2170" s="239"/>
      <c r="CM2170" s="336"/>
    </row>
    <row r="2171" spans="84:91" s="51" customFormat="1">
      <c r="CF2171" s="239"/>
      <c r="CM2171" s="336"/>
    </row>
    <row r="2172" spans="84:91" s="51" customFormat="1">
      <c r="CF2172" s="239"/>
      <c r="CM2172" s="336"/>
    </row>
    <row r="2173" spans="84:91" s="51" customFormat="1">
      <c r="CF2173" s="239"/>
      <c r="CM2173" s="336"/>
    </row>
    <row r="2174" spans="84:91" s="51" customFormat="1">
      <c r="CF2174" s="239"/>
      <c r="CM2174" s="336"/>
    </row>
    <row r="2175" spans="84:91" s="51" customFormat="1">
      <c r="CF2175" s="239"/>
      <c r="CM2175" s="336"/>
    </row>
    <row r="2176" spans="84:91" s="51" customFormat="1">
      <c r="CF2176" s="239"/>
      <c r="CM2176" s="336"/>
    </row>
    <row r="2177" spans="84:91" s="51" customFormat="1">
      <c r="CF2177" s="239"/>
      <c r="CM2177" s="336"/>
    </row>
    <row r="2178" spans="84:91" s="51" customFormat="1">
      <c r="CF2178" s="239"/>
      <c r="CM2178" s="336"/>
    </row>
    <row r="2179" spans="84:91" s="51" customFormat="1">
      <c r="CF2179" s="239"/>
      <c r="CM2179" s="336"/>
    </row>
    <row r="2180" spans="84:91" s="51" customFormat="1">
      <c r="CF2180" s="239"/>
      <c r="CM2180" s="336"/>
    </row>
    <row r="2181" spans="84:91" s="51" customFormat="1">
      <c r="CF2181" s="239"/>
      <c r="CM2181" s="336"/>
    </row>
    <row r="2182" spans="84:91" s="51" customFormat="1">
      <c r="CF2182" s="239"/>
      <c r="CM2182" s="336"/>
    </row>
    <row r="2183" spans="84:91" s="51" customFormat="1">
      <c r="CF2183" s="239"/>
      <c r="CM2183" s="336"/>
    </row>
    <row r="2184" spans="84:91" s="51" customFormat="1">
      <c r="CF2184" s="239"/>
      <c r="CM2184" s="336"/>
    </row>
    <row r="2185" spans="84:91" s="51" customFormat="1">
      <c r="CF2185" s="239"/>
      <c r="CM2185" s="336"/>
    </row>
    <row r="2186" spans="84:91" s="51" customFormat="1">
      <c r="CF2186" s="239"/>
      <c r="CM2186" s="336"/>
    </row>
    <row r="2187" spans="84:91" s="51" customFormat="1">
      <c r="CF2187" s="239"/>
      <c r="CM2187" s="336"/>
    </row>
    <row r="2188" spans="84:91" s="51" customFormat="1">
      <c r="CF2188" s="239"/>
      <c r="CM2188" s="336"/>
    </row>
    <row r="2189" spans="84:91" s="51" customFormat="1">
      <c r="CF2189" s="239"/>
      <c r="CM2189" s="336"/>
    </row>
    <row r="2190" spans="84:91" s="51" customFormat="1">
      <c r="CF2190" s="239"/>
      <c r="CM2190" s="336"/>
    </row>
    <row r="2191" spans="84:91" s="51" customFormat="1">
      <c r="CF2191" s="239"/>
      <c r="CM2191" s="336"/>
    </row>
    <row r="2192" spans="84:91" s="51" customFormat="1">
      <c r="CF2192" s="239"/>
      <c r="CM2192" s="336"/>
    </row>
    <row r="2193" spans="84:91" s="51" customFormat="1">
      <c r="CF2193" s="239"/>
      <c r="CM2193" s="336"/>
    </row>
    <row r="2194" spans="84:91" s="51" customFormat="1">
      <c r="CF2194" s="239"/>
      <c r="CM2194" s="336"/>
    </row>
    <row r="2195" spans="84:91" s="51" customFormat="1">
      <c r="CF2195" s="239"/>
      <c r="CM2195" s="336"/>
    </row>
    <row r="2196" spans="84:91" s="51" customFormat="1">
      <c r="CF2196" s="239"/>
      <c r="CM2196" s="336"/>
    </row>
    <row r="2197" spans="84:91" s="51" customFormat="1">
      <c r="CF2197" s="239"/>
      <c r="CM2197" s="336"/>
    </row>
    <row r="2198" spans="84:91" s="51" customFormat="1">
      <c r="CF2198" s="239"/>
      <c r="CM2198" s="336"/>
    </row>
    <row r="2199" spans="84:91" s="51" customFormat="1">
      <c r="CF2199" s="239"/>
      <c r="CM2199" s="336"/>
    </row>
    <row r="2200" spans="84:91" s="51" customFormat="1">
      <c r="CF2200" s="239"/>
      <c r="CM2200" s="336"/>
    </row>
    <row r="2201" spans="84:91" s="51" customFormat="1">
      <c r="CF2201" s="239"/>
      <c r="CM2201" s="336"/>
    </row>
    <row r="2202" spans="84:91" s="51" customFormat="1">
      <c r="CF2202" s="239"/>
      <c r="CM2202" s="336"/>
    </row>
    <row r="2203" spans="84:91" s="51" customFormat="1">
      <c r="CF2203" s="239"/>
      <c r="CM2203" s="336"/>
    </row>
    <row r="2204" spans="84:91" s="51" customFormat="1">
      <c r="CF2204" s="239"/>
      <c r="CM2204" s="336"/>
    </row>
    <row r="2205" spans="84:91" s="51" customFormat="1">
      <c r="CF2205" s="239"/>
      <c r="CM2205" s="336"/>
    </row>
    <row r="2206" spans="84:91" s="51" customFormat="1">
      <c r="CF2206" s="239"/>
      <c r="CM2206" s="336"/>
    </row>
    <row r="2207" spans="84:91" s="51" customFormat="1">
      <c r="CF2207" s="239"/>
      <c r="CM2207" s="336"/>
    </row>
    <row r="2208" spans="84:91" s="51" customFormat="1">
      <c r="CF2208" s="239"/>
      <c r="CM2208" s="336"/>
    </row>
    <row r="2209" spans="84:91" s="51" customFormat="1">
      <c r="CF2209" s="239"/>
      <c r="CM2209" s="336"/>
    </row>
    <row r="2210" spans="84:91" s="51" customFormat="1">
      <c r="CF2210" s="239"/>
      <c r="CM2210" s="336"/>
    </row>
    <row r="2211" spans="84:91" s="51" customFormat="1">
      <c r="CF2211" s="239"/>
      <c r="CM2211" s="336"/>
    </row>
    <row r="2212" spans="84:91" s="51" customFormat="1">
      <c r="CF2212" s="239"/>
      <c r="CM2212" s="336"/>
    </row>
    <row r="2213" spans="84:91" s="51" customFormat="1">
      <c r="CF2213" s="239"/>
      <c r="CM2213" s="336"/>
    </row>
    <row r="2214" spans="84:91" s="51" customFormat="1">
      <c r="CF2214" s="239"/>
      <c r="CM2214" s="336"/>
    </row>
    <row r="2215" spans="84:91" s="51" customFormat="1">
      <c r="CF2215" s="239"/>
      <c r="CM2215" s="336"/>
    </row>
    <row r="2216" spans="84:91" s="51" customFormat="1">
      <c r="CF2216" s="239"/>
      <c r="CM2216" s="336"/>
    </row>
    <row r="2217" spans="84:91" s="51" customFormat="1">
      <c r="CF2217" s="239"/>
      <c r="CM2217" s="336"/>
    </row>
    <row r="2218" spans="84:91" s="51" customFormat="1">
      <c r="CF2218" s="239"/>
      <c r="CM2218" s="336"/>
    </row>
    <row r="2219" spans="84:91" s="51" customFormat="1">
      <c r="CF2219" s="239"/>
      <c r="CM2219" s="336"/>
    </row>
    <row r="2220" spans="84:91" s="51" customFormat="1">
      <c r="CF2220" s="239"/>
      <c r="CM2220" s="336"/>
    </row>
    <row r="2221" spans="84:91" s="51" customFormat="1">
      <c r="CF2221" s="239"/>
      <c r="CM2221" s="336"/>
    </row>
    <row r="2222" spans="84:91" s="51" customFormat="1">
      <c r="CF2222" s="239"/>
      <c r="CM2222" s="336"/>
    </row>
    <row r="2223" spans="84:91" s="51" customFormat="1">
      <c r="CF2223" s="239"/>
      <c r="CM2223" s="336"/>
    </row>
    <row r="2224" spans="84:91" s="51" customFormat="1">
      <c r="CF2224" s="239"/>
      <c r="CM2224" s="336"/>
    </row>
    <row r="2225" spans="84:91" s="51" customFormat="1">
      <c r="CF2225" s="239"/>
      <c r="CM2225" s="336"/>
    </row>
    <row r="2226" spans="84:91" s="51" customFormat="1">
      <c r="CF2226" s="239"/>
      <c r="CM2226" s="336"/>
    </row>
    <row r="2227" spans="84:91" s="51" customFormat="1">
      <c r="CF2227" s="239"/>
      <c r="CM2227" s="336"/>
    </row>
    <row r="2228" spans="84:91" s="51" customFormat="1">
      <c r="CF2228" s="239"/>
      <c r="CM2228" s="336"/>
    </row>
    <row r="2229" spans="84:91" s="51" customFormat="1">
      <c r="CF2229" s="239"/>
      <c r="CM2229" s="336"/>
    </row>
    <row r="2230" spans="84:91" s="51" customFormat="1">
      <c r="CF2230" s="239"/>
      <c r="CM2230" s="336"/>
    </row>
    <row r="2231" spans="84:91" s="51" customFormat="1">
      <c r="CF2231" s="239"/>
      <c r="CM2231" s="336"/>
    </row>
    <row r="2232" spans="84:91" s="51" customFormat="1">
      <c r="CF2232" s="239"/>
      <c r="CM2232" s="336"/>
    </row>
    <row r="2233" spans="84:91" s="51" customFormat="1">
      <c r="CF2233" s="239"/>
      <c r="CM2233" s="336"/>
    </row>
    <row r="2234" spans="84:91" s="51" customFormat="1">
      <c r="CF2234" s="239"/>
      <c r="CM2234" s="336"/>
    </row>
    <row r="2235" spans="84:91" s="51" customFormat="1">
      <c r="CF2235" s="239"/>
      <c r="CM2235" s="336"/>
    </row>
    <row r="2236" spans="84:91" s="51" customFormat="1">
      <c r="CF2236" s="239"/>
      <c r="CM2236" s="336"/>
    </row>
    <row r="2237" spans="84:91" s="51" customFormat="1">
      <c r="CF2237" s="239"/>
      <c r="CM2237" s="336"/>
    </row>
    <row r="2238" spans="84:91" s="51" customFormat="1">
      <c r="CF2238" s="239"/>
      <c r="CM2238" s="336"/>
    </row>
    <row r="2239" spans="84:91" s="51" customFormat="1">
      <c r="CF2239" s="239"/>
      <c r="CM2239" s="336"/>
    </row>
    <row r="2240" spans="84:91" s="51" customFormat="1">
      <c r="CF2240" s="239"/>
      <c r="CM2240" s="336"/>
    </row>
    <row r="2241" spans="84:91" s="51" customFormat="1">
      <c r="CF2241" s="239"/>
      <c r="CM2241" s="336"/>
    </row>
    <row r="2242" spans="84:91" s="51" customFormat="1">
      <c r="CF2242" s="239"/>
      <c r="CM2242" s="336"/>
    </row>
    <row r="2243" spans="84:91" s="51" customFormat="1">
      <c r="CF2243" s="239"/>
      <c r="CM2243" s="336"/>
    </row>
    <row r="2244" spans="84:91" s="51" customFormat="1">
      <c r="CF2244" s="239"/>
      <c r="CM2244" s="336"/>
    </row>
    <row r="2245" spans="84:91" s="51" customFormat="1">
      <c r="CF2245" s="239"/>
      <c r="CM2245" s="336"/>
    </row>
    <row r="2246" spans="84:91" s="51" customFormat="1">
      <c r="CF2246" s="239"/>
      <c r="CM2246" s="336"/>
    </row>
    <row r="2247" spans="84:91" s="51" customFormat="1">
      <c r="CF2247" s="239"/>
      <c r="CM2247" s="336"/>
    </row>
    <row r="2248" spans="84:91" s="51" customFormat="1">
      <c r="CF2248" s="239"/>
      <c r="CM2248" s="336"/>
    </row>
    <row r="2249" spans="84:91" s="51" customFormat="1">
      <c r="CF2249" s="239"/>
      <c r="CM2249" s="336"/>
    </row>
    <row r="2250" spans="84:91" s="51" customFormat="1">
      <c r="CF2250" s="239"/>
      <c r="CM2250" s="336"/>
    </row>
    <row r="2251" spans="84:91" s="51" customFormat="1">
      <c r="CF2251" s="239"/>
      <c r="CM2251" s="336"/>
    </row>
    <row r="2252" spans="84:91" s="51" customFormat="1">
      <c r="CF2252" s="239"/>
      <c r="CM2252" s="336"/>
    </row>
    <row r="2253" spans="84:91" s="51" customFormat="1">
      <c r="CF2253" s="239"/>
      <c r="CM2253" s="336"/>
    </row>
    <row r="2254" spans="84:91" s="51" customFormat="1">
      <c r="CF2254" s="239"/>
      <c r="CM2254" s="336"/>
    </row>
    <row r="2255" spans="84:91" s="51" customFormat="1">
      <c r="CF2255" s="239"/>
      <c r="CM2255" s="336"/>
    </row>
    <row r="2256" spans="84:91" s="51" customFormat="1">
      <c r="CF2256" s="239"/>
      <c r="CM2256" s="336"/>
    </row>
    <row r="2257" spans="84:91" s="51" customFormat="1">
      <c r="CF2257" s="239"/>
      <c r="CM2257" s="336"/>
    </row>
    <row r="2258" spans="84:91" s="51" customFormat="1">
      <c r="CF2258" s="239"/>
      <c r="CM2258" s="336"/>
    </row>
    <row r="2259" spans="84:91" s="51" customFormat="1">
      <c r="CF2259" s="239"/>
      <c r="CM2259" s="336"/>
    </row>
    <row r="2260" spans="84:91" s="51" customFormat="1">
      <c r="CF2260" s="239"/>
      <c r="CM2260" s="336"/>
    </row>
    <row r="2261" spans="84:91" s="51" customFormat="1">
      <c r="CF2261" s="239"/>
      <c r="CM2261" s="336"/>
    </row>
    <row r="2262" spans="84:91" s="51" customFormat="1">
      <c r="CF2262" s="239"/>
      <c r="CM2262" s="336"/>
    </row>
    <row r="2263" spans="84:91" s="51" customFormat="1">
      <c r="CF2263" s="239"/>
      <c r="CM2263" s="336"/>
    </row>
    <row r="2264" spans="84:91" s="51" customFormat="1">
      <c r="CF2264" s="239"/>
      <c r="CM2264" s="336"/>
    </row>
    <row r="2265" spans="84:91" s="51" customFormat="1">
      <c r="CF2265" s="239"/>
      <c r="CM2265" s="336"/>
    </row>
    <row r="2266" spans="84:91" s="51" customFormat="1">
      <c r="CF2266" s="239"/>
      <c r="CM2266" s="336"/>
    </row>
    <row r="2267" spans="84:91" s="51" customFormat="1">
      <c r="CF2267" s="239"/>
      <c r="CM2267" s="336"/>
    </row>
    <row r="2268" spans="84:91" s="51" customFormat="1">
      <c r="CF2268" s="239"/>
      <c r="CM2268" s="336"/>
    </row>
    <row r="2269" spans="84:91" s="51" customFormat="1">
      <c r="CF2269" s="239"/>
      <c r="CM2269" s="336"/>
    </row>
    <row r="2270" spans="84:91" s="51" customFormat="1">
      <c r="CF2270" s="239"/>
      <c r="CM2270" s="336"/>
    </row>
    <row r="2271" spans="84:91" s="51" customFormat="1">
      <c r="CF2271" s="239"/>
      <c r="CM2271" s="336"/>
    </row>
    <row r="2272" spans="84:91" s="51" customFormat="1">
      <c r="CF2272" s="239"/>
      <c r="CM2272" s="336"/>
    </row>
    <row r="2273" spans="84:91" s="51" customFormat="1">
      <c r="CF2273" s="239"/>
      <c r="CM2273" s="336"/>
    </row>
    <row r="2274" spans="84:91" s="51" customFormat="1">
      <c r="CF2274" s="239"/>
      <c r="CM2274" s="336"/>
    </row>
    <row r="2275" spans="84:91" s="51" customFormat="1">
      <c r="CF2275" s="239"/>
      <c r="CM2275" s="336"/>
    </row>
    <row r="2276" spans="84:91" s="51" customFormat="1">
      <c r="CF2276" s="239"/>
      <c r="CM2276" s="336"/>
    </row>
    <row r="2277" spans="84:91" s="51" customFormat="1">
      <c r="CF2277" s="239"/>
      <c r="CM2277" s="336"/>
    </row>
    <row r="2278" spans="84:91" s="51" customFormat="1">
      <c r="CF2278" s="239"/>
      <c r="CM2278" s="336"/>
    </row>
    <row r="2279" spans="84:91" s="51" customFormat="1">
      <c r="CF2279" s="239"/>
      <c r="CM2279" s="336"/>
    </row>
    <row r="2280" spans="84:91" s="51" customFormat="1">
      <c r="CF2280" s="239"/>
      <c r="CM2280" s="336"/>
    </row>
    <row r="2281" spans="84:91" s="51" customFormat="1">
      <c r="CF2281" s="239"/>
      <c r="CM2281" s="336"/>
    </row>
    <row r="2282" spans="84:91" s="51" customFormat="1">
      <c r="CF2282" s="239"/>
      <c r="CM2282" s="336"/>
    </row>
    <row r="2283" spans="84:91" s="51" customFormat="1">
      <c r="CF2283" s="239"/>
      <c r="CM2283" s="336"/>
    </row>
    <row r="2284" spans="84:91" s="51" customFormat="1">
      <c r="CF2284" s="239"/>
      <c r="CM2284" s="336"/>
    </row>
    <row r="2285" spans="84:91" s="51" customFormat="1">
      <c r="CF2285" s="239"/>
      <c r="CM2285" s="336"/>
    </row>
    <row r="2286" spans="84:91" s="51" customFormat="1">
      <c r="CF2286" s="239"/>
      <c r="CM2286" s="336"/>
    </row>
    <row r="2287" spans="84:91" s="51" customFormat="1">
      <c r="CF2287" s="239"/>
      <c r="CM2287" s="336"/>
    </row>
    <row r="2288" spans="84:91" s="51" customFormat="1">
      <c r="CF2288" s="239"/>
      <c r="CM2288" s="336"/>
    </row>
    <row r="2289" spans="84:91" s="51" customFormat="1">
      <c r="CF2289" s="239"/>
      <c r="CM2289" s="336"/>
    </row>
    <row r="2290" spans="84:91" s="51" customFormat="1">
      <c r="CF2290" s="239"/>
      <c r="CM2290" s="336"/>
    </row>
    <row r="2291" spans="84:91" s="51" customFormat="1">
      <c r="CF2291" s="239"/>
      <c r="CM2291" s="336"/>
    </row>
    <row r="2292" spans="84:91" s="51" customFormat="1">
      <c r="CF2292" s="239"/>
      <c r="CM2292" s="336"/>
    </row>
    <row r="2293" spans="84:91" s="51" customFormat="1">
      <c r="CF2293" s="239"/>
      <c r="CM2293" s="336"/>
    </row>
    <row r="2294" spans="84:91" s="51" customFormat="1">
      <c r="CF2294" s="239"/>
      <c r="CM2294" s="336"/>
    </row>
    <row r="2295" spans="84:91" s="51" customFormat="1">
      <c r="CF2295" s="239"/>
      <c r="CM2295" s="336"/>
    </row>
    <row r="2296" spans="84:91" s="51" customFormat="1">
      <c r="CF2296" s="239"/>
      <c r="CM2296" s="336"/>
    </row>
    <row r="2297" spans="84:91" s="51" customFormat="1">
      <c r="CF2297" s="239"/>
      <c r="CM2297" s="336"/>
    </row>
    <row r="2298" spans="84:91" s="51" customFormat="1">
      <c r="CF2298" s="239"/>
      <c r="CM2298" s="336"/>
    </row>
    <row r="2299" spans="84:91" s="51" customFormat="1">
      <c r="CF2299" s="239"/>
      <c r="CM2299" s="336"/>
    </row>
    <row r="2300" spans="84:91" s="51" customFormat="1">
      <c r="CF2300" s="239"/>
      <c r="CM2300" s="336"/>
    </row>
    <row r="2301" spans="84:91" s="51" customFormat="1">
      <c r="CF2301" s="239"/>
      <c r="CM2301" s="336"/>
    </row>
    <row r="2302" spans="84:91" s="51" customFormat="1">
      <c r="CF2302" s="239"/>
      <c r="CM2302" s="336"/>
    </row>
    <row r="2303" spans="84:91" s="51" customFormat="1">
      <c r="CF2303" s="239"/>
      <c r="CM2303" s="336"/>
    </row>
    <row r="2304" spans="84:91" s="51" customFormat="1">
      <c r="CF2304" s="239"/>
      <c r="CM2304" s="336"/>
    </row>
    <row r="2305" spans="84:91" s="51" customFormat="1">
      <c r="CF2305" s="239"/>
      <c r="CM2305" s="336"/>
    </row>
    <row r="2306" spans="84:91" s="51" customFormat="1">
      <c r="CF2306" s="239"/>
      <c r="CM2306" s="336"/>
    </row>
    <row r="2307" spans="84:91" s="51" customFormat="1">
      <c r="CF2307" s="239"/>
      <c r="CM2307" s="336"/>
    </row>
    <row r="2308" spans="84:91" s="51" customFormat="1">
      <c r="CF2308" s="239"/>
      <c r="CM2308" s="336"/>
    </row>
    <row r="2309" spans="84:91" s="51" customFormat="1">
      <c r="CF2309" s="239"/>
      <c r="CM2309" s="336"/>
    </row>
    <row r="2310" spans="84:91" s="51" customFormat="1">
      <c r="CF2310" s="239"/>
      <c r="CM2310" s="336"/>
    </row>
    <row r="2311" spans="84:91" s="51" customFormat="1">
      <c r="CF2311" s="239"/>
      <c r="CM2311" s="336"/>
    </row>
    <row r="2312" spans="84:91" s="51" customFormat="1">
      <c r="CF2312" s="239"/>
      <c r="CM2312" s="336"/>
    </row>
    <row r="2313" spans="84:91" s="51" customFormat="1">
      <c r="CF2313" s="239"/>
      <c r="CM2313" s="336"/>
    </row>
    <row r="2314" spans="84:91" s="51" customFormat="1">
      <c r="CF2314" s="239"/>
      <c r="CM2314" s="336"/>
    </row>
    <row r="2315" spans="84:91" s="51" customFormat="1">
      <c r="CF2315" s="239"/>
      <c r="CM2315" s="336"/>
    </row>
    <row r="2316" spans="84:91" s="51" customFormat="1">
      <c r="CF2316" s="239"/>
      <c r="CM2316" s="336"/>
    </row>
    <row r="2317" spans="84:91" s="51" customFormat="1">
      <c r="CF2317" s="239"/>
      <c r="CM2317" s="336"/>
    </row>
    <row r="2318" spans="84:91" s="51" customFormat="1">
      <c r="CF2318" s="239"/>
      <c r="CM2318" s="336"/>
    </row>
    <row r="2319" spans="84:91" s="51" customFormat="1">
      <c r="CF2319" s="239"/>
      <c r="CM2319" s="336"/>
    </row>
    <row r="2320" spans="84:91" s="51" customFormat="1">
      <c r="CF2320" s="239"/>
      <c r="CM2320" s="336"/>
    </row>
    <row r="2321" spans="84:91" s="51" customFormat="1">
      <c r="CF2321" s="239"/>
      <c r="CM2321" s="336"/>
    </row>
    <row r="2322" spans="84:91" s="51" customFormat="1">
      <c r="CF2322" s="239"/>
      <c r="CM2322" s="336"/>
    </row>
    <row r="2323" spans="84:91" s="51" customFormat="1">
      <c r="CF2323" s="239"/>
      <c r="CM2323" s="336"/>
    </row>
    <row r="2324" spans="84:91" s="51" customFormat="1">
      <c r="CF2324" s="239"/>
      <c r="CM2324" s="336"/>
    </row>
    <row r="2325" spans="84:91" s="51" customFormat="1">
      <c r="CF2325" s="239"/>
      <c r="CM2325" s="336"/>
    </row>
    <row r="2326" spans="84:91" s="51" customFormat="1">
      <c r="CF2326" s="239"/>
      <c r="CM2326" s="336"/>
    </row>
    <row r="2327" spans="84:91" s="51" customFormat="1">
      <c r="CF2327" s="239"/>
      <c r="CM2327" s="336"/>
    </row>
    <row r="2328" spans="84:91" s="51" customFormat="1">
      <c r="CF2328" s="239"/>
      <c r="CM2328" s="336"/>
    </row>
    <row r="2329" spans="84:91" s="51" customFormat="1">
      <c r="CF2329" s="239"/>
      <c r="CM2329" s="336"/>
    </row>
    <row r="2330" spans="84:91" s="51" customFormat="1">
      <c r="CF2330" s="239"/>
      <c r="CM2330" s="336"/>
    </row>
    <row r="2331" spans="84:91" s="51" customFormat="1">
      <c r="CF2331" s="239"/>
      <c r="CM2331" s="336"/>
    </row>
    <row r="2332" spans="84:91" s="51" customFormat="1">
      <c r="CF2332" s="239"/>
      <c r="CM2332" s="336"/>
    </row>
    <row r="2333" spans="84:91" s="51" customFormat="1">
      <c r="CF2333" s="239"/>
      <c r="CM2333" s="336"/>
    </row>
    <row r="2334" spans="84:91" s="51" customFormat="1">
      <c r="CF2334" s="239"/>
      <c r="CM2334" s="336"/>
    </row>
    <row r="2335" spans="84:91" s="51" customFormat="1">
      <c r="CF2335" s="239"/>
      <c r="CM2335" s="336"/>
    </row>
    <row r="2336" spans="84:91" s="51" customFormat="1">
      <c r="CF2336" s="239"/>
      <c r="CM2336" s="336"/>
    </row>
    <row r="2337" spans="84:91" s="51" customFormat="1">
      <c r="CF2337" s="239"/>
      <c r="CM2337" s="336"/>
    </row>
    <row r="2338" spans="84:91" s="51" customFormat="1">
      <c r="CF2338" s="239"/>
      <c r="CM2338" s="336"/>
    </row>
    <row r="2339" spans="84:91" s="51" customFormat="1">
      <c r="CF2339" s="239"/>
      <c r="CM2339" s="336"/>
    </row>
    <row r="2340" spans="84:91" s="51" customFormat="1">
      <c r="CF2340" s="239"/>
      <c r="CM2340" s="336"/>
    </row>
    <row r="2341" spans="84:91" s="51" customFormat="1">
      <c r="CF2341" s="239"/>
      <c r="CM2341" s="336"/>
    </row>
    <row r="2342" spans="84:91" s="51" customFormat="1">
      <c r="CF2342" s="239"/>
      <c r="CM2342" s="336"/>
    </row>
    <row r="2343" spans="84:91" s="51" customFormat="1">
      <c r="CF2343" s="239"/>
      <c r="CM2343" s="336"/>
    </row>
    <row r="2344" spans="84:91" s="51" customFormat="1">
      <c r="CF2344" s="239"/>
      <c r="CM2344" s="336"/>
    </row>
    <row r="2345" spans="84:91" s="51" customFormat="1">
      <c r="CF2345" s="239"/>
      <c r="CM2345" s="336"/>
    </row>
    <row r="2346" spans="84:91" s="51" customFormat="1">
      <c r="CF2346" s="239"/>
      <c r="CM2346" s="336"/>
    </row>
    <row r="2347" spans="84:91" s="51" customFormat="1">
      <c r="CF2347" s="239"/>
      <c r="CM2347" s="336"/>
    </row>
    <row r="2348" spans="84:91" s="51" customFormat="1">
      <c r="CF2348" s="239"/>
      <c r="CM2348" s="336"/>
    </row>
    <row r="2349" spans="84:91" s="51" customFormat="1">
      <c r="CF2349" s="239"/>
      <c r="CM2349" s="336"/>
    </row>
    <row r="2350" spans="84:91" s="51" customFormat="1">
      <c r="CF2350" s="239"/>
      <c r="CM2350" s="336"/>
    </row>
    <row r="2351" spans="84:91" s="51" customFormat="1">
      <c r="CF2351" s="239"/>
      <c r="CM2351" s="336"/>
    </row>
    <row r="2352" spans="84:91" s="51" customFormat="1">
      <c r="CF2352" s="239"/>
      <c r="CM2352" s="336"/>
    </row>
    <row r="2353" spans="84:91" s="51" customFormat="1">
      <c r="CF2353" s="239"/>
      <c r="CM2353" s="336"/>
    </row>
    <row r="2354" spans="84:91" s="51" customFormat="1">
      <c r="CF2354" s="239"/>
      <c r="CM2354" s="336"/>
    </row>
    <row r="2355" spans="84:91" s="51" customFormat="1">
      <c r="CF2355" s="239"/>
      <c r="CM2355" s="336"/>
    </row>
    <row r="2356" spans="84:91" s="51" customFormat="1">
      <c r="CF2356" s="239"/>
      <c r="CM2356" s="336"/>
    </row>
    <row r="2357" spans="84:91" s="51" customFormat="1">
      <c r="CF2357" s="239"/>
      <c r="CM2357" s="336"/>
    </row>
    <row r="2358" spans="84:91" s="51" customFormat="1">
      <c r="CF2358" s="239"/>
      <c r="CM2358" s="336"/>
    </row>
    <row r="2359" spans="84:91" s="51" customFormat="1">
      <c r="CF2359" s="239"/>
      <c r="CM2359" s="336"/>
    </row>
    <row r="2360" spans="84:91" s="51" customFormat="1">
      <c r="CF2360" s="239"/>
      <c r="CM2360" s="336"/>
    </row>
    <row r="2361" spans="84:91" s="51" customFormat="1">
      <c r="CF2361" s="239"/>
      <c r="CM2361" s="336"/>
    </row>
    <row r="2362" spans="84:91" s="51" customFormat="1">
      <c r="CF2362" s="239"/>
      <c r="CM2362" s="336"/>
    </row>
    <row r="2363" spans="84:91" s="51" customFormat="1">
      <c r="CF2363" s="239"/>
      <c r="CM2363" s="336"/>
    </row>
    <row r="2364" spans="84:91" s="51" customFormat="1">
      <c r="CF2364" s="239"/>
      <c r="CM2364" s="336"/>
    </row>
    <row r="2365" spans="84:91" s="51" customFormat="1">
      <c r="CF2365" s="239"/>
      <c r="CM2365" s="336"/>
    </row>
    <row r="2366" spans="84:91" s="51" customFormat="1">
      <c r="CF2366" s="239"/>
      <c r="CM2366" s="336"/>
    </row>
    <row r="2367" spans="84:91" s="51" customFormat="1">
      <c r="CF2367" s="239"/>
      <c r="CM2367" s="336"/>
    </row>
    <row r="2368" spans="84:91" s="51" customFormat="1">
      <c r="CF2368" s="239"/>
      <c r="CM2368" s="336"/>
    </row>
    <row r="2369" spans="84:91" s="51" customFormat="1">
      <c r="CF2369" s="239"/>
      <c r="CM2369" s="336"/>
    </row>
    <row r="2370" spans="84:91" s="51" customFormat="1">
      <c r="CF2370" s="239"/>
      <c r="CM2370" s="336"/>
    </row>
    <row r="2371" spans="84:91" s="51" customFormat="1">
      <c r="CF2371" s="239"/>
      <c r="CM2371" s="336"/>
    </row>
    <row r="2372" spans="84:91" s="51" customFormat="1">
      <c r="CF2372" s="239"/>
      <c r="CM2372" s="336"/>
    </row>
    <row r="2373" spans="84:91" s="51" customFormat="1">
      <c r="CF2373" s="239"/>
      <c r="CM2373" s="336"/>
    </row>
    <row r="2374" spans="84:91" s="51" customFormat="1">
      <c r="CF2374" s="239"/>
      <c r="CM2374" s="336"/>
    </row>
    <row r="2375" spans="84:91" s="51" customFormat="1">
      <c r="CF2375" s="239"/>
      <c r="CM2375" s="336"/>
    </row>
    <row r="2376" spans="84:91" s="51" customFormat="1">
      <c r="CF2376" s="239"/>
      <c r="CM2376" s="336"/>
    </row>
    <row r="2377" spans="84:91" s="51" customFormat="1">
      <c r="CF2377" s="239"/>
      <c r="CM2377" s="336"/>
    </row>
    <row r="2378" spans="84:91" s="51" customFormat="1">
      <c r="CF2378" s="239"/>
      <c r="CM2378" s="336"/>
    </row>
    <row r="2379" spans="84:91" s="51" customFormat="1">
      <c r="CF2379" s="239"/>
      <c r="CM2379" s="336"/>
    </row>
    <row r="2380" spans="84:91" s="51" customFormat="1">
      <c r="CF2380" s="239"/>
      <c r="CM2380" s="336"/>
    </row>
    <row r="2381" spans="84:91" s="51" customFormat="1">
      <c r="CF2381" s="239"/>
      <c r="CM2381" s="336"/>
    </row>
    <row r="2382" spans="84:91" s="51" customFormat="1">
      <c r="CF2382" s="239"/>
      <c r="CM2382" s="336"/>
    </row>
    <row r="2383" spans="84:91" s="51" customFormat="1">
      <c r="CF2383" s="239"/>
      <c r="CM2383" s="336"/>
    </row>
    <row r="2384" spans="84:91" s="51" customFormat="1">
      <c r="CF2384" s="239"/>
      <c r="CM2384" s="336"/>
    </row>
    <row r="2385" spans="84:91" s="51" customFormat="1">
      <c r="CF2385" s="239"/>
      <c r="CM2385" s="336"/>
    </row>
    <row r="2386" spans="84:91" s="51" customFormat="1">
      <c r="CF2386" s="239"/>
      <c r="CM2386" s="336"/>
    </row>
    <row r="2387" spans="84:91" s="51" customFormat="1">
      <c r="CF2387" s="239"/>
      <c r="CM2387" s="336"/>
    </row>
    <row r="2388" spans="84:91" s="51" customFormat="1">
      <c r="CF2388" s="239"/>
      <c r="CM2388" s="336"/>
    </row>
    <row r="2389" spans="84:91" s="51" customFormat="1">
      <c r="CF2389" s="239"/>
      <c r="CM2389" s="336"/>
    </row>
    <row r="2390" spans="84:91" s="51" customFormat="1">
      <c r="CF2390" s="239"/>
      <c r="CM2390" s="336"/>
    </row>
    <row r="2391" spans="84:91" s="51" customFormat="1">
      <c r="CF2391" s="239"/>
      <c r="CM2391" s="336"/>
    </row>
    <row r="2392" spans="84:91" s="51" customFormat="1">
      <c r="CF2392" s="239"/>
      <c r="CM2392" s="336"/>
    </row>
    <row r="2393" spans="84:91" s="51" customFormat="1">
      <c r="CF2393" s="239"/>
      <c r="CM2393" s="336"/>
    </row>
    <row r="2394" spans="84:91" s="51" customFormat="1">
      <c r="CF2394" s="239"/>
      <c r="CM2394" s="336"/>
    </row>
    <row r="2395" spans="84:91" s="51" customFormat="1">
      <c r="CF2395" s="239"/>
      <c r="CM2395" s="336"/>
    </row>
    <row r="2396" spans="84:91" s="51" customFormat="1">
      <c r="CF2396" s="239"/>
      <c r="CM2396" s="336"/>
    </row>
    <row r="2397" spans="84:91" s="51" customFormat="1">
      <c r="CF2397" s="239"/>
      <c r="CM2397" s="336"/>
    </row>
    <row r="2398" spans="84:91" s="51" customFormat="1">
      <c r="CF2398" s="239"/>
      <c r="CM2398" s="336"/>
    </row>
    <row r="2399" spans="84:91" s="51" customFormat="1">
      <c r="CF2399" s="239"/>
      <c r="CM2399" s="336"/>
    </row>
    <row r="2400" spans="84:91" s="51" customFormat="1">
      <c r="CF2400" s="239"/>
      <c r="CM2400" s="336"/>
    </row>
    <row r="2401" spans="84:91" s="51" customFormat="1">
      <c r="CF2401" s="239"/>
      <c r="CM2401" s="336"/>
    </row>
    <row r="2402" spans="84:91" s="51" customFormat="1">
      <c r="CF2402" s="239"/>
      <c r="CM2402" s="336"/>
    </row>
    <row r="2403" spans="84:91" s="51" customFormat="1">
      <c r="CF2403" s="239"/>
      <c r="CM2403" s="336"/>
    </row>
    <row r="2404" spans="84:91" s="51" customFormat="1">
      <c r="CF2404" s="239"/>
      <c r="CM2404" s="336"/>
    </row>
    <row r="2405" spans="84:91" s="51" customFormat="1">
      <c r="CF2405" s="239"/>
      <c r="CM2405" s="336"/>
    </row>
    <row r="2406" spans="84:91" s="51" customFormat="1">
      <c r="CF2406" s="239"/>
      <c r="CM2406" s="336"/>
    </row>
    <row r="2407" spans="84:91" s="51" customFormat="1">
      <c r="CF2407" s="239"/>
      <c r="CM2407" s="336"/>
    </row>
    <row r="2408" spans="84:91" s="51" customFormat="1">
      <c r="CF2408" s="239"/>
      <c r="CM2408" s="336"/>
    </row>
    <row r="2409" spans="84:91" s="51" customFormat="1">
      <c r="CF2409" s="239"/>
      <c r="CM2409" s="336"/>
    </row>
    <row r="2410" spans="84:91" s="51" customFormat="1">
      <c r="CF2410" s="239"/>
      <c r="CM2410" s="336"/>
    </row>
    <row r="2411" spans="84:91" s="51" customFormat="1">
      <c r="CF2411" s="239"/>
      <c r="CM2411" s="336"/>
    </row>
    <row r="2412" spans="84:91" s="51" customFormat="1">
      <c r="CF2412" s="239"/>
      <c r="CM2412" s="336"/>
    </row>
    <row r="2413" spans="84:91" s="51" customFormat="1">
      <c r="CF2413" s="239"/>
      <c r="CM2413" s="336"/>
    </row>
    <row r="2414" spans="84:91" s="51" customFormat="1">
      <c r="CF2414" s="239"/>
      <c r="CM2414" s="336"/>
    </row>
    <row r="2415" spans="84:91" s="51" customFormat="1">
      <c r="CF2415" s="239"/>
      <c r="CM2415" s="336"/>
    </row>
    <row r="2416" spans="84:91" s="51" customFormat="1">
      <c r="CF2416" s="239"/>
      <c r="CM2416" s="336"/>
    </row>
    <row r="2417" spans="84:91" s="51" customFormat="1">
      <c r="CF2417" s="239"/>
      <c r="CM2417" s="336"/>
    </row>
    <row r="2418" spans="84:91" s="51" customFormat="1">
      <c r="CF2418" s="239"/>
      <c r="CM2418" s="336"/>
    </row>
    <row r="2419" spans="84:91" s="51" customFormat="1">
      <c r="CF2419" s="239"/>
      <c r="CM2419" s="336"/>
    </row>
    <row r="2420" spans="84:91" s="51" customFormat="1">
      <c r="CF2420" s="239"/>
      <c r="CM2420" s="336"/>
    </row>
    <row r="2421" spans="84:91" s="51" customFormat="1">
      <c r="CF2421" s="239"/>
      <c r="CM2421" s="336"/>
    </row>
    <row r="2422" spans="84:91" s="51" customFormat="1">
      <c r="CF2422" s="239"/>
      <c r="CM2422" s="336"/>
    </row>
    <row r="2423" spans="84:91" s="51" customFormat="1">
      <c r="CF2423" s="239"/>
      <c r="CM2423" s="336"/>
    </row>
    <row r="2424" spans="84:91" s="51" customFormat="1">
      <c r="CF2424" s="239"/>
      <c r="CM2424" s="336"/>
    </row>
    <row r="2425" spans="84:91" s="51" customFormat="1">
      <c r="CF2425" s="239"/>
      <c r="CM2425" s="336"/>
    </row>
    <row r="2426" spans="84:91" s="51" customFormat="1">
      <c r="CF2426" s="239"/>
      <c r="CM2426" s="336"/>
    </row>
    <row r="2427" spans="84:91" s="51" customFormat="1">
      <c r="CF2427" s="239"/>
      <c r="CM2427" s="336"/>
    </row>
    <row r="2428" spans="84:91" s="51" customFormat="1">
      <c r="CF2428" s="239"/>
      <c r="CM2428" s="336"/>
    </row>
    <row r="2429" spans="84:91" s="51" customFormat="1">
      <c r="CF2429" s="239"/>
      <c r="CM2429" s="336"/>
    </row>
    <row r="2430" spans="84:91" s="51" customFormat="1">
      <c r="CF2430" s="239"/>
      <c r="CM2430" s="336"/>
    </row>
    <row r="2431" spans="84:91" s="51" customFormat="1">
      <c r="CF2431" s="239"/>
      <c r="CM2431" s="336"/>
    </row>
    <row r="2432" spans="84:91" s="51" customFormat="1">
      <c r="CF2432" s="239"/>
      <c r="CM2432" s="336"/>
    </row>
    <row r="2433" spans="84:91" s="51" customFormat="1">
      <c r="CF2433" s="239"/>
      <c r="CM2433" s="336"/>
    </row>
    <row r="2434" spans="84:91" s="51" customFormat="1">
      <c r="CF2434" s="239"/>
      <c r="CM2434" s="336"/>
    </row>
    <row r="2435" spans="84:91" s="51" customFormat="1">
      <c r="CF2435" s="239"/>
      <c r="CM2435" s="336"/>
    </row>
    <row r="2436" spans="84:91" s="51" customFormat="1">
      <c r="CF2436" s="239"/>
      <c r="CM2436" s="336"/>
    </row>
    <row r="2437" spans="84:91" s="51" customFormat="1">
      <c r="CF2437" s="239"/>
      <c r="CM2437" s="336"/>
    </row>
    <row r="2438" spans="84:91" s="51" customFormat="1">
      <c r="CF2438" s="239"/>
      <c r="CM2438" s="336"/>
    </row>
    <row r="2439" spans="84:91" s="51" customFormat="1">
      <c r="CF2439" s="239"/>
      <c r="CM2439" s="336"/>
    </row>
    <row r="2440" spans="84:91" s="51" customFormat="1">
      <c r="CF2440" s="239"/>
      <c r="CM2440" s="336"/>
    </row>
    <row r="2441" spans="84:91" s="51" customFormat="1">
      <c r="CF2441" s="239"/>
      <c r="CM2441" s="336"/>
    </row>
    <row r="2442" spans="84:91" s="51" customFormat="1">
      <c r="CF2442" s="239"/>
      <c r="CM2442" s="336"/>
    </row>
    <row r="2443" spans="84:91" s="51" customFormat="1">
      <c r="CF2443" s="239"/>
      <c r="CM2443" s="336"/>
    </row>
    <row r="2444" spans="84:91" s="51" customFormat="1">
      <c r="CF2444" s="239"/>
      <c r="CM2444" s="336"/>
    </row>
    <row r="2445" spans="84:91" s="51" customFormat="1">
      <c r="CF2445" s="239"/>
      <c r="CM2445" s="336"/>
    </row>
    <row r="2446" spans="84:91" s="51" customFormat="1">
      <c r="CF2446" s="239"/>
      <c r="CM2446" s="336"/>
    </row>
    <row r="2447" spans="84:91" s="51" customFormat="1">
      <c r="CF2447" s="239"/>
      <c r="CM2447" s="336"/>
    </row>
    <row r="2448" spans="84:91" s="51" customFormat="1">
      <c r="CF2448" s="239"/>
      <c r="CM2448" s="336"/>
    </row>
    <row r="2449" spans="84:91" s="51" customFormat="1">
      <c r="CF2449" s="239"/>
      <c r="CM2449" s="336"/>
    </row>
    <row r="2450" spans="84:91" s="51" customFormat="1">
      <c r="CF2450" s="239"/>
      <c r="CM2450" s="336"/>
    </row>
    <row r="2451" spans="84:91" s="51" customFormat="1">
      <c r="CF2451" s="239"/>
      <c r="CM2451" s="336"/>
    </row>
    <row r="2452" spans="84:91" s="51" customFormat="1">
      <c r="CF2452" s="239"/>
      <c r="CM2452" s="336"/>
    </row>
    <row r="2453" spans="84:91" s="51" customFormat="1">
      <c r="CF2453" s="239"/>
      <c r="CM2453" s="336"/>
    </row>
    <row r="2454" spans="84:91" s="51" customFormat="1">
      <c r="CF2454" s="239"/>
      <c r="CM2454" s="336"/>
    </row>
    <row r="2455" spans="84:91" s="51" customFormat="1">
      <c r="CF2455" s="239"/>
      <c r="CM2455" s="336"/>
    </row>
    <row r="2456" spans="84:91" s="51" customFormat="1">
      <c r="CF2456" s="239"/>
      <c r="CM2456" s="336"/>
    </row>
    <row r="2457" spans="84:91" s="51" customFormat="1">
      <c r="CF2457" s="239"/>
      <c r="CM2457" s="336"/>
    </row>
    <row r="2458" spans="84:91" s="51" customFormat="1">
      <c r="CF2458" s="239"/>
      <c r="CM2458" s="336"/>
    </row>
    <row r="2459" spans="84:91" s="51" customFormat="1">
      <c r="CF2459" s="239"/>
      <c r="CM2459" s="336"/>
    </row>
    <row r="2460" spans="84:91" s="51" customFormat="1">
      <c r="CF2460" s="239"/>
      <c r="CM2460" s="336"/>
    </row>
    <row r="2461" spans="84:91" s="51" customFormat="1">
      <c r="CF2461" s="239"/>
      <c r="CM2461" s="336"/>
    </row>
    <row r="2462" spans="84:91" s="51" customFormat="1">
      <c r="CF2462" s="239"/>
      <c r="CM2462" s="336"/>
    </row>
    <row r="2463" spans="84:91" s="51" customFormat="1">
      <c r="CF2463" s="239"/>
      <c r="CM2463" s="336"/>
    </row>
    <row r="2464" spans="84:91" s="51" customFormat="1">
      <c r="CF2464" s="239"/>
      <c r="CM2464" s="336"/>
    </row>
    <row r="2465" spans="84:91" s="51" customFormat="1">
      <c r="CF2465" s="239"/>
      <c r="CM2465" s="336"/>
    </row>
    <row r="2466" spans="84:91" s="51" customFormat="1">
      <c r="CF2466" s="239"/>
      <c r="CM2466" s="336"/>
    </row>
    <row r="2467" spans="84:91" s="51" customFormat="1">
      <c r="CF2467" s="239"/>
      <c r="CM2467" s="336"/>
    </row>
    <row r="2468" spans="84:91" s="51" customFormat="1">
      <c r="CF2468" s="239"/>
      <c r="CM2468" s="336"/>
    </row>
    <row r="2469" spans="84:91" s="51" customFormat="1">
      <c r="CF2469" s="239"/>
      <c r="CM2469" s="336"/>
    </row>
    <row r="2470" spans="84:91" s="51" customFormat="1">
      <c r="CF2470" s="239"/>
      <c r="CM2470" s="336"/>
    </row>
    <row r="2471" spans="84:91" s="51" customFormat="1">
      <c r="CF2471" s="239"/>
      <c r="CM2471" s="336"/>
    </row>
    <row r="2472" spans="84:91" s="51" customFormat="1">
      <c r="CF2472" s="239"/>
      <c r="CM2472" s="336"/>
    </row>
    <row r="2473" spans="84:91" s="51" customFormat="1">
      <c r="CF2473" s="239"/>
      <c r="CM2473" s="336"/>
    </row>
    <row r="2474" spans="84:91" s="51" customFormat="1">
      <c r="CF2474" s="239"/>
      <c r="CM2474" s="336"/>
    </row>
    <row r="2475" spans="84:91" s="51" customFormat="1">
      <c r="CF2475" s="239"/>
      <c r="CM2475" s="336"/>
    </row>
    <row r="2476" spans="84:91" s="51" customFormat="1">
      <c r="CF2476" s="239"/>
      <c r="CM2476" s="336"/>
    </row>
    <row r="2477" spans="84:91" s="51" customFormat="1">
      <c r="CF2477" s="239"/>
      <c r="CM2477" s="336"/>
    </row>
    <row r="2478" spans="84:91" s="51" customFormat="1">
      <c r="CF2478" s="239"/>
      <c r="CM2478" s="336"/>
    </row>
    <row r="2479" spans="84:91" s="51" customFormat="1">
      <c r="CF2479" s="239"/>
      <c r="CM2479" s="336"/>
    </row>
    <row r="2480" spans="84:91" s="51" customFormat="1">
      <c r="CF2480" s="239"/>
      <c r="CM2480" s="336"/>
    </row>
    <row r="2481" spans="84:91" s="51" customFormat="1">
      <c r="CF2481" s="239"/>
      <c r="CM2481" s="336"/>
    </row>
    <row r="2482" spans="84:91" s="51" customFormat="1">
      <c r="CF2482" s="239"/>
      <c r="CM2482" s="336"/>
    </row>
    <row r="2483" spans="84:91" s="51" customFormat="1">
      <c r="CF2483" s="239"/>
      <c r="CM2483" s="336"/>
    </row>
    <row r="2484" spans="84:91" s="51" customFormat="1">
      <c r="CF2484" s="239"/>
      <c r="CM2484" s="336"/>
    </row>
    <row r="2485" spans="84:91" s="51" customFormat="1">
      <c r="CF2485" s="239"/>
      <c r="CM2485" s="336"/>
    </row>
    <row r="2486" spans="84:91" s="51" customFormat="1">
      <c r="CF2486" s="239"/>
      <c r="CM2486" s="336"/>
    </row>
    <row r="2487" spans="84:91" s="51" customFormat="1">
      <c r="CF2487" s="239"/>
      <c r="CM2487" s="336"/>
    </row>
    <row r="2488" spans="84:91" s="51" customFormat="1">
      <c r="CF2488" s="239"/>
      <c r="CM2488" s="336"/>
    </row>
    <row r="2489" spans="84:91" s="51" customFormat="1">
      <c r="CF2489" s="239"/>
      <c r="CM2489" s="336"/>
    </row>
    <row r="2490" spans="84:91" s="51" customFormat="1">
      <c r="CF2490" s="239"/>
      <c r="CM2490" s="336"/>
    </row>
    <row r="2491" spans="84:91" s="51" customFormat="1">
      <c r="CF2491" s="239"/>
      <c r="CM2491" s="336"/>
    </row>
    <row r="2492" spans="84:91" s="51" customFormat="1">
      <c r="CF2492" s="239"/>
      <c r="CM2492" s="336"/>
    </row>
    <row r="2493" spans="84:91" s="51" customFormat="1">
      <c r="CF2493" s="239"/>
      <c r="CM2493" s="336"/>
    </row>
    <row r="2494" spans="84:91" s="51" customFormat="1">
      <c r="CF2494" s="239"/>
      <c r="CM2494" s="336"/>
    </row>
    <row r="2495" spans="84:91" s="51" customFormat="1">
      <c r="CF2495" s="239"/>
      <c r="CM2495" s="336"/>
    </row>
    <row r="2496" spans="84:91" s="51" customFormat="1">
      <c r="CF2496" s="239"/>
      <c r="CM2496" s="336"/>
    </row>
    <row r="2497" spans="84:91" s="51" customFormat="1">
      <c r="CF2497" s="239"/>
      <c r="CM2497" s="336"/>
    </row>
    <row r="2498" spans="84:91" s="51" customFormat="1">
      <c r="CF2498" s="239"/>
      <c r="CM2498" s="336"/>
    </row>
    <row r="2499" spans="84:91" s="51" customFormat="1">
      <c r="CF2499" s="239"/>
      <c r="CM2499" s="336"/>
    </row>
    <row r="2500" spans="84:91" s="51" customFormat="1">
      <c r="CF2500" s="239"/>
      <c r="CM2500" s="336"/>
    </row>
    <row r="2501" spans="84:91" s="51" customFormat="1">
      <c r="CF2501" s="239"/>
      <c r="CM2501" s="336"/>
    </row>
    <row r="2502" spans="84:91" s="51" customFormat="1">
      <c r="CF2502" s="239"/>
      <c r="CM2502" s="336"/>
    </row>
    <row r="2503" spans="84:91" s="51" customFormat="1">
      <c r="CF2503" s="239"/>
      <c r="CM2503" s="336"/>
    </row>
    <row r="2504" spans="84:91" s="51" customFormat="1">
      <c r="CF2504" s="239"/>
      <c r="CM2504" s="336"/>
    </row>
    <row r="2505" spans="84:91" s="51" customFormat="1">
      <c r="CF2505" s="239"/>
      <c r="CM2505" s="336"/>
    </row>
    <row r="2506" spans="84:91" s="51" customFormat="1">
      <c r="CF2506" s="239"/>
      <c r="CM2506" s="336"/>
    </row>
    <row r="2507" spans="84:91" s="51" customFormat="1">
      <c r="CF2507" s="239"/>
      <c r="CM2507" s="336"/>
    </row>
    <row r="2508" spans="84:91" s="51" customFormat="1">
      <c r="CF2508" s="239"/>
      <c r="CM2508" s="336"/>
    </row>
    <row r="2509" spans="84:91" s="51" customFormat="1">
      <c r="CF2509" s="239"/>
      <c r="CM2509" s="336"/>
    </row>
    <row r="2510" spans="84:91" s="51" customFormat="1">
      <c r="CF2510" s="239"/>
      <c r="CM2510" s="336"/>
    </row>
    <row r="2511" spans="84:91" s="51" customFormat="1">
      <c r="CF2511" s="239"/>
      <c r="CM2511" s="336"/>
    </row>
    <row r="2512" spans="84:91" s="51" customFormat="1">
      <c r="CF2512" s="239"/>
      <c r="CM2512" s="336"/>
    </row>
    <row r="2513" spans="84:91" s="51" customFormat="1">
      <c r="CF2513" s="239"/>
      <c r="CM2513" s="336"/>
    </row>
    <row r="2514" spans="84:91" s="51" customFormat="1">
      <c r="CF2514" s="239"/>
      <c r="CM2514" s="336"/>
    </row>
    <row r="2515" spans="84:91" s="51" customFormat="1">
      <c r="CF2515" s="239"/>
      <c r="CM2515" s="336"/>
    </row>
    <row r="2516" spans="84:91" s="51" customFormat="1">
      <c r="CF2516" s="239"/>
      <c r="CM2516" s="336"/>
    </row>
    <row r="2517" spans="84:91" s="51" customFormat="1">
      <c r="CF2517" s="239"/>
      <c r="CM2517" s="336"/>
    </row>
    <row r="2518" spans="84:91" s="51" customFormat="1">
      <c r="CF2518" s="239"/>
      <c r="CM2518" s="336"/>
    </row>
    <row r="2519" spans="84:91" s="51" customFormat="1">
      <c r="CF2519" s="239"/>
      <c r="CM2519" s="336"/>
    </row>
    <row r="2520" spans="84:91" s="51" customFormat="1">
      <c r="CF2520" s="239"/>
      <c r="CM2520" s="336"/>
    </row>
    <row r="2521" spans="84:91" s="51" customFormat="1">
      <c r="CF2521" s="239"/>
      <c r="CM2521" s="336"/>
    </row>
    <row r="2522" spans="84:91" s="51" customFormat="1">
      <c r="CF2522" s="239"/>
      <c r="CM2522" s="336"/>
    </row>
    <row r="2523" spans="84:91" s="51" customFormat="1">
      <c r="CF2523" s="239"/>
      <c r="CM2523" s="336"/>
    </row>
    <row r="2524" spans="84:91" s="51" customFormat="1">
      <c r="CF2524" s="239"/>
      <c r="CM2524" s="336"/>
    </row>
    <row r="2525" spans="84:91" s="51" customFormat="1">
      <c r="CF2525" s="239"/>
      <c r="CM2525" s="336"/>
    </row>
    <row r="2526" spans="84:91" s="51" customFormat="1">
      <c r="CF2526" s="239"/>
      <c r="CM2526" s="336"/>
    </row>
    <row r="2527" spans="84:91" s="51" customFormat="1">
      <c r="CF2527" s="239"/>
      <c r="CM2527" s="336"/>
    </row>
    <row r="2528" spans="84:91" s="51" customFormat="1">
      <c r="CF2528" s="239"/>
      <c r="CM2528" s="336"/>
    </row>
    <row r="2529" spans="84:91" s="51" customFormat="1">
      <c r="CF2529" s="239"/>
      <c r="CM2529" s="336"/>
    </row>
    <row r="2530" spans="84:91" s="51" customFormat="1">
      <c r="CF2530" s="239"/>
      <c r="CM2530" s="336"/>
    </row>
    <row r="2531" spans="84:91" s="51" customFormat="1">
      <c r="CF2531" s="239"/>
      <c r="CM2531" s="336"/>
    </row>
    <row r="2532" spans="84:91" s="51" customFormat="1">
      <c r="CF2532" s="239"/>
      <c r="CM2532" s="336"/>
    </row>
    <row r="2533" spans="84:91" s="51" customFormat="1">
      <c r="CF2533" s="239"/>
      <c r="CM2533" s="336"/>
    </row>
    <row r="2534" spans="84:91" s="51" customFormat="1">
      <c r="CF2534" s="239"/>
      <c r="CM2534" s="336"/>
    </row>
    <row r="2535" spans="84:91" s="51" customFormat="1">
      <c r="CF2535" s="239"/>
      <c r="CM2535" s="336"/>
    </row>
    <row r="2536" spans="84:91" s="51" customFormat="1">
      <c r="CF2536" s="239"/>
      <c r="CM2536" s="336"/>
    </row>
    <row r="2537" spans="84:91" s="51" customFormat="1">
      <c r="CF2537" s="239"/>
      <c r="CM2537" s="336"/>
    </row>
    <row r="2538" spans="84:91" s="51" customFormat="1">
      <c r="CF2538" s="239"/>
      <c r="CM2538" s="336"/>
    </row>
    <row r="2539" spans="84:91" s="51" customFormat="1">
      <c r="CF2539" s="239"/>
      <c r="CM2539" s="336"/>
    </row>
    <row r="2540" spans="84:91" s="51" customFormat="1">
      <c r="CF2540" s="239"/>
      <c r="CM2540" s="336"/>
    </row>
    <row r="2541" spans="84:91" s="51" customFormat="1">
      <c r="CF2541" s="239"/>
      <c r="CM2541" s="336"/>
    </row>
    <row r="2542" spans="84:91" s="51" customFormat="1">
      <c r="CF2542" s="239"/>
      <c r="CM2542" s="336"/>
    </row>
    <row r="2543" spans="84:91" s="51" customFormat="1">
      <c r="CF2543" s="239"/>
      <c r="CM2543" s="336"/>
    </row>
    <row r="2544" spans="84:91" s="51" customFormat="1">
      <c r="CF2544" s="239"/>
      <c r="CM2544" s="336"/>
    </row>
    <row r="2545" spans="84:91" s="51" customFormat="1">
      <c r="CF2545" s="239"/>
      <c r="CM2545" s="336"/>
    </row>
    <row r="2546" spans="84:91" s="51" customFormat="1">
      <c r="CF2546" s="239"/>
      <c r="CM2546" s="336"/>
    </row>
    <row r="2547" spans="84:91" s="51" customFormat="1">
      <c r="CF2547" s="239"/>
      <c r="CM2547" s="336"/>
    </row>
    <row r="2548" spans="84:91" s="51" customFormat="1">
      <c r="CF2548" s="239"/>
      <c r="CM2548" s="336"/>
    </row>
    <row r="2549" spans="84:91" s="51" customFormat="1">
      <c r="CF2549" s="239"/>
      <c r="CM2549" s="336"/>
    </row>
    <row r="2550" spans="84:91" s="51" customFormat="1">
      <c r="CF2550" s="239"/>
      <c r="CM2550" s="336"/>
    </row>
    <row r="2551" spans="84:91" s="51" customFormat="1">
      <c r="CF2551" s="239"/>
      <c r="CM2551" s="336"/>
    </row>
    <row r="2552" spans="84:91" s="51" customFormat="1">
      <c r="CF2552" s="239"/>
      <c r="CM2552" s="336"/>
    </row>
    <row r="2553" spans="84:91" s="51" customFormat="1">
      <c r="CF2553" s="239"/>
      <c r="CM2553" s="336"/>
    </row>
    <row r="2554" spans="84:91" s="51" customFormat="1">
      <c r="CF2554" s="239"/>
      <c r="CM2554" s="336"/>
    </row>
    <row r="2555" spans="84:91" s="51" customFormat="1">
      <c r="CF2555" s="239"/>
      <c r="CM2555" s="336"/>
    </row>
    <row r="2556" spans="84:91" s="51" customFormat="1">
      <c r="CF2556" s="239"/>
      <c r="CM2556" s="336"/>
    </row>
    <row r="2557" spans="84:91" s="51" customFormat="1">
      <c r="CF2557" s="239"/>
      <c r="CM2557" s="336"/>
    </row>
    <row r="2558" spans="84:91" s="51" customFormat="1">
      <c r="CF2558" s="239"/>
      <c r="CM2558" s="336"/>
    </row>
    <row r="2559" spans="84:91" s="51" customFormat="1">
      <c r="CF2559" s="239"/>
      <c r="CM2559" s="336"/>
    </row>
    <row r="2560" spans="84:91" s="51" customFormat="1">
      <c r="CF2560" s="239"/>
      <c r="CM2560" s="336"/>
    </row>
    <row r="2561" spans="84:91" s="51" customFormat="1">
      <c r="CF2561" s="239"/>
      <c r="CM2561" s="336"/>
    </row>
    <row r="2562" spans="84:91" s="51" customFormat="1">
      <c r="CF2562" s="239"/>
      <c r="CM2562" s="336"/>
    </row>
    <row r="2563" spans="84:91" s="51" customFormat="1">
      <c r="CF2563" s="239"/>
      <c r="CM2563" s="336"/>
    </row>
    <row r="2564" spans="84:91" s="51" customFormat="1">
      <c r="CF2564" s="239"/>
      <c r="CM2564" s="336"/>
    </row>
    <row r="2565" spans="84:91" s="51" customFormat="1">
      <c r="CF2565" s="239"/>
      <c r="CM2565" s="336"/>
    </row>
    <row r="2566" spans="84:91" s="51" customFormat="1">
      <c r="CF2566" s="239"/>
      <c r="CM2566" s="336"/>
    </row>
    <row r="2567" spans="84:91" s="51" customFormat="1">
      <c r="CF2567" s="239"/>
      <c r="CM2567" s="336"/>
    </row>
    <row r="2568" spans="84:91" s="51" customFormat="1">
      <c r="CF2568" s="239"/>
      <c r="CM2568" s="336"/>
    </row>
    <row r="2569" spans="84:91" s="51" customFormat="1">
      <c r="CF2569" s="239"/>
      <c r="CM2569" s="336"/>
    </row>
    <row r="2570" spans="84:91" s="51" customFormat="1">
      <c r="CF2570" s="239"/>
      <c r="CM2570" s="336"/>
    </row>
    <row r="2571" spans="84:91" s="51" customFormat="1">
      <c r="CF2571" s="239"/>
      <c r="CM2571" s="336"/>
    </row>
    <row r="2572" spans="84:91" s="51" customFormat="1">
      <c r="CF2572" s="239"/>
      <c r="CM2572" s="336"/>
    </row>
    <row r="2573" spans="84:91" s="51" customFormat="1">
      <c r="CF2573" s="239"/>
      <c r="CM2573" s="336"/>
    </row>
    <row r="2574" spans="84:91" s="51" customFormat="1">
      <c r="CF2574" s="239"/>
      <c r="CM2574" s="336"/>
    </row>
    <row r="2575" spans="84:91" s="51" customFormat="1">
      <c r="CF2575" s="239"/>
      <c r="CM2575" s="336"/>
    </row>
    <row r="2576" spans="84:91" s="51" customFormat="1">
      <c r="CF2576" s="239"/>
      <c r="CM2576" s="336"/>
    </row>
    <row r="2577" spans="84:91" s="51" customFormat="1">
      <c r="CF2577" s="239"/>
      <c r="CM2577" s="336"/>
    </row>
    <row r="2578" spans="84:91" s="51" customFormat="1">
      <c r="CF2578" s="239"/>
      <c r="CM2578" s="336"/>
    </row>
    <row r="2579" spans="84:91" s="51" customFormat="1">
      <c r="CF2579" s="239"/>
      <c r="CM2579" s="336"/>
    </row>
    <row r="2580" spans="84:91" s="51" customFormat="1">
      <c r="CF2580" s="239"/>
      <c r="CM2580" s="336"/>
    </row>
    <row r="2581" spans="84:91" s="51" customFormat="1">
      <c r="CF2581" s="239"/>
      <c r="CM2581" s="336"/>
    </row>
    <row r="2582" spans="84:91" s="51" customFormat="1">
      <c r="CF2582" s="239"/>
      <c r="CM2582" s="336"/>
    </row>
    <row r="2583" spans="84:91" s="51" customFormat="1">
      <c r="CF2583" s="239"/>
      <c r="CM2583" s="336"/>
    </row>
    <row r="2584" spans="84:91" s="51" customFormat="1">
      <c r="CF2584" s="239"/>
      <c r="CM2584" s="336"/>
    </row>
    <row r="2585" spans="84:91" s="51" customFormat="1">
      <c r="CF2585" s="239"/>
      <c r="CM2585" s="336"/>
    </row>
    <row r="2586" spans="84:91" s="51" customFormat="1">
      <c r="CF2586" s="239"/>
      <c r="CM2586" s="336"/>
    </row>
    <row r="2587" spans="84:91" s="51" customFormat="1">
      <c r="CF2587" s="239"/>
      <c r="CM2587" s="336"/>
    </row>
    <row r="2588" spans="84:91" s="51" customFormat="1">
      <c r="CF2588" s="239"/>
      <c r="CM2588" s="336"/>
    </row>
    <row r="2589" spans="84:91" s="51" customFormat="1">
      <c r="CF2589" s="239"/>
      <c r="CM2589" s="336"/>
    </row>
    <row r="2590" spans="84:91" s="51" customFormat="1">
      <c r="CF2590" s="239"/>
      <c r="CM2590" s="336"/>
    </row>
    <row r="2591" spans="84:91" s="51" customFormat="1">
      <c r="CF2591" s="239"/>
      <c r="CM2591" s="336"/>
    </row>
    <row r="2592" spans="84:91" s="51" customFormat="1">
      <c r="CF2592" s="239"/>
      <c r="CM2592" s="336"/>
    </row>
    <row r="2593" spans="84:91" s="51" customFormat="1">
      <c r="CF2593" s="239"/>
      <c r="CM2593" s="336"/>
    </row>
    <row r="2594" spans="84:91" s="51" customFormat="1">
      <c r="CF2594" s="239"/>
      <c r="CM2594" s="336"/>
    </row>
    <row r="2595" spans="84:91" s="51" customFormat="1">
      <c r="CF2595" s="239"/>
      <c r="CM2595" s="336"/>
    </row>
    <row r="2596" spans="84:91" s="51" customFormat="1">
      <c r="CF2596" s="239"/>
      <c r="CM2596" s="336"/>
    </row>
    <row r="2597" spans="84:91" s="51" customFormat="1">
      <c r="CF2597" s="239"/>
      <c r="CM2597" s="336"/>
    </row>
    <row r="2598" spans="84:91" s="51" customFormat="1">
      <c r="CF2598" s="239"/>
      <c r="CM2598" s="336"/>
    </row>
    <row r="2599" spans="84:91" s="51" customFormat="1">
      <c r="CF2599" s="239"/>
      <c r="CM2599" s="336"/>
    </row>
    <row r="2600" spans="84:91" s="51" customFormat="1">
      <c r="CF2600" s="239"/>
      <c r="CM2600" s="336"/>
    </row>
    <row r="2601" spans="84:91" s="51" customFormat="1">
      <c r="CF2601" s="239"/>
      <c r="CM2601" s="336"/>
    </row>
    <row r="2602" spans="84:91" s="51" customFormat="1">
      <c r="CF2602" s="239"/>
      <c r="CM2602" s="336"/>
    </row>
    <row r="2603" spans="84:91" s="51" customFormat="1">
      <c r="CF2603" s="239"/>
      <c r="CM2603" s="336"/>
    </row>
    <row r="2604" spans="84:91" s="51" customFormat="1">
      <c r="CF2604" s="239"/>
      <c r="CM2604" s="336"/>
    </row>
    <row r="2605" spans="84:91" s="51" customFormat="1">
      <c r="CF2605" s="239"/>
      <c r="CM2605" s="336"/>
    </row>
    <row r="2606" spans="84:91" s="51" customFormat="1">
      <c r="CF2606" s="239"/>
      <c r="CM2606" s="336"/>
    </row>
    <row r="2607" spans="84:91" s="51" customFormat="1">
      <c r="CF2607" s="239"/>
      <c r="CM2607" s="336"/>
    </row>
    <row r="2608" spans="84:91" s="51" customFormat="1">
      <c r="CF2608" s="239"/>
      <c r="CM2608" s="336"/>
    </row>
    <row r="2609" spans="84:91" s="51" customFormat="1">
      <c r="CF2609" s="239"/>
      <c r="CM2609" s="336"/>
    </row>
    <row r="2610" spans="84:91" s="51" customFormat="1">
      <c r="CF2610" s="239"/>
      <c r="CM2610" s="336"/>
    </row>
    <row r="2611" spans="84:91" s="51" customFormat="1">
      <c r="CF2611" s="239"/>
      <c r="CM2611" s="336"/>
    </row>
    <row r="2612" spans="84:91" s="51" customFormat="1">
      <c r="CF2612" s="239"/>
      <c r="CM2612" s="336"/>
    </row>
    <row r="2613" spans="84:91" s="51" customFormat="1">
      <c r="CF2613" s="239"/>
      <c r="CM2613" s="336"/>
    </row>
    <row r="2614" spans="84:91" s="51" customFormat="1">
      <c r="CF2614" s="239"/>
      <c r="CM2614" s="336"/>
    </row>
    <row r="2615" spans="84:91" s="51" customFormat="1">
      <c r="CF2615" s="239"/>
      <c r="CM2615" s="336"/>
    </row>
    <row r="2616" spans="84:91" s="51" customFormat="1">
      <c r="CF2616" s="239"/>
      <c r="CM2616" s="336"/>
    </row>
    <row r="2617" spans="84:91" s="51" customFormat="1">
      <c r="CF2617" s="239"/>
      <c r="CM2617" s="336"/>
    </row>
    <row r="2618" spans="84:91" s="51" customFormat="1">
      <c r="CF2618" s="239"/>
      <c r="CM2618" s="336"/>
    </row>
    <row r="2619" spans="84:91" s="51" customFormat="1">
      <c r="CF2619" s="239"/>
      <c r="CM2619" s="336"/>
    </row>
    <row r="2620" spans="84:91" s="51" customFormat="1">
      <c r="CF2620" s="239"/>
      <c r="CM2620" s="336"/>
    </row>
    <row r="2621" spans="84:91" s="51" customFormat="1">
      <c r="CF2621" s="239"/>
      <c r="CM2621" s="336"/>
    </row>
    <row r="2622" spans="84:91" s="51" customFormat="1">
      <c r="CF2622" s="239"/>
      <c r="CM2622" s="336"/>
    </row>
    <row r="2623" spans="84:91" s="51" customFormat="1">
      <c r="CF2623" s="239"/>
      <c r="CM2623" s="336"/>
    </row>
    <row r="2624" spans="84:91" s="51" customFormat="1">
      <c r="CF2624" s="239"/>
      <c r="CM2624" s="336"/>
    </row>
    <row r="2625" spans="84:91" s="51" customFormat="1">
      <c r="CF2625" s="239"/>
      <c r="CM2625" s="336"/>
    </row>
    <row r="2626" spans="84:91" s="51" customFormat="1">
      <c r="CF2626" s="239"/>
      <c r="CM2626" s="336"/>
    </row>
    <row r="2627" spans="84:91" s="51" customFormat="1">
      <c r="CF2627" s="239"/>
      <c r="CM2627" s="336"/>
    </row>
    <row r="2628" spans="84:91" s="51" customFormat="1">
      <c r="CF2628" s="239"/>
      <c r="CM2628" s="336"/>
    </row>
    <row r="2629" spans="84:91" s="51" customFormat="1">
      <c r="CF2629" s="239"/>
      <c r="CM2629" s="336"/>
    </row>
    <row r="2630" spans="84:91" s="51" customFormat="1">
      <c r="CF2630" s="239"/>
      <c r="CM2630" s="336"/>
    </row>
    <row r="2631" spans="84:91" s="51" customFormat="1">
      <c r="CF2631" s="239"/>
      <c r="CM2631" s="336"/>
    </row>
    <row r="2632" spans="84:91" s="51" customFormat="1">
      <c r="CF2632" s="239"/>
      <c r="CM2632" s="336"/>
    </row>
    <row r="2633" spans="84:91" s="51" customFormat="1">
      <c r="CF2633" s="239"/>
      <c r="CM2633" s="336"/>
    </row>
    <row r="2634" spans="84:91" s="51" customFormat="1">
      <c r="CF2634" s="239"/>
      <c r="CM2634" s="336"/>
    </row>
    <row r="2635" spans="84:91" s="51" customFormat="1">
      <c r="CF2635" s="239"/>
      <c r="CM2635" s="336"/>
    </row>
    <row r="2636" spans="84:91" s="51" customFormat="1">
      <c r="CF2636" s="239"/>
      <c r="CM2636" s="336"/>
    </row>
    <row r="2637" spans="84:91" s="51" customFormat="1">
      <c r="CF2637" s="239"/>
      <c r="CM2637" s="336"/>
    </row>
    <row r="2638" spans="84:91" s="51" customFormat="1">
      <c r="CF2638" s="239"/>
      <c r="CM2638" s="336"/>
    </row>
    <row r="2639" spans="84:91" s="51" customFormat="1">
      <c r="CF2639" s="239"/>
      <c r="CM2639" s="336"/>
    </row>
    <row r="2640" spans="84:91" s="51" customFormat="1">
      <c r="CF2640" s="239"/>
      <c r="CM2640" s="336"/>
    </row>
    <row r="2641" spans="84:91" s="51" customFormat="1">
      <c r="CF2641" s="239"/>
      <c r="CM2641" s="336"/>
    </row>
    <row r="2642" spans="84:91" s="51" customFormat="1">
      <c r="CF2642" s="239"/>
      <c r="CM2642" s="336"/>
    </row>
    <row r="2643" spans="84:91" s="51" customFormat="1">
      <c r="CF2643" s="239"/>
      <c r="CM2643" s="336"/>
    </row>
    <row r="2644" spans="84:91" s="51" customFormat="1">
      <c r="CF2644" s="239"/>
      <c r="CM2644" s="336"/>
    </row>
    <row r="2645" spans="84:91" s="51" customFormat="1">
      <c r="CF2645" s="239"/>
      <c r="CM2645" s="336"/>
    </row>
    <row r="2646" spans="84:91" s="51" customFormat="1">
      <c r="CF2646" s="239"/>
      <c r="CM2646" s="336"/>
    </row>
    <row r="2647" spans="84:91" s="51" customFormat="1">
      <c r="CF2647" s="239"/>
      <c r="CM2647" s="336"/>
    </row>
    <row r="2648" spans="84:91" s="51" customFormat="1">
      <c r="CF2648" s="239"/>
      <c r="CM2648" s="336"/>
    </row>
    <row r="2649" spans="84:91" s="51" customFormat="1">
      <c r="CF2649" s="239"/>
      <c r="CM2649" s="336"/>
    </row>
    <row r="2650" spans="84:91" s="51" customFormat="1">
      <c r="CF2650" s="239"/>
      <c r="CM2650" s="336"/>
    </row>
    <row r="2651" spans="84:91" s="51" customFormat="1">
      <c r="CF2651" s="239"/>
      <c r="CM2651" s="336"/>
    </row>
    <row r="2652" spans="84:91" s="51" customFormat="1">
      <c r="CF2652" s="239"/>
      <c r="CM2652" s="336"/>
    </row>
    <row r="2653" spans="84:91" s="51" customFormat="1">
      <c r="CF2653" s="239"/>
      <c r="CM2653" s="336"/>
    </row>
    <row r="2654" spans="84:91" s="51" customFormat="1">
      <c r="CF2654" s="239"/>
      <c r="CM2654" s="336"/>
    </row>
    <row r="2655" spans="84:91" s="51" customFormat="1">
      <c r="CF2655" s="239"/>
      <c r="CM2655" s="336"/>
    </row>
    <row r="2656" spans="84:91" s="51" customFormat="1">
      <c r="CF2656" s="239"/>
      <c r="CM2656" s="336"/>
    </row>
    <row r="2657" spans="84:91" s="51" customFormat="1">
      <c r="CF2657" s="239"/>
      <c r="CM2657" s="336"/>
    </row>
    <row r="2658" spans="84:91" s="51" customFormat="1">
      <c r="CF2658" s="239"/>
      <c r="CM2658" s="336"/>
    </row>
    <row r="2659" spans="84:91" s="51" customFormat="1">
      <c r="CF2659" s="239"/>
      <c r="CM2659" s="336"/>
    </row>
    <row r="2660" spans="84:91" s="51" customFormat="1">
      <c r="CF2660" s="239"/>
      <c r="CM2660" s="336"/>
    </row>
    <row r="2661" spans="84:91" s="51" customFormat="1">
      <c r="CF2661" s="239"/>
      <c r="CM2661" s="336"/>
    </row>
    <row r="2662" spans="84:91" s="51" customFormat="1">
      <c r="CF2662" s="239"/>
      <c r="CM2662" s="336"/>
    </row>
    <row r="2663" spans="84:91" s="51" customFormat="1">
      <c r="CF2663" s="239"/>
      <c r="CM2663" s="336"/>
    </row>
    <row r="2664" spans="84:91" s="51" customFormat="1">
      <c r="CF2664" s="239"/>
      <c r="CM2664" s="336"/>
    </row>
    <row r="2665" spans="84:91" s="51" customFormat="1">
      <c r="CF2665" s="239"/>
      <c r="CM2665" s="336"/>
    </row>
    <row r="2666" spans="84:91" s="51" customFormat="1">
      <c r="CF2666" s="239"/>
      <c r="CM2666" s="336"/>
    </row>
    <row r="2667" spans="84:91" s="51" customFormat="1">
      <c r="CF2667" s="239"/>
      <c r="CM2667" s="336"/>
    </row>
    <row r="2668" spans="84:91" s="51" customFormat="1">
      <c r="CF2668" s="239"/>
      <c r="CM2668" s="336"/>
    </row>
    <row r="2669" spans="84:91" s="51" customFormat="1">
      <c r="CF2669" s="239"/>
      <c r="CM2669" s="336"/>
    </row>
    <row r="2670" spans="84:91" s="51" customFormat="1">
      <c r="CF2670" s="239"/>
      <c r="CM2670" s="336"/>
    </row>
    <row r="2671" spans="84:91" s="51" customFormat="1">
      <c r="CF2671" s="239"/>
      <c r="CM2671" s="336"/>
    </row>
    <row r="2672" spans="84:91" s="51" customFormat="1">
      <c r="CF2672" s="239"/>
      <c r="CM2672" s="336"/>
    </row>
    <row r="2673" spans="84:91" s="51" customFormat="1">
      <c r="CF2673" s="239"/>
      <c r="CM2673" s="336"/>
    </row>
    <row r="2674" spans="84:91" s="51" customFormat="1">
      <c r="CF2674" s="239"/>
      <c r="CM2674" s="336"/>
    </row>
    <row r="2675" spans="84:91" s="51" customFormat="1">
      <c r="CF2675" s="239"/>
      <c r="CM2675" s="336"/>
    </row>
    <row r="2676" spans="84:91" s="51" customFormat="1">
      <c r="CF2676" s="239"/>
      <c r="CM2676" s="336"/>
    </row>
    <row r="2677" spans="84:91" s="51" customFormat="1">
      <c r="CF2677" s="239"/>
      <c r="CM2677" s="336"/>
    </row>
    <row r="2678" spans="84:91" s="51" customFormat="1">
      <c r="CF2678" s="239"/>
      <c r="CM2678" s="336"/>
    </row>
    <row r="2679" spans="84:91" s="51" customFormat="1">
      <c r="CF2679" s="239"/>
      <c r="CM2679" s="336"/>
    </row>
    <row r="2680" spans="84:91" s="51" customFormat="1">
      <c r="CF2680" s="239"/>
      <c r="CM2680" s="336"/>
    </row>
    <row r="2681" spans="84:91" s="51" customFormat="1">
      <c r="CF2681" s="239"/>
      <c r="CM2681" s="336"/>
    </row>
    <row r="2682" spans="84:91" s="51" customFormat="1">
      <c r="CF2682" s="239"/>
      <c r="CM2682" s="336"/>
    </row>
    <row r="2683" spans="84:91" s="51" customFormat="1">
      <c r="CF2683" s="239"/>
      <c r="CM2683" s="336"/>
    </row>
    <row r="2684" spans="84:91" s="51" customFormat="1">
      <c r="CF2684" s="239"/>
      <c r="CM2684" s="336"/>
    </row>
    <row r="2685" spans="84:91" s="51" customFormat="1">
      <c r="CF2685" s="239"/>
      <c r="CM2685" s="336"/>
    </row>
    <row r="2686" spans="84:91" s="51" customFormat="1">
      <c r="CF2686" s="239"/>
      <c r="CM2686" s="336"/>
    </row>
    <row r="2687" spans="84:91" s="51" customFormat="1">
      <c r="CF2687" s="239"/>
      <c r="CM2687" s="336"/>
    </row>
    <row r="2688" spans="84:91" s="51" customFormat="1">
      <c r="CF2688" s="239"/>
      <c r="CM2688" s="336"/>
    </row>
    <row r="2689" spans="84:91" s="51" customFormat="1">
      <c r="CF2689" s="239"/>
      <c r="CM2689" s="336"/>
    </row>
    <row r="2690" spans="84:91" s="51" customFormat="1">
      <c r="CF2690" s="239"/>
      <c r="CM2690" s="336"/>
    </row>
    <row r="2691" spans="84:91" s="51" customFormat="1">
      <c r="CF2691" s="239"/>
      <c r="CM2691" s="336"/>
    </row>
    <row r="2692" spans="84:91" s="51" customFormat="1">
      <c r="CF2692" s="239"/>
      <c r="CM2692" s="336"/>
    </row>
    <row r="2693" spans="84:91" s="51" customFormat="1">
      <c r="CF2693" s="239"/>
      <c r="CM2693" s="336"/>
    </row>
    <row r="2694" spans="84:91" s="51" customFormat="1">
      <c r="CF2694" s="239"/>
      <c r="CM2694" s="336"/>
    </row>
    <row r="2695" spans="84:91" s="51" customFormat="1">
      <c r="CF2695" s="239"/>
      <c r="CM2695" s="336"/>
    </row>
    <row r="2696" spans="84:91" s="51" customFormat="1">
      <c r="CF2696" s="239"/>
      <c r="CM2696" s="336"/>
    </row>
    <row r="2697" spans="84:91" s="51" customFormat="1">
      <c r="CF2697" s="239"/>
      <c r="CM2697" s="336"/>
    </row>
    <row r="2698" spans="84:91" s="51" customFormat="1">
      <c r="CF2698" s="239"/>
      <c r="CM2698" s="336"/>
    </row>
    <row r="2699" spans="84:91" s="51" customFormat="1">
      <c r="CF2699" s="239"/>
      <c r="CM2699" s="336"/>
    </row>
    <row r="2700" spans="84:91" s="51" customFormat="1">
      <c r="CF2700" s="239"/>
      <c r="CM2700" s="336"/>
    </row>
    <row r="2701" spans="84:91" s="51" customFormat="1">
      <c r="CF2701" s="239"/>
      <c r="CM2701" s="336"/>
    </row>
    <row r="2702" spans="84:91" s="51" customFormat="1">
      <c r="CF2702" s="239"/>
      <c r="CM2702" s="336"/>
    </row>
    <row r="2703" spans="84:91" s="51" customFormat="1">
      <c r="CF2703" s="239"/>
      <c r="CM2703" s="336"/>
    </row>
    <row r="2704" spans="84:91" s="51" customFormat="1">
      <c r="CF2704" s="239"/>
      <c r="CM2704" s="336"/>
    </row>
    <row r="2705" spans="84:91" s="51" customFormat="1">
      <c r="CF2705" s="239"/>
      <c r="CM2705" s="336"/>
    </row>
    <row r="2706" spans="84:91" s="51" customFormat="1">
      <c r="CF2706" s="239"/>
      <c r="CM2706" s="336"/>
    </row>
    <row r="2707" spans="84:91" s="51" customFormat="1">
      <c r="CF2707" s="239"/>
      <c r="CM2707" s="336"/>
    </row>
    <row r="2708" spans="84:91" s="51" customFormat="1">
      <c r="CF2708" s="239"/>
      <c r="CM2708" s="336"/>
    </row>
    <row r="2709" spans="84:91" s="51" customFormat="1">
      <c r="CF2709" s="239"/>
      <c r="CM2709" s="336"/>
    </row>
    <row r="2710" spans="84:91" s="51" customFormat="1">
      <c r="CF2710" s="239"/>
      <c r="CM2710" s="336"/>
    </row>
    <row r="2711" spans="84:91" s="51" customFormat="1">
      <c r="CF2711" s="239"/>
      <c r="CM2711" s="336"/>
    </row>
    <row r="2712" spans="84:91" s="51" customFormat="1">
      <c r="CF2712" s="239"/>
      <c r="CM2712" s="336"/>
    </row>
    <row r="2713" spans="84:91" s="51" customFormat="1">
      <c r="CF2713" s="239"/>
      <c r="CM2713" s="336"/>
    </row>
    <row r="2714" spans="84:91" s="51" customFormat="1">
      <c r="CF2714" s="239"/>
      <c r="CM2714" s="336"/>
    </row>
    <row r="2715" spans="84:91" s="51" customFormat="1">
      <c r="CF2715" s="239"/>
      <c r="CM2715" s="336"/>
    </row>
    <row r="2716" spans="84:91" s="51" customFormat="1">
      <c r="CF2716" s="239"/>
      <c r="CM2716" s="336"/>
    </row>
    <row r="2717" spans="84:91" s="51" customFormat="1">
      <c r="CF2717" s="239"/>
      <c r="CM2717" s="336"/>
    </row>
    <row r="2718" spans="84:91" s="51" customFormat="1">
      <c r="CF2718" s="239"/>
      <c r="CM2718" s="336"/>
    </row>
    <row r="2719" spans="84:91" s="51" customFormat="1">
      <c r="CF2719" s="239"/>
      <c r="CM2719" s="336"/>
    </row>
    <row r="2720" spans="84:91" s="51" customFormat="1">
      <c r="CF2720" s="239"/>
      <c r="CM2720" s="336"/>
    </row>
    <row r="2721" spans="84:91" s="51" customFormat="1">
      <c r="CF2721" s="239"/>
      <c r="CM2721" s="336"/>
    </row>
    <row r="2722" spans="84:91" s="51" customFormat="1">
      <c r="CF2722" s="239"/>
      <c r="CM2722" s="336"/>
    </row>
    <row r="2723" spans="84:91" s="51" customFormat="1">
      <c r="CF2723" s="239"/>
      <c r="CM2723" s="336"/>
    </row>
    <row r="2724" spans="84:91" s="51" customFormat="1">
      <c r="CF2724" s="239"/>
      <c r="CM2724" s="336"/>
    </row>
    <row r="2725" spans="84:91" s="51" customFormat="1">
      <c r="CF2725" s="239"/>
      <c r="CM2725" s="336"/>
    </row>
    <row r="2726" spans="84:91" s="51" customFormat="1">
      <c r="CF2726" s="239"/>
      <c r="CM2726" s="336"/>
    </row>
    <row r="2727" spans="84:91" s="51" customFormat="1">
      <c r="CF2727" s="239"/>
      <c r="CM2727" s="336"/>
    </row>
    <row r="2728" spans="84:91" s="51" customFormat="1">
      <c r="CF2728" s="239"/>
      <c r="CM2728" s="336"/>
    </row>
    <row r="2729" spans="84:91" s="51" customFormat="1">
      <c r="CF2729" s="239"/>
      <c r="CM2729" s="336"/>
    </row>
    <row r="2730" spans="84:91" s="51" customFormat="1">
      <c r="CF2730" s="239"/>
      <c r="CM2730" s="336"/>
    </row>
    <row r="2731" spans="84:91" s="51" customFormat="1">
      <c r="CF2731" s="239"/>
      <c r="CM2731" s="336"/>
    </row>
    <row r="2732" spans="84:91" s="51" customFormat="1">
      <c r="CF2732" s="239"/>
      <c r="CM2732" s="336"/>
    </row>
    <row r="2733" spans="84:91" s="51" customFormat="1">
      <c r="CF2733" s="239"/>
      <c r="CM2733" s="336"/>
    </row>
    <row r="2734" spans="84:91" s="51" customFormat="1">
      <c r="CF2734" s="239"/>
      <c r="CM2734" s="336"/>
    </row>
    <row r="2735" spans="84:91" s="51" customFormat="1">
      <c r="CF2735" s="239"/>
      <c r="CM2735" s="336"/>
    </row>
    <row r="2736" spans="84:91" s="51" customFormat="1">
      <c r="CF2736" s="239"/>
      <c r="CM2736" s="336"/>
    </row>
    <row r="2737" spans="84:91" s="51" customFormat="1">
      <c r="CF2737" s="239"/>
      <c r="CM2737" s="336"/>
    </row>
    <row r="2738" spans="84:91" s="51" customFormat="1">
      <c r="CF2738" s="239"/>
      <c r="CM2738" s="336"/>
    </row>
    <row r="2739" spans="84:91" s="51" customFormat="1">
      <c r="CF2739" s="239"/>
      <c r="CM2739" s="336"/>
    </row>
    <row r="2740" spans="84:91" s="51" customFormat="1">
      <c r="CF2740" s="239"/>
      <c r="CM2740" s="336"/>
    </row>
    <row r="2741" spans="84:91" s="51" customFormat="1">
      <c r="CF2741" s="239"/>
      <c r="CM2741" s="336"/>
    </row>
    <row r="2742" spans="84:91" s="51" customFormat="1">
      <c r="CF2742" s="239"/>
      <c r="CM2742" s="336"/>
    </row>
    <row r="2743" spans="84:91" s="51" customFormat="1">
      <c r="CF2743" s="239"/>
      <c r="CM2743" s="336"/>
    </row>
    <row r="2744" spans="84:91" s="51" customFormat="1">
      <c r="CF2744" s="239"/>
      <c r="CM2744" s="336"/>
    </row>
    <row r="2745" spans="84:91" s="51" customFormat="1">
      <c r="CF2745" s="239"/>
      <c r="CM2745" s="336"/>
    </row>
    <row r="2746" spans="84:91" s="51" customFormat="1">
      <c r="CF2746" s="239"/>
      <c r="CM2746" s="336"/>
    </row>
    <row r="2747" spans="84:91" s="51" customFormat="1">
      <c r="CF2747" s="239"/>
      <c r="CM2747" s="336"/>
    </row>
    <row r="2748" spans="84:91" s="51" customFormat="1">
      <c r="CF2748" s="239"/>
      <c r="CM2748" s="336"/>
    </row>
    <row r="2749" spans="84:91" s="51" customFormat="1">
      <c r="CF2749" s="239"/>
      <c r="CM2749" s="336"/>
    </row>
    <row r="2750" spans="84:91" s="51" customFormat="1">
      <c r="CF2750" s="239"/>
      <c r="CM2750" s="336"/>
    </row>
    <row r="2751" spans="84:91" s="51" customFormat="1">
      <c r="CF2751" s="239"/>
      <c r="CM2751" s="336"/>
    </row>
    <row r="2752" spans="84:91" s="51" customFormat="1">
      <c r="CF2752" s="239"/>
      <c r="CM2752" s="336"/>
    </row>
    <row r="2753" spans="84:91" s="51" customFormat="1">
      <c r="CF2753" s="239"/>
      <c r="CM2753" s="336"/>
    </row>
    <row r="2754" spans="84:91" s="51" customFormat="1">
      <c r="CF2754" s="239"/>
      <c r="CM2754" s="336"/>
    </row>
    <row r="2755" spans="84:91" s="51" customFormat="1">
      <c r="CF2755" s="239"/>
      <c r="CM2755" s="336"/>
    </row>
    <row r="2756" spans="84:91" s="51" customFormat="1">
      <c r="CF2756" s="239"/>
      <c r="CM2756" s="336"/>
    </row>
    <row r="2757" spans="84:91" s="51" customFormat="1">
      <c r="CF2757" s="239"/>
      <c r="CM2757" s="336"/>
    </row>
    <row r="2758" spans="84:91" s="51" customFormat="1">
      <c r="CF2758" s="239"/>
      <c r="CM2758" s="336"/>
    </row>
    <row r="2759" spans="84:91" s="51" customFormat="1">
      <c r="CF2759" s="239"/>
      <c r="CM2759" s="336"/>
    </row>
    <row r="2760" spans="84:91" s="51" customFormat="1">
      <c r="CF2760" s="239"/>
      <c r="CM2760" s="336"/>
    </row>
    <row r="2761" spans="84:91" s="51" customFormat="1">
      <c r="CF2761" s="239"/>
      <c r="CM2761" s="336"/>
    </row>
    <row r="2762" spans="84:91" s="51" customFormat="1">
      <c r="CF2762" s="239"/>
      <c r="CM2762" s="336"/>
    </row>
    <row r="2763" spans="84:91" s="51" customFormat="1">
      <c r="CF2763" s="239"/>
      <c r="CM2763" s="336"/>
    </row>
    <row r="2764" spans="84:91" s="51" customFormat="1">
      <c r="CF2764" s="239"/>
      <c r="CM2764" s="336"/>
    </row>
    <row r="2765" spans="84:91" s="51" customFormat="1">
      <c r="CF2765" s="239"/>
      <c r="CM2765" s="336"/>
    </row>
    <row r="2766" spans="84:91" s="51" customFormat="1">
      <c r="CF2766" s="239"/>
      <c r="CM2766" s="336"/>
    </row>
    <row r="2767" spans="84:91" s="51" customFormat="1">
      <c r="CF2767" s="239"/>
      <c r="CM2767" s="336"/>
    </row>
    <row r="2768" spans="84:91" s="51" customFormat="1">
      <c r="CF2768" s="239"/>
      <c r="CM2768" s="336"/>
    </row>
    <row r="2769" spans="84:91" s="51" customFormat="1">
      <c r="CF2769" s="239"/>
      <c r="CM2769" s="336"/>
    </row>
    <row r="2770" spans="84:91" s="51" customFormat="1">
      <c r="CF2770" s="239"/>
      <c r="CM2770" s="336"/>
    </row>
    <row r="2771" spans="84:91" s="51" customFormat="1">
      <c r="CF2771" s="239"/>
      <c r="CM2771" s="336"/>
    </row>
    <row r="2772" spans="84:91" s="51" customFormat="1">
      <c r="CF2772" s="239"/>
      <c r="CM2772" s="336"/>
    </row>
    <row r="2773" spans="84:91" s="51" customFormat="1">
      <c r="CF2773" s="239"/>
      <c r="CM2773" s="336"/>
    </row>
    <row r="2774" spans="84:91" s="51" customFormat="1">
      <c r="CF2774" s="239"/>
      <c r="CM2774" s="336"/>
    </row>
    <row r="2775" spans="84:91" s="51" customFormat="1">
      <c r="CF2775" s="239"/>
      <c r="CM2775" s="336"/>
    </row>
    <row r="2776" spans="84:91" s="51" customFormat="1">
      <c r="CF2776" s="239"/>
      <c r="CM2776" s="336"/>
    </row>
    <row r="2777" spans="84:91" s="51" customFormat="1">
      <c r="CF2777" s="239"/>
      <c r="CM2777" s="336"/>
    </row>
    <row r="2778" spans="84:91" s="51" customFormat="1">
      <c r="CF2778" s="239"/>
      <c r="CM2778" s="336"/>
    </row>
    <row r="2779" spans="84:91" s="51" customFormat="1">
      <c r="CF2779" s="239"/>
      <c r="CM2779" s="336"/>
    </row>
    <row r="2780" spans="84:91" s="51" customFormat="1">
      <c r="CF2780" s="239"/>
      <c r="CM2780" s="336"/>
    </row>
    <row r="2781" spans="84:91" s="51" customFormat="1">
      <c r="CF2781" s="239"/>
      <c r="CM2781" s="336"/>
    </row>
    <row r="2782" spans="84:91" s="51" customFormat="1">
      <c r="CF2782" s="239"/>
      <c r="CM2782" s="336"/>
    </row>
    <row r="2783" spans="84:91" s="51" customFormat="1">
      <c r="CF2783" s="239"/>
      <c r="CM2783" s="336"/>
    </row>
    <row r="2784" spans="84:91" s="51" customFormat="1">
      <c r="CF2784" s="239"/>
      <c r="CM2784" s="336"/>
    </row>
    <row r="2785" spans="84:91" s="51" customFormat="1">
      <c r="CF2785" s="239"/>
      <c r="CM2785" s="336"/>
    </row>
    <row r="2786" spans="84:91" s="51" customFormat="1">
      <c r="CF2786" s="239"/>
      <c r="CM2786" s="336"/>
    </row>
    <row r="2787" spans="84:91" s="51" customFormat="1">
      <c r="CF2787" s="239"/>
      <c r="CM2787" s="336"/>
    </row>
    <row r="2788" spans="84:91" s="51" customFormat="1">
      <c r="CF2788" s="239"/>
      <c r="CM2788" s="336"/>
    </row>
    <row r="2789" spans="84:91" s="51" customFormat="1">
      <c r="CF2789" s="239"/>
      <c r="CM2789" s="336"/>
    </row>
    <row r="2790" spans="84:91" s="51" customFormat="1">
      <c r="CF2790" s="239"/>
      <c r="CM2790" s="336"/>
    </row>
    <row r="2791" spans="84:91" s="51" customFormat="1">
      <c r="CF2791" s="239"/>
      <c r="CM2791" s="336"/>
    </row>
    <row r="2792" spans="84:91" s="51" customFormat="1">
      <c r="CF2792" s="239"/>
      <c r="CM2792" s="336"/>
    </row>
    <row r="2793" spans="84:91" s="51" customFormat="1">
      <c r="CF2793" s="239"/>
      <c r="CM2793" s="336"/>
    </row>
    <row r="2794" spans="84:91" s="51" customFormat="1">
      <c r="CF2794" s="239"/>
      <c r="CM2794" s="336"/>
    </row>
    <row r="2795" spans="84:91" s="51" customFormat="1">
      <c r="CF2795" s="239"/>
      <c r="CM2795" s="336"/>
    </row>
    <row r="2796" spans="84:91" s="51" customFormat="1">
      <c r="CF2796" s="239"/>
      <c r="CM2796" s="336"/>
    </row>
    <row r="2797" spans="84:91" s="51" customFormat="1">
      <c r="CF2797" s="239"/>
      <c r="CM2797" s="336"/>
    </row>
    <row r="2798" spans="84:91" s="51" customFormat="1">
      <c r="CF2798" s="239"/>
      <c r="CM2798" s="336"/>
    </row>
    <row r="2799" spans="84:91" s="51" customFormat="1">
      <c r="CF2799" s="239"/>
      <c r="CM2799" s="336"/>
    </row>
    <row r="2800" spans="84:91" s="51" customFormat="1">
      <c r="CF2800" s="239"/>
      <c r="CM2800" s="336"/>
    </row>
    <row r="2801" spans="84:91" s="51" customFormat="1">
      <c r="CF2801" s="239"/>
      <c r="CM2801" s="336"/>
    </row>
    <row r="2802" spans="84:91" s="51" customFormat="1">
      <c r="CF2802" s="239"/>
      <c r="CM2802" s="336"/>
    </row>
    <row r="2803" spans="84:91" s="51" customFormat="1">
      <c r="CF2803" s="239"/>
      <c r="CM2803" s="336"/>
    </row>
    <row r="2804" spans="84:91" s="51" customFormat="1">
      <c r="CF2804" s="239"/>
      <c r="CM2804" s="336"/>
    </row>
    <row r="2805" spans="84:91" s="51" customFormat="1">
      <c r="CF2805" s="239"/>
      <c r="CM2805" s="336"/>
    </row>
    <row r="2806" spans="84:91" s="51" customFormat="1">
      <c r="CF2806" s="239"/>
      <c r="CM2806" s="336"/>
    </row>
    <row r="2807" spans="84:91" s="51" customFormat="1">
      <c r="CF2807" s="239"/>
      <c r="CM2807" s="336"/>
    </row>
    <row r="2808" spans="84:91" s="51" customFormat="1">
      <c r="CF2808" s="239"/>
      <c r="CM2808" s="336"/>
    </row>
    <row r="2809" spans="84:91" s="51" customFormat="1">
      <c r="CF2809" s="239"/>
      <c r="CM2809" s="336"/>
    </row>
    <row r="2810" spans="84:91" s="51" customFormat="1">
      <c r="CF2810" s="239"/>
      <c r="CM2810" s="336"/>
    </row>
    <row r="2811" spans="84:91" s="51" customFormat="1">
      <c r="CF2811" s="239"/>
      <c r="CM2811" s="336"/>
    </row>
    <row r="2812" spans="84:91" s="51" customFormat="1">
      <c r="CF2812" s="239"/>
      <c r="CM2812" s="336"/>
    </row>
    <row r="2813" spans="84:91" s="51" customFormat="1">
      <c r="CF2813" s="239"/>
      <c r="CM2813" s="336"/>
    </row>
    <row r="2814" spans="84:91" s="51" customFormat="1">
      <c r="CF2814" s="239"/>
      <c r="CM2814" s="336"/>
    </row>
    <row r="2815" spans="84:91" s="51" customFormat="1">
      <c r="CF2815" s="239"/>
      <c r="CM2815" s="336"/>
    </row>
    <row r="2816" spans="84:91" s="51" customFormat="1">
      <c r="CF2816" s="239"/>
      <c r="CM2816" s="336"/>
    </row>
    <row r="2817" spans="84:91" s="51" customFormat="1">
      <c r="CF2817" s="239"/>
      <c r="CM2817" s="336"/>
    </row>
    <row r="2818" spans="84:91" s="51" customFormat="1">
      <c r="CF2818" s="239"/>
      <c r="CM2818" s="336"/>
    </row>
    <row r="2819" spans="84:91" s="51" customFormat="1">
      <c r="CF2819" s="239"/>
      <c r="CM2819" s="336"/>
    </row>
    <row r="2820" spans="84:91" s="51" customFormat="1">
      <c r="CF2820" s="239"/>
      <c r="CM2820" s="336"/>
    </row>
    <row r="2821" spans="84:91" s="51" customFormat="1">
      <c r="CF2821" s="239"/>
      <c r="CM2821" s="336"/>
    </row>
    <row r="2822" spans="84:91" s="51" customFormat="1">
      <c r="CF2822" s="239"/>
      <c r="CM2822" s="336"/>
    </row>
    <row r="2823" spans="84:91" s="51" customFormat="1">
      <c r="CF2823" s="239"/>
      <c r="CM2823" s="336"/>
    </row>
    <row r="2824" spans="84:91" s="51" customFormat="1">
      <c r="CF2824" s="239"/>
      <c r="CM2824" s="336"/>
    </row>
    <row r="2825" spans="84:91" s="51" customFormat="1">
      <c r="CF2825" s="239"/>
      <c r="CM2825" s="336"/>
    </row>
    <row r="2826" spans="84:91" s="51" customFormat="1">
      <c r="CF2826" s="239"/>
      <c r="CM2826" s="336"/>
    </row>
    <row r="2827" spans="84:91" s="51" customFormat="1">
      <c r="CF2827" s="239"/>
      <c r="CM2827" s="336"/>
    </row>
    <row r="2828" spans="84:91" s="51" customFormat="1">
      <c r="CF2828" s="239"/>
      <c r="CM2828" s="336"/>
    </row>
    <row r="2829" spans="84:91" s="51" customFormat="1">
      <c r="CF2829" s="239"/>
      <c r="CM2829" s="336"/>
    </row>
    <row r="2830" spans="84:91" s="51" customFormat="1">
      <c r="CF2830" s="239"/>
      <c r="CM2830" s="336"/>
    </row>
    <row r="2831" spans="84:91" s="51" customFormat="1">
      <c r="CF2831" s="239"/>
      <c r="CM2831" s="336"/>
    </row>
    <row r="2832" spans="84:91" s="51" customFormat="1">
      <c r="CF2832" s="239"/>
      <c r="CM2832" s="336"/>
    </row>
    <row r="2833" spans="84:91" s="51" customFormat="1">
      <c r="CF2833" s="239"/>
      <c r="CM2833" s="336"/>
    </row>
    <row r="2834" spans="84:91" s="51" customFormat="1">
      <c r="CF2834" s="239"/>
      <c r="CM2834" s="336"/>
    </row>
    <row r="2835" spans="84:91" s="51" customFormat="1">
      <c r="CF2835" s="239"/>
      <c r="CM2835" s="336"/>
    </row>
    <row r="2836" spans="84:91" s="51" customFormat="1">
      <c r="CF2836" s="239"/>
      <c r="CM2836" s="336"/>
    </row>
    <row r="2837" spans="84:91" s="51" customFormat="1">
      <c r="CF2837" s="239"/>
      <c r="CM2837" s="336"/>
    </row>
    <row r="2838" spans="84:91" s="51" customFormat="1">
      <c r="CF2838" s="239"/>
      <c r="CM2838" s="336"/>
    </row>
    <row r="2839" spans="84:91" s="51" customFormat="1">
      <c r="CF2839" s="239"/>
      <c r="CM2839" s="336"/>
    </row>
    <row r="2840" spans="84:91" s="51" customFormat="1">
      <c r="CF2840" s="239"/>
      <c r="CM2840" s="336"/>
    </row>
    <row r="2841" spans="84:91" s="51" customFormat="1">
      <c r="CF2841" s="239"/>
      <c r="CM2841" s="336"/>
    </row>
    <row r="2842" spans="84:91" s="51" customFormat="1">
      <c r="CF2842" s="239"/>
      <c r="CM2842" s="336"/>
    </row>
    <row r="2843" spans="84:91" s="51" customFormat="1">
      <c r="CF2843" s="239"/>
      <c r="CM2843" s="336"/>
    </row>
    <row r="2844" spans="84:91" s="51" customFormat="1">
      <c r="CF2844" s="239"/>
      <c r="CM2844" s="336"/>
    </row>
    <row r="2845" spans="84:91" s="51" customFormat="1">
      <c r="CF2845" s="239"/>
      <c r="CM2845" s="336"/>
    </row>
    <row r="2846" spans="84:91" s="51" customFormat="1">
      <c r="CF2846" s="239"/>
      <c r="CM2846" s="336"/>
    </row>
    <row r="2847" spans="84:91" s="51" customFormat="1">
      <c r="CF2847" s="239"/>
      <c r="CM2847" s="336"/>
    </row>
    <row r="2848" spans="84:91" s="51" customFormat="1">
      <c r="CF2848" s="239"/>
      <c r="CM2848" s="336"/>
    </row>
    <row r="2849" spans="84:91" s="51" customFormat="1">
      <c r="CF2849" s="239"/>
      <c r="CM2849" s="336"/>
    </row>
    <row r="2850" spans="84:91" s="51" customFormat="1">
      <c r="CF2850" s="239"/>
      <c r="CM2850" s="336"/>
    </row>
    <row r="2851" spans="84:91" s="51" customFormat="1">
      <c r="CF2851" s="239"/>
      <c r="CM2851" s="336"/>
    </row>
    <row r="2852" spans="84:91" s="51" customFormat="1">
      <c r="CF2852" s="239"/>
      <c r="CM2852" s="336"/>
    </row>
    <row r="2853" spans="84:91" s="51" customFormat="1">
      <c r="CF2853" s="239"/>
      <c r="CM2853" s="336"/>
    </row>
    <row r="2854" spans="84:91" s="51" customFormat="1">
      <c r="CF2854" s="239"/>
      <c r="CM2854" s="336"/>
    </row>
    <row r="2855" spans="84:91" s="51" customFormat="1">
      <c r="CF2855" s="239"/>
      <c r="CM2855" s="336"/>
    </row>
    <row r="2856" spans="84:91" s="51" customFormat="1">
      <c r="CF2856" s="239"/>
      <c r="CM2856" s="336"/>
    </row>
    <row r="2857" spans="84:91" s="51" customFormat="1">
      <c r="CF2857" s="239"/>
      <c r="CM2857" s="336"/>
    </row>
    <row r="2858" spans="84:91" s="51" customFormat="1">
      <c r="CF2858" s="239"/>
      <c r="CM2858" s="336"/>
    </row>
    <row r="2859" spans="84:91" s="51" customFormat="1">
      <c r="CF2859" s="239"/>
      <c r="CM2859" s="336"/>
    </row>
    <row r="2860" spans="84:91" s="51" customFormat="1">
      <c r="CF2860" s="239"/>
      <c r="CM2860" s="336"/>
    </row>
    <row r="2861" spans="84:91" s="51" customFormat="1">
      <c r="CF2861" s="239"/>
      <c r="CM2861" s="336"/>
    </row>
    <row r="2862" spans="84:91" s="51" customFormat="1">
      <c r="CF2862" s="239"/>
      <c r="CM2862" s="336"/>
    </row>
    <row r="2863" spans="84:91" s="51" customFormat="1">
      <c r="CF2863" s="239"/>
      <c r="CM2863" s="336"/>
    </row>
    <row r="2864" spans="84:91" s="51" customFormat="1">
      <c r="CF2864" s="239"/>
      <c r="CM2864" s="336"/>
    </row>
    <row r="2865" spans="84:91" s="51" customFormat="1">
      <c r="CF2865" s="239"/>
      <c r="CM2865" s="336"/>
    </row>
    <row r="2866" spans="84:91" s="51" customFormat="1">
      <c r="CF2866" s="239"/>
      <c r="CM2866" s="336"/>
    </row>
    <row r="2867" spans="84:91" s="51" customFormat="1">
      <c r="CF2867" s="239"/>
      <c r="CM2867" s="336"/>
    </row>
    <row r="2868" spans="84:91" s="51" customFormat="1">
      <c r="CF2868" s="239"/>
      <c r="CM2868" s="336"/>
    </row>
    <row r="2869" spans="84:91" s="51" customFormat="1">
      <c r="CF2869" s="239"/>
      <c r="CM2869" s="336"/>
    </row>
    <row r="2870" spans="84:91" s="51" customFormat="1">
      <c r="CF2870" s="239"/>
      <c r="CM2870" s="336"/>
    </row>
    <row r="2871" spans="84:91" s="51" customFormat="1">
      <c r="CF2871" s="239"/>
      <c r="CM2871" s="336"/>
    </row>
    <row r="2872" spans="84:91" s="51" customFormat="1">
      <c r="CF2872" s="239"/>
      <c r="CM2872" s="336"/>
    </row>
    <row r="2873" spans="84:91" s="51" customFormat="1">
      <c r="CF2873" s="239"/>
      <c r="CM2873" s="336"/>
    </row>
    <row r="2874" spans="84:91" s="51" customFormat="1">
      <c r="CF2874" s="239"/>
      <c r="CM2874" s="336"/>
    </row>
    <row r="2875" spans="84:91" s="51" customFormat="1">
      <c r="CF2875" s="239"/>
      <c r="CM2875" s="336"/>
    </row>
    <row r="2876" spans="84:91" s="51" customFormat="1">
      <c r="CF2876" s="239"/>
      <c r="CM2876" s="336"/>
    </row>
    <row r="2877" spans="84:91" s="51" customFormat="1">
      <c r="CF2877" s="239"/>
      <c r="CM2877" s="336"/>
    </row>
    <row r="2878" spans="84:91" s="51" customFormat="1">
      <c r="CF2878" s="239"/>
      <c r="CM2878" s="336"/>
    </row>
    <row r="2879" spans="84:91" s="51" customFormat="1">
      <c r="CF2879" s="239"/>
      <c r="CM2879" s="336"/>
    </row>
    <row r="2880" spans="84:91" s="51" customFormat="1">
      <c r="CF2880" s="239"/>
      <c r="CM2880" s="336"/>
    </row>
    <row r="2881" spans="84:91" s="51" customFormat="1">
      <c r="CF2881" s="239"/>
      <c r="CM2881" s="336"/>
    </row>
    <row r="2882" spans="84:91" s="51" customFormat="1">
      <c r="CF2882" s="239"/>
      <c r="CM2882" s="336"/>
    </row>
    <row r="2883" spans="84:91" s="51" customFormat="1">
      <c r="CF2883" s="239"/>
      <c r="CM2883" s="336"/>
    </row>
    <row r="2884" spans="84:91" s="51" customFormat="1">
      <c r="CF2884" s="239"/>
      <c r="CM2884" s="336"/>
    </row>
    <row r="2885" spans="84:91" s="51" customFormat="1">
      <c r="CF2885" s="239"/>
      <c r="CM2885" s="336"/>
    </row>
    <row r="2886" spans="84:91" s="51" customFormat="1">
      <c r="CF2886" s="239"/>
      <c r="CM2886" s="336"/>
    </row>
    <row r="2887" spans="84:91" s="51" customFormat="1">
      <c r="CF2887" s="239"/>
      <c r="CM2887" s="336"/>
    </row>
    <row r="2888" spans="84:91" s="51" customFormat="1">
      <c r="CF2888" s="239"/>
      <c r="CM2888" s="336"/>
    </row>
    <row r="2889" spans="84:91" s="51" customFormat="1">
      <c r="CF2889" s="239"/>
      <c r="CM2889" s="336"/>
    </row>
    <row r="2890" spans="84:91" s="51" customFormat="1">
      <c r="CF2890" s="239"/>
      <c r="CM2890" s="336"/>
    </row>
    <row r="2891" spans="84:91" s="51" customFormat="1">
      <c r="CF2891" s="239"/>
      <c r="CM2891" s="336"/>
    </row>
    <row r="2892" spans="84:91" s="51" customFormat="1">
      <c r="CF2892" s="239"/>
      <c r="CM2892" s="336"/>
    </row>
    <row r="2893" spans="84:91" s="51" customFormat="1">
      <c r="CF2893" s="239"/>
      <c r="CM2893" s="336"/>
    </row>
    <row r="2894" spans="84:91" s="51" customFormat="1">
      <c r="CF2894" s="239"/>
      <c r="CM2894" s="336"/>
    </row>
    <row r="2895" spans="84:91" s="51" customFormat="1">
      <c r="CF2895" s="239"/>
      <c r="CM2895" s="336"/>
    </row>
    <row r="2896" spans="84:91" s="51" customFormat="1">
      <c r="CF2896" s="239"/>
      <c r="CM2896" s="336"/>
    </row>
    <row r="2897" spans="84:91" s="51" customFormat="1">
      <c r="CF2897" s="239"/>
      <c r="CM2897" s="336"/>
    </row>
    <row r="2898" spans="84:91" s="51" customFormat="1">
      <c r="CF2898" s="239"/>
      <c r="CM2898" s="336"/>
    </row>
    <row r="2899" spans="84:91" s="51" customFormat="1">
      <c r="CF2899" s="239"/>
      <c r="CM2899" s="336"/>
    </row>
    <row r="2900" spans="84:91" s="51" customFormat="1">
      <c r="CF2900" s="239"/>
      <c r="CM2900" s="336"/>
    </row>
    <row r="2901" spans="84:91" s="51" customFormat="1">
      <c r="CF2901" s="239"/>
      <c r="CM2901" s="336"/>
    </row>
    <row r="2902" spans="84:91" s="51" customFormat="1">
      <c r="CF2902" s="239"/>
      <c r="CM2902" s="336"/>
    </row>
    <row r="2903" spans="84:91" s="51" customFormat="1">
      <c r="CF2903" s="239"/>
      <c r="CM2903" s="336"/>
    </row>
    <row r="2904" spans="84:91" s="51" customFormat="1">
      <c r="CF2904" s="239"/>
      <c r="CM2904" s="336"/>
    </row>
    <row r="2905" spans="84:91" s="51" customFormat="1">
      <c r="CF2905" s="239"/>
      <c r="CM2905" s="336"/>
    </row>
    <row r="2906" spans="84:91" s="51" customFormat="1">
      <c r="CF2906" s="239"/>
      <c r="CM2906" s="336"/>
    </row>
    <row r="2907" spans="84:91" s="51" customFormat="1">
      <c r="CF2907" s="239"/>
      <c r="CM2907" s="336"/>
    </row>
    <row r="2908" spans="84:91" s="51" customFormat="1">
      <c r="CF2908" s="239"/>
      <c r="CM2908" s="336"/>
    </row>
    <row r="2909" spans="84:91" s="51" customFormat="1">
      <c r="CF2909" s="239"/>
      <c r="CM2909" s="336"/>
    </row>
    <row r="2910" spans="84:91" s="51" customFormat="1">
      <c r="CF2910" s="239"/>
      <c r="CM2910" s="336"/>
    </row>
    <row r="2911" spans="84:91" s="51" customFormat="1">
      <c r="CF2911" s="239"/>
      <c r="CM2911" s="336"/>
    </row>
    <row r="2912" spans="84:91" s="51" customFormat="1">
      <c r="CF2912" s="239"/>
      <c r="CM2912" s="336"/>
    </row>
    <row r="2913" spans="84:91" s="51" customFormat="1">
      <c r="CF2913" s="239"/>
      <c r="CM2913" s="336"/>
    </row>
    <row r="2914" spans="84:91" s="51" customFormat="1">
      <c r="CF2914" s="239"/>
      <c r="CM2914" s="336"/>
    </row>
    <row r="2915" spans="84:91" s="51" customFormat="1">
      <c r="CF2915" s="239"/>
      <c r="CM2915" s="336"/>
    </row>
    <row r="2916" spans="84:91" s="51" customFormat="1">
      <c r="CF2916" s="239"/>
      <c r="CM2916" s="336"/>
    </row>
    <row r="2917" spans="84:91" s="51" customFormat="1">
      <c r="CF2917" s="239"/>
      <c r="CM2917" s="336"/>
    </row>
    <row r="2918" spans="84:91" s="51" customFormat="1">
      <c r="CF2918" s="239"/>
      <c r="CM2918" s="336"/>
    </row>
    <row r="2919" spans="84:91" s="51" customFormat="1">
      <c r="CF2919" s="239"/>
      <c r="CM2919" s="336"/>
    </row>
    <row r="2920" spans="84:91" s="51" customFormat="1">
      <c r="CF2920" s="239"/>
      <c r="CM2920" s="336"/>
    </row>
    <row r="2921" spans="84:91" s="51" customFormat="1">
      <c r="CF2921" s="239"/>
      <c r="CM2921" s="336"/>
    </row>
    <row r="2922" spans="84:91" s="51" customFormat="1">
      <c r="CF2922" s="239"/>
      <c r="CM2922" s="336"/>
    </row>
    <row r="2923" spans="84:91" s="51" customFormat="1">
      <c r="CF2923" s="239"/>
      <c r="CM2923" s="336"/>
    </row>
    <row r="2924" spans="84:91" s="51" customFormat="1">
      <c r="CF2924" s="239"/>
      <c r="CM2924" s="336"/>
    </row>
    <row r="2925" spans="84:91" s="51" customFormat="1">
      <c r="CF2925" s="239"/>
      <c r="CM2925" s="336"/>
    </row>
    <row r="2926" spans="84:91" s="51" customFormat="1">
      <c r="CF2926" s="239"/>
      <c r="CM2926" s="336"/>
    </row>
    <row r="2927" spans="84:91" s="51" customFormat="1">
      <c r="CF2927" s="239"/>
      <c r="CM2927" s="336"/>
    </row>
    <row r="2928" spans="84:91" s="51" customFormat="1">
      <c r="CF2928" s="239"/>
      <c r="CM2928" s="336"/>
    </row>
    <row r="2929" spans="84:91" s="51" customFormat="1">
      <c r="CF2929" s="239"/>
      <c r="CM2929" s="336"/>
    </row>
    <row r="2930" spans="84:91" s="51" customFormat="1">
      <c r="CF2930" s="239"/>
      <c r="CM2930" s="336"/>
    </row>
    <row r="2931" spans="84:91" s="51" customFormat="1">
      <c r="CF2931" s="239"/>
      <c r="CM2931" s="336"/>
    </row>
    <row r="2932" spans="84:91" s="51" customFormat="1">
      <c r="CF2932" s="239"/>
      <c r="CM2932" s="336"/>
    </row>
    <row r="2933" spans="84:91" s="51" customFormat="1">
      <c r="CF2933" s="239"/>
      <c r="CM2933" s="336"/>
    </row>
    <row r="2934" spans="84:91" s="51" customFormat="1">
      <c r="CF2934" s="239"/>
      <c r="CM2934" s="336"/>
    </row>
    <row r="2935" spans="84:91" s="51" customFormat="1">
      <c r="CF2935" s="239"/>
      <c r="CM2935" s="336"/>
    </row>
    <row r="2936" spans="84:91" s="51" customFormat="1">
      <c r="CF2936" s="239"/>
      <c r="CM2936" s="336"/>
    </row>
    <row r="2937" spans="84:91" s="51" customFormat="1">
      <c r="CF2937" s="239"/>
      <c r="CM2937" s="336"/>
    </row>
    <row r="2938" spans="84:91" s="51" customFormat="1">
      <c r="CF2938" s="239"/>
      <c r="CM2938" s="336"/>
    </row>
    <row r="2939" spans="84:91" s="51" customFormat="1">
      <c r="CF2939" s="239"/>
      <c r="CM2939" s="336"/>
    </row>
    <row r="2940" spans="84:91" s="51" customFormat="1">
      <c r="CF2940" s="239"/>
      <c r="CM2940" s="336"/>
    </row>
    <row r="2941" spans="84:91" s="51" customFormat="1">
      <c r="CF2941" s="239"/>
      <c r="CM2941" s="336"/>
    </row>
    <row r="2942" spans="84:91" s="51" customFormat="1">
      <c r="CF2942" s="239"/>
      <c r="CM2942" s="336"/>
    </row>
    <row r="2943" spans="84:91" s="51" customFormat="1">
      <c r="CF2943" s="239"/>
      <c r="CM2943" s="336"/>
    </row>
    <row r="2944" spans="84:91" s="51" customFormat="1">
      <c r="CF2944" s="239"/>
      <c r="CM2944" s="336"/>
    </row>
    <row r="2945" spans="84:91" s="51" customFormat="1">
      <c r="CF2945" s="239"/>
      <c r="CM2945" s="336"/>
    </row>
    <row r="2946" spans="84:91" s="51" customFormat="1">
      <c r="CF2946" s="239"/>
      <c r="CM2946" s="336"/>
    </row>
    <row r="2947" spans="84:91" s="51" customFormat="1">
      <c r="CF2947" s="239"/>
      <c r="CM2947" s="336"/>
    </row>
    <row r="2948" spans="84:91" s="51" customFormat="1">
      <c r="CF2948" s="239"/>
      <c r="CM2948" s="336"/>
    </row>
    <row r="2949" spans="84:91" s="51" customFormat="1">
      <c r="CF2949" s="239"/>
      <c r="CM2949" s="336"/>
    </row>
    <row r="2950" spans="84:91" s="51" customFormat="1">
      <c r="CF2950" s="239"/>
      <c r="CM2950" s="336"/>
    </row>
    <row r="2951" spans="84:91" s="51" customFormat="1">
      <c r="CF2951" s="239"/>
      <c r="CM2951" s="336"/>
    </row>
    <row r="2952" spans="84:91" s="51" customFormat="1">
      <c r="CF2952" s="239"/>
      <c r="CM2952" s="336"/>
    </row>
    <row r="2953" spans="84:91" s="51" customFormat="1">
      <c r="CF2953" s="239"/>
      <c r="CM2953" s="336"/>
    </row>
    <row r="2954" spans="84:91" s="51" customFormat="1">
      <c r="CF2954" s="239"/>
      <c r="CM2954" s="336"/>
    </row>
    <row r="2955" spans="84:91" s="51" customFormat="1">
      <c r="CF2955" s="239"/>
      <c r="CM2955" s="336"/>
    </row>
    <row r="2956" spans="84:91" s="51" customFormat="1">
      <c r="CF2956" s="239"/>
      <c r="CM2956" s="336"/>
    </row>
    <row r="2957" spans="84:91" s="51" customFormat="1">
      <c r="CF2957" s="239"/>
      <c r="CM2957" s="336"/>
    </row>
    <row r="2958" spans="84:91" s="51" customFormat="1">
      <c r="CF2958" s="239"/>
      <c r="CM2958" s="336"/>
    </row>
    <row r="2959" spans="84:91" s="51" customFormat="1">
      <c r="CF2959" s="239"/>
      <c r="CM2959" s="336"/>
    </row>
    <row r="2960" spans="84:91" s="51" customFormat="1">
      <c r="CF2960" s="239"/>
      <c r="CM2960" s="336"/>
    </row>
    <row r="2961" spans="84:91" s="51" customFormat="1">
      <c r="CF2961" s="239"/>
      <c r="CM2961" s="336"/>
    </row>
    <row r="2962" spans="84:91" s="51" customFormat="1">
      <c r="CF2962" s="239"/>
      <c r="CM2962" s="336"/>
    </row>
    <row r="2963" spans="84:91" s="51" customFormat="1">
      <c r="CF2963" s="239"/>
      <c r="CM2963" s="336"/>
    </row>
    <row r="2964" spans="84:91" s="51" customFormat="1">
      <c r="CF2964" s="239"/>
      <c r="CM2964" s="336"/>
    </row>
    <row r="2965" spans="84:91" s="51" customFormat="1">
      <c r="CF2965" s="239"/>
      <c r="CM2965" s="336"/>
    </row>
    <row r="2966" spans="84:91" s="51" customFormat="1">
      <c r="CF2966" s="239"/>
      <c r="CM2966" s="336"/>
    </row>
    <row r="2967" spans="84:91" s="51" customFormat="1">
      <c r="CF2967" s="239"/>
      <c r="CM2967" s="336"/>
    </row>
    <row r="2968" spans="84:91" s="51" customFormat="1">
      <c r="CF2968" s="239"/>
      <c r="CM2968" s="336"/>
    </row>
    <row r="2969" spans="84:91" s="51" customFormat="1">
      <c r="CF2969" s="239"/>
      <c r="CM2969" s="336"/>
    </row>
    <row r="2970" spans="84:91" s="51" customFormat="1">
      <c r="CF2970" s="239"/>
      <c r="CM2970" s="336"/>
    </row>
    <row r="2971" spans="84:91" s="51" customFormat="1">
      <c r="CF2971" s="239"/>
      <c r="CM2971" s="336"/>
    </row>
    <row r="2972" spans="84:91" s="51" customFormat="1">
      <c r="CF2972" s="239"/>
      <c r="CM2972" s="336"/>
    </row>
    <row r="2973" spans="84:91" s="51" customFormat="1">
      <c r="CF2973" s="239"/>
      <c r="CM2973" s="336"/>
    </row>
    <row r="2974" spans="84:91" s="51" customFormat="1">
      <c r="CF2974" s="239"/>
      <c r="CM2974" s="336"/>
    </row>
    <row r="2975" spans="84:91" s="51" customFormat="1">
      <c r="CF2975" s="239"/>
      <c r="CM2975" s="336"/>
    </row>
    <row r="2976" spans="84:91" s="51" customFormat="1">
      <c r="CF2976" s="239"/>
      <c r="CM2976" s="336"/>
    </row>
    <row r="2977" spans="84:91" s="51" customFormat="1">
      <c r="CF2977" s="239"/>
      <c r="CM2977" s="336"/>
    </row>
    <row r="2978" spans="84:91" s="51" customFormat="1">
      <c r="CF2978" s="239"/>
      <c r="CM2978" s="336"/>
    </row>
    <row r="2979" spans="84:91" s="51" customFormat="1">
      <c r="CF2979" s="239"/>
      <c r="CM2979" s="336"/>
    </row>
    <row r="2980" spans="84:91" s="51" customFormat="1">
      <c r="CF2980" s="239"/>
      <c r="CM2980" s="336"/>
    </row>
    <row r="2981" spans="84:91" s="51" customFormat="1">
      <c r="CF2981" s="239"/>
      <c r="CM2981" s="336"/>
    </row>
    <row r="2982" spans="84:91" s="51" customFormat="1">
      <c r="CF2982" s="239"/>
      <c r="CM2982" s="336"/>
    </row>
    <row r="2983" spans="84:91" s="51" customFormat="1">
      <c r="CF2983" s="239"/>
      <c r="CM2983" s="336"/>
    </row>
    <row r="2984" spans="84:91" s="51" customFormat="1">
      <c r="CF2984" s="239"/>
      <c r="CM2984" s="336"/>
    </row>
    <row r="2985" spans="84:91" s="51" customFormat="1">
      <c r="CF2985" s="239"/>
      <c r="CM2985" s="336"/>
    </row>
    <row r="2986" spans="84:91" s="51" customFormat="1">
      <c r="CF2986" s="239"/>
      <c r="CM2986" s="336"/>
    </row>
    <row r="2987" spans="84:91" s="51" customFormat="1">
      <c r="CF2987" s="239"/>
      <c r="CM2987" s="336"/>
    </row>
    <row r="2988" spans="84:91" s="51" customFormat="1">
      <c r="CF2988" s="239"/>
      <c r="CM2988" s="336"/>
    </row>
    <row r="2989" spans="84:91" s="51" customFormat="1">
      <c r="CF2989" s="239"/>
      <c r="CM2989" s="336"/>
    </row>
    <row r="2990" spans="84:91" s="51" customFormat="1">
      <c r="CF2990" s="239"/>
      <c r="CM2990" s="336"/>
    </row>
    <row r="2991" spans="84:91" s="51" customFormat="1">
      <c r="CF2991" s="239"/>
      <c r="CM2991" s="336"/>
    </row>
    <row r="2992" spans="84:91" s="51" customFormat="1">
      <c r="CF2992" s="239"/>
      <c r="CM2992" s="336"/>
    </row>
    <row r="2993" spans="84:91" s="51" customFormat="1">
      <c r="CF2993" s="239"/>
      <c r="CM2993" s="336"/>
    </row>
    <row r="2994" spans="84:91" s="51" customFormat="1">
      <c r="CF2994" s="239"/>
      <c r="CM2994" s="336"/>
    </row>
    <row r="2995" spans="84:91" s="51" customFormat="1">
      <c r="CF2995" s="239"/>
      <c r="CM2995" s="336"/>
    </row>
    <row r="2996" spans="84:91" s="51" customFormat="1">
      <c r="CF2996" s="239"/>
      <c r="CM2996" s="336"/>
    </row>
    <row r="2997" spans="84:91" s="51" customFormat="1">
      <c r="CF2997" s="239"/>
      <c r="CM2997" s="336"/>
    </row>
    <row r="2998" spans="84:91" s="51" customFormat="1">
      <c r="CF2998" s="239"/>
      <c r="CM2998" s="336"/>
    </row>
    <row r="2999" spans="84:91" s="51" customFormat="1">
      <c r="CF2999" s="239"/>
      <c r="CM2999" s="336"/>
    </row>
    <row r="3000" spans="84:91" s="51" customFormat="1">
      <c r="CF3000" s="239"/>
      <c r="CM3000" s="336"/>
    </row>
    <row r="3001" spans="84:91" s="51" customFormat="1">
      <c r="CF3001" s="239"/>
      <c r="CM3001" s="336"/>
    </row>
    <row r="3002" spans="84:91" s="51" customFormat="1">
      <c r="CF3002" s="239"/>
      <c r="CM3002" s="336"/>
    </row>
    <row r="3003" spans="84:91" s="51" customFormat="1">
      <c r="CF3003" s="239"/>
      <c r="CM3003" s="336"/>
    </row>
    <row r="3004" spans="84:91" s="51" customFormat="1">
      <c r="CF3004" s="239"/>
      <c r="CM3004" s="336"/>
    </row>
    <row r="3005" spans="84:91" s="51" customFormat="1">
      <c r="CF3005" s="239"/>
      <c r="CM3005" s="336"/>
    </row>
    <row r="3006" spans="84:91" s="51" customFormat="1">
      <c r="CF3006" s="239"/>
      <c r="CM3006" s="336"/>
    </row>
    <row r="3007" spans="84:91" s="51" customFormat="1">
      <c r="CF3007" s="239"/>
      <c r="CM3007" s="336"/>
    </row>
    <row r="3008" spans="84:91" s="51" customFormat="1">
      <c r="CF3008" s="239"/>
      <c r="CM3008" s="336"/>
    </row>
    <row r="3009" spans="84:91" s="51" customFormat="1">
      <c r="CF3009" s="239"/>
      <c r="CM3009" s="336"/>
    </row>
    <row r="3010" spans="84:91" s="51" customFormat="1">
      <c r="CF3010" s="239"/>
      <c r="CM3010" s="336"/>
    </row>
    <row r="3011" spans="84:91" s="51" customFormat="1">
      <c r="CF3011" s="239"/>
      <c r="CM3011" s="336"/>
    </row>
    <row r="3012" spans="84:91" s="51" customFormat="1">
      <c r="CF3012" s="239"/>
      <c r="CM3012" s="336"/>
    </row>
    <row r="3013" spans="84:91" s="51" customFormat="1">
      <c r="CF3013" s="239"/>
      <c r="CM3013" s="336"/>
    </row>
    <row r="3014" spans="84:91" s="51" customFormat="1">
      <c r="CF3014" s="239"/>
      <c r="CM3014" s="336"/>
    </row>
    <row r="3015" spans="84:91" s="51" customFormat="1">
      <c r="CF3015" s="239"/>
      <c r="CM3015" s="336"/>
    </row>
    <row r="3016" spans="84:91" s="51" customFormat="1">
      <c r="CF3016" s="239"/>
      <c r="CM3016" s="336"/>
    </row>
    <row r="3017" spans="84:91" s="51" customFormat="1">
      <c r="CF3017" s="239"/>
      <c r="CM3017" s="336"/>
    </row>
    <row r="3018" spans="84:91" s="51" customFormat="1">
      <c r="CF3018" s="239"/>
      <c r="CM3018" s="336"/>
    </row>
    <row r="3019" spans="84:91" s="51" customFormat="1">
      <c r="CF3019" s="239"/>
      <c r="CM3019" s="336"/>
    </row>
    <row r="3020" spans="84:91" s="51" customFormat="1">
      <c r="CF3020" s="239"/>
      <c r="CM3020" s="336"/>
    </row>
    <row r="3021" spans="84:91" s="51" customFormat="1">
      <c r="CF3021" s="239"/>
      <c r="CM3021" s="336"/>
    </row>
    <row r="3022" spans="84:91" s="51" customFormat="1">
      <c r="CF3022" s="239"/>
      <c r="CM3022" s="336"/>
    </row>
    <row r="3023" spans="84:91" s="51" customFormat="1">
      <c r="CF3023" s="239"/>
      <c r="CM3023" s="336"/>
    </row>
    <row r="3024" spans="84:91" s="51" customFormat="1">
      <c r="CF3024" s="239"/>
      <c r="CM3024" s="336"/>
    </row>
    <row r="3025" spans="84:91" s="51" customFormat="1">
      <c r="CF3025" s="239"/>
      <c r="CM3025" s="336"/>
    </row>
    <row r="3026" spans="84:91" s="51" customFormat="1">
      <c r="CF3026" s="239"/>
      <c r="CM3026" s="336"/>
    </row>
    <row r="3027" spans="84:91" s="51" customFormat="1">
      <c r="CF3027" s="239"/>
      <c r="CM3027" s="336"/>
    </row>
    <row r="3028" spans="84:91" s="51" customFormat="1">
      <c r="CF3028" s="239"/>
      <c r="CM3028" s="336"/>
    </row>
    <row r="3029" spans="84:91" s="51" customFormat="1">
      <c r="CF3029" s="239"/>
      <c r="CM3029" s="336"/>
    </row>
    <row r="3030" spans="84:91" s="51" customFormat="1">
      <c r="CF3030" s="239"/>
      <c r="CM3030" s="336"/>
    </row>
    <row r="3031" spans="84:91" s="51" customFormat="1">
      <c r="CF3031" s="239"/>
      <c r="CM3031" s="336"/>
    </row>
    <row r="3032" spans="84:91" s="51" customFormat="1">
      <c r="CF3032" s="239"/>
      <c r="CM3032" s="336"/>
    </row>
    <row r="3033" spans="84:91" s="51" customFormat="1">
      <c r="CF3033" s="239"/>
      <c r="CM3033" s="336"/>
    </row>
    <row r="3034" spans="84:91" s="51" customFormat="1">
      <c r="CF3034" s="239"/>
      <c r="CM3034" s="336"/>
    </row>
    <row r="3035" spans="84:91" s="51" customFormat="1">
      <c r="CF3035" s="239"/>
      <c r="CM3035" s="336"/>
    </row>
    <row r="3036" spans="84:91" s="51" customFormat="1">
      <c r="CF3036" s="239"/>
      <c r="CM3036" s="336"/>
    </row>
    <row r="3037" spans="84:91" s="51" customFormat="1">
      <c r="CF3037" s="239"/>
      <c r="CM3037" s="336"/>
    </row>
    <row r="3038" spans="84:91" s="51" customFormat="1">
      <c r="CF3038" s="239"/>
      <c r="CM3038" s="336"/>
    </row>
    <row r="3039" spans="84:91" s="51" customFormat="1">
      <c r="CF3039" s="239"/>
      <c r="CM3039" s="336"/>
    </row>
    <row r="3040" spans="84:91" s="51" customFormat="1">
      <c r="CF3040" s="239"/>
      <c r="CM3040" s="336"/>
    </row>
    <row r="3041" spans="84:91" s="51" customFormat="1">
      <c r="CF3041" s="239"/>
      <c r="CM3041" s="336"/>
    </row>
    <row r="3042" spans="84:91" s="51" customFormat="1">
      <c r="CF3042" s="239"/>
      <c r="CM3042" s="336"/>
    </row>
    <row r="3043" spans="84:91" s="51" customFormat="1">
      <c r="CF3043" s="239"/>
      <c r="CM3043" s="336"/>
    </row>
    <row r="3044" spans="84:91" s="51" customFormat="1">
      <c r="CF3044" s="239"/>
      <c r="CM3044" s="336"/>
    </row>
    <row r="3045" spans="84:91" s="51" customFormat="1">
      <c r="CF3045" s="239"/>
      <c r="CM3045" s="336"/>
    </row>
    <row r="3046" spans="84:91" s="51" customFormat="1">
      <c r="CF3046" s="239"/>
      <c r="CM3046" s="336"/>
    </row>
    <row r="3047" spans="84:91" s="51" customFormat="1">
      <c r="CF3047" s="239"/>
      <c r="CM3047" s="336"/>
    </row>
    <row r="3048" spans="84:91" s="51" customFormat="1">
      <c r="CF3048" s="239"/>
      <c r="CM3048" s="336"/>
    </row>
    <row r="3049" spans="84:91" s="51" customFormat="1">
      <c r="CF3049" s="239"/>
      <c r="CM3049" s="336"/>
    </row>
    <row r="3050" spans="84:91" s="51" customFormat="1">
      <c r="CF3050" s="239"/>
      <c r="CM3050" s="336"/>
    </row>
    <row r="3051" spans="84:91" s="51" customFormat="1">
      <c r="CF3051" s="239"/>
      <c r="CM3051" s="336"/>
    </row>
    <row r="3052" spans="84:91" s="51" customFormat="1">
      <c r="CF3052" s="239"/>
      <c r="CM3052" s="336"/>
    </row>
    <row r="3053" spans="84:91" s="51" customFormat="1">
      <c r="CF3053" s="239"/>
      <c r="CM3053" s="336"/>
    </row>
    <row r="3054" spans="84:91" s="51" customFormat="1">
      <c r="CF3054" s="239"/>
      <c r="CM3054" s="336"/>
    </row>
    <row r="3055" spans="84:91" s="51" customFormat="1">
      <c r="CF3055" s="239"/>
      <c r="CM3055" s="336"/>
    </row>
    <row r="3056" spans="84:91" s="51" customFormat="1">
      <c r="CF3056" s="239"/>
      <c r="CM3056" s="336"/>
    </row>
    <row r="3057" spans="84:91" s="51" customFormat="1">
      <c r="CF3057" s="239"/>
      <c r="CM3057" s="336"/>
    </row>
    <row r="3058" spans="84:91" s="51" customFormat="1">
      <c r="CF3058" s="239"/>
      <c r="CM3058" s="336"/>
    </row>
    <row r="3059" spans="84:91" s="51" customFormat="1">
      <c r="CF3059" s="239"/>
      <c r="CM3059" s="336"/>
    </row>
    <row r="3060" spans="84:91" s="51" customFormat="1">
      <c r="CF3060" s="239"/>
      <c r="CM3060" s="336"/>
    </row>
    <row r="3061" spans="84:91" s="51" customFormat="1">
      <c r="CF3061" s="239"/>
      <c r="CM3061" s="336"/>
    </row>
    <row r="3062" spans="84:91" s="51" customFormat="1">
      <c r="CF3062" s="239"/>
      <c r="CM3062" s="336"/>
    </row>
    <row r="3063" spans="84:91" s="51" customFormat="1">
      <c r="CF3063" s="239"/>
      <c r="CM3063" s="336"/>
    </row>
    <row r="3064" spans="84:91" s="51" customFormat="1">
      <c r="CF3064" s="239"/>
      <c r="CM3064" s="336"/>
    </row>
    <row r="3065" spans="84:91" s="51" customFormat="1">
      <c r="CF3065" s="239"/>
      <c r="CM3065" s="336"/>
    </row>
    <row r="3066" spans="84:91" s="51" customFormat="1">
      <c r="CF3066" s="239"/>
      <c r="CM3066" s="336"/>
    </row>
    <row r="3067" spans="84:91" s="51" customFormat="1">
      <c r="CF3067" s="239"/>
      <c r="CM3067" s="336"/>
    </row>
    <row r="3068" spans="84:91" s="51" customFormat="1">
      <c r="CF3068" s="239"/>
      <c r="CM3068" s="336"/>
    </row>
    <row r="3069" spans="84:91" s="51" customFormat="1">
      <c r="CF3069" s="239"/>
      <c r="CM3069" s="336"/>
    </row>
    <row r="3070" spans="84:91" s="51" customFormat="1">
      <c r="CF3070" s="239"/>
      <c r="CM3070" s="336"/>
    </row>
    <row r="3071" spans="84:91" s="51" customFormat="1">
      <c r="CF3071" s="239"/>
      <c r="CM3071" s="336"/>
    </row>
    <row r="3072" spans="84:91" s="51" customFormat="1">
      <c r="CF3072" s="239"/>
      <c r="CM3072" s="336"/>
    </row>
    <row r="3073" spans="84:91" s="51" customFormat="1">
      <c r="CF3073" s="239"/>
      <c r="CM3073" s="336"/>
    </row>
    <row r="3074" spans="84:91" s="51" customFormat="1">
      <c r="CF3074" s="239"/>
      <c r="CM3074" s="336"/>
    </row>
    <row r="3075" spans="84:91" s="51" customFormat="1">
      <c r="CF3075" s="239"/>
      <c r="CM3075" s="336"/>
    </row>
    <row r="3076" spans="84:91" s="51" customFormat="1">
      <c r="CF3076" s="239"/>
      <c r="CM3076" s="336"/>
    </row>
    <row r="3077" spans="84:91" s="51" customFormat="1">
      <c r="CF3077" s="239"/>
      <c r="CM3077" s="336"/>
    </row>
    <row r="3078" spans="84:91" s="51" customFormat="1">
      <c r="CF3078" s="239"/>
      <c r="CM3078" s="336"/>
    </row>
    <row r="3079" spans="84:91" s="51" customFormat="1">
      <c r="CF3079" s="239"/>
      <c r="CM3079" s="336"/>
    </row>
    <row r="3080" spans="84:91" s="51" customFormat="1">
      <c r="CF3080" s="239"/>
      <c r="CM3080" s="336"/>
    </row>
    <row r="3081" spans="84:91" s="51" customFormat="1">
      <c r="CF3081" s="239"/>
      <c r="CM3081" s="336"/>
    </row>
    <row r="3082" spans="84:91" s="51" customFormat="1">
      <c r="CF3082" s="239"/>
      <c r="CM3082" s="336"/>
    </row>
    <row r="3083" spans="84:91" s="51" customFormat="1">
      <c r="CF3083" s="239"/>
      <c r="CM3083" s="336"/>
    </row>
    <row r="3084" spans="84:91" s="51" customFormat="1">
      <c r="CF3084" s="239"/>
      <c r="CM3084" s="336"/>
    </row>
    <row r="3085" spans="84:91" s="51" customFormat="1">
      <c r="CF3085" s="239"/>
      <c r="CM3085" s="336"/>
    </row>
    <row r="3086" spans="84:91" s="51" customFormat="1">
      <c r="CF3086" s="239"/>
      <c r="CM3086" s="336"/>
    </row>
    <row r="3087" spans="84:91" s="51" customFormat="1">
      <c r="CF3087" s="239"/>
      <c r="CM3087" s="336"/>
    </row>
    <row r="3088" spans="84:91" s="51" customFormat="1">
      <c r="CF3088" s="239"/>
      <c r="CM3088" s="336"/>
    </row>
    <row r="3089" spans="84:91" s="51" customFormat="1">
      <c r="CF3089" s="239"/>
      <c r="CM3089" s="336"/>
    </row>
    <row r="3090" spans="84:91" s="51" customFormat="1">
      <c r="CF3090" s="239"/>
      <c r="CM3090" s="336"/>
    </row>
    <row r="3091" spans="84:91" s="51" customFormat="1">
      <c r="CF3091" s="239"/>
      <c r="CM3091" s="336"/>
    </row>
    <row r="3092" spans="84:91" s="51" customFormat="1">
      <c r="CF3092" s="239"/>
      <c r="CM3092" s="336"/>
    </row>
    <row r="3093" spans="84:91" s="51" customFormat="1">
      <c r="CF3093" s="239"/>
      <c r="CM3093" s="336"/>
    </row>
    <row r="3094" spans="84:91" s="51" customFormat="1">
      <c r="CF3094" s="239"/>
      <c r="CM3094" s="336"/>
    </row>
    <row r="3095" spans="84:91" s="51" customFormat="1">
      <c r="CF3095" s="239"/>
      <c r="CM3095" s="336"/>
    </row>
    <row r="3096" spans="84:91" s="51" customFormat="1">
      <c r="CF3096" s="239"/>
      <c r="CM3096" s="336"/>
    </row>
    <row r="3097" spans="84:91" s="51" customFormat="1">
      <c r="CF3097" s="239"/>
      <c r="CM3097" s="336"/>
    </row>
    <row r="3098" spans="84:91" s="51" customFormat="1">
      <c r="CF3098" s="239"/>
      <c r="CM3098" s="336"/>
    </row>
    <row r="3099" spans="84:91" s="51" customFormat="1">
      <c r="CF3099" s="239"/>
      <c r="CM3099" s="336"/>
    </row>
    <row r="3100" spans="84:91" s="51" customFormat="1">
      <c r="CF3100" s="239"/>
      <c r="CM3100" s="336"/>
    </row>
    <row r="3101" spans="84:91" s="51" customFormat="1">
      <c r="CF3101" s="239"/>
      <c r="CM3101" s="336"/>
    </row>
    <row r="3102" spans="84:91" s="51" customFormat="1">
      <c r="CF3102" s="239"/>
      <c r="CM3102" s="336"/>
    </row>
    <row r="3103" spans="84:91" s="51" customFormat="1">
      <c r="CF3103" s="239"/>
      <c r="CM3103" s="336"/>
    </row>
    <row r="3104" spans="84:91" s="51" customFormat="1">
      <c r="CF3104" s="239"/>
      <c r="CM3104" s="336"/>
    </row>
    <row r="3105" spans="84:91" s="51" customFormat="1">
      <c r="CF3105" s="239"/>
      <c r="CM3105" s="336"/>
    </row>
    <row r="3106" spans="84:91" s="51" customFormat="1">
      <c r="CF3106" s="239"/>
      <c r="CM3106" s="336"/>
    </row>
    <row r="3107" spans="84:91" s="51" customFormat="1">
      <c r="CF3107" s="239"/>
      <c r="CM3107" s="336"/>
    </row>
    <row r="3108" spans="84:91" s="51" customFormat="1">
      <c r="CF3108" s="239"/>
      <c r="CM3108" s="336"/>
    </row>
    <row r="3109" spans="84:91" s="51" customFormat="1">
      <c r="CF3109" s="239"/>
      <c r="CM3109" s="336"/>
    </row>
    <row r="3110" spans="84:91" s="51" customFormat="1">
      <c r="CF3110" s="239"/>
      <c r="CM3110" s="336"/>
    </row>
    <row r="3111" spans="84:91" s="51" customFormat="1">
      <c r="CF3111" s="239"/>
      <c r="CM3111" s="336"/>
    </row>
    <row r="3112" spans="84:91" s="51" customFormat="1">
      <c r="CF3112" s="239"/>
      <c r="CM3112" s="336"/>
    </row>
    <row r="3113" spans="84:91" s="51" customFormat="1">
      <c r="CF3113" s="239"/>
      <c r="CM3113" s="336"/>
    </row>
    <row r="3114" spans="84:91" s="51" customFormat="1">
      <c r="CF3114" s="239"/>
      <c r="CM3114" s="336"/>
    </row>
    <row r="3115" spans="84:91" s="51" customFormat="1">
      <c r="CF3115" s="239"/>
      <c r="CM3115" s="336"/>
    </row>
    <row r="3116" spans="84:91" s="51" customFormat="1">
      <c r="CF3116" s="239"/>
      <c r="CM3116" s="336"/>
    </row>
    <row r="3117" spans="84:91" s="51" customFormat="1">
      <c r="CF3117" s="239"/>
      <c r="CM3117" s="336"/>
    </row>
    <row r="3118" spans="84:91" s="51" customFormat="1">
      <c r="CF3118" s="239"/>
      <c r="CM3118" s="336"/>
    </row>
    <row r="3119" spans="84:91" s="51" customFormat="1">
      <c r="CF3119" s="239"/>
      <c r="CM3119" s="336"/>
    </row>
    <row r="3120" spans="84:91" s="51" customFormat="1">
      <c r="CF3120" s="239"/>
      <c r="CM3120" s="336"/>
    </row>
    <row r="3121" spans="84:91" s="51" customFormat="1">
      <c r="CF3121" s="239"/>
      <c r="CM3121" s="336"/>
    </row>
    <row r="3122" spans="84:91" s="51" customFormat="1">
      <c r="CF3122" s="239"/>
      <c r="CM3122" s="336"/>
    </row>
    <row r="3123" spans="84:91" s="51" customFormat="1">
      <c r="CF3123" s="239"/>
      <c r="CM3123" s="336"/>
    </row>
    <row r="3124" spans="84:91" s="51" customFormat="1">
      <c r="CF3124" s="239"/>
      <c r="CM3124" s="336"/>
    </row>
    <row r="3125" spans="84:91" s="51" customFormat="1">
      <c r="CF3125" s="239"/>
      <c r="CM3125" s="336"/>
    </row>
    <row r="3126" spans="84:91" s="51" customFormat="1">
      <c r="CF3126" s="239"/>
      <c r="CM3126" s="336"/>
    </row>
    <row r="3127" spans="84:91" s="51" customFormat="1">
      <c r="CF3127" s="239"/>
      <c r="CM3127" s="336"/>
    </row>
    <row r="3128" spans="84:91" s="51" customFormat="1">
      <c r="CF3128" s="239"/>
      <c r="CM3128" s="336"/>
    </row>
    <row r="3129" spans="84:91" s="51" customFormat="1">
      <c r="CF3129" s="239"/>
      <c r="CM3129" s="336"/>
    </row>
    <row r="3130" spans="84:91" s="51" customFormat="1">
      <c r="CF3130" s="239"/>
      <c r="CM3130" s="336"/>
    </row>
    <row r="3131" spans="84:91" s="51" customFormat="1">
      <c r="CF3131" s="239"/>
      <c r="CM3131" s="336"/>
    </row>
    <row r="3132" spans="84:91" s="51" customFormat="1">
      <c r="CF3132" s="239"/>
      <c r="CM3132" s="336"/>
    </row>
    <row r="3133" spans="84:91" s="51" customFormat="1">
      <c r="CF3133" s="239"/>
      <c r="CM3133" s="336"/>
    </row>
    <row r="3134" spans="84:91" s="51" customFormat="1">
      <c r="CF3134" s="239"/>
      <c r="CM3134" s="336"/>
    </row>
    <row r="3135" spans="84:91" s="51" customFormat="1">
      <c r="CF3135" s="239"/>
      <c r="CM3135" s="336"/>
    </row>
    <row r="3136" spans="84:91" s="51" customFormat="1">
      <c r="CF3136" s="239"/>
      <c r="CM3136" s="336"/>
    </row>
    <row r="3137" spans="84:91" s="51" customFormat="1">
      <c r="CF3137" s="239"/>
      <c r="CM3137" s="336"/>
    </row>
    <row r="3138" spans="84:91" s="51" customFormat="1">
      <c r="CF3138" s="239"/>
      <c r="CM3138" s="336"/>
    </row>
    <row r="3139" spans="84:91" s="51" customFormat="1">
      <c r="CF3139" s="239"/>
      <c r="CM3139" s="336"/>
    </row>
    <row r="3140" spans="84:91" s="51" customFormat="1">
      <c r="CF3140" s="239"/>
      <c r="CM3140" s="336"/>
    </row>
    <row r="3141" spans="84:91" s="51" customFormat="1">
      <c r="CF3141" s="239"/>
      <c r="CM3141" s="336"/>
    </row>
    <row r="3142" spans="84:91" s="51" customFormat="1">
      <c r="CF3142" s="239"/>
      <c r="CM3142" s="336"/>
    </row>
    <row r="3143" spans="84:91" s="51" customFormat="1">
      <c r="CF3143" s="239"/>
      <c r="CM3143" s="336"/>
    </row>
    <row r="3144" spans="84:91" s="51" customFormat="1">
      <c r="CF3144" s="239"/>
      <c r="CM3144" s="336"/>
    </row>
    <row r="3145" spans="84:91" s="51" customFormat="1">
      <c r="CF3145" s="239"/>
      <c r="CM3145" s="336"/>
    </row>
    <row r="3146" spans="84:91" s="51" customFormat="1">
      <c r="CF3146" s="239"/>
      <c r="CM3146" s="336"/>
    </row>
    <row r="3147" spans="84:91" s="51" customFormat="1">
      <c r="CF3147" s="239"/>
      <c r="CM3147" s="336"/>
    </row>
    <row r="3148" spans="84:91" s="51" customFormat="1">
      <c r="CF3148" s="239"/>
      <c r="CM3148" s="336"/>
    </row>
    <row r="3149" spans="84:91" s="51" customFormat="1">
      <c r="CF3149" s="239"/>
      <c r="CM3149" s="336"/>
    </row>
    <row r="3150" spans="84:91" s="51" customFormat="1">
      <c r="CF3150" s="239"/>
      <c r="CM3150" s="336"/>
    </row>
    <row r="3151" spans="84:91" s="51" customFormat="1">
      <c r="CF3151" s="239"/>
      <c r="CM3151" s="336"/>
    </row>
    <row r="3152" spans="84:91" s="51" customFormat="1">
      <c r="CF3152" s="239"/>
      <c r="CM3152" s="336"/>
    </row>
    <row r="3153" spans="84:91" s="51" customFormat="1">
      <c r="CF3153" s="239"/>
      <c r="CM3153" s="336"/>
    </row>
    <row r="3154" spans="84:91" s="51" customFormat="1">
      <c r="CF3154" s="239"/>
      <c r="CM3154" s="336"/>
    </row>
    <row r="3155" spans="84:91" s="51" customFormat="1">
      <c r="CF3155" s="239"/>
      <c r="CM3155" s="336"/>
    </row>
    <row r="3156" spans="84:91" s="51" customFormat="1">
      <c r="CF3156" s="239"/>
      <c r="CM3156" s="336"/>
    </row>
    <row r="3157" spans="84:91" s="51" customFormat="1">
      <c r="CF3157" s="239"/>
      <c r="CM3157" s="336"/>
    </row>
    <row r="3158" spans="84:91" s="51" customFormat="1">
      <c r="CF3158" s="239"/>
      <c r="CM3158" s="336"/>
    </row>
    <row r="3159" spans="84:91" s="51" customFormat="1">
      <c r="CF3159" s="239"/>
      <c r="CM3159" s="336"/>
    </row>
    <row r="3160" spans="84:91" s="51" customFormat="1">
      <c r="CF3160" s="239"/>
      <c r="CM3160" s="336"/>
    </row>
    <row r="3161" spans="84:91" s="51" customFormat="1">
      <c r="CF3161" s="239"/>
      <c r="CM3161" s="336"/>
    </row>
    <row r="3162" spans="84:91" s="51" customFormat="1">
      <c r="CF3162" s="239"/>
      <c r="CM3162" s="336"/>
    </row>
    <row r="3163" spans="84:91" s="51" customFormat="1">
      <c r="CF3163" s="239"/>
      <c r="CM3163" s="336"/>
    </row>
    <row r="3164" spans="84:91" s="51" customFormat="1">
      <c r="CF3164" s="239"/>
      <c r="CM3164" s="336"/>
    </row>
    <row r="3165" spans="84:91" s="51" customFormat="1">
      <c r="CF3165" s="239"/>
      <c r="CM3165" s="336"/>
    </row>
    <row r="3166" spans="84:91" s="51" customFormat="1">
      <c r="CF3166" s="239"/>
      <c r="CM3166" s="336"/>
    </row>
    <row r="3167" spans="84:91" s="51" customFormat="1">
      <c r="CF3167" s="239"/>
      <c r="CM3167" s="336"/>
    </row>
    <row r="3168" spans="84:91" s="51" customFormat="1">
      <c r="CF3168" s="239"/>
      <c r="CM3168" s="336"/>
    </row>
    <row r="3169" spans="84:91" s="51" customFormat="1">
      <c r="CF3169" s="239"/>
      <c r="CM3169" s="336"/>
    </row>
    <row r="3170" spans="84:91" s="51" customFormat="1">
      <c r="CF3170" s="239"/>
      <c r="CM3170" s="336"/>
    </row>
    <row r="3171" spans="84:91" s="51" customFormat="1">
      <c r="CF3171" s="239"/>
      <c r="CM3171" s="336"/>
    </row>
    <row r="3172" spans="84:91" s="51" customFormat="1">
      <c r="CF3172" s="239"/>
      <c r="CM3172" s="336"/>
    </row>
    <row r="3173" spans="84:91" s="51" customFormat="1">
      <c r="CF3173" s="239"/>
      <c r="CM3173" s="336"/>
    </row>
    <row r="3174" spans="84:91" s="51" customFormat="1">
      <c r="CF3174" s="239"/>
      <c r="CM3174" s="336"/>
    </row>
    <row r="3175" spans="84:91" s="51" customFormat="1">
      <c r="CF3175" s="239"/>
      <c r="CM3175" s="336"/>
    </row>
    <row r="3176" spans="84:91" s="51" customFormat="1">
      <c r="CF3176" s="239"/>
      <c r="CM3176" s="336"/>
    </row>
    <row r="3177" spans="84:91" s="51" customFormat="1">
      <c r="CF3177" s="239"/>
      <c r="CM3177" s="336"/>
    </row>
    <row r="3178" spans="84:91" s="51" customFormat="1">
      <c r="CF3178" s="239"/>
      <c r="CM3178" s="336"/>
    </row>
    <row r="3179" spans="84:91" s="51" customFormat="1">
      <c r="CF3179" s="239"/>
      <c r="CM3179" s="336"/>
    </row>
    <row r="3180" spans="84:91" s="51" customFormat="1">
      <c r="CF3180" s="239"/>
      <c r="CM3180" s="336"/>
    </row>
    <row r="3181" spans="84:91" s="51" customFormat="1">
      <c r="CF3181" s="239"/>
      <c r="CM3181" s="336"/>
    </row>
    <row r="3182" spans="84:91" s="51" customFormat="1">
      <c r="CF3182" s="239"/>
      <c r="CM3182" s="336"/>
    </row>
    <row r="3183" spans="84:91" s="51" customFormat="1">
      <c r="CF3183" s="239"/>
      <c r="CM3183" s="336"/>
    </row>
    <row r="3184" spans="84:91" s="51" customFormat="1">
      <c r="CF3184" s="239"/>
      <c r="CM3184" s="336"/>
    </row>
    <row r="3185" spans="84:91" s="51" customFormat="1">
      <c r="CF3185" s="239"/>
      <c r="CM3185" s="336"/>
    </row>
    <row r="3186" spans="84:91" s="51" customFormat="1">
      <c r="CF3186" s="239"/>
      <c r="CM3186" s="336"/>
    </row>
    <row r="3187" spans="84:91" s="51" customFormat="1">
      <c r="CF3187" s="239"/>
      <c r="CM3187" s="336"/>
    </row>
    <row r="3188" spans="84:91" s="51" customFormat="1">
      <c r="CF3188" s="239"/>
      <c r="CM3188" s="336"/>
    </row>
    <row r="3189" spans="84:91" s="51" customFormat="1">
      <c r="CF3189" s="239"/>
      <c r="CM3189" s="336"/>
    </row>
    <row r="3190" spans="84:91" s="51" customFormat="1">
      <c r="CF3190" s="239"/>
      <c r="CM3190" s="336"/>
    </row>
    <row r="3191" spans="84:91" s="51" customFormat="1">
      <c r="CF3191" s="239"/>
      <c r="CM3191" s="336"/>
    </row>
    <row r="3192" spans="84:91" s="51" customFormat="1">
      <c r="CF3192" s="239"/>
      <c r="CM3192" s="336"/>
    </row>
    <row r="3193" spans="84:91" s="51" customFormat="1">
      <c r="CF3193" s="239"/>
      <c r="CM3193" s="336"/>
    </row>
    <row r="3194" spans="84:91" s="51" customFormat="1">
      <c r="CF3194" s="239"/>
      <c r="CM3194" s="336"/>
    </row>
    <row r="3195" spans="84:91" s="51" customFormat="1">
      <c r="CF3195" s="239"/>
      <c r="CM3195" s="336"/>
    </row>
    <row r="3196" spans="84:91" s="51" customFormat="1">
      <c r="CF3196" s="239"/>
      <c r="CM3196" s="336"/>
    </row>
    <row r="3197" spans="84:91" s="51" customFormat="1">
      <c r="CF3197" s="239"/>
      <c r="CM3197" s="336"/>
    </row>
    <row r="3198" spans="84:91" s="51" customFormat="1">
      <c r="CF3198" s="239"/>
      <c r="CM3198" s="336"/>
    </row>
    <row r="3199" spans="84:91" s="51" customFormat="1">
      <c r="CF3199" s="239"/>
      <c r="CM3199" s="336"/>
    </row>
    <row r="3200" spans="84:91" s="51" customFormat="1">
      <c r="CF3200" s="239"/>
      <c r="CM3200" s="336"/>
    </row>
    <row r="3201" spans="84:91" s="51" customFormat="1">
      <c r="CF3201" s="239"/>
      <c r="CM3201" s="336"/>
    </row>
    <row r="3202" spans="84:91" s="51" customFormat="1">
      <c r="CF3202" s="239"/>
      <c r="CM3202" s="336"/>
    </row>
    <row r="3203" spans="84:91" s="51" customFormat="1">
      <c r="CF3203" s="239"/>
      <c r="CM3203" s="336"/>
    </row>
    <row r="3204" spans="84:91" s="51" customFormat="1">
      <c r="CF3204" s="239"/>
      <c r="CM3204" s="336"/>
    </row>
    <row r="3205" spans="84:91" s="51" customFormat="1">
      <c r="CF3205" s="239"/>
      <c r="CM3205" s="336"/>
    </row>
    <row r="3206" spans="84:91" s="51" customFormat="1">
      <c r="CF3206" s="239"/>
      <c r="CM3206" s="336"/>
    </row>
    <row r="3207" spans="84:91" s="51" customFormat="1">
      <c r="CF3207" s="239"/>
      <c r="CM3207" s="336"/>
    </row>
    <row r="3208" spans="84:91" s="51" customFormat="1">
      <c r="CF3208" s="239"/>
      <c r="CM3208" s="336"/>
    </row>
    <row r="3209" spans="84:91" s="51" customFormat="1">
      <c r="CF3209" s="239"/>
      <c r="CM3209" s="336"/>
    </row>
    <row r="3210" spans="84:91" s="51" customFormat="1">
      <c r="CF3210" s="239"/>
      <c r="CM3210" s="336"/>
    </row>
    <row r="3211" spans="84:91" s="51" customFormat="1">
      <c r="CF3211" s="239"/>
      <c r="CM3211" s="336"/>
    </row>
    <row r="3212" spans="84:91" s="51" customFormat="1">
      <c r="CF3212" s="239"/>
      <c r="CM3212" s="336"/>
    </row>
    <row r="3213" spans="84:91" s="51" customFormat="1">
      <c r="CF3213" s="239"/>
      <c r="CM3213" s="336"/>
    </row>
    <row r="3214" spans="84:91" s="51" customFormat="1">
      <c r="CF3214" s="239"/>
      <c r="CM3214" s="336"/>
    </row>
    <row r="3215" spans="84:91" s="51" customFormat="1">
      <c r="CF3215" s="239"/>
      <c r="CM3215" s="336"/>
    </row>
    <row r="3216" spans="84:91" s="51" customFormat="1">
      <c r="CF3216" s="239"/>
      <c r="CM3216" s="336"/>
    </row>
    <row r="3217" spans="84:91" s="51" customFormat="1">
      <c r="CF3217" s="239"/>
      <c r="CM3217" s="336"/>
    </row>
    <row r="3218" spans="84:91" s="51" customFormat="1">
      <c r="CF3218" s="239"/>
      <c r="CM3218" s="336"/>
    </row>
    <row r="3219" spans="84:91" s="51" customFormat="1">
      <c r="CF3219" s="239"/>
      <c r="CM3219" s="336"/>
    </row>
    <row r="3220" spans="84:91" s="51" customFormat="1">
      <c r="CF3220" s="239"/>
      <c r="CM3220" s="336"/>
    </row>
    <row r="3221" spans="84:91" s="51" customFormat="1">
      <c r="CF3221" s="239"/>
      <c r="CM3221" s="336"/>
    </row>
    <row r="3222" spans="84:91" s="51" customFormat="1">
      <c r="CF3222" s="239"/>
      <c r="CM3222" s="336"/>
    </row>
    <row r="3223" spans="84:91" s="51" customFormat="1">
      <c r="CF3223" s="239"/>
      <c r="CM3223" s="336"/>
    </row>
    <row r="3224" spans="84:91" s="51" customFormat="1">
      <c r="CF3224" s="239"/>
      <c r="CM3224" s="336"/>
    </row>
    <row r="3225" spans="84:91" s="51" customFormat="1">
      <c r="CF3225" s="239"/>
      <c r="CM3225" s="336"/>
    </row>
    <row r="3226" spans="84:91" s="51" customFormat="1">
      <c r="CF3226" s="239"/>
      <c r="CM3226" s="336"/>
    </row>
    <row r="3227" spans="84:91" s="51" customFormat="1">
      <c r="CF3227" s="239"/>
      <c r="CM3227" s="336"/>
    </row>
    <row r="3228" spans="84:91" s="51" customFormat="1">
      <c r="CF3228" s="239"/>
      <c r="CM3228" s="336"/>
    </row>
    <row r="3229" spans="84:91" s="51" customFormat="1">
      <c r="CF3229" s="239"/>
      <c r="CM3229" s="336"/>
    </row>
    <row r="3230" spans="84:91" s="51" customFormat="1">
      <c r="CF3230" s="239"/>
      <c r="CM3230" s="336"/>
    </row>
    <row r="3231" spans="84:91" s="51" customFormat="1">
      <c r="CF3231" s="239"/>
      <c r="CM3231" s="336"/>
    </row>
    <row r="3232" spans="84:91" s="51" customFormat="1">
      <c r="CF3232" s="239"/>
      <c r="CM3232" s="336"/>
    </row>
    <row r="3233" spans="84:91" s="51" customFormat="1">
      <c r="CF3233" s="239"/>
      <c r="CM3233" s="336"/>
    </row>
    <row r="3234" spans="84:91" s="51" customFormat="1">
      <c r="CF3234" s="239"/>
      <c r="CM3234" s="336"/>
    </row>
    <row r="3235" spans="84:91" s="51" customFormat="1">
      <c r="CF3235" s="239"/>
      <c r="CM3235" s="336"/>
    </row>
    <row r="3236" spans="84:91" s="51" customFormat="1">
      <c r="CF3236" s="239"/>
      <c r="CM3236" s="336"/>
    </row>
    <row r="3237" spans="84:91" s="51" customFormat="1">
      <c r="CF3237" s="239"/>
      <c r="CM3237" s="336"/>
    </row>
    <row r="3238" spans="84:91" s="51" customFormat="1">
      <c r="CF3238" s="239"/>
      <c r="CM3238" s="336"/>
    </row>
    <row r="3239" spans="84:91" s="51" customFormat="1">
      <c r="CF3239" s="239"/>
      <c r="CM3239" s="336"/>
    </row>
    <row r="3240" spans="84:91" s="51" customFormat="1">
      <c r="CF3240" s="239"/>
      <c r="CM3240" s="336"/>
    </row>
    <row r="3241" spans="84:91" s="51" customFormat="1">
      <c r="CF3241" s="239"/>
      <c r="CM3241" s="336"/>
    </row>
    <row r="3242" spans="84:91" s="51" customFormat="1">
      <c r="CF3242" s="239"/>
      <c r="CM3242" s="336"/>
    </row>
    <row r="3243" spans="84:91" s="51" customFormat="1">
      <c r="CF3243" s="239"/>
      <c r="CM3243" s="336"/>
    </row>
    <row r="3244" spans="84:91" s="51" customFormat="1">
      <c r="CF3244" s="239"/>
      <c r="CM3244" s="336"/>
    </row>
    <row r="3245" spans="84:91" s="51" customFormat="1">
      <c r="CF3245" s="239"/>
      <c r="CM3245" s="336"/>
    </row>
    <row r="3246" spans="84:91" s="51" customFormat="1">
      <c r="CF3246" s="239"/>
      <c r="CM3246" s="336"/>
    </row>
    <row r="3247" spans="84:91" s="51" customFormat="1">
      <c r="CF3247" s="239"/>
      <c r="CM3247" s="336"/>
    </row>
    <row r="3248" spans="84:91" s="51" customFormat="1">
      <c r="CF3248" s="239"/>
      <c r="CM3248" s="336"/>
    </row>
    <row r="3249" spans="84:91" s="51" customFormat="1">
      <c r="CF3249" s="239"/>
      <c r="CM3249" s="336"/>
    </row>
    <row r="3250" spans="84:91" s="51" customFormat="1">
      <c r="CF3250" s="239"/>
      <c r="CM3250" s="336"/>
    </row>
    <row r="3251" spans="84:91" s="51" customFormat="1">
      <c r="CF3251" s="239"/>
      <c r="CM3251" s="336"/>
    </row>
    <row r="3252" spans="84:91" s="51" customFormat="1">
      <c r="CF3252" s="239"/>
      <c r="CM3252" s="336"/>
    </row>
    <row r="3253" spans="84:91" s="51" customFormat="1">
      <c r="CF3253" s="239"/>
      <c r="CM3253" s="336"/>
    </row>
    <row r="3254" spans="84:91" s="51" customFormat="1">
      <c r="CF3254" s="239"/>
      <c r="CM3254" s="336"/>
    </row>
    <row r="3255" spans="84:91" s="51" customFormat="1">
      <c r="CF3255" s="239"/>
      <c r="CM3255" s="336"/>
    </row>
    <row r="3256" spans="84:91" s="51" customFormat="1">
      <c r="CF3256" s="239"/>
      <c r="CM3256" s="336"/>
    </row>
    <row r="3257" spans="84:91" s="51" customFormat="1">
      <c r="CF3257" s="239"/>
      <c r="CM3257" s="336"/>
    </row>
    <row r="3258" spans="84:91" s="51" customFormat="1">
      <c r="CF3258" s="239"/>
      <c r="CM3258" s="336"/>
    </row>
    <row r="3259" spans="84:91" s="51" customFormat="1">
      <c r="CF3259" s="239"/>
      <c r="CM3259" s="336"/>
    </row>
    <row r="3260" spans="84:91" s="51" customFormat="1">
      <c r="CF3260" s="239"/>
      <c r="CM3260" s="336"/>
    </row>
    <row r="3261" spans="84:91" s="51" customFormat="1">
      <c r="CF3261" s="239"/>
      <c r="CM3261" s="336"/>
    </row>
    <row r="3262" spans="84:91" s="51" customFormat="1">
      <c r="CF3262" s="239"/>
      <c r="CM3262" s="336"/>
    </row>
    <row r="3263" spans="84:91" s="51" customFormat="1">
      <c r="CF3263" s="239"/>
      <c r="CM3263" s="336"/>
    </row>
    <row r="3264" spans="84:91" s="51" customFormat="1">
      <c r="CF3264" s="239"/>
      <c r="CM3264" s="336"/>
    </row>
    <row r="3265" spans="84:91" s="51" customFormat="1">
      <c r="CF3265" s="239"/>
      <c r="CM3265" s="336"/>
    </row>
    <row r="3266" spans="84:91" s="51" customFormat="1">
      <c r="CF3266" s="239"/>
      <c r="CM3266" s="336"/>
    </row>
    <row r="3267" spans="84:91" s="51" customFormat="1">
      <c r="CF3267" s="239"/>
      <c r="CM3267" s="336"/>
    </row>
    <row r="3268" spans="84:91" s="51" customFormat="1">
      <c r="CF3268" s="239"/>
      <c r="CM3268" s="336"/>
    </row>
    <row r="3269" spans="84:91" s="51" customFormat="1">
      <c r="CF3269" s="239"/>
      <c r="CM3269" s="336"/>
    </row>
    <row r="3270" spans="84:91" s="51" customFormat="1">
      <c r="CF3270" s="239"/>
      <c r="CM3270" s="336"/>
    </row>
    <row r="3271" spans="84:91" s="51" customFormat="1">
      <c r="CF3271" s="239"/>
      <c r="CM3271" s="336"/>
    </row>
    <row r="3272" spans="84:91" s="51" customFormat="1">
      <c r="CF3272" s="239"/>
      <c r="CM3272" s="336"/>
    </row>
    <row r="3273" spans="84:91" s="51" customFormat="1">
      <c r="CF3273" s="239"/>
      <c r="CM3273" s="336"/>
    </row>
    <row r="3274" spans="84:91" s="51" customFormat="1">
      <c r="CF3274" s="239"/>
      <c r="CM3274" s="336"/>
    </row>
    <row r="3275" spans="84:91" s="51" customFormat="1">
      <c r="CF3275" s="239"/>
      <c r="CM3275" s="336"/>
    </row>
    <row r="3276" spans="84:91" s="51" customFormat="1">
      <c r="CF3276" s="239"/>
      <c r="CM3276" s="336"/>
    </row>
    <row r="3277" spans="84:91" s="51" customFormat="1">
      <c r="CF3277" s="239"/>
      <c r="CM3277" s="336"/>
    </row>
    <row r="3278" spans="84:91" s="51" customFormat="1">
      <c r="CF3278" s="239"/>
      <c r="CM3278" s="336"/>
    </row>
    <row r="3279" spans="84:91" s="51" customFormat="1">
      <c r="CF3279" s="239"/>
      <c r="CM3279" s="336"/>
    </row>
    <row r="3280" spans="84:91" s="51" customFormat="1">
      <c r="CF3280" s="239"/>
      <c r="CM3280" s="336"/>
    </row>
    <row r="3281" spans="84:91" s="51" customFormat="1">
      <c r="CF3281" s="239"/>
      <c r="CM3281" s="336"/>
    </row>
    <row r="3282" spans="84:91" s="51" customFormat="1">
      <c r="CF3282" s="239"/>
      <c r="CM3282" s="336"/>
    </row>
    <row r="3283" spans="84:91" s="51" customFormat="1">
      <c r="CF3283" s="239"/>
      <c r="CM3283" s="336"/>
    </row>
    <row r="3284" spans="84:91" s="51" customFormat="1">
      <c r="CF3284" s="239"/>
      <c r="CM3284" s="336"/>
    </row>
    <row r="3285" spans="84:91" s="51" customFormat="1">
      <c r="CF3285" s="239"/>
      <c r="CM3285" s="336"/>
    </row>
    <row r="3286" spans="84:91" s="51" customFormat="1">
      <c r="CF3286" s="239"/>
      <c r="CM3286" s="336"/>
    </row>
    <row r="3287" spans="84:91" s="51" customFormat="1">
      <c r="CF3287" s="239"/>
      <c r="CM3287" s="336"/>
    </row>
    <row r="3288" spans="84:91" s="51" customFormat="1">
      <c r="CF3288" s="239"/>
      <c r="CM3288" s="336"/>
    </row>
    <row r="3289" spans="84:91" s="51" customFormat="1">
      <c r="CF3289" s="239"/>
      <c r="CM3289" s="336"/>
    </row>
    <row r="3290" spans="84:91" s="51" customFormat="1">
      <c r="CF3290" s="239"/>
      <c r="CM3290" s="336"/>
    </row>
    <row r="3291" spans="84:91" s="51" customFormat="1">
      <c r="CF3291" s="239"/>
      <c r="CM3291" s="336"/>
    </row>
    <row r="3292" spans="84:91" s="51" customFormat="1">
      <c r="CF3292" s="239"/>
      <c r="CM3292" s="336"/>
    </row>
    <row r="3293" spans="84:91" s="51" customFormat="1">
      <c r="CF3293" s="239"/>
      <c r="CM3293" s="336"/>
    </row>
    <row r="3294" spans="84:91" s="51" customFormat="1">
      <c r="CF3294" s="239"/>
      <c r="CM3294" s="336"/>
    </row>
    <row r="3295" spans="84:91" s="51" customFormat="1">
      <c r="CF3295" s="239"/>
      <c r="CM3295" s="336"/>
    </row>
    <row r="3296" spans="84:91" s="51" customFormat="1">
      <c r="CF3296" s="239"/>
      <c r="CM3296" s="336"/>
    </row>
    <row r="3297" spans="84:91" s="51" customFormat="1">
      <c r="CF3297" s="239"/>
      <c r="CM3297" s="336"/>
    </row>
    <row r="3298" spans="84:91" s="51" customFormat="1">
      <c r="CF3298" s="239"/>
      <c r="CM3298" s="336"/>
    </row>
    <row r="3299" spans="84:91" s="51" customFormat="1">
      <c r="CF3299" s="239"/>
      <c r="CM3299" s="336"/>
    </row>
    <row r="3300" spans="84:91" s="51" customFormat="1">
      <c r="CF3300" s="239"/>
      <c r="CM3300" s="336"/>
    </row>
    <row r="3301" spans="84:91" s="51" customFormat="1">
      <c r="CF3301" s="239"/>
      <c r="CM3301" s="336"/>
    </row>
    <row r="3302" spans="84:91" s="51" customFormat="1">
      <c r="CF3302" s="239"/>
      <c r="CM3302" s="336"/>
    </row>
    <row r="3303" spans="84:91" s="51" customFormat="1">
      <c r="CF3303" s="239"/>
      <c r="CM3303" s="336"/>
    </row>
    <row r="3304" spans="84:91" s="51" customFormat="1">
      <c r="CF3304" s="239"/>
      <c r="CM3304" s="336"/>
    </row>
    <row r="3305" spans="84:91" s="51" customFormat="1">
      <c r="CF3305" s="239"/>
      <c r="CM3305" s="336"/>
    </row>
    <row r="3306" spans="84:91" s="51" customFormat="1">
      <c r="CF3306" s="239"/>
      <c r="CM3306" s="336"/>
    </row>
    <row r="3307" spans="84:91" s="51" customFormat="1">
      <c r="CF3307" s="239"/>
      <c r="CM3307" s="336"/>
    </row>
    <row r="3308" spans="84:91" s="51" customFormat="1">
      <c r="CF3308" s="239"/>
      <c r="CM3308" s="336"/>
    </row>
    <row r="3309" spans="84:91" s="51" customFormat="1">
      <c r="CF3309" s="239"/>
      <c r="CM3309" s="336"/>
    </row>
    <row r="3310" spans="84:91" s="51" customFormat="1">
      <c r="CF3310" s="239"/>
      <c r="CM3310" s="336"/>
    </row>
    <row r="3311" spans="84:91" s="51" customFormat="1">
      <c r="CF3311" s="239"/>
      <c r="CM3311" s="336"/>
    </row>
    <row r="3312" spans="84:91" s="51" customFormat="1">
      <c r="CF3312" s="239"/>
      <c r="CM3312" s="336"/>
    </row>
    <row r="3313" spans="84:91" s="51" customFormat="1">
      <c r="CF3313" s="239"/>
      <c r="CM3313" s="336"/>
    </row>
    <row r="3314" spans="84:91" s="51" customFormat="1">
      <c r="CF3314" s="239"/>
      <c r="CM3314" s="336"/>
    </row>
    <row r="3315" spans="84:91" s="51" customFormat="1">
      <c r="CF3315" s="239"/>
      <c r="CM3315" s="336"/>
    </row>
    <row r="3316" spans="84:91" s="51" customFormat="1">
      <c r="CF3316" s="239"/>
      <c r="CM3316" s="336"/>
    </row>
    <row r="3317" spans="84:91" s="51" customFormat="1">
      <c r="CF3317" s="239"/>
      <c r="CM3317" s="336"/>
    </row>
    <row r="3318" spans="84:91" s="51" customFormat="1">
      <c r="CF3318" s="239"/>
      <c r="CM3318" s="336"/>
    </row>
    <row r="3319" spans="84:91" s="51" customFormat="1">
      <c r="CF3319" s="239"/>
      <c r="CM3319" s="336"/>
    </row>
    <row r="3320" spans="84:91" s="51" customFormat="1">
      <c r="CF3320" s="239"/>
      <c r="CM3320" s="336"/>
    </row>
    <row r="3321" spans="84:91" s="51" customFormat="1">
      <c r="CF3321" s="239"/>
      <c r="CM3321" s="336"/>
    </row>
    <row r="3322" spans="84:91" s="51" customFormat="1">
      <c r="CF3322" s="239"/>
      <c r="CM3322" s="336"/>
    </row>
    <row r="3323" spans="84:91" s="51" customFormat="1">
      <c r="CF3323" s="239"/>
      <c r="CM3323" s="336"/>
    </row>
    <row r="3324" spans="84:91" s="51" customFormat="1">
      <c r="CF3324" s="239"/>
      <c r="CM3324" s="336"/>
    </row>
    <row r="3325" spans="84:91" s="51" customFormat="1">
      <c r="CF3325" s="239"/>
      <c r="CM3325" s="336"/>
    </row>
    <row r="3326" spans="84:91" s="51" customFormat="1">
      <c r="CF3326" s="239"/>
      <c r="CM3326" s="336"/>
    </row>
    <row r="3327" spans="84:91" s="51" customFormat="1">
      <c r="CF3327" s="239"/>
      <c r="CM3327" s="336"/>
    </row>
    <row r="3328" spans="84:91" s="51" customFormat="1">
      <c r="CF3328" s="239"/>
      <c r="CM3328" s="336"/>
    </row>
    <row r="3329" spans="84:91" s="51" customFormat="1">
      <c r="CF3329" s="239"/>
      <c r="CM3329" s="336"/>
    </row>
    <row r="3330" spans="84:91" s="51" customFormat="1">
      <c r="CF3330" s="239"/>
      <c r="CM3330" s="336"/>
    </row>
    <row r="3331" spans="84:91" s="51" customFormat="1">
      <c r="CF3331" s="239"/>
      <c r="CM3331" s="336"/>
    </row>
    <row r="3332" spans="84:91" s="51" customFormat="1">
      <c r="CF3332" s="239"/>
      <c r="CM3332" s="336"/>
    </row>
    <row r="3333" spans="84:91" s="51" customFormat="1">
      <c r="CF3333" s="239"/>
      <c r="CM3333" s="336"/>
    </row>
    <row r="3334" spans="84:91" s="51" customFormat="1">
      <c r="CF3334" s="239"/>
      <c r="CM3334" s="336"/>
    </row>
    <row r="3335" spans="84:91" s="51" customFormat="1">
      <c r="CF3335" s="239"/>
      <c r="CM3335" s="336"/>
    </row>
    <row r="3336" spans="84:91" s="51" customFormat="1">
      <c r="CF3336" s="239"/>
      <c r="CM3336" s="336"/>
    </row>
    <row r="3337" spans="84:91" s="51" customFormat="1">
      <c r="CF3337" s="239"/>
      <c r="CM3337" s="336"/>
    </row>
    <row r="3338" spans="84:91" s="51" customFormat="1">
      <c r="CF3338" s="239"/>
      <c r="CM3338" s="336"/>
    </row>
    <row r="3339" spans="84:91" s="51" customFormat="1">
      <c r="CF3339" s="239"/>
      <c r="CM3339" s="336"/>
    </row>
    <row r="3340" spans="84:91" s="51" customFormat="1">
      <c r="CF3340" s="239"/>
      <c r="CM3340" s="336"/>
    </row>
    <row r="3341" spans="84:91" s="51" customFormat="1">
      <c r="CF3341" s="239"/>
      <c r="CM3341" s="336"/>
    </row>
    <row r="3342" spans="84:91" s="51" customFormat="1">
      <c r="CF3342" s="239"/>
      <c r="CM3342" s="336"/>
    </row>
    <row r="3343" spans="84:91" s="51" customFormat="1">
      <c r="CF3343" s="239"/>
      <c r="CM3343" s="336"/>
    </row>
    <row r="3344" spans="84:91" s="51" customFormat="1">
      <c r="CF3344" s="239"/>
      <c r="CM3344" s="336"/>
    </row>
    <row r="3345" spans="84:91" s="51" customFormat="1">
      <c r="CF3345" s="239"/>
      <c r="CM3345" s="336"/>
    </row>
    <row r="3346" spans="84:91" s="51" customFormat="1">
      <c r="CF3346" s="239"/>
      <c r="CM3346" s="336"/>
    </row>
    <row r="3347" spans="84:91" s="51" customFormat="1">
      <c r="CF3347" s="239"/>
      <c r="CM3347" s="336"/>
    </row>
    <row r="3348" spans="84:91" s="51" customFormat="1">
      <c r="CF3348" s="239"/>
      <c r="CM3348" s="336"/>
    </row>
    <row r="3349" spans="84:91" s="51" customFormat="1">
      <c r="CF3349" s="239"/>
      <c r="CM3349" s="336"/>
    </row>
    <row r="3350" spans="84:91" s="51" customFormat="1">
      <c r="CF3350" s="239"/>
      <c r="CM3350" s="336"/>
    </row>
    <row r="3351" spans="84:91" s="51" customFormat="1">
      <c r="CF3351" s="239"/>
      <c r="CM3351" s="336"/>
    </row>
    <row r="3352" spans="84:91" s="51" customFormat="1">
      <c r="CF3352" s="239"/>
      <c r="CM3352" s="336"/>
    </row>
    <row r="3353" spans="84:91" s="51" customFormat="1">
      <c r="CF3353" s="239"/>
      <c r="CM3353" s="336"/>
    </row>
    <row r="3354" spans="84:91" s="51" customFormat="1">
      <c r="CF3354" s="239"/>
      <c r="CM3354" s="336"/>
    </row>
    <row r="3355" spans="84:91" s="51" customFormat="1">
      <c r="CF3355" s="239"/>
      <c r="CM3355" s="336"/>
    </row>
    <row r="3356" spans="84:91" s="51" customFormat="1">
      <c r="CF3356" s="239"/>
      <c r="CM3356" s="336"/>
    </row>
    <row r="3357" spans="84:91" s="51" customFormat="1">
      <c r="CF3357" s="239"/>
      <c r="CM3357" s="336"/>
    </row>
    <row r="3358" spans="84:91" s="51" customFormat="1">
      <c r="CF3358" s="239"/>
      <c r="CM3358" s="336"/>
    </row>
    <row r="3359" spans="84:91" s="51" customFormat="1">
      <c r="CF3359" s="239"/>
      <c r="CM3359" s="336"/>
    </row>
    <row r="3360" spans="84:91" s="51" customFormat="1">
      <c r="CF3360" s="239"/>
      <c r="CM3360" s="336"/>
    </row>
    <row r="3361" spans="84:91" s="51" customFormat="1">
      <c r="CF3361" s="239"/>
      <c r="CM3361" s="336"/>
    </row>
    <row r="3362" spans="84:91" s="51" customFormat="1">
      <c r="CF3362" s="239"/>
      <c r="CM3362" s="336"/>
    </row>
    <row r="3363" spans="84:91" s="51" customFormat="1">
      <c r="CF3363" s="239"/>
      <c r="CM3363" s="336"/>
    </row>
    <row r="3364" spans="84:91" s="51" customFormat="1">
      <c r="CF3364" s="239"/>
      <c r="CM3364" s="336"/>
    </row>
    <row r="3365" spans="84:91" s="51" customFormat="1">
      <c r="CF3365" s="239"/>
      <c r="CM3365" s="336"/>
    </row>
    <row r="3366" spans="84:91" s="51" customFormat="1">
      <c r="CF3366" s="239"/>
      <c r="CM3366" s="336"/>
    </row>
    <row r="3367" spans="84:91" s="51" customFormat="1">
      <c r="CF3367" s="239"/>
      <c r="CM3367" s="336"/>
    </row>
    <row r="3368" spans="84:91" s="51" customFormat="1">
      <c r="CF3368" s="239"/>
      <c r="CM3368" s="336"/>
    </row>
    <row r="3369" spans="84:91" s="51" customFormat="1">
      <c r="CF3369" s="239"/>
      <c r="CM3369" s="336"/>
    </row>
    <row r="3370" spans="84:91" s="51" customFormat="1">
      <c r="CF3370" s="239"/>
      <c r="CM3370" s="336"/>
    </row>
    <row r="3371" spans="84:91" s="51" customFormat="1">
      <c r="CF3371" s="239"/>
      <c r="CM3371" s="336"/>
    </row>
    <row r="3372" spans="84:91" s="51" customFormat="1">
      <c r="CF3372" s="239"/>
      <c r="CM3372" s="336"/>
    </row>
    <row r="3373" spans="84:91" s="51" customFormat="1">
      <c r="CF3373" s="239"/>
      <c r="CM3373" s="336"/>
    </row>
    <row r="3374" spans="84:91" s="51" customFormat="1">
      <c r="CF3374" s="239"/>
      <c r="CM3374" s="336"/>
    </row>
    <row r="3375" spans="84:91" s="51" customFormat="1">
      <c r="CF3375" s="239"/>
      <c r="CM3375" s="336"/>
    </row>
    <row r="3376" spans="84:91" s="51" customFormat="1">
      <c r="CF3376" s="239"/>
      <c r="CM3376" s="336"/>
    </row>
    <row r="3377" spans="84:91" s="51" customFormat="1">
      <c r="CF3377" s="239"/>
      <c r="CM3377" s="336"/>
    </row>
    <row r="3378" spans="84:91" s="51" customFormat="1">
      <c r="CF3378" s="239"/>
      <c r="CM3378" s="336"/>
    </row>
    <row r="3379" spans="84:91" s="51" customFormat="1">
      <c r="CF3379" s="239"/>
      <c r="CM3379" s="336"/>
    </row>
    <row r="3380" spans="84:91" s="51" customFormat="1">
      <c r="CF3380" s="239"/>
      <c r="CM3380" s="336"/>
    </row>
    <row r="3381" spans="84:91" s="51" customFormat="1">
      <c r="CF3381" s="239"/>
      <c r="CM3381" s="336"/>
    </row>
    <row r="3382" spans="84:91" s="51" customFormat="1">
      <c r="CF3382" s="239"/>
      <c r="CM3382" s="336"/>
    </row>
    <row r="3383" spans="84:91" s="51" customFormat="1">
      <c r="CF3383" s="239"/>
      <c r="CM3383" s="336"/>
    </row>
    <row r="3384" spans="84:91" s="51" customFormat="1">
      <c r="CF3384" s="239"/>
      <c r="CM3384" s="336"/>
    </row>
    <row r="3385" spans="84:91" s="51" customFormat="1">
      <c r="CF3385" s="239"/>
      <c r="CM3385" s="336"/>
    </row>
    <row r="3386" spans="84:91" s="51" customFormat="1">
      <c r="CF3386" s="239"/>
      <c r="CM3386" s="336"/>
    </row>
    <row r="3387" spans="84:91" s="51" customFormat="1">
      <c r="CF3387" s="239"/>
      <c r="CM3387" s="336"/>
    </row>
    <row r="3388" spans="84:91" s="51" customFormat="1">
      <c r="CF3388" s="239"/>
      <c r="CM3388" s="336"/>
    </row>
    <row r="3389" spans="84:91" s="51" customFormat="1">
      <c r="CF3389" s="239"/>
      <c r="CM3389" s="336"/>
    </row>
    <row r="3390" spans="84:91" s="51" customFormat="1">
      <c r="CF3390" s="239"/>
      <c r="CM3390" s="336"/>
    </row>
    <row r="3391" spans="84:91" s="51" customFormat="1">
      <c r="CF3391" s="239"/>
      <c r="CM3391" s="336"/>
    </row>
    <row r="3392" spans="84:91" s="51" customFormat="1">
      <c r="CF3392" s="239"/>
      <c r="CM3392" s="336"/>
    </row>
    <row r="3393" spans="84:91" s="51" customFormat="1">
      <c r="CF3393" s="239"/>
      <c r="CM3393" s="336"/>
    </row>
    <row r="3394" spans="84:91" s="51" customFormat="1">
      <c r="CF3394" s="239"/>
      <c r="CM3394" s="336"/>
    </row>
    <row r="3395" spans="84:91" s="51" customFormat="1">
      <c r="CF3395" s="239"/>
      <c r="CM3395" s="336"/>
    </row>
    <row r="3396" spans="84:91" s="51" customFormat="1">
      <c r="CF3396" s="239"/>
      <c r="CM3396" s="336"/>
    </row>
    <row r="3397" spans="84:91" s="51" customFormat="1">
      <c r="CF3397" s="239"/>
      <c r="CM3397" s="336"/>
    </row>
    <row r="3398" spans="84:91" s="51" customFormat="1">
      <c r="CF3398" s="239"/>
      <c r="CM3398" s="336"/>
    </row>
    <row r="3399" spans="84:91" s="51" customFormat="1">
      <c r="CF3399" s="239"/>
      <c r="CM3399" s="336"/>
    </row>
    <row r="3400" spans="84:91" s="51" customFormat="1">
      <c r="CF3400" s="239"/>
      <c r="CM3400" s="336"/>
    </row>
    <row r="3401" spans="84:91" s="51" customFormat="1">
      <c r="CF3401" s="239"/>
      <c r="CM3401" s="336"/>
    </row>
    <row r="3402" spans="84:91" s="51" customFormat="1">
      <c r="CF3402" s="239"/>
      <c r="CM3402" s="336"/>
    </row>
    <row r="3403" spans="84:91" s="51" customFormat="1">
      <c r="CF3403" s="239"/>
      <c r="CM3403" s="336"/>
    </row>
    <row r="3404" spans="84:91" s="51" customFormat="1">
      <c r="CF3404" s="239"/>
      <c r="CM3404" s="336"/>
    </row>
    <row r="3405" spans="84:91" s="51" customFormat="1">
      <c r="CF3405" s="239"/>
      <c r="CM3405" s="336"/>
    </row>
    <row r="3406" spans="84:91" s="51" customFormat="1">
      <c r="CF3406" s="239"/>
      <c r="CM3406" s="336"/>
    </row>
    <row r="3407" spans="84:91" s="51" customFormat="1">
      <c r="CF3407" s="239"/>
      <c r="CM3407" s="336"/>
    </row>
    <row r="3408" spans="84:91" s="51" customFormat="1">
      <c r="CF3408" s="239"/>
      <c r="CM3408" s="336"/>
    </row>
    <row r="3409" spans="84:91" s="51" customFormat="1">
      <c r="CF3409" s="239"/>
      <c r="CM3409" s="336"/>
    </row>
    <row r="3410" spans="84:91" s="51" customFormat="1">
      <c r="CF3410" s="239"/>
      <c r="CM3410" s="336"/>
    </row>
    <row r="3411" spans="84:91" s="51" customFormat="1">
      <c r="CF3411" s="239"/>
      <c r="CM3411" s="336"/>
    </row>
    <row r="3412" spans="84:91" s="51" customFormat="1">
      <c r="CF3412" s="239"/>
      <c r="CM3412" s="336"/>
    </row>
    <row r="3413" spans="84:91" s="51" customFormat="1">
      <c r="CF3413" s="239"/>
      <c r="CM3413" s="336"/>
    </row>
    <row r="3414" spans="84:91" s="51" customFormat="1">
      <c r="CF3414" s="239"/>
      <c r="CM3414" s="336"/>
    </row>
    <row r="3415" spans="84:91" s="51" customFormat="1">
      <c r="CF3415" s="239"/>
      <c r="CM3415" s="336"/>
    </row>
    <row r="3416" spans="84:91" s="51" customFormat="1">
      <c r="CF3416" s="239"/>
      <c r="CM3416" s="336"/>
    </row>
    <row r="3417" spans="84:91" s="51" customFormat="1">
      <c r="CF3417" s="239"/>
      <c r="CM3417" s="336"/>
    </row>
    <row r="3418" spans="84:91" s="51" customFormat="1">
      <c r="CF3418" s="239"/>
      <c r="CM3418" s="336"/>
    </row>
    <row r="3419" spans="84:91" s="51" customFormat="1">
      <c r="CF3419" s="239"/>
      <c r="CM3419" s="336"/>
    </row>
    <row r="3420" spans="84:91" s="51" customFormat="1">
      <c r="CF3420" s="239"/>
      <c r="CM3420" s="336"/>
    </row>
    <row r="3421" spans="84:91" s="51" customFormat="1">
      <c r="CF3421" s="239"/>
      <c r="CM3421" s="336"/>
    </row>
    <row r="3422" spans="84:91" s="51" customFormat="1">
      <c r="CF3422" s="239"/>
      <c r="CM3422" s="336"/>
    </row>
    <row r="3423" spans="84:91" s="51" customFormat="1">
      <c r="CF3423" s="239"/>
      <c r="CM3423" s="336"/>
    </row>
    <row r="3424" spans="84:91" s="51" customFormat="1">
      <c r="CF3424" s="239"/>
      <c r="CM3424" s="336"/>
    </row>
    <row r="3425" spans="84:91" s="51" customFormat="1">
      <c r="CF3425" s="239"/>
      <c r="CM3425" s="336"/>
    </row>
    <row r="3426" spans="84:91" s="51" customFormat="1">
      <c r="CF3426" s="239"/>
      <c r="CM3426" s="336"/>
    </row>
    <row r="3427" spans="84:91" s="51" customFormat="1">
      <c r="CF3427" s="239"/>
      <c r="CM3427" s="336"/>
    </row>
    <row r="3428" spans="84:91" s="51" customFormat="1">
      <c r="CF3428" s="239"/>
      <c r="CM3428" s="336"/>
    </row>
    <row r="3429" spans="84:91" s="51" customFormat="1">
      <c r="CF3429" s="239"/>
      <c r="CM3429" s="336"/>
    </row>
    <row r="3430" spans="84:91" s="51" customFormat="1">
      <c r="CF3430" s="239"/>
      <c r="CM3430" s="336"/>
    </row>
    <row r="3431" spans="84:91" s="51" customFormat="1">
      <c r="CF3431" s="239"/>
      <c r="CM3431" s="336"/>
    </row>
    <row r="3432" spans="84:91" s="51" customFormat="1">
      <c r="CF3432" s="239"/>
      <c r="CM3432" s="336"/>
    </row>
    <row r="3433" spans="84:91" s="51" customFormat="1">
      <c r="CF3433" s="239"/>
      <c r="CM3433" s="336"/>
    </row>
    <row r="3434" spans="84:91" s="51" customFormat="1">
      <c r="CF3434" s="239"/>
      <c r="CM3434" s="336"/>
    </row>
    <row r="3435" spans="84:91" s="51" customFormat="1">
      <c r="CF3435" s="239"/>
      <c r="CM3435" s="336"/>
    </row>
    <row r="3436" spans="84:91" s="51" customFormat="1">
      <c r="CF3436" s="239"/>
      <c r="CM3436" s="336"/>
    </row>
    <row r="3437" spans="84:91" s="51" customFormat="1">
      <c r="CF3437" s="239"/>
      <c r="CM3437" s="336"/>
    </row>
    <row r="3438" spans="84:91" s="51" customFormat="1">
      <c r="CF3438" s="239"/>
      <c r="CM3438" s="336"/>
    </row>
    <row r="3439" spans="84:91" s="51" customFormat="1">
      <c r="CF3439" s="239"/>
      <c r="CM3439" s="336"/>
    </row>
    <row r="3440" spans="84:91" s="51" customFormat="1">
      <c r="CF3440" s="239"/>
      <c r="CM3440" s="336"/>
    </row>
    <row r="3441" spans="84:91" s="51" customFormat="1">
      <c r="CF3441" s="239"/>
      <c r="CM3441" s="336"/>
    </row>
    <row r="3442" spans="84:91" s="51" customFormat="1">
      <c r="CF3442" s="239"/>
      <c r="CM3442" s="336"/>
    </row>
    <row r="3443" spans="84:91" s="51" customFormat="1">
      <c r="CF3443" s="239"/>
      <c r="CM3443" s="336"/>
    </row>
    <row r="3444" spans="84:91" s="51" customFormat="1">
      <c r="CF3444" s="239"/>
      <c r="CM3444" s="336"/>
    </row>
    <row r="3445" spans="84:91" s="51" customFormat="1">
      <c r="CF3445" s="239"/>
      <c r="CM3445" s="336"/>
    </row>
    <row r="3446" spans="84:91" s="51" customFormat="1">
      <c r="CF3446" s="239"/>
      <c r="CM3446" s="336"/>
    </row>
    <row r="3447" spans="84:91" s="51" customFormat="1">
      <c r="CF3447" s="239"/>
      <c r="CM3447" s="336"/>
    </row>
    <row r="3448" spans="84:91" s="51" customFormat="1">
      <c r="CF3448" s="239"/>
      <c r="CM3448" s="336"/>
    </row>
    <row r="3449" spans="84:91" s="51" customFormat="1">
      <c r="CF3449" s="239"/>
      <c r="CM3449" s="336"/>
    </row>
    <row r="3450" spans="84:91" s="51" customFormat="1">
      <c r="CF3450" s="239"/>
      <c r="CM3450" s="336"/>
    </row>
    <row r="3451" spans="84:91" s="51" customFormat="1">
      <c r="CF3451" s="239"/>
      <c r="CM3451" s="336"/>
    </row>
    <row r="3452" spans="84:91" s="51" customFormat="1">
      <c r="CF3452" s="239"/>
      <c r="CM3452" s="336"/>
    </row>
    <row r="3453" spans="84:91" s="51" customFormat="1">
      <c r="CF3453" s="239"/>
      <c r="CM3453" s="336"/>
    </row>
    <row r="3454" spans="84:91" s="51" customFormat="1">
      <c r="CF3454" s="239"/>
      <c r="CM3454" s="336"/>
    </row>
    <row r="3455" spans="84:91" s="51" customFormat="1">
      <c r="CF3455" s="239"/>
      <c r="CM3455" s="336"/>
    </row>
    <row r="3456" spans="84:91" s="51" customFormat="1">
      <c r="CF3456" s="239"/>
      <c r="CM3456" s="336"/>
    </row>
    <row r="3457" spans="84:91" s="51" customFormat="1">
      <c r="CF3457" s="239"/>
      <c r="CM3457" s="336"/>
    </row>
    <row r="3458" spans="84:91" s="51" customFormat="1">
      <c r="CF3458" s="239"/>
      <c r="CM3458" s="336"/>
    </row>
    <row r="3459" spans="84:91" s="51" customFormat="1">
      <c r="CF3459" s="239"/>
      <c r="CM3459" s="336"/>
    </row>
    <row r="3460" spans="84:91" s="51" customFormat="1">
      <c r="CF3460" s="239"/>
      <c r="CM3460" s="336"/>
    </row>
    <row r="3461" spans="84:91" s="51" customFormat="1">
      <c r="CF3461" s="239"/>
      <c r="CM3461" s="336"/>
    </row>
    <row r="3462" spans="84:91" s="51" customFormat="1">
      <c r="CF3462" s="239"/>
      <c r="CM3462" s="336"/>
    </row>
    <row r="3463" spans="84:91" s="51" customFormat="1">
      <c r="CF3463" s="239"/>
      <c r="CM3463" s="336"/>
    </row>
    <row r="3464" spans="84:91" s="51" customFormat="1">
      <c r="CF3464" s="239"/>
      <c r="CM3464" s="336"/>
    </row>
    <row r="3465" spans="84:91" s="51" customFormat="1">
      <c r="CF3465" s="239"/>
      <c r="CM3465" s="336"/>
    </row>
    <row r="3466" spans="84:91" s="51" customFormat="1">
      <c r="CF3466" s="239"/>
      <c r="CM3466" s="336"/>
    </row>
    <row r="3467" spans="84:91" s="51" customFormat="1">
      <c r="CF3467" s="239"/>
      <c r="CM3467" s="336"/>
    </row>
    <row r="3468" spans="84:91" s="51" customFormat="1">
      <c r="CF3468" s="239"/>
      <c r="CM3468" s="336"/>
    </row>
    <row r="3469" spans="84:91" s="51" customFormat="1">
      <c r="CF3469" s="239"/>
      <c r="CM3469" s="336"/>
    </row>
    <row r="3470" spans="84:91" s="51" customFormat="1">
      <c r="CF3470" s="239"/>
      <c r="CM3470" s="336"/>
    </row>
    <row r="3471" spans="84:91" s="51" customFormat="1">
      <c r="CF3471" s="239"/>
      <c r="CM3471" s="336"/>
    </row>
    <row r="3472" spans="84:91" s="51" customFormat="1">
      <c r="CF3472" s="239"/>
      <c r="CM3472" s="336"/>
    </row>
    <row r="3473" spans="84:91" s="51" customFormat="1">
      <c r="CF3473" s="239"/>
      <c r="CM3473" s="336"/>
    </row>
    <row r="3474" spans="84:91" s="51" customFormat="1">
      <c r="CF3474" s="239"/>
      <c r="CM3474" s="336"/>
    </row>
    <row r="3475" spans="84:91" s="51" customFormat="1">
      <c r="CF3475" s="239"/>
      <c r="CM3475" s="336"/>
    </row>
    <row r="3476" spans="84:91" s="51" customFormat="1">
      <c r="CF3476" s="239"/>
      <c r="CM3476" s="336"/>
    </row>
    <row r="3477" spans="84:91" s="51" customFormat="1">
      <c r="CF3477" s="239"/>
      <c r="CM3477" s="336"/>
    </row>
    <row r="3478" spans="84:91" s="51" customFormat="1">
      <c r="CF3478" s="239"/>
      <c r="CM3478" s="336"/>
    </row>
    <row r="3479" spans="84:91" s="51" customFormat="1">
      <c r="CF3479" s="239"/>
      <c r="CM3479" s="336"/>
    </row>
    <row r="3480" spans="84:91" s="51" customFormat="1">
      <c r="CF3480" s="239"/>
      <c r="CM3480" s="336"/>
    </row>
    <row r="3481" spans="84:91" s="51" customFormat="1">
      <c r="CF3481" s="239"/>
      <c r="CM3481" s="336"/>
    </row>
    <row r="3482" spans="84:91" s="51" customFormat="1">
      <c r="CF3482" s="239"/>
      <c r="CM3482" s="336"/>
    </row>
    <row r="3483" spans="84:91" s="51" customFormat="1">
      <c r="CF3483" s="239"/>
      <c r="CM3483" s="336"/>
    </row>
    <row r="3484" spans="84:91" s="51" customFormat="1">
      <c r="CF3484" s="239"/>
      <c r="CM3484" s="336"/>
    </row>
    <row r="3485" spans="84:91" s="51" customFormat="1">
      <c r="CF3485" s="239"/>
      <c r="CM3485" s="336"/>
    </row>
    <row r="3486" spans="84:91" s="51" customFormat="1">
      <c r="CF3486" s="239"/>
      <c r="CM3486" s="336"/>
    </row>
    <row r="3487" spans="84:91" s="51" customFormat="1">
      <c r="CF3487" s="239"/>
      <c r="CM3487" s="336"/>
    </row>
    <row r="3488" spans="84:91" s="51" customFormat="1">
      <c r="CF3488" s="239"/>
      <c r="CM3488" s="336"/>
    </row>
    <row r="3489" spans="84:91" s="51" customFormat="1">
      <c r="CF3489" s="239"/>
      <c r="CM3489" s="336"/>
    </row>
    <row r="3490" spans="84:91" s="51" customFormat="1">
      <c r="CF3490" s="239"/>
      <c r="CM3490" s="336"/>
    </row>
    <row r="3491" spans="84:91" s="51" customFormat="1">
      <c r="CF3491" s="239"/>
      <c r="CM3491" s="336"/>
    </row>
    <row r="3492" spans="84:91" s="51" customFormat="1">
      <c r="CF3492" s="239"/>
      <c r="CM3492" s="336"/>
    </row>
    <row r="3493" spans="84:91" s="51" customFormat="1">
      <c r="CF3493" s="239"/>
      <c r="CM3493" s="336"/>
    </row>
    <row r="3494" spans="84:91" s="51" customFormat="1">
      <c r="CF3494" s="239"/>
      <c r="CM3494" s="336"/>
    </row>
    <row r="3495" spans="84:91" s="51" customFormat="1">
      <c r="CF3495" s="239"/>
      <c r="CM3495" s="336"/>
    </row>
    <row r="3496" spans="84:91" s="51" customFormat="1">
      <c r="CF3496" s="239"/>
      <c r="CM3496" s="336"/>
    </row>
    <row r="3497" spans="84:91" s="51" customFormat="1">
      <c r="CF3497" s="239"/>
      <c r="CM3497" s="336"/>
    </row>
    <row r="3498" spans="84:91" s="51" customFormat="1">
      <c r="CF3498" s="239"/>
      <c r="CM3498" s="336"/>
    </row>
    <row r="3499" spans="84:91" s="51" customFormat="1">
      <c r="CF3499" s="239"/>
      <c r="CM3499" s="336"/>
    </row>
    <row r="3500" spans="84:91" s="51" customFormat="1">
      <c r="CF3500" s="239"/>
      <c r="CM3500" s="336"/>
    </row>
    <row r="3501" spans="84:91" s="51" customFormat="1">
      <c r="CF3501" s="239"/>
      <c r="CM3501" s="336"/>
    </row>
    <row r="3502" spans="84:91" s="51" customFormat="1">
      <c r="CF3502" s="239"/>
      <c r="CM3502" s="336"/>
    </row>
    <row r="3503" spans="84:91" s="51" customFormat="1">
      <c r="CF3503" s="239"/>
      <c r="CM3503" s="336"/>
    </row>
    <row r="3504" spans="84:91" s="51" customFormat="1">
      <c r="CF3504" s="239"/>
      <c r="CM3504" s="336"/>
    </row>
    <row r="3505" spans="84:91" s="51" customFormat="1">
      <c r="CF3505" s="239"/>
      <c r="CM3505" s="336"/>
    </row>
    <row r="3506" spans="84:91" s="51" customFormat="1">
      <c r="CF3506" s="239"/>
      <c r="CM3506" s="336"/>
    </row>
    <row r="3507" spans="84:91" s="51" customFormat="1">
      <c r="CF3507" s="239"/>
      <c r="CM3507" s="336"/>
    </row>
    <row r="3508" spans="84:91" s="51" customFormat="1">
      <c r="CF3508" s="239"/>
      <c r="CM3508" s="336"/>
    </row>
    <row r="3509" spans="84:91" s="51" customFormat="1">
      <c r="CF3509" s="239"/>
      <c r="CM3509" s="336"/>
    </row>
    <row r="3510" spans="84:91" s="51" customFormat="1">
      <c r="CF3510" s="239"/>
      <c r="CM3510" s="336"/>
    </row>
    <row r="3511" spans="84:91" s="51" customFormat="1">
      <c r="CF3511" s="239"/>
      <c r="CM3511" s="336"/>
    </row>
    <row r="3512" spans="84:91" s="51" customFormat="1">
      <c r="CF3512" s="239"/>
      <c r="CM3512" s="336"/>
    </row>
    <row r="3513" spans="84:91" s="51" customFormat="1">
      <c r="CF3513" s="239"/>
      <c r="CM3513" s="336"/>
    </row>
    <row r="3514" spans="84:91" s="51" customFormat="1">
      <c r="CF3514" s="239"/>
      <c r="CM3514" s="336"/>
    </row>
    <row r="3515" spans="84:91" s="51" customFormat="1">
      <c r="CF3515" s="239"/>
      <c r="CM3515" s="336"/>
    </row>
    <row r="3516" spans="84:91" s="51" customFormat="1">
      <c r="CF3516" s="239"/>
      <c r="CM3516" s="336"/>
    </row>
    <row r="3517" spans="84:91" s="51" customFormat="1">
      <c r="CF3517" s="239"/>
      <c r="CM3517" s="336"/>
    </row>
    <row r="3518" spans="84:91" s="51" customFormat="1">
      <c r="CF3518" s="239"/>
      <c r="CM3518" s="336"/>
    </row>
    <row r="3519" spans="84:91" s="51" customFormat="1">
      <c r="CF3519" s="239"/>
      <c r="CM3519" s="336"/>
    </row>
    <row r="3520" spans="84:91" s="51" customFormat="1">
      <c r="CF3520" s="239"/>
      <c r="CM3520" s="336"/>
    </row>
    <row r="3521" spans="84:91" s="51" customFormat="1">
      <c r="CF3521" s="239"/>
      <c r="CM3521" s="336"/>
    </row>
    <row r="3522" spans="84:91" s="51" customFormat="1">
      <c r="CF3522" s="239"/>
      <c r="CM3522" s="336"/>
    </row>
    <row r="3523" spans="84:91" s="51" customFormat="1">
      <c r="CF3523" s="239"/>
      <c r="CM3523" s="336"/>
    </row>
    <row r="3524" spans="84:91" s="51" customFormat="1">
      <c r="CF3524" s="239"/>
      <c r="CM3524" s="336"/>
    </row>
    <row r="3525" spans="84:91" s="51" customFormat="1">
      <c r="CF3525" s="239"/>
      <c r="CM3525" s="336"/>
    </row>
    <row r="3526" spans="84:91" s="51" customFormat="1">
      <c r="CF3526" s="239"/>
      <c r="CM3526" s="336"/>
    </row>
    <row r="3527" spans="84:91" s="51" customFormat="1">
      <c r="CF3527" s="239"/>
      <c r="CM3527" s="336"/>
    </row>
    <row r="3528" spans="84:91" s="51" customFormat="1">
      <c r="CF3528" s="239"/>
      <c r="CM3528" s="336"/>
    </row>
    <row r="3529" spans="84:91" s="51" customFormat="1">
      <c r="CF3529" s="239"/>
      <c r="CM3529" s="336"/>
    </row>
    <row r="3530" spans="84:91" s="51" customFormat="1">
      <c r="CF3530" s="239"/>
      <c r="CM3530" s="336"/>
    </row>
    <row r="3531" spans="84:91" s="51" customFormat="1">
      <c r="CF3531" s="239"/>
      <c r="CM3531" s="336"/>
    </row>
    <row r="3532" spans="84:91" s="51" customFormat="1">
      <c r="CF3532" s="239"/>
      <c r="CM3532" s="336"/>
    </row>
    <row r="3533" spans="84:91" s="51" customFormat="1">
      <c r="CF3533" s="239"/>
      <c r="CM3533" s="336"/>
    </row>
    <row r="3534" spans="84:91" s="51" customFormat="1">
      <c r="CF3534" s="239"/>
      <c r="CM3534" s="336"/>
    </row>
    <row r="3535" spans="84:91" s="51" customFormat="1">
      <c r="CF3535" s="239"/>
      <c r="CM3535" s="336"/>
    </row>
    <row r="3536" spans="84:91" s="51" customFormat="1">
      <c r="CF3536" s="239"/>
      <c r="CM3536" s="336"/>
    </row>
    <row r="3537" spans="84:91" s="51" customFormat="1">
      <c r="CF3537" s="239"/>
      <c r="CM3537" s="336"/>
    </row>
    <row r="3538" spans="84:91" s="51" customFormat="1">
      <c r="CF3538" s="239"/>
      <c r="CM3538" s="336"/>
    </row>
    <row r="3539" spans="84:91" s="51" customFormat="1">
      <c r="CF3539" s="239"/>
      <c r="CM3539" s="336"/>
    </row>
    <row r="3540" spans="84:91" s="51" customFormat="1">
      <c r="CF3540" s="239"/>
      <c r="CM3540" s="336"/>
    </row>
    <row r="3541" spans="84:91" s="51" customFormat="1">
      <c r="CF3541" s="239"/>
      <c r="CM3541" s="336"/>
    </row>
    <row r="3542" spans="84:91" s="51" customFormat="1">
      <c r="CF3542" s="239"/>
      <c r="CM3542" s="336"/>
    </row>
    <row r="3543" spans="84:91" s="51" customFormat="1">
      <c r="CF3543" s="239"/>
      <c r="CM3543" s="336"/>
    </row>
    <row r="3544" spans="84:91" s="51" customFormat="1">
      <c r="CF3544" s="239"/>
      <c r="CM3544" s="336"/>
    </row>
    <row r="3545" spans="84:91" s="51" customFormat="1">
      <c r="CF3545" s="239"/>
      <c r="CM3545" s="336"/>
    </row>
    <row r="3546" spans="84:91" s="51" customFormat="1">
      <c r="CF3546" s="239"/>
      <c r="CM3546" s="336"/>
    </row>
    <row r="3547" spans="84:91" s="51" customFormat="1">
      <c r="CF3547" s="239"/>
      <c r="CM3547" s="336"/>
    </row>
    <row r="3548" spans="84:91" s="51" customFormat="1">
      <c r="CF3548" s="239"/>
      <c r="CM3548" s="336"/>
    </row>
    <row r="3549" spans="84:91" s="51" customFormat="1">
      <c r="CF3549" s="239"/>
      <c r="CM3549" s="336"/>
    </row>
    <row r="3550" spans="84:91" s="51" customFormat="1">
      <c r="CF3550" s="239"/>
      <c r="CM3550" s="336"/>
    </row>
    <row r="3551" spans="84:91" s="51" customFormat="1">
      <c r="CF3551" s="239"/>
      <c r="CM3551" s="336"/>
    </row>
    <row r="3552" spans="84:91" s="51" customFormat="1">
      <c r="CF3552" s="239"/>
      <c r="CM3552" s="336"/>
    </row>
    <row r="3553" spans="84:91" s="51" customFormat="1">
      <c r="CF3553" s="239"/>
      <c r="CM3553" s="336"/>
    </row>
    <row r="3554" spans="84:91" s="51" customFormat="1">
      <c r="CF3554" s="239"/>
      <c r="CM3554" s="336"/>
    </row>
    <row r="3555" spans="84:91" s="51" customFormat="1">
      <c r="CF3555" s="239"/>
      <c r="CM3555" s="336"/>
    </row>
    <row r="3556" spans="84:91" s="51" customFormat="1">
      <c r="CF3556" s="239"/>
      <c r="CM3556" s="336"/>
    </row>
    <row r="3557" spans="84:91" s="51" customFormat="1">
      <c r="CF3557" s="239"/>
      <c r="CM3557" s="336"/>
    </row>
    <row r="3558" spans="84:91" s="51" customFormat="1">
      <c r="CF3558" s="239"/>
      <c r="CM3558" s="336"/>
    </row>
    <row r="3559" spans="84:91" s="51" customFormat="1">
      <c r="CF3559" s="239"/>
      <c r="CM3559" s="336"/>
    </row>
    <row r="3560" spans="84:91" s="51" customFormat="1">
      <c r="CF3560" s="239"/>
      <c r="CM3560" s="336"/>
    </row>
    <row r="3561" spans="84:91" s="51" customFormat="1">
      <c r="CF3561" s="239"/>
      <c r="CM3561" s="336"/>
    </row>
    <row r="3562" spans="84:91" s="51" customFormat="1">
      <c r="CF3562" s="239"/>
      <c r="CM3562" s="336"/>
    </row>
    <row r="3563" spans="84:91" s="51" customFormat="1">
      <c r="CF3563" s="239"/>
      <c r="CM3563" s="336"/>
    </row>
    <row r="3564" spans="84:91" s="51" customFormat="1">
      <c r="CF3564" s="239"/>
      <c r="CM3564" s="336"/>
    </row>
    <row r="3565" spans="84:91" s="51" customFormat="1">
      <c r="CF3565" s="239"/>
      <c r="CM3565" s="336"/>
    </row>
    <row r="3566" spans="84:91" s="51" customFormat="1">
      <c r="CF3566" s="239"/>
      <c r="CM3566" s="336"/>
    </row>
    <row r="3567" spans="84:91" s="51" customFormat="1">
      <c r="CF3567" s="239"/>
      <c r="CM3567" s="336"/>
    </row>
    <row r="3568" spans="84:91" s="51" customFormat="1">
      <c r="CF3568" s="239"/>
      <c r="CM3568" s="336"/>
    </row>
    <row r="3569" spans="84:91" s="51" customFormat="1">
      <c r="CF3569" s="239"/>
      <c r="CM3569" s="336"/>
    </row>
    <row r="3570" spans="84:91" s="51" customFormat="1">
      <c r="CF3570" s="239"/>
      <c r="CM3570" s="336"/>
    </row>
    <row r="3571" spans="84:91" s="51" customFormat="1">
      <c r="CF3571" s="239"/>
      <c r="CM3571" s="336"/>
    </row>
    <row r="3572" spans="84:91" s="51" customFormat="1">
      <c r="CF3572" s="239"/>
      <c r="CM3572" s="336"/>
    </row>
    <row r="3573" spans="84:91" s="51" customFormat="1">
      <c r="CF3573" s="239"/>
      <c r="CM3573" s="336"/>
    </row>
    <row r="3574" spans="84:91" s="51" customFormat="1">
      <c r="CF3574" s="239"/>
      <c r="CM3574" s="336"/>
    </row>
    <row r="3575" spans="84:91" s="51" customFormat="1">
      <c r="CF3575" s="239"/>
      <c r="CM3575" s="336"/>
    </row>
    <row r="3576" spans="84:91" s="51" customFormat="1">
      <c r="CF3576" s="239"/>
      <c r="CM3576" s="336"/>
    </row>
    <row r="3577" spans="84:91" s="51" customFormat="1">
      <c r="CF3577" s="239"/>
      <c r="CM3577" s="336"/>
    </row>
    <row r="3578" spans="84:91" s="51" customFormat="1">
      <c r="CF3578" s="239"/>
      <c r="CM3578" s="336"/>
    </row>
    <row r="3579" spans="84:91" s="51" customFormat="1">
      <c r="CF3579" s="239"/>
      <c r="CM3579" s="336"/>
    </row>
    <row r="3580" spans="84:91" s="51" customFormat="1">
      <c r="CF3580" s="239"/>
      <c r="CM3580" s="336"/>
    </row>
    <row r="3581" spans="84:91" s="51" customFormat="1">
      <c r="CF3581" s="239"/>
      <c r="CM3581" s="336"/>
    </row>
    <row r="3582" spans="84:91" s="51" customFormat="1">
      <c r="CF3582" s="239"/>
      <c r="CM3582" s="336"/>
    </row>
    <row r="3583" spans="84:91" s="51" customFormat="1">
      <c r="CF3583" s="239"/>
      <c r="CM3583" s="336"/>
    </row>
    <row r="3584" spans="84:91" s="51" customFormat="1">
      <c r="CF3584" s="239"/>
      <c r="CM3584" s="336"/>
    </row>
    <row r="3585" spans="84:91" s="51" customFormat="1">
      <c r="CF3585" s="239"/>
      <c r="CM3585" s="336"/>
    </row>
    <row r="3586" spans="84:91" s="51" customFormat="1">
      <c r="CF3586" s="239"/>
      <c r="CM3586" s="336"/>
    </row>
    <row r="3587" spans="84:91" s="51" customFormat="1">
      <c r="CF3587" s="239"/>
      <c r="CM3587" s="336"/>
    </row>
    <row r="3588" spans="84:91" s="51" customFormat="1">
      <c r="CF3588" s="239"/>
      <c r="CM3588" s="336"/>
    </row>
    <row r="3589" spans="84:91" s="51" customFormat="1">
      <c r="CF3589" s="239"/>
      <c r="CM3589" s="336"/>
    </row>
    <row r="3590" spans="84:91" s="51" customFormat="1">
      <c r="CF3590" s="239"/>
      <c r="CM3590" s="336"/>
    </row>
    <row r="3591" spans="84:91" s="51" customFormat="1">
      <c r="CF3591" s="239"/>
      <c r="CM3591" s="336"/>
    </row>
    <row r="3592" spans="84:91" s="51" customFormat="1">
      <c r="CF3592" s="239"/>
      <c r="CM3592" s="336"/>
    </row>
    <row r="3593" spans="84:91" s="51" customFormat="1">
      <c r="CF3593" s="239"/>
      <c r="CM3593" s="336"/>
    </row>
    <row r="3594" spans="84:91" s="51" customFormat="1">
      <c r="CF3594" s="239"/>
      <c r="CM3594" s="336"/>
    </row>
    <row r="3595" spans="84:91" s="51" customFormat="1">
      <c r="CF3595" s="239"/>
      <c r="CM3595" s="336"/>
    </row>
    <row r="3596" spans="84:91" s="51" customFormat="1">
      <c r="CF3596" s="239"/>
      <c r="CM3596" s="336"/>
    </row>
    <row r="3597" spans="84:91" s="51" customFormat="1">
      <c r="CF3597" s="239"/>
      <c r="CM3597" s="336"/>
    </row>
    <row r="3598" spans="84:91" s="51" customFormat="1">
      <c r="CF3598" s="239"/>
      <c r="CM3598" s="336"/>
    </row>
    <row r="3599" spans="84:91" s="51" customFormat="1">
      <c r="CF3599" s="239"/>
      <c r="CM3599" s="336"/>
    </row>
    <row r="3600" spans="84:91" s="51" customFormat="1">
      <c r="CF3600" s="239"/>
      <c r="CM3600" s="336"/>
    </row>
    <row r="3601" spans="84:91" s="51" customFormat="1">
      <c r="CF3601" s="239"/>
      <c r="CM3601" s="336"/>
    </row>
    <row r="3602" spans="84:91" s="51" customFormat="1">
      <c r="CF3602" s="239"/>
      <c r="CM3602" s="336"/>
    </row>
    <row r="3603" spans="84:91" s="51" customFormat="1">
      <c r="CF3603" s="239"/>
      <c r="CM3603" s="336"/>
    </row>
    <row r="3604" spans="84:91" s="51" customFormat="1">
      <c r="CF3604" s="239"/>
      <c r="CM3604" s="336"/>
    </row>
    <row r="3605" spans="84:91" s="51" customFormat="1">
      <c r="CF3605" s="239"/>
      <c r="CM3605" s="336"/>
    </row>
    <row r="3606" spans="84:91" s="51" customFormat="1">
      <c r="CF3606" s="239"/>
      <c r="CM3606" s="336"/>
    </row>
    <row r="3607" spans="84:91" s="51" customFormat="1">
      <c r="CF3607" s="239"/>
      <c r="CM3607" s="336"/>
    </row>
    <row r="3608" spans="84:91" s="51" customFormat="1">
      <c r="CF3608" s="239"/>
      <c r="CM3608" s="336"/>
    </row>
    <row r="3609" spans="84:91" s="51" customFormat="1">
      <c r="CF3609" s="239"/>
      <c r="CM3609" s="336"/>
    </row>
    <row r="3610" spans="84:91" s="51" customFormat="1">
      <c r="CF3610" s="239"/>
      <c r="CM3610" s="336"/>
    </row>
    <row r="3611" spans="84:91" s="51" customFormat="1">
      <c r="CF3611" s="239"/>
      <c r="CM3611" s="336"/>
    </row>
    <row r="3612" spans="84:91" s="51" customFormat="1">
      <c r="CF3612" s="239"/>
      <c r="CM3612" s="336"/>
    </row>
    <row r="3613" spans="84:91" s="51" customFormat="1">
      <c r="CF3613" s="239"/>
      <c r="CM3613" s="336"/>
    </row>
    <row r="3614" spans="84:91" s="51" customFormat="1">
      <c r="CF3614" s="239"/>
      <c r="CM3614" s="336"/>
    </row>
    <row r="3615" spans="84:91" s="51" customFormat="1">
      <c r="CF3615" s="239"/>
      <c r="CM3615" s="336"/>
    </row>
    <row r="3616" spans="84:91" s="51" customFormat="1">
      <c r="CF3616" s="239"/>
      <c r="CM3616" s="336"/>
    </row>
    <row r="3617" spans="84:91" s="51" customFormat="1">
      <c r="CF3617" s="239"/>
      <c r="CM3617" s="336"/>
    </row>
    <row r="3618" spans="84:91" s="51" customFormat="1">
      <c r="CF3618" s="239"/>
      <c r="CM3618" s="336"/>
    </row>
    <row r="3619" spans="84:91" s="51" customFormat="1">
      <c r="CF3619" s="239"/>
      <c r="CM3619" s="336"/>
    </row>
    <row r="3620" spans="84:91" s="51" customFormat="1">
      <c r="CF3620" s="239"/>
      <c r="CM3620" s="336"/>
    </row>
    <row r="3621" spans="84:91" s="51" customFormat="1">
      <c r="CF3621" s="239"/>
      <c r="CM3621" s="336"/>
    </row>
    <row r="3622" spans="84:91" s="51" customFormat="1">
      <c r="CF3622" s="239"/>
      <c r="CM3622" s="336"/>
    </row>
    <row r="3623" spans="84:91" s="51" customFormat="1">
      <c r="CF3623" s="239"/>
      <c r="CM3623" s="336"/>
    </row>
    <row r="3624" spans="84:91" s="51" customFormat="1">
      <c r="CF3624" s="239"/>
      <c r="CM3624" s="336"/>
    </row>
    <row r="3625" spans="84:91" s="51" customFormat="1">
      <c r="CF3625" s="239"/>
      <c r="CM3625" s="336"/>
    </row>
    <row r="3626" spans="84:91" s="51" customFormat="1">
      <c r="CF3626" s="239"/>
      <c r="CM3626" s="336"/>
    </row>
    <row r="3627" spans="84:91" s="51" customFormat="1">
      <c r="CF3627" s="239"/>
      <c r="CM3627" s="336"/>
    </row>
    <row r="3628" spans="84:91" s="51" customFormat="1">
      <c r="CF3628" s="239"/>
      <c r="CM3628" s="336"/>
    </row>
    <row r="3629" spans="84:91" s="51" customFormat="1">
      <c r="CF3629" s="239"/>
      <c r="CM3629" s="336"/>
    </row>
    <row r="3630" spans="84:91" s="51" customFormat="1">
      <c r="CF3630" s="239"/>
      <c r="CM3630" s="336"/>
    </row>
    <row r="3631" spans="84:91" s="51" customFormat="1">
      <c r="CF3631" s="239"/>
      <c r="CM3631" s="336"/>
    </row>
    <row r="3632" spans="84:91" s="51" customFormat="1">
      <c r="CF3632" s="239"/>
      <c r="CM3632" s="336"/>
    </row>
    <row r="3633" spans="84:91" s="51" customFormat="1">
      <c r="CF3633" s="239"/>
      <c r="CM3633" s="336"/>
    </row>
    <row r="3634" spans="84:91" s="51" customFormat="1">
      <c r="CF3634" s="239"/>
      <c r="CM3634" s="336"/>
    </row>
    <row r="3635" spans="84:91" s="51" customFormat="1">
      <c r="CF3635" s="239"/>
      <c r="CM3635" s="336"/>
    </row>
    <row r="3636" spans="84:91" s="51" customFormat="1">
      <c r="CF3636" s="239"/>
      <c r="CM3636" s="336"/>
    </row>
    <row r="3637" spans="84:91" s="51" customFormat="1">
      <c r="CF3637" s="239"/>
      <c r="CM3637" s="336"/>
    </row>
    <row r="3638" spans="84:91" s="51" customFormat="1">
      <c r="CF3638" s="239"/>
      <c r="CM3638" s="336"/>
    </row>
    <row r="3639" spans="84:91" s="51" customFormat="1">
      <c r="CF3639" s="239"/>
      <c r="CM3639" s="336"/>
    </row>
    <row r="3640" spans="84:91" s="51" customFormat="1">
      <c r="CF3640" s="239"/>
      <c r="CM3640" s="336"/>
    </row>
    <row r="3641" spans="84:91" s="51" customFormat="1">
      <c r="CF3641" s="239"/>
      <c r="CM3641" s="336"/>
    </row>
    <row r="3642" spans="84:91" s="51" customFormat="1">
      <c r="CF3642" s="239"/>
      <c r="CM3642" s="336"/>
    </row>
    <row r="3643" spans="84:91" s="51" customFormat="1">
      <c r="CF3643" s="239"/>
      <c r="CM3643" s="336"/>
    </row>
    <row r="3644" spans="84:91" s="51" customFormat="1">
      <c r="CF3644" s="239"/>
      <c r="CM3644" s="336"/>
    </row>
    <row r="3645" spans="84:91" s="51" customFormat="1">
      <c r="CF3645" s="239"/>
      <c r="CM3645" s="336"/>
    </row>
    <row r="3646" spans="84:91" s="51" customFormat="1">
      <c r="CF3646" s="239"/>
      <c r="CM3646" s="336"/>
    </row>
    <row r="3647" spans="84:91" s="51" customFormat="1">
      <c r="CF3647" s="239"/>
      <c r="CM3647" s="336"/>
    </row>
    <row r="3648" spans="84:91" s="51" customFormat="1">
      <c r="CF3648" s="239"/>
      <c r="CM3648" s="336"/>
    </row>
    <row r="3649" spans="84:91" s="51" customFormat="1">
      <c r="CF3649" s="239"/>
      <c r="CM3649" s="336"/>
    </row>
    <row r="3650" spans="84:91" s="51" customFormat="1">
      <c r="CF3650" s="239"/>
      <c r="CM3650" s="336"/>
    </row>
    <row r="3651" spans="84:91" s="51" customFormat="1">
      <c r="CF3651" s="239"/>
      <c r="CM3651" s="336"/>
    </row>
    <row r="3652" spans="84:91" s="51" customFormat="1">
      <c r="CF3652" s="239"/>
      <c r="CM3652" s="336"/>
    </row>
    <row r="3653" spans="84:91" s="51" customFormat="1">
      <c r="CF3653" s="239"/>
      <c r="CM3653" s="336"/>
    </row>
    <row r="3654" spans="84:91" s="51" customFormat="1">
      <c r="CF3654" s="239"/>
      <c r="CM3654" s="336"/>
    </row>
    <row r="3655" spans="84:91" s="51" customFormat="1">
      <c r="CF3655" s="239"/>
      <c r="CM3655" s="336"/>
    </row>
    <row r="3656" spans="84:91" s="51" customFormat="1">
      <c r="CF3656" s="239"/>
      <c r="CM3656" s="336"/>
    </row>
    <row r="3657" spans="84:91" s="51" customFormat="1">
      <c r="CF3657" s="239"/>
      <c r="CM3657" s="336"/>
    </row>
    <row r="3658" spans="84:91" s="51" customFormat="1">
      <c r="CF3658" s="239"/>
      <c r="CM3658" s="336"/>
    </row>
    <row r="3659" spans="84:91" s="51" customFormat="1">
      <c r="CF3659" s="239"/>
      <c r="CM3659" s="336"/>
    </row>
    <row r="3660" spans="84:91" s="51" customFormat="1">
      <c r="CF3660" s="239"/>
      <c r="CM3660" s="336"/>
    </row>
    <row r="3661" spans="84:91" s="51" customFormat="1">
      <c r="CF3661" s="239"/>
      <c r="CM3661" s="336"/>
    </row>
    <row r="3662" spans="84:91" s="51" customFormat="1">
      <c r="CF3662" s="239"/>
      <c r="CM3662" s="336"/>
    </row>
    <row r="3663" spans="84:91" s="51" customFormat="1">
      <c r="CF3663" s="239"/>
      <c r="CM3663" s="336"/>
    </row>
    <row r="3664" spans="84:91" s="51" customFormat="1">
      <c r="CF3664" s="239"/>
      <c r="CM3664" s="336"/>
    </row>
    <row r="3665" spans="84:91" s="51" customFormat="1">
      <c r="CF3665" s="239"/>
      <c r="CM3665" s="336"/>
    </row>
    <row r="3666" spans="84:91" s="51" customFormat="1">
      <c r="CF3666" s="239"/>
      <c r="CM3666" s="336"/>
    </row>
    <row r="3667" spans="84:91" s="51" customFormat="1">
      <c r="CF3667" s="239"/>
      <c r="CM3667" s="336"/>
    </row>
    <row r="3668" spans="84:91" s="51" customFormat="1">
      <c r="CF3668" s="239"/>
      <c r="CM3668" s="336"/>
    </row>
    <row r="3669" spans="84:91" s="51" customFormat="1">
      <c r="CF3669" s="239"/>
      <c r="CM3669" s="336"/>
    </row>
    <row r="3670" spans="84:91" s="51" customFormat="1">
      <c r="CF3670" s="239"/>
      <c r="CM3670" s="336"/>
    </row>
    <row r="3671" spans="84:91" s="51" customFormat="1">
      <c r="CF3671" s="239"/>
      <c r="CM3671" s="336"/>
    </row>
    <row r="3672" spans="84:91" s="51" customFormat="1">
      <c r="CF3672" s="239"/>
      <c r="CM3672" s="336"/>
    </row>
    <row r="3673" spans="84:91" s="51" customFormat="1">
      <c r="CF3673" s="239"/>
      <c r="CM3673" s="336"/>
    </row>
    <row r="3674" spans="84:91" s="51" customFormat="1">
      <c r="CF3674" s="239"/>
      <c r="CM3674" s="336"/>
    </row>
    <row r="3675" spans="84:91" s="51" customFormat="1">
      <c r="CF3675" s="239"/>
      <c r="CM3675" s="336"/>
    </row>
    <row r="3676" spans="84:91" s="51" customFormat="1">
      <c r="CF3676" s="239"/>
      <c r="CM3676" s="336"/>
    </row>
    <row r="3677" spans="84:91" s="51" customFormat="1">
      <c r="CF3677" s="239"/>
      <c r="CM3677" s="336"/>
    </row>
    <row r="3678" spans="84:91" s="51" customFormat="1">
      <c r="CF3678" s="239"/>
      <c r="CM3678" s="336"/>
    </row>
    <row r="3679" spans="84:91" s="51" customFormat="1">
      <c r="CF3679" s="239"/>
      <c r="CM3679" s="336"/>
    </row>
    <row r="3680" spans="84:91" s="51" customFormat="1">
      <c r="CF3680" s="239"/>
      <c r="CM3680" s="336"/>
    </row>
    <row r="3681" spans="84:91" s="51" customFormat="1">
      <c r="CF3681" s="239"/>
      <c r="CM3681" s="336"/>
    </row>
    <row r="3682" spans="84:91" s="51" customFormat="1">
      <c r="CF3682" s="239"/>
      <c r="CM3682" s="336"/>
    </row>
    <row r="3683" spans="84:91" s="51" customFormat="1">
      <c r="CF3683" s="239"/>
      <c r="CM3683" s="336"/>
    </row>
    <row r="3684" spans="84:91" s="51" customFormat="1">
      <c r="CF3684" s="239"/>
      <c r="CM3684" s="336"/>
    </row>
    <row r="3685" spans="84:91" s="51" customFormat="1">
      <c r="CF3685" s="239"/>
      <c r="CM3685" s="336"/>
    </row>
    <row r="3686" spans="84:91" s="51" customFormat="1">
      <c r="CF3686" s="239"/>
      <c r="CM3686" s="336"/>
    </row>
    <row r="3687" spans="84:91" s="51" customFormat="1">
      <c r="CF3687" s="239"/>
      <c r="CM3687" s="336"/>
    </row>
    <row r="3688" spans="84:91" s="51" customFormat="1">
      <c r="CF3688" s="239"/>
      <c r="CM3688" s="336"/>
    </row>
    <row r="3689" spans="84:91" s="51" customFormat="1">
      <c r="CF3689" s="239"/>
      <c r="CM3689" s="336"/>
    </row>
    <row r="3690" spans="84:91" s="51" customFormat="1">
      <c r="CF3690" s="239"/>
      <c r="CM3690" s="336"/>
    </row>
    <row r="3691" spans="84:91" s="51" customFormat="1">
      <c r="CF3691" s="239"/>
      <c r="CM3691" s="336"/>
    </row>
    <row r="3692" spans="84:91" s="51" customFormat="1">
      <c r="CF3692" s="239"/>
      <c r="CM3692" s="336"/>
    </row>
    <row r="3693" spans="84:91" s="51" customFormat="1">
      <c r="CF3693" s="239"/>
      <c r="CM3693" s="336"/>
    </row>
    <row r="3694" spans="84:91" s="51" customFormat="1">
      <c r="CF3694" s="239"/>
      <c r="CM3694" s="336"/>
    </row>
    <row r="3695" spans="84:91" s="51" customFormat="1">
      <c r="CF3695" s="239"/>
      <c r="CM3695" s="336"/>
    </row>
    <row r="3696" spans="84:91" s="51" customFormat="1">
      <c r="CF3696" s="239"/>
      <c r="CM3696" s="336"/>
    </row>
    <row r="3697" spans="84:91" s="51" customFormat="1">
      <c r="CF3697" s="239"/>
      <c r="CM3697" s="336"/>
    </row>
    <row r="3698" spans="84:91" s="51" customFormat="1">
      <c r="CF3698" s="239"/>
      <c r="CM3698" s="336"/>
    </row>
    <row r="3699" spans="84:91" s="51" customFormat="1">
      <c r="CF3699" s="239"/>
      <c r="CM3699" s="336"/>
    </row>
    <row r="3700" spans="84:91" s="51" customFormat="1">
      <c r="CF3700" s="239"/>
      <c r="CM3700" s="336"/>
    </row>
    <row r="3701" spans="84:91" s="51" customFormat="1">
      <c r="CF3701" s="239"/>
      <c r="CM3701" s="336"/>
    </row>
    <row r="3702" spans="84:91" s="51" customFormat="1">
      <c r="CF3702" s="239"/>
      <c r="CM3702" s="336"/>
    </row>
    <row r="3703" spans="84:91" s="51" customFormat="1">
      <c r="CF3703" s="239"/>
      <c r="CM3703" s="336"/>
    </row>
    <row r="3704" spans="84:91" s="51" customFormat="1">
      <c r="CF3704" s="239"/>
      <c r="CM3704" s="336"/>
    </row>
    <row r="3705" spans="84:91" s="51" customFormat="1">
      <c r="CF3705" s="239"/>
      <c r="CM3705" s="336"/>
    </row>
    <row r="3706" spans="84:91" s="51" customFormat="1">
      <c r="CF3706" s="239"/>
      <c r="CM3706" s="336"/>
    </row>
    <row r="3707" spans="84:91" s="51" customFormat="1">
      <c r="CF3707" s="239"/>
      <c r="CM3707" s="336"/>
    </row>
    <row r="3708" spans="84:91" s="51" customFormat="1">
      <c r="CF3708" s="239"/>
      <c r="CM3708" s="336"/>
    </row>
    <row r="3709" spans="84:91" s="51" customFormat="1">
      <c r="CF3709" s="239"/>
      <c r="CM3709" s="336"/>
    </row>
    <row r="3710" spans="84:91" s="51" customFormat="1">
      <c r="CF3710" s="239"/>
      <c r="CM3710" s="336"/>
    </row>
    <row r="3711" spans="84:91" s="51" customFormat="1">
      <c r="CF3711" s="239"/>
      <c r="CM3711" s="336"/>
    </row>
    <row r="3712" spans="84:91" s="51" customFormat="1">
      <c r="CF3712" s="239"/>
      <c r="CM3712" s="336"/>
    </row>
    <row r="3713" spans="84:91" s="51" customFormat="1">
      <c r="CF3713" s="239"/>
      <c r="CM3713" s="336"/>
    </row>
    <row r="3714" spans="84:91" s="51" customFormat="1">
      <c r="CF3714" s="239"/>
      <c r="CM3714" s="336"/>
    </row>
    <row r="3715" spans="84:91" s="51" customFormat="1">
      <c r="CF3715" s="239"/>
      <c r="CM3715" s="336"/>
    </row>
    <row r="3716" spans="84:91" s="51" customFormat="1">
      <c r="CF3716" s="239"/>
      <c r="CM3716" s="336"/>
    </row>
    <row r="3717" spans="84:91" s="51" customFormat="1">
      <c r="CF3717" s="239"/>
      <c r="CM3717" s="336"/>
    </row>
    <row r="3718" spans="84:91" s="51" customFormat="1">
      <c r="CF3718" s="239"/>
      <c r="CM3718" s="336"/>
    </row>
    <row r="3719" spans="84:91" s="51" customFormat="1">
      <c r="CF3719" s="239"/>
      <c r="CM3719" s="336"/>
    </row>
    <row r="3720" spans="84:91" s="51" customFormat="1">
      <c r="CF3720" s="239"/>
      <c r="CM3720" s="336"/>
    </row>
    <row r="3721" spans="84:91" s="51" customFormat="1">
      <c r="CF3721" s="239"/>
      <c r="CM3721" s="336"/>
    </row>
    <row r="3722" spans="84:91" s="51" customFormat="1">
      <c r="CF3722" s="239"/>
      <c r="CM3722" s="336"/>
    </row>
    <row r="3723" spans="84:91" s="51" customFormat="1">
      <c r="CF3723" s="239"/>
      <c r="CM3723" s="336"/>
    </row>
    <row r="3724" spans="84:91" s="51" customFormat="1">
      <c r="CF3724" s="239"/>
      <c r="CM3724" s="336"/>
    </row>
    <row r="3725" spans="84:91" s="51" customFormat="1">
      <c r="CF3725" s="239"/>
      <c r="CM3725" s="336"/>
    </row>
    <row r="3726" spans="84:91" s="51" customFormat="1">
      <c r="CF3726" s="239"/>
      <c r="CM3726" s="336"/>
    </row>
    <row r="3727" spans="84:91" s="51" customFormat="1">
      <c r="CF3727" s="239"/>
      <c r="CM3727" s="336"/>
    </row>
    <row r="3728" spans="84:91" s="51" customFormat="1">
      <c r="CF3728" s="239"/>
      <c r="CM3728" s="336"/>
    </row>
    <row r="3729" spans="84:91" s="51" customFormat="1">
      <c r="CF3729" s="239"/>
      <c r="CM3729" s="336"/>
    </row>
    <row r="3730" spans="84:91" s="51" customFormat="1">
      <c r="CF3730" s="239"/>
      <c r="CM3730" s="336"/>
    </row>
    <row r="3731" spans="84:91" s="51" customFormat="1">
      <c r="CF3731" s="239"/>
      <c r="CM3731" s="336"/>
    </row>
    <row r="3732" spans="84:91" s="51" customFormat="1">
      <c r="CF3732" s="239"/>
      <c r="CM3732" s="336"/>
    </row>
    <row r="3733" spans="84:91" s="51" customFormat="1">
      <c r="CF3733" s="239"/>
      <c r="CM3733" s="336"/>
    </row>
    <row r="3734" spans="84:91" s="51" customFormat="1">
      <c r="CF3734" s="239"/>
      <c r="CM3734" s="336"/>
    </row>
    <row r="3735" spans="84:91" s="51" customFormat="1">
      <c r="CF3735" s="239"/>
      <c r="CM3735" s="336"/>
    </row>
    <row r="3736" spans="84:91" s="51" customFormat="1">
      <c r="CF3736" s="239"/>
      <c r="CM3736" s="336"/>
    </row>
    <row r="3737" spans="84:91" s="51" customFormat="1">
      <c r="CF3737" s="239"/>
      <c r="CM3737" s="336"/>
    </row>
    <row r="3738" spans="84:91" s="51" customFormat="1">
      <c r="CF3738" s="239"/>
      <c r="CM3738" s="336"/>
    </row>
    <row r="3739" spans="84:91" s="51" customFormat="1">
      <c r="CF3739" s="239"/>
      <c r="CM3739" s="336"/>
    </row>
    <row r="3740" spans="84:91" s="51" customFormat="1">
      <c r="CF3740" s="239"/>
      <c r="CM3740" s="336"/>
    </row>
    <row r="3741" spans="84:91" s="51" customFormat="1">
      <c r="CF3741" s="239"/>
      <c r="CM3741" s="336"/>
    </row>
    <row r="3742" spans="84:91" s="51" customFormat="1">
      <c r="CF3742" s="239"/>
      <c r="CM3742" s="336"/>
    </row>
    <row r="3743" spans="84:91" s="51" customFormat="1">
      <c r="CF3743" s="239"/>
      <c r="CM3743" s="336"/>
    </row>
    <row r="3744" spans="84:91" s="51" customFormat="1">
      <c r="CF3744" s="239"/>
      <c r="CM3744" s="336"/>
    </row>
    <row r="3745" spans="84:91" s="51" customFormat="1">
      <c r="CF3745" s="239"/>
      <c r="CM3745" s="336"/>
    </row>
    <row r="3746" spans="84:91" s="51" customFormat="1">
      <c r="CF3746" s="239"/>
      <c r="CM3746" s="336"/>
    </row>
    <row r="3747" spans="84:91" s="51" customFormat="1">
      <c r="CF3747" s="239"/>
      <c r="CM3747" s="336"/>
    </row>
    <row r="3748" spans="84:91" s="51" customFormat="1">
      <c r="CF3748" s="239"/>
      <c r="CM3748" s="336"/>
    </row>
    <row r="3749" spans="84:91" s="51" customFormat="1">
      <c r="CF3749" s="239"/>
      <c r="CM3749" s="336"/>
    </row>
    <row r="3750" spans="84:91" s="51" customFormat="1">
      <c r="CF3750" s="239"/>
      <c r="CM3750" s="336"/>
    </row>
    <row r="3751" spans="84:91" s="51" customFormat="1">
      <c r="CF3751" s="239"/>
      <c r="CM3751" s="336"/>
    </row>
    <row r="3752" spans="84:91" s="51" customFormat="1">
      <c r="CF3752" s="239"/>
      <c r="CM3752" s="336"/>
    </row>
    <row r="3753" spans="84:91" s="51" customFormat="1">
      <c r="CF3753" s="239"/>
      <c r="CM3753" s="336"/>
    </row>
    <row r="3754" spans="84:91" s="51" customFormat="1">
      <c r="CF3754" s="239"/>
      <c r="CM3754" s="336"/>
    </row>
    <row r="3755" spans="84:91" s="51" customFormat="1">
      <c r="CF3755" s="239"/>
      <c r="CM3755" s="336"/>
    </row>
    <row r="3756" spans="84:91" s="51" customFormat="1">
      <c r="CF3756" s="239"/>
      <c r="CM3756" s="336"/>
    </row>
    <row r="3757" spans="84:91" s="51" customFormat="1">
      <c r="CF3757" s="239"/>
      <c r="CM3757" s="336"/>
    </row>
    <row r="3758" spans="84:91" s="51" customFormat="1">
      <c r="CF3758" s="239"/>
      <c r="CM3758" s="336"/>
    </row>
    <row r="3759" spans="84:91" s="51" customFormat="1">
      <c r="CF3759" s="239"/>
      <c r="CM3759" s="336"/>
    </row>
    <row r="3760" spans="84:91" s="51" customFormat="1">
      <c r="CF3760" s="239"/>
      <c r="CM3760" s="336"/>
    </row>
    <row r="3761" spans="84:91" s="51" customFormat="1">
      <c r="CF3761" s="239"/>
      <c r="CM3761" s="336"/>
    </row>
    <row r="3762" spans="84:91" s="51" customFormat="1">
      <c r="CF3762" s="239"/>
      <c r="CM3762" s="336"/>
    </row>
    <row r="3763" spans="84:91" s="51" customFormat="1">
      <c r="CF3763" s="239"/>
      <c r="CM3763" s="336"/>
    </row>
    <row r="3764" spans="84:91" s="51" customFormat="1">
      <c r="CF3764" s="239"/>
      <c r="CM3764" s="336"/>
    </row>
    <row r="3765" spans="84:91" s="51" customFormat="1">
      <c r="CF3765" s="239"/>
      <c r="CM3765" s="336"/>
    </row>
    <row r="3766" spans="84:91" s="51" customFormat="1">
      <c r="CF3766" s="239"/>
      <c r="CM3766" s="336"/>
    </row>
    <row r="3767" spans="84:91" s="51" customFormat="1">
      <c r="CF3767" s="239"/>
      <c r="CM3767" s="336"/>
    </row>
    <row r="3768" spans="84:91" s="51" customFormat="1">
      <c r="CF3768" s="239"/>
      <c r="CM3768" s="336"/>
    </row>
    <row r="3769" spans="84:91" s="51" customFormat="1">
      <c r="CF3769" s="239"/>
      <c r="CM3769" s="336"/>
    </row>
    <row r="3770" spans="84:91" s="51" customFormat="1">
      <c r="CF3770" s="239"/>
      <c r="CM3770" s="336"/>
    </row>
    <row r="3771" spans="84:91" s="51" customFormat="1">
      <c r="CF3771" s="239"/>
      <c r="CM3771" s="336"/>
    </row>
    <row r="3772" spans="84:91" s="51" customFormat="1">
      <c r="CF3772" s="239"/>
      <c r="CM3772" s="336"/>
    </row>
    <row r="3773" spans="84:91" s="51" customFormat="1">
      <c r="CF3773" s="239"/>
      <c r="CM3773" s="336"/>
    </row>
    <row r="3774" spans="84:91" s="51" customFormat="1">
      <c r="CF3774" s="239"/>
      <c r="CM3774" s="336"/>
    </row>
    <row r="3775" spans="84:91" s="51" customFormat="1">
      <c r="CF3775" s="239"/>
      <c r="CM3775" s="336"/>
    </row>
    <row r="3776" spans="84:91" s="51" customFormat="1">
      <c r="CF3776" s="239"/>
      <c r="CM3776" s="336"/>
    </row>
    <row r="3777" spans="84:91" s="51" customFormat="1">
      <c r="CF3777" s="239"/>
      <c r="CM3777" s="336"/>
    </row>
    <row r="3778" spans="84:91" s="51" customFormat="1">
      <c r="CF3778" s="239"/>
      <c r="CM3778" s="336"/>
    </row>
    <row r="3779" spans="84:91" s="51" customFormat="1">
      <c r="CF3779" s="239"/>
      <c r="CM3779" s="336"/>
    </row>
    <row r="3780" spans="84:91" s="51" customFormat="1">
      <c r="CF3780" s="239"/>
      <c r="CM3780" s="336"/>
    </row>
    <row r="3781" spans="84:91" s="51" customFormat="1">
      <c r="CF3781" s="239"/>
      <c r="CM3781" s="336"/>
    </row>
    <row r="3782" spans="84:91" s="51" customFormat="1">
      <c r="CF3782" s="239"/>
      <c r="CM3782" s="336"/>
    </row>
    <row r="3783" spans="84:91" s="51" customFormat="1">
      <c r="CF3783" s="239"/>
      <c r="CM3783" s="336"/>
    </row>
    <row r="3784" spans="84:91" s="51" customFormat="1">
      <c r="CF3784" s="239"/>
      <c r="CM3784" s="336"/>
    </row>
    <row r="3785" spans="84:91" s="51" customFormat="1">
      <c r="CF3785" s="239"/>
      <c r="CM3785" s="336"/>
    </row>
    <row r="3786" spans="84:91" s="51" customFormat="1">
      <c r="CF3786" s="239"/>
      <c r="CM3786" s="336"/>
    </row>
    <row r="3787" spans="84:91" s="51" customFormat="1">
      <c r="CF3787" s="239"/>
      <c r="CM3787" s="336"/>
    </row>
    <row r="3788" spans="84:91" s="51" customFormat="1">
      <c r="CF3788" s="239"/>
      <c r="CM3788" s="336"/>
    </row>
    <row r="3789" spans="84:91" s="51" customFormat="1">
      <c r="CF3789" s="239"/>
      <c r="CM3789" s="336"/>
    </row>
    <row r="3790" spans="84:91" s="51" customFormat="1">
      <c r="CF3790" s="239"/>
      <c r="CM3790" s="336"/>
    </row>
    <row r="3791" spans="84:91" s="51" customFormat="1">
      <c r="CF3791" s="239"/>
      <c r="CM3791" s="336"/>
    </row>
    <row r="3792" spans="84:91" s="51" customFormat="1">
      <c r="CF3792" s="239"/>
      <c r="CM3792" s="336"/>
    </row>
    <row r="3793" spans="84:91" s="51" customFormat="1">
      <c r="CF3793" s="239"/>
      <c r="CM3793" s="336"/>
    </row>
    <row r="3794" spans="84:91" s="51" customFormat="1">
      <c r="CF3794" s="239"/>
      <c r="CM3794" s="336"/>
    </row>
    <row r="3795" spans="84:91" s="51" customFormat="1">
      <c r="CF3795" s="239"/>
      <c r="CM3795" s="336"/>
    </row>
    <row r="3796" spans="84:91" s="51" customFormat="1">
      <c r="CF3796" s="239"/>
      <c r="CM3796" s="336"/>
    </row>
    <row r="3797" spans="84:91" s="51" customFormat="1">
      <c r="CF3797" s="239"/>
      <c r="CM3797" s="336"/>
    </row>
    <row r="3798" spans="84:91" s="51" customFormat="1">
      <c r="CF3798" s="239"/>
      <c r="CM3798" s="336"/>
    </row>
    <row r="3799" spans="84:91" s="51" customFormat="1">
      <c r="CF3799" s="239"/>
      <c r="CM3799" s="336"/>
    </row>
    <row r="3800" spans="84:91" s="51" customFormat="1">
      <c r="CF3800" s="239"/>
      <c r="CM3800" s="336"/>
    </row>
    <row r="3801" spans="84:91" s="51" customFormat="1">
      <c r="CF3801" s="239"/>
      <c r="CM3801" s="336"/>
    </row>
    <row r="3802" spans="84:91" s="51" customFormat="1">
      <c r="CF3802" s="239"/>
      <c r="CM3802" s="336"/>
    </row>
    <row r="3803" spans="84:91" s="51" customFormat="1">
      <c r="CF3803" s="239"/>
      <c r="CM3803" s="336"/>
    </row>
    <row r="3804" spans="84:91" s="51" customFormat="1">
      <c r="CF3804" s="239"/>
      <c r="CM3804" s="336"/>
    </row>
    <row r="3805" spans="84:91" s="51" customFormat="1">
      <c r="CF3805" s="239"/>
      <c r="CM3805" s="336"/>
    </row>
    <row r="3806" spans="84:91" s="51" customFormat="1">
      <c r="CF3806" s="239"/>
      <c r="CM3806" s="336"/>
    </row>
    <row r="3807" spans="84:91" s="51" customFormat="1">
      <c r="CF3807" s="239"/>
      <c r="CM3807" s="336"/>
    </row>
    <row r="3808" spans="84:91" s="51" customFormat="1">
      <c r="CF3808" s="239"/>
      <c r="CM3808" s="336"/>
    </row>
    <row r="3809" spans="84:91" s="51" customFormat="1">
      <c r="CF3809" s="239"/>
      <c r="CM3809" s="336"/>
    </row>
    <row r="3810" spans="84:91" s="51" customFormat="1">
      <c r="CF3810" s="239"/>
      <c r="CM3810" s="336"/>
    </row>
    <row r="3811" spans="84:91" s="51" customFormat="1">
      <c r="CF3811" s="239"/>
      <c r="CM3811" s="336"/>
    </row>
    <row r="3812" spans="84:91" s="51" customFormat="1">
      <c r="CF3812" s="239"/>
      <c r="CM3812" s="336"/>
    </row>
    <row r="3813" spans="84:91" s="51" customFormat="1">
      <c r="CF3813" s="239"/>
      <c r="CM3813" s="336"/>
    </row>
    <row r="3814" spans="84:91" s="51" customFormat="1">
      <c r="CF3814" s="239"/>
      <c r="CM3814" s="336"/>
    </row>
    <row r="3815" spans="84:91" s="51" customFormat="1">
      <c r="CF3815" s="239"/>
      <c r="CM3815" s="336"/>
    </row>
    <row r="3816" spans="84:91" s="51" customFormat="1">
      <c r="CF3816" s="239"/>
      <c r="CM3816" s="336"/>
    </row>
    <row r="3817" spans="84:91" s="51" customFormat="1">
      <c r="CF3817" s="239"/>
      <c r="CM3817" s="336"/>
    </row>
    <row r="3818" spans="84:91" s="51" customFormat="1">
      <c r="CF3818" s="239"/>
      <c r="CM3818" s="336"/>
    </row>
    <row r="3819" spans="84:91" s="51" customFormat="1">
      <c r="CF3819" s="239"/>
      <c r="CM3819" s="336"/>
    </row>
    <row r="3820" spans="84:91" s="51" customFormat="1">
      <c r="CF3820" s="239"/>
      <c r="CM3820" s="336"/>
    </row>
    <row r="3821" spans="84:91" s="51" customFormat="1">
      <c r="CF3821" s="239"/>
      <c r="CM3821" s="336"/>
    </row>
    <row r="3822" spans="84:91" s="51" customFormat="1">
      <c r="CF3822" s="239"/>
      <c r="CM3822" s="336"/>
    </row>
    <row r="3823" spans="84:91" s="51" customFormat="1">
      <c r="CF3823" s="239"/>
      <c r="CM3823" s="336"/>
    </row>
    <row r="3824" spans="84:91" s="51" customFormat="1">
      <c r="CF3824" s="239"/>
      <c r="CM3824" s="336"/>
    </row>
    <row r="3825" spans="84:91" s="51" customFormat="1">
      <c r="CF3825" s="239"/>
      <c r="CM3825" s="336"/>
    </row>
    <row r="3826" spans="84:91" s="51" customFormat="1">
      <c r="CF3826" s="239"/>
      <c r="CM3826" s="336"/>
    </row>
    <row r="3827" spans="84:91" s="51" customFormat="1">
      <c r="CF3827" s="239"/>
      <c r="CM3827" s="336"/>
    </row>
    <row r="3828" spans="84:91" s="51" customFormat="1">
      <c r="CF3828" s="239"/>
      <c r="CM3828" s="336"/>
    </row>
    <row r="3829" spans="84:91" s="51" customFormat="1">
      <c r="CF3829" s="239"/>
      <c r="CM3829" s="336"/>
    </row>
    <row r="3830" spans="84:91" s="51" customFormat="1">
      <c r="CF3830" s="239"/>
      <c r="CM3830" s="336"/>
    </row>
    <row r="3831" spans="84:91" s="51" customFormat="1">
      <c r="CF3831" s="239"/>
      <c r="CM3831" s="336"/>
    </row>
    <row r="3832" spans="84:91" s="51" customFormat="1">
      <c r="CF3832" s="239"/>
      <c r="CM3832" s="336"/>
    </row>
    <row r="3833" spans="84:91" s="51" customFormat="1">
      <c r="CF3833" s="239"/>
      <c r="CM3833" s="336"/>
    </row>
    <row r="3834" spans="84:91" s="51" customFormat="1">
      <c r="CF3834" s="239"/>
      <c r="CM3834" s="336"/>
    </row>
    <row r="3835" spans="84:91" s="51" customFormat="1">
      <c r="CF3835" s="239"/>
      <c r="CM3835" s="336"/>
    </row>
    <row r="3836" spans="84:91" s="51" customFormat="1">
      <c r="CF3836" s="239"/>
      <c r="CM3836" s="336"/>
    </row>
    <row r="3837" spans="84:91" s="51" customFormat="1">
      <c r="CF3837" s="239"/>
      <c r="CM3837" s="336"/>
    </row>
    <row r="3838" spans="84:91" s="51" customFormat="1">
      <c r="CF3838" s="239"/>
      <c r="CM3838" s="336"/>
    </row>
    <row r="3839" spans="84:91" s="51" customFormat="1">
      <c r="CF3839" s="239"/>
      <c r="CM3839" s="336"/>
    </row>
    <row r="3840" spans="84:91" s="51" customFormat="1">
      <c r="CF3840" s="239"/>
      <c r="CM3840" s="336"/>
    </row>
    <row r="3841" spans="84:91" s="51" customFormat="1">
      <c r="CF3841" s="239"/>
      <c r="CM3841" s="336"/>
    </row>
    <row r="3842" spans="84:91" s="51" customFormat="1">
      <c r="CF3842" s="239"/>
      <c r="CM3842" s="336"/>
    </row>
    <row r="3843" spans="84:91" s="51" customFormat="1">
      <c r="CF3843" s="239"/>
      <c r="CM3843" s="336"/>
    </row>
    <row r="3844" spans="84:91" s="51" customFormat="1">
      <c r="CF3844" s="239"/>
      <c r="CM3844" s="336"/>
    </row>
    <row r="3845" spans="84:91" s="51" customFormat="1">
      <c r="CF3845" s="239"/>
      <c r="CM3845" s="336"/>
    </row>
    <row r="3846" spans="84:91" s="51" customFormat="1">
      <c r="CF3846" s="239"/>
      <c r="CM3846" s="336"/>
    </row>
    <row r="3847" spans="84:91" s="51" customFormat="1">
      <c r="CF3847" s="239"/>
      <c r="CM3847" s="336"/>
    </row>
    <row r="3848" spans="84:91" s="51" customFormat="1">
      <c r="CF3848" s="239"/>
      <c r="CM3848" s="336"/>
    </row>
    <row r="3849" spans="84:91" s="51" customFormat="1">
      <c r="CF3849" s="239"/>
      <c r="CM3849" s="336"/>
    </row>
    <row r="3850" spans="84:91" s="51" customFormat="1">
      <c r="CF3850" s="239"/>
      <c r="CM3850" s="336"/>
    </row>
    <row r="3851" spans="84:91" s="51" customFormat="1">
      <c r="CF3851" s="239"/>
      <c r="CM3851" s="336"/>
    </row>
    <row r="3852" spans="84:91" s="51" customFormat="1">
      <c r="CF3852" s="239"/>
      <c r="CM3852" s="336"/>
    </row>
    <row r="3853" spans="84:91" s="51" customFormat="1">
      <c r="CF3853" s="239"/>
      <c r="CM3853" s="336"/>
    </row>
    <row r="3854" spans="84:91" s="51" customFormat="1">
      <c r="CF3854" s="239"/>
      <c r="CM3854" s="336"/>
    </row>
    <row r="3855" spans="84:91" s="51" customFormat="1">
      <c r="CF3855" s="239"/>
      <c r="CM3855" s="336"/>
    </row>
    <row r="3856" spans="84:91" s="51" customFormat="1">
      <c r="CF3856" s="239"/>
      <c r="CM3856" s="336"/>
    </row>
    <row r="3857" spans="84:91" s="51" customFormat="1">
      <c r="CF3857" s="239"/>
      <c r="CM3857" s="336"/>
    </row>
    <row r="3858" spans="84:91" s="51" customFormat="1">
      <c r="CF3858" s="239"/>
      <c r="CM3858" s="336"/>
    </row>
    <row r="3859" spans="84:91" s="51" customFormat="1">
      <c r="CF3859" s="239"/>
      <c r="CM3859" s="336"/>
    </row>
    <row r="3860" spans="84:91" s="51" customFormat="1">
      <c r="CF3860" s="239"/>
      <c r="CM3860" s="336"/>
    </row>
    <row r="3861" spans="84:91" s="51" customFormat="1">
      <c r="CF3861" s="239"/>
      <c r="CM3861" s="336"/>
    </row>
    <row r="3862" spans="84:91" s="51" customFormat="1">
      <c r="CF3862" s="239"/>
      <c r="CM3862" s="336"/>
    </row>
    <row r="3863" spans="84:91" s="51" customFormat="1">
      <c r="CF3863" s="239"/>
      <c r="CM3863" s="336"/>
    </row>
    <row r="3864" spans="84:91" s="51" customFormat="1">
      <c r="CF3864" s="239"/>
      <c r="CM3864" s="336"/>
    </row>
    <row r="3865" spans="84:91" s="51" customFormat="1">
      <c r="CF3865" s="239"/>
      <c r="CM3865" s="336"/>
    </row>
    <row r="3866" spans="84:91" s="51" customFormat="1">
      <c r="CF3866" s="239"/>
      <c r="CM3866" s="336"/>
    </row>
    <row r="3867" spans="84:91" s="51" customFormat="1">
      <c r="CF3867" s="239"/>
      <c r="CM3867" s="336"/>
    </row>
    <row r="3868" spans="84:91" s="51" customFormat="1">
      <c r="CF3868" s="239"/>
      <c r="CM3868" s="336"/>
    </row>
    <row r="3869" spans="84:91" s="51" customFormat="1">
      <c r="CF3869" s="239"/>
      <c r="CM3869" s="336"/>
    </row>
    <row r="3870" spans="84:91" s="51" customFormat="1">
      <c r="CF3870" s="239"/>
      <c r="CM3870" s="336"/>
    </row>
    <row r="3871" spans="84:91" s="51" customFormat="1">
      <c r="CF3871" s="239"/>
      <c r="CM3871" s="336"/>
    </row>
    <row r="3872" spans="84:91" s="51" customFormat="1">
      <c r="CF3872" s="239"/>
      <c r="CM3872" s="336"/>
    </row>
    <row r="3873" spans="84:91" s="51" customFormat="1">
      <c r="CF3873" s="239"/>
      <c r="CM3873" s="336"/>
    </row>
    <row r="3874" spans="84:91" s="51" customFormat="1">
      <c r="CF3874" s="239"/>
      <c r="CM3874" s="336"/>
    </row>
    <row r="3875" spans="84:91" s="51" customFormat="1">
      <c r="CF3875" s="239"/>
      <c r="CM3875" s="336"/>
    </row>
    <row r="3876" spans="84:91" s="51" customFormat="1">
      <c r="CF3876" s="239"/>
      <c r="CM3876" s="336"/>
    </row>
    <row r="3877" spans="84:91" s="51" customFormat="1">
      <c r="CF3877" s="239"/>
      <c r="CM3877" s="336"/>
    </row>
    <row r="3878" spans="84:91" s="51" customFormat="1">
      <c r="CF3878" s="239"/>
      <c r="CM3878" s="336"/>
    </row>
    <row r="3879" spans="84:91" s="51" customFormat="1">
      <c r="CF3879" s="239"/>
      <c r="CM3879" s="336"/>
    </row>
    <row r="3880" spans="84:91" s="51" customFormat="1">
      <c r="CF3880" s="239"/>
      <c r="CM3880" s="336"/>
    </row>
    <row r="3881" spans="84:91" s="51" customFormat="1">
      <c r="CF3881" s="239"/>
      <c r="CM3881" s="336"/>
    </row>
    <row r="3882" spans="84:91" s="51" customFormat="1">
      <c r="CF3882" s="239"/>
      <c r="CM3882" s="336"/>
    </row>
    <row r="3883" spans="84:91" s="51" customFormat="1">
      <c r="CF3883" s="239"/>
      <c r="CM3883" s="336"/>
    </row>
    <row r="3884" spans="84:91" s="51" customFormat="1">
      <c r="CF3884" s="239"/>
      <c r="CM3884" s="336"/>
    </row>
    <row r="3885" spans="84:91" s="51" customFormat="1">
      <c r="CF3885" s="239"/>
      <c r="CM3885" s="336"/>
    </row>
    <row r="3886" spans="84:91" s="51" customFormat="1">
      <c r="CF3886" s="239"/>
      <c r="CM3886" s="336"/>
    </row>
    <row r="3887" spans="84:91" s="51" customFormat="1">
      <c r="CF3887" s="239"/>
      <c r="CM3887" s="336"/>
    </row>
    <row r="3888" spans="84:91" s="51" customFormat="1">
      <c r="CF3888" s="239"/>
      <c r="CM3888" s="336"/>
    </row>
    <row r="3889" spans="84:91" s="51" customFormat="1">
      <c r="CF3889" s="239"/>
      <c r="CM3889" s="336"/>
    </row>
    <row r="3890" spans="84:91" s="51" customFormat="1">
      <c r="CF3890" s="239"/>
      <c r="CM3890" s="336"/>
    </row>
    <row r="3891" spans="84:91" s="51" customFormat="1">
      <c r="CF3891" s="239"/>
      <c r="CM3891" s="336"/>
    </row>
    <row r="3892" spans="84:91" s="51" customFormat="1">
      <c r="CF3892" s="239"/>
      <c r="CM3892" s="336"/>
    </row>
    <row r="3893" spans="84:91" s="51" customFormat="1">
      <c r="CF3893" s="239"/>
      <c r="CM3893" s="336"/>
    </row>
    <row r="3894" spans="84:91" s="51" customFormat="1">
      <c r="CF3894" s="239"/>
      <c r="CM3894" s="336"/>
    </row>
    <row r="3895" spans="84:91" s="51" customFormat="1">
      <c r="CF3895" s="239"/>
      <c r="CM3895" s="336"/>
    </row>
    <row r="3896" spans="84:91" s="51" customFormat="1">
      <c r="CF3896" s="239"/>
      <c r="CM3896" s="336"/>
    </row>
    <row r="3897" spans="84:91" s="51" customFormat="1">
      <c r="CF3897" s="239"/>
      <c r="CM3897" s="336"/>
    </row>
    <row r="3898" spans="84:91" s="51" customFormat="1">
      <c r="CF3898" s="239"/>
      <c r="CM3898" s="336"/>
    </row>
    <row r="3899" spans="84:91" s="51" customFormat="1">
      <c r="CF3899" s="239"/>
      <c r="CM3899" s="336"/>
    </row>
    <row r="3900" spans="84:91" s="51" customFormat="1">
      <c r="CF3900" s="239"/>
      <c r="CM3900" s="336"/>
    </row>
    <row r="3901" spans="84:91" s="51" customFormat="1">
      <c r="CF3901" s="239"/>
      <c r="CM3901" s="336"/>
    </row>
    <row r="3902" spans="84:91" s="51" customFormat="1">
      <c r="CF3902" s="239"/>
      <c r="CM3902" s="336"/>
    </row>
    <row r="3903" spans="84:91" s="51" customFormat="1">
      <c r="CF3903" s="239"/>
      <c r="CM3903" s="336"/>
    </row>
    <row r="3904" spans="84:91" s="51" customFormat="1">
      <c r="CF3904" s="239"/>
      <c r="CM3904" s="336"/>
    </row>
    <row r="3905" spans="84:91" s="51" customFormat="1">
      <c r="CF3905" s="239"/>
      <c r="CM3905" s="336"/>
    </row>
    <row r="3906" spans="84:91" s="51" customFormat="1">
      <c r="CF3906" s="239"/>
      <c r="CM3906" s="336"/>
    </row>
    <row r="3907" spans="84:91" s="51" customFormat="1">
      <c r="CF3907" s="239"/>
      <c r="CM3907" s="336"/>
    </row>
    <row r="3908" spans="84:91" s="51" customFormat="1">
      <c r="CF3908" s="239"/>
      <c r="CM3908" s="336"/>
    </row>
    <row r="3909" spans="84:91" s="51" customFormat="1">
      <c r="CF3909" s="239"/>
      <c r="CM3909" s="336"/>
    </row>
    <row r="3910" spans="84:91" s="51" customFormat="1">
      <c r="CF3910" s="239"/>
      <c r="CM3910" s="336"/>
    </row>
    <row r="3911" spans="84:91" s="51" customFormat="1">
      <c r="CF3911" s="239"/>
      <c r="CM3911" s="336"/>
    </row>
    <row r="3912" spans="84:91" s="51" customFormat="1">
      <c r="CF3912" s="239"/>
      <c r="CM3912" s="336"/>
    </row>
    <row r="3913" spans="84:91" s="51" customFormat="1">
      <c r="CF3913" s="239"/>
      <c r="CM3913" s="336"/>
    </row>
    <row r="3914" spans="84:91" s="51" customFormat="1">
      <c r="CF3914" s="239"/>
      <c r="CM3914" s="336"/>
    </row>
    <row r="3915" spans="84:91" s="51" customFormat="1">
      <c r="CF3915" s="239"/>
      <c r="CM3915" s="336"/>
    </row>
    <row r="3916" spans="84:91" s="51" customFormat="1">
      <c r="CF3916" s="239"/>
      <c r="CM3916" s="336"/>
    </row>
    <row r="3917" spans="84:91" s="51" customFormat="1">
      <c r="CF3917" s="239"/>
      <c r="CM3917" s="336"/>
    </row>
    <row r="3918" spans="84:91" s="51" customFormat="1">
      <c r="CF3918" s="239"/>
      <c r="CM3918" s="336"/>
    </row>
    <row r="3919" spans="84:91" s="51" customFormat="1">
      <c r="CF3919" s="239"/>
      <c r="CM3919" s="336"/>
    </row>
    <row r="3920" spans="84:91" s="51" customFormat="1">
      <c r="CF3920" s="239"/>
      <c r="CM3920" s="336"/>
    </row>
    <row r="3921" spans="84:91" s="51" customFormat="1">
      <c r="CF3921" s="239"/>
      <c r="CM3921" s="336"/>
    </row>
    <row r="3922" spans="84:91" s="51" customFormat="1">
      <c r="CF3922" s="239"/>
      <c r="CM3922" s="336"/>
    </row>
    <row r="3923" spans="84:91" s="51" customFormat="1">
      <c r="CF3923" s="239"/>
      <c r="CM3923" s="336"/>
    </row>
    <row r="3924" spans="84:91" s="51" customFormat="1">
      <c r="CF3924" s="239"/>
      <c r="CM3924" s="336"/>
    </row>
    <row r="3925" spans="84:91" s="51" customFormat="1">
      <c r="CF3925" s="239"/>
      <c r="CM3925" s="336"/>
    </row>
    <row r="3926" spans="84:91" s="51" customFormat="1">
      <c r="CF3926" s="239"/>
      <c r="CM3926" s="336"/>
    </row>
    <row r="3927" spans="84:91" s="51" customFormat="1">
      <c r="CF3927" s="239"/>
      <c r="CM3927" s="336"/>
    </row>
    <row r="3928" spans="84:91" s="51" customFormat="1">
      <c r="CF3928" s="239"/>
      <c r="CM3928" s="336"/>
    </row>
    <row r="3929" spans="84:91" s="51" customFormat="1">
      <c r="CF3929" s="239"/>
      <c r="CM3929" s="336"/>
    </row>
    <row r="3930" spans="84:91" s="51" customFormat="1">
      <c r="CF3930" s="239"/>
      <c r="CM3930" s="336"/>
    </row>
    <row r="3931" spans="84:91" s="51" customFormat="1">
      <c r="CF3931" s="239"/>
      <c r="CM3931" s="336"/>
    </row>
    <row r="3932" spans="84:91" s="51" customFormat="1">
      <c r="CF3932" s="239"/>
      <c r="CM3932" s="336"/>
    </row>
    <row r="3933" spans="84:91" s="51" customFormat="1">
      <c r="CF3933" s="239"/>
      <c r="CM3933" s="336"/>
    </row>
    <row r="3934" spans="84:91" s="51" customFormat="1">
      <c r="CF3934" s="239"/>
      <c r="CM3934" s="336"/>
    </row>
    <row r="3935" spans="84:91" s="51" customFormat="1">
      <c r="CF3935" s="239"/>
      <c r="CM3935" s="336"/>
    </row>
    <row r="3936" spans="84:91" s="51" customFormat="1">
      <c r="CF3936" s="239"/>
      <c r="CM3936" s="336"/>
    </row>
    <row r="3937" spans="84:91" s="51" customFormat="1">
      <c r="CF3937" s="239"/>
      <c r="CM3937" s="336"/>
    </row>
    <row r="3938" spans="84:91" s="51" customFormat="1">
      <c r="CF3938" s="239"/>
      <c r="CM3938" s="336"/>
    </row>
    <row r="3939" spans="84:91" s="51" customFormat="1">
      <c r="CF3939" s="239"/>
      <c r="CM3939" s="336"/>
    </row>
    <row r="3940" spans="84:91" s="51" customFormat="1">
      <c r="CF3940" s="239"/>
      <c r="CM3940" s="336"/>
    </row>
    <row r="3941" spans="84:91" s="51" customFormat="1">
      <c r="CF3941" s="239"/>
      <c r="CM3941" s="336"/>
    </row>
    <row r="3942" spans="84:91" s="51" customFormat="1">
      <c r="CF3942" s="239"/>
      <c r="CM3942" s="336"/>
    </row>
    <row r="3943" spans="84:91" s="51" customFormat="1">
      <c r="CF3943" s="239"/>
      <c r="CM3943" s="336"/>
    </row>
    <row r="3944" spans="84:91" s="51" customFormat="1">
      <c r="CF3944" s="239"/>
      <c r="CM3944" s="336"/>
    </row>
    <row r="3945" spans="84:91" s="51" customFormat="1">
      <c r="CF3945" s="239"/>
      <c r="CM3945" s="336"/>
    </row>
    <row r="3946" spans="84:91" s="51" customFormat="1">
      <c r="CF3946" s="239"/>
      <c r="CM3946" s="336"/>
    </row>
    <row r="3947" spans="84:91" s="51" customFormat="1">
      <c r="CF3947" s="239"/>
      <c r="CM3947" s="336"/>
    </row>
    <row r="3948" spans="84:91" s="51" customFormat="1">
      <c r="CF3948" s="239"/>
      <c r="CM3948" s="336"/>
    </row>
    <row r="3949" spans="84:91" s="51" customFormat="1">
      <c r="CF3949" s="239"/>
      <c r="CM3949" s="336"/>
    </row>
    <row r="3950" spans="84:91" s="51" customFormat="1">
      <c r="CF3950" s="239"/>
      <c r="CM3950" s="336"/>
    </row>
    <row r="3951" spans="84:91" s="51" customFormat="1">
      <c r="CF3951" s="239"/>
      <c r="CM3951" s="336"/>
    </row>
    <row r="3952" spans="84:91" s="51" customFormat="1">
      <c r="CF3952" s="239"/>
      <c r="CM3952" s="336"/>
    </row>
    <row r="3953" spans="84:91" s="51" customFormat="1">
      <c r="CF3953" s="239"/>
      <c r="CM3953" s="336"/>
    </row>
    <row r="3954" spans="84:91" s="51" customFormat="1">
      <c r="CF3954" s="239"/>
      <c r="CM3954" s="336"/>
    </row>
    <row r="3955" spans="84:91" s="51" customFormat="1">
      <c r="CF3955" s="239"/>
      <c r="CM3955" s="336"/>
    </row>
    <row r="3956" spans="84:91" s="51" customFormat="1">
      <c r="CF3956" s="239"/>
      <c r="CM3956" s="336"/>
    </row>
    <row r="3957" spans="84:91" s="51" customFormat="1">
      <c r="CF3957" s="239"/>
      <c r="CM3957" s="336"/>
    </row>
    <row r="3958" spans="84:91" s="51" customFormat="1">
      <c r="CF3958" s="239"/>
      <c r="CM3958" s="336"/>
    </row>
    <row r="3959" spans="84:91" s="51" customFormat="1">
      <c r="CF3959" s="239"/>
      <c r="CM3959" s="336"/>
    </row>
    <row r="3960" spans="84:91" s="51" customFormat="1">
      <c r="CF3960" s="239"/>
      <c r="CM3960" s="336"/>
    </row>
    <row r="3961" spans="84:91" s="51" customFormat="1">
      <c r="CF3961" s="239"/>
      <c r="CM3961" s="336"/>
    </row>
    <row r="3962" spans="84:91" s="51" customFormat="1">
      <c r="CF3962" s="239"/>
      <c r="CM3962" s="336"/>
    </row>
    <row r="3963" spans="84:91" s="51" customFormat="1">
      <c r="CF3963" s="239"/>
      <c r="CM3963" s="336"/>
    </row>
    <row r="3964" spans="84:91" s="51" customFormat="1">
      <c r="CF3964" s="239"/>
      <c r="CM3964" s="336"/>
    </row>
    <row r="3965" spans="84:91" s="51" customFormat="1">
      <c r="CF3965" s="239"/>
      <c r="CM3965" s="336"/>
    </row>
    <row r="3966" spans="84:91" s="51" customFormat="1">
      <c r="CF3966" s="239"/>
      <c r="CM3966" s="336"/>
    </row>
    <row r="3967" spans="84:91" s="51" customFormat="1">
      <c r="CF3967" s="239"/>
      <c r="CM3967" s="336"/>
    </row>
    <row r="3968" spans="84:91" s="51" customFormat="1">
      <c r="CF3968" s="239"/>
      <c r="CM3968" s="336"/>
    </row>
    <row r="3969" spans="84:91" s="51" customFormat="1">
      <c r="CF3969" s="239"/>
      <c r="CM3969" s="336"/>
    </row>
    <row r="3970" spans="84:91" s="51" customFormat="1">
      <c r="CF3970" s="239"/>
      <c r="CM3970" s="336"/>
    </row>
    <row r="3971" spans="84:91" s="51" customFormat="1">
      <c r="CF3971" s="239"/>
      <c r="CM3971" s="336"/>
    </row>
    <row r="3972" spans="84:91" s="51" customFormat="1">
      <c r="CF3972" s="239"/>
      <c r="CM3972" s="336"/>
    </row>
    <row r="3973" spans="84:91" s="51" customFormat="1">
      <c r="CF3973" s="239"/>
      <c r="CM3973" s="336"/>
    </row>
    <row r="3974" spans="84:91" s="51" customFormat="1">
      <c r="CF3974" s="239"/>
      <c r="CM3974" s="336"/>
    </row>
    <row r="3975" spans="84:91" s="51" customFormat="1">
      <c r="CF3975" s="239"/>
      <c r="CM3975" s="336"/>
    </row>
    <row r="3976" spans="84:91" s="51" customFormat="1">
      <c r="CF3976" s="239"/>
      <c r="CM3976" s="336"/>
    </row>
    <row r="3977" spans="84:91" s="51" customFormat="1">
      <c r="CF3977" s="239"/>
      <c r="CM3977" s="336"/>
    </row>
    <row r="3978" spans="84:91" s="51" customFormat="1">
      <c r="CF3978" s="239"/>
      <c r="CM3978" s="336"/>
    </row>
    <row r="3979" spans="84:91" s="51" customFormat="1">
      <c r="CF3979" s="239"/>
      <c r="CM3979" s="336"/>
    </row>
    <row r="3980" spans="84:91" s="51" customFormat="1">
      <c r="CF3980" s="239"/>
      <c r="CM3980" s="336"/>
    </row>
    <row r="3981" spans="84:91" s="51" customFormat="1">
      <c r="CF3981" s="239"/>
      <c r="CM3981" s="336"/>
    </row>
    <row r="3982" spans="84:91" s="51" customFormat="1">
      <c r="CF3982" s="239"/>
      <c r="CM3982" s="336"/>
    </row>
    <row r="3983" spans="84:91" s="51" customFormat="1">
      <c r="CF3983" s="239"/>
      <c r="CM3983" s="336"/>
    </row>
    <row r="3984" spans="84:91" s="51" customFormat="1">
      <c r="CF3984" s="239"/>
      <c r="CM3984" s="336"/>
    </row>
    <row r="3985" spans="84:91" s="51" customFormat="1">
      <c r="CF3985" s="239"/>
      <c r="CM3985" s="336"/>
    </row>
    <row r="3986" spans="84:91" s="51" customFormat="1">
      <c r="CF3986" s="239"/>
      <c r="CM3986" s="336"/>
    </row>
    <row r="3987" spans="84:91" s="51" customFormat="1">
      <c r="CF3987" s="239"/>
      <c r="CM3987" s="336"/>
    </row>
    <row r="3988" spans="84:91" s="51" customFormat="1">
      <c r="CF3988" s="239"/>
      <c r="CM3988" s="336"/>
    </row>
    <row r="3989" spans="84:91" s="51" customFormat="1">
      <c r="CF3989" s="239"/>
      <c r="CM3989" s="336"/>
    </row>
    <row r="3990" spans="84:91" s="51" customFormat="1">
      <c r="CF3990" s="239"/>
      <c r="CM3990" s="336"/>
    </row>
    <row r="3991" spans="84:91" s="51" customFormat="1">
      <c r="CF3991" s="239"/>
      <c r="CM3991" s="336"/>
    </row>
    <row r="3992" spans="84:91" s="51" customFormat="1">
      <c r="CF3992" s="239"/>
      <c r="CM3992" s="336"/>
    </row>
    <row r="3993" spans="84:91" s="51" customFormat="1">
      <c r="CF3993" s="239"/>
      <c r="CM3993" s="336"/>
    </row>
    <row r="3994" spans="84:91" s="51" customFormat="1">
      <c r="CF3994" s="239"/>
      <c r="CM3994" s="336"/>
    </row>
    <row r="3995" spans="84:91" s="51" customFormat="1">
      <c r="CF3995" s="239"/>
      <c r="CM3995" s="336"/>
    </row>
    <row r="3996" spans="84:91" s="51" customFormat="1">
      <c r="CF3996" s="239"/>
      <c r="CM3996" s="336"/>
    </row>
    <row r="3997" spans="84:91" s="51" customFormat="1">
      <c r="CF3997" s="239"/>
      <c r="CM3997" s="336"/>
    </row>
    <row r="3998" spans="84:91" s="51" customFormat="1">
      <c r="CF3998" s="239"/>
      <c r="CM3998" s="336"/>
    </row>
    <row r="3999" spans="84:91" s="51" customFormat="1">
      <c r="CF3999" s="239"/>
      <c r="CM3999" s="336"/>
    </row>
    <row r="4000" spans="84:91" s="51" customFormat="1">
      <c r="CF4000" s="239"/>
      <c r="CM4000" s="336"/>
    </row>
    <row r="4001" spans="84:91" s="51" customFormat="1">
      <c r="CF4001" s="239"/>
      <c r="CM4001" s="336"/>
    </row>
    <row r="4002" spans="84:91" s="51" customFormat="1">
      <c r="CF4002" s="239"/>
      <c r="CM4002" s="336"/>
    </row>
    <row r="4003" spans="84:91" s="51" customFormat="1">
      <c r="CF4003" s="239"/>
      <c r="CM4003" s="336"/>
    </row>
    <row r="4004" spans="84:91" s="51" customFormat="1">
      <c r="CF4004" s="239"/>
      <c r="CM4004" s="336"/>
    </row>
    <row r="4005" spans="84:91" s="51" customFormat="1">
      <c r="CF4005" s="239"/>
      <c r="CM4005" s="336"/>
    </row>
    <row r="4006" spans="84:91" s="51" customFormat="1">
      <c r="CF4006" s="239"/>
      <c r="CM4006" s="336"/>
    </row>
    <row r="4007" spans="84:91" s="51" customFormat="1">
      <c r="CF4007" s="239"/>
      <c r="CM4007" s="336"/>
    </row>
    <row r="4008" spans="84:91" s="51" customFormat="1">
      <c r="CF4008" s="239"/>
      <c r="CM4008" s="336"/>
    </row>
    <row r="4009" spans="84:91" s="51" customFormat="1">
      <c r="CF4009" s="239"/>
      <c r="CM4009" s="336"/>
    </row>
    <row r="4010" spans="84:91" s="51" customFormat="1">
      <c r="CF4010" s="239"/>
      <c r="CM4010" s="336"/>
    </row>
    <row r="4011" spans="84:91" s="51" customFormat="1">
      <c r="CF4011" s="239"/>
      <c r="CM4011" s="336"/>
    </row>
    <row r="4012" spans="84:91" s="51" customFormat="1">
      <c r="CF4012" s="239"/>
      <c r="CM4012" s="336"/>
    </row>
    <row r="4013" spans="84:91" s="51" customFormat="1">
      <c r="CF4013" s="239"/>
      <c r="CM4013" s="336"/>
    </row>
    <row r="4014" spans="84:91" s="51" customFormat="1">
      <c r="CF4014" s="239"/>
      <c r="CM4014" s="336"/>
    </row>
    <row r="4015" spans="84:91" s="51" customFormat="1">
      <c r="CF4015" s="239"/>
      <c r="CM4015" s="336"/>
    </row>
    <row r="4016" spans="84:91" s="51" customFormat="1">
      <c r="CF4016" s="239"/>
      <c r="CM4016" s="336"/>
    </row>
    <row r="4017" spans="84:91" s="51" customFormat="1">
      <c r="CF4017" s="239"/>
      <c r="CM4017" s="336"/>
    </row>
    <row r="4018" spans="84:91" s="51" customFormat="1">
      <c r="CF4018" s="239"/>
      <c r="CM4018" s="336"/>
    </row>
    <row r="4019" spans="84:91" s="51" customFormat="1">
      <c r="CF4019" s="239"/>
      <c r="CM4019" s="336"/>
    </row>
    <row r="4020" spans="84:91" s="51" customFormat="1">
      <c r="CF4020" s="239"/>
      <c r="CM4020" s="336"/>
    </row>
    <row r="4021" spans="84:91" s="51" customFormat="1">
      <c r="CF4021" s="239"/>
      <c r="CM4021" s="336"/>
    </row>
    <row r="4022" spans="84:91" s="51" customFormat="1">
      <c r="CF4022" s="239"/>
      <c r="CM4022" s="336"/>
    </row>
    <row r="4023" spans="84:91" s="51" customFormat="1">
      <c r="CF4023" s="239"/>
      <c r="CM4023" s="336"/>
    </row>
    <row r="4024" spans="84:91" s="51" customFormat="1">
      <c r="CF4024" s="239"/>
      <c r="CM4024" s="336"/>
    </row>
    <row r="4025" spans="84:91" s="51" customFormat="1">
      <c r="CF4025" s="239"/>
      <c r="CM4025" s="336"/>
    </row>
    <row r="4026" spans="84:91" s="51" customFormat="1">
      <c r="CF4026" s="239"/>
      <c r="CM4026" s="336"/>
    </row>
    <row r="4027" spans="84:91" s="51" customFormat="1">
      <c r="CF4027" s="239"/>
      <c r="CM4027" s="336"/>
    </row>
    <row r="4028" spans="84:91" s="51" customFormat="1">
      <c r="CF4028" s="239"/>
      <c r="CM4028" s="336"/>
    </row>
    <row r="4029" spans="84:91" s="51" customFormat="1">
      <c r="CF4029" s="239"/>
      <c r="CM4029" s="336"/>
    </row>
    <row r="4030" spans="84:91" s="51" customFormat="1">
      <c r="CF4030" s="239"/>
      <c r="CM4030" s="336"/>
    </row>
    <row r="4031" spans="84:91" s="51" customFormat="1">
      <c r="CF4031" s="239"/>
      <c r="CM4031" s="336"/>
    </row>
    <row r="4032" spans="84:91" s="51" customFormat="1">
      <c r="CF4032" s="239"/>
      <c r="CM4032" s="336"/>
    </row>
    <row r="4033" spans="84:91" s="51" customFormat="1">
      <c r="CF4033" s="239"/>
      <c r="CM4033" s="336"/>
    </row>
    <row r="4034" spans="84:91" s="51" customFormat="1">
      <c r="CF4034" s="239"/>
      <c r="CM4034" s="336"/>
    </row>
    <row r="4035" spans="84:91" s="51" customFormat="1">
      <c r="CF4035" s="239"/>
      <c r="CM4035" s="336"/>
    </row>
    <row r="4036" spans="84:91" s="51" customFormat="1">
      <c r="CF4036" s="239"/>
      <c r="CM4036" s="336"/>
    </row>
    <row r="4037" spans="84:91" s="51" customFormat="1">
      <c r="CF4037" s="239"/>
      <c r="CM4037" s="336"/>
    </row>
    <row r="4038" spans="84:91" s="51" customFormat="1">
      <c r="CF4038" s="239"/>
      <c r="CM4038" s="336"/>
    </row>
    <row r="4039" spans="84:91" s="51" customFormat="1">
      <c r="CF4039" s="239"/>
      <c r="CM4039" s="336"/>
    </row>
    <row r="4040" spans="84:91" s="51" customFormat="1">
      <c r="CF4040" s="239"/>
      <c r="CM4040" s="336"/>
    </row>
    <row r="4041" spans="84:91" s="51" customFormat="1">
      <c r="CF4041" s="239"/>
      <c r="CM4041" s="336"/>
    </row>
    <row r="4042" spans="84:91" s="51" customFormat="1">
      <c r="CF4042" s="239"/>
      <c r="CM4042" s="336"/>
    </row>
    <row r="4043" spans="84:91" s="51" customFormat="1">
      <c r="CF4043" s="239"/>
      <c r="CM4043" s="336"/>
    </row>
    <row r="4044" spans="84:91" s="51" customFormat="1">
      <c r="CF4044" s="239"/>
      <c r="CM4044" s="336"/>
    </row>
    <row r="4045" spans="84:91" s="51" customFormat="1">
      <c r="CF4045" s="239"/>
      <c r="CM4045" s="336"/>
    </row>
    <row r="4046" spans="84:91" s="51" customFormat="1">
      <c r="CF4046" s="239"/>
      <c r="CM4046" s="336"/>
    </row>
    <row r="4047" spans="84:91" s="51" customFormat="1">
      <c r="CF4047" s="239"/>
      <c r="CM4047" s="336"/>
    </row>
    <row r="4048" spans="84:91" s="51" customFormat="1">
      <c r="CF4048" s="239"/>
      <c r="CM4048" s="336"/>
    </row>
    <row r="4049" spans="84:91" s="51" customFormat="1">
      <c r="CF4049" s="239"/>
      <c r="CM4049" s="336"/>
    </row>
    <row r="4050" spans="84:91" s="51" customFormat="1">
      <c r="CF4050" s="239"/>
      <c r="CM4050" s="336"/>
    </row>
    <row r="4051" spans="84:91" s="51" customFormat="1">
      <c r="CF4051" s="239"/>
      <c r="CM4051" s="336"/>
    </row>
    <row r="4052" spans="84:91" s="51" customFormat="1">
      <c r="CF4052" s="239"/>
      <c r="CM4052" s="336"/>
    </row>
    <row r="4053" spans="84:91" s="51" customFormat="1">
      <c r="CF4053" s="239"/>
      <c r="CM4053" s="336"/>
    </row>
    <row r="4054" spans="84:91" s="51" customFormat="1">
      <c r="CF4054" s="239"/>
      <c r="CM4054" s="336"/>
    </row>
    <row r="4055" spans="84:91" s="51" customFormat="1">
      <c r="CF4055" s="239"/>
      <c r="CM4055" s="336"/>
    </row>
    <row r="4056" spans="84:91" s="51" customFormat="1">
      <c r="CF4056" s="239"/>
      <c r="CM4056" s="336"/>
    </row>
    <row r="4057" spans="84:91" s="51" customFormat="1">
      <c r="CF4057" s="239"/>
      <c r="CM4057" s="336"/>
    </row>
    <row r="4058" spans="84:91" s="51" customFormat="1">
      <c r="CF4058" s="239"/>
      <c r="CM4058" s="336"/>
    </row>
    <row r="4059" spans="84:91" s="51" customFormat="1">
      <c r="CF4059" s="239"/>
      <c r="CM4059" s="336"/>
    </row>
    <row r="4060" spans="84:91" s="51" customFormat="1">
      <c r="CF4060" s="239"/>
      <c r="CM4060" s="336"/>
    </row>
    <row r="4061" spans="84:91" s="51" customFormat="1">
      <c r="CF4061" s="239"/>
      <c r="CM4061" s="336"/>
    </row>
    <row r="4062" spans="84:91" s="51" customFormat="1">
      <c r="CF4062" s="239"/>
      <c r="CM4062" s="336"/>
    </row>
    <row r="4063" spans="84:91" s="51" customFormat="1">
      <c r="CF4063" s="239"/>
      <c r="CM4063" s="336"/>
    </row>
    <row r="4064" spans="84:91" s="51" customFormat="1">
      <c r="CF4064" s="239"/>
      <c r="CM4064" s="336"/>
    </row>
    <row r="4065" spans="84:91" s="51" customFormat="1">
      <c r="CF4065" s="239"/>
      <c r="CM4065" s="336"/>
    </row>
    <row r="4066" spans="84:91" s="51" customFormat="1">
      <c r="CF4066" s="239"/>
      <c r="CM4066" s="336"/>
    </row>
    <row r="4067" spans="84:91" s="51" customFormat="1">
      <c r="CF4067" s="239"/>
      <c r="CM4067" s="336"/>
    </row>
    <row r="4068" spans="84:91" s="51" customFormat="1">
      <c r="CF4068" s="239"/>
      <c r="CM4068" s="336"/>
    </row>
    <row r="4069" spans="84:91" s="51" customFormat="1">
      <c r="CF4069" s="239"/>
      <c r="CM4069" s="336"/>
    </row>
    <row r="4070" spans="84:91" s="51" customFormat="1">
      <c r="CF4070" s="239"/>
      <c r="CM4070" s="336"/>
    </row>
    <row r="4071" spans="84:91" s="51" customFormat="1">
      <c r="CF4071" s="239"/>
      <c r="CM4071" s="336"/>
    </row>
    <row r="4072" spans="84:91" s="51" customFormat="1">
      <c r="CF4072" s="239"/>
      <c r="CM4072" s="336"/>
    </row>
    <row r="4073" spans="84:91" s="51" customFormat="1">
      <c r="CF4073" s="239"/>
      <c r="CM4073" s="336"/>
    </row>
    <row r="4074" spans="84:91" s="51" customFormat="1">
      <c r="CF4074" s="239"/>
      <c r="CM4074" s="336"/>
    </row>
    <row r="4075" spans="84:91" s="51" customFormat="1">
      <c r="CF4075" s="239"/>
      <c r="CM4075" s="336"/>
    </row>
    <row r="4076" spans="84:91" s="51" customFormat="1">
      <c r="CF4076" s="239"/>
      <c r="CM4076" s="336"/>
    </row>
    <row r="4077" spans="84:91" s="51" customFormat="1">
      <c r="CF4077" s="239"/>
      <c r="CM4077" s="336"/>
    </row>
    <row r="4078" spans="84:91" s="51" customFormat="1">
      <c r="CF4078" s="239"/>
      <c r="CM4078" s="336"/>
    </row>
    <row r="4079" spans="84:91" s="51" customFormat="1">
      <c r="CF4079" s="239"/>
      <c r="CM4079" s="336"/>
    </row>
    <row r="4080" spans="84:91" s="51" customFormat="1">
      <c r="CF4080" s="239"/>
      <c r="CM4080" s="336"/>
    </row>
    <row r="4081" spans="84:91" s="51" customFormat="1">
      <c r="CF4081" s="239"/>
      <c r="CM4081" s="336"/>
    </row>
    <row r="4082" spans="84:91" s="51" customFormat="1">
      <c r="CF4082" s="239"/>
      <c r="CM4082" s="336"/>
    </row>
    <row r="4083" spans="84:91" s="51" customFormat="1">
      <c r="CF4083" s="239"/>
      <c r="CM4083" s="336"/>
    </row>
    <row r="4084" spans="84:91" s="51" customFormat="1">
      <c r="CF4084" s="239"/>
      <c r="CM4084" s="336"/>
    </row>
    <row r="4085" spans="84:91" s="51" customFormat="1">
      <c r="CF4085" s="239"/>
      <c r="CM4085" s="336"/>
    </row>
    <row r="4086" spans="84:91" s="51" customFormat="1">
      <c r="CF4086" s="239"/>
      <c r="CM4086" s="336"/>
    </row>
    <row r="4087" spans="84:91" s="51" customFormat="1">
      <c r="CF4087" s="239"/>
      <c r="CM4087" s="336"/>
    </row>
    <row r="4088" spans="84:91" s="51" customFormat="1">
      <c r="CF4088" s="239"/>
      <c r="CM4088" s="336"/>
    </row>
    <row r="4089" spans="84:91" s="51" customFormat="1">
      <c r="CF4089" s="239"/>
      <c r="CM4089" s="336"/>
    </row>
    <row r="4090" spans="84:91" s="51" customFormat="1">
      <c r="CF4090" s="239"/>
      <c r="CM4090" s="336"/>
    </row>
    <row r="4091" spans="84:91" s="51" customFormat="1">
      <c r="CF4091" s="239"/>
      <c r="CM4091" s="336"/>
    </row>
    <row r="4092" spans="84:91" s="51" customFormat="1">
      <c r="CF4092" s="239"/>
      <c r="CM4092" s="336"/>
    </row>
    <row r="4093" spans="84:91" s="51" customFormat="1">
      <c r="CF4093" s="239"/>
      <c r="CM4093" s="336"/>
    </row>
    <row r="4094" spans="84:91" s="51" customFormat="1">
      <c r="CF4094" s="239"/>
      <c r="CM4094" s="336"/>
    </row>
    <row r="4095" spans="84:91" s="51" customFormat="1">
      <c r="CF4095" s="239"/>
      <c r="CM4095" s="336"/>
    </row>
    <row r="4096" spans="84:91" s="51" customFormat="1">
      <c r="CF4096" s="239"/>
      <c r="CM4096" s="336"/>
    </row>
    <row r="4097" spans="84:91" s="51" customFormat="1">
      <c r="CF4097" s="239"/>
      <c r="CM4097" s="336"/>
    </row>
    <row r="4098" spans="84:91" s="51" customFormat="1">
      <c r="CF4098" s="239"/>
      <c r="CM4098" s="336"/>
    </row>
    <row r="4099" spans="84:91" s="51" customFormat="1">
      <c r="CF4099" s="239"/>
      <c r="CM4099" s="336"/>
    </row>
    <row r="4100" spans="84:91" s="51" customFormat="1">
      <c r="CF4100" s="239"/>
      <c r="CM4100" s="336"/>
    </row>
    <row r="4101" spans="84:91" s="51" customFormat="1">
      <c r="CF4101" s="239"/>
      <c r="CM4101" s="336"/>
    </row>
    <row r="4102" spans="84:91" s="51" customFormat="1">
      <c r="CF4102" s="239"/>
      <c r="CM4102" s="336"/>
    </row>
    <row r="4103" spans="84:91" s="51" customFormat="1">
      <c r="CF4103" s="239"/>
      <c r="CM4103" s="336"/>
    </row>
    <row r="4104" spans="84:91" s="51" customFormat="1">
      <c r="CF4104" s="239"/>
      <c r="CM4104" s="336"/>
    </row>
    <row r="4105" spans="84:91" s="51" customFormat="1">
      <c r="CF4105" s="239"/>
      <c r="CM4105" s="336"/>
    </row>
    <row r="4106" spans="84:91" s="51" customFormat="1">
      <c r="CF4106" s="239"/>
      <c r="CM4106" s="336"/>
    </row>
    <row r="4107" spans="84:91" s="51" customFormat="1">
      <c r="CF4107" s="239"/>
      <c r="CM4107" s="336"/>
    </row>
    <row r="4108" spans="84:91" s="51" customFormat="1">
      <c r="CF4108" s="239"/>
      <c r="CM4108" s="336"/>
    </row>
    <row r="4109" spans="84:91" s="51" customFormat="1">
      <c r="CF4109" s="239"/>
      <c r="CM4109" s="336"/>
    </row>
    <row r="4110" spans="84:91" s="51" customFormat="1">
      <c r="CF4110" s="239"/>
      <c r="CM4110" s="336"/>
    </row>
    <row r="4111" spans="84:91" s="51" customFormat="1">
      <c r="CF4111" s="239"/>
      <c r="CM4111" s="336"/>
    </row>
    <row r="4112" spans="84:91" s="51" customFormat="1">
      <c r="CF4112" s="239"/>
      <c r="CM4112" s="336"/>
    </row>
    <row r="4113" spans="84:91" s="51" customFormat="1">
      <c r="CF4113" s="239"/>
      <c r="CM4113" s="336"/>
    </row>
    <row r="4114" spans="84:91" s="51" customFormat="1">
      <c r="CF4114" s="239"/>
      <c r="CM4114" s="336"/>
    </row>
    <row r="4115" spans="84:91" s="51" customFormat="1">
      <c r="CF4115" s="239"/>
      <c r="CM4115" s="336"/>
    </row>
    <row r="4116" spans="84:91" s="51" customFormat="1">
      <c r="CF4116" s="239"/>
      <c r="CM4116" s="336"/>
    </row>
    <row r="4117" spans="84:91" s="51" customFormat="1">
      <c r="CF4117" s="239"/>
      <c r="CM4117" s="336"/>
    </row>
    <row r="4118" spans="84:91" s="51" customFormat="1">
      <c r="CF4118" s="239"/>
      <c r="CM4118" s="336"/>
    </row>
    <row r="4119" spans="84:91" s="51" customFormat="1">
      <c r="CF4119" s="239"/>
      <c r="CM4119" s="336"/>
    </row>
    <row r="4120" spans="84:91" s="51" customFormat="1">
      <c r="CF4120" s="239"/>
      <c r="CM4120" s="336"/>
    </row>
    <row r="4121" spans="84:91" s="51" customFormat="1">
      <c r="CF4121" s="239"/>
      <c r="CM4121" s="336"/>
    </row>
    <row r="4122" spans="84:91" s="51" customFormat="1">
      <c r="CF4122" s="239"/>
      <c r="CM4122" s="336"/>
    </row>
    <row r="4123" spans="84:91" s="51" customFormat="1">
      <c r="CF4123" s="239"/>
      <c r="CM4123" s="336"/>
    </row>
    <row r="4124" spans="84:91" s="51" customFormat="1">
      <c r="CF4124" s="239"/>
      <c r="CM4124" s="336"/>
    </row>
    <row r="4125" spans="84:91" s="51" customFormat="1">
      <c r="CF4125" s="239"/>
      <c r="CM4125" s="336"/>
    </row>
    <row r="4126" spans="84:91" s="51" customFormat="1">
      <c r="CF4126" s="239"/>
      <c r="CM4126" s="336"/>
    </row>
    <row r="4127" spans="84:91" s="51" customFormat="1">
      <c r="CF4127" s="239"/>
      <c r="CM4127" s="336"/>
    </row>
    <row r="4128" spans="84:91" s="51" customFormat="1">
      <c r="CF4128" s="239"/>
      <c r="CM4128" s="336"/>
    </row>
    <row r="4129" spans="84:91" s="51" customFormat="1">
      <c r="CF4129" s="239"/>
      <c r="CM4129" s="336"/>
    </row>
    <row r="4130" spans="84:91" s="51" customFormat="1">
      <c r="CF4130" s="239"/>
      <c r="CM4130" s="336"/>
    </row>
    <row r="4131" spans="84:91" s="51" customFormat="1">
      <c r="CF4131" s="239"/>
      <c r="CM4131" s="336"/>
    </row>
    <row r="4132" spans="84:91" s="51" customFormat="1">
      <c r="CF4132" s="239"/>
      <c r="CM4132" s="336"/>
    </row>
    <row r="4133" spans="84:91" s="51" customFormat="1">
      <c r="CF4133" s="239"/>
      <c r="CM4133" s="336"/>
    </row>
    <row r="4134" spans="84:91" s="51" customFormat="1">
      <c r="CF4134" s="239"/>
      <c r="CM4134" s="336"/>
    </row>
    <row r="4135" spans="84:91" s="51" customFormat="1">
      <c r="CF4135" s="239"/>
      <c r="CM4135" s="336"/>
    </row>
    <row r="4136" spans="84:91" s="51" customFormat="1">
      <c r="CF4136" s="239"/>
      <c r="CM4136" s="336"/>
    </row>
    <row r="4137" spans="84:91" s="51" customFormat="1">
      <c r="CF4137" s="239"/>
      <c r="CM4137" s="336"/>
    </row>
    <row r="4138" spans="84:91" s="51" customFormat="1">
      <c r="CF4138" s="239"/>
      <c r="CM4138" s="336"/>
    </row>
    <row r="4139" spans="84:91" s="51" customFormat="1">
      <c r="CF4139" s="239"/>
      <c r="CM4139" s="336"/>
    </row>
    <row r="4140" spans="84:91" s="51" customFormat="1">
      <c r="CF4140" s="239"/>
      <c r="CM4140" s="336"/>
    </row>
    <row r="4141" spans="84:91" s="51" customFormat="1">
      <c r="CF4141" s="239"/>
      <c r="CM4141" s="336"/>
    </row>
    <row r="4142" spans="84:91" s="51" customFormat="1">
      <c r="CF4142" s="239"/>
      <c r="CM4142" s="336"/>
    </row>
    <row r="4143" spans="84:91" s="51" customFormat="1">
      <c r="CF4143" s="239"/>
      <c r="CM4143" s="336"/>
    </row>
    <row r="4144" spans="84:91" s="51" customFormat="1">
      <c r="CF4144" s="239"/>
      <c r="CM4144" s="336"/>
    </row>
    <row r="4145" spans="84:91" s="51" customFormat="1">
      <c r="CF4145" s="239"/>
      <c r="CM4145" s="336"/>
    </row>
    <row r="4146" spans="84:91" s="51" customFormat="1">
      <c r="CF4146" s="239"/>
      <c r="CM4146" s="336"/>
    </row>
    <row r="4147" spans="84:91" s="51" customFormat="1">
      <c r="CF4147" s="239"/>
      <c r="CM4147" s="336"/>
    </row>
    <row r="4148" spans="84:91" s="51" customFormat="1">
      <c r="CF4148" s="239"/>
      <c r="CM4148" s="336"/>
    </row>
    <row r="4149" spans="84:91" s="51" customFormat="1">
      <c r="CF4149" s="239"/>
      <c r="CM4149" s="336"/>
    </row>
    <row r="4150" spans="84:91" s="51" customFormat="1">
      <c r="CF4150" s="239"/>
      <c r="CM4150" s="336"/>
    </row>
    <row r="4151" spans="84:91" s="51" customFormat="1">
      <c r="CF4151" s="239"/>
      <c r="CM4151" s="336"/>
    </row>
    <row r="4152" spans="84:91" s="51" customFormat="1">
      <c r="CF4152" s="239"/>
      <c r="CM4152" s="336"/>
    </row>
    <row r="4153" spans="84:91" s="51" customFormat="1">
      <c r="CF4153" s="239"/>
      <c r="CM4153" s="336"/>
    </row>
    <row r="4154" spans="84:91" s="51" customFormat="1">
      <c r="CF4154" s="239"/>
      <c r="CM4154" s="336"/>
    </row>
    <row r="4155" spans="84:91" s="51" customFormat="1">
      <c r="CF4155" s="239"/>
      <c r="CM4155" s="336"/>
    </row>
    <row r="4156" spans="84:91" s="51" customFormat="1">
      <c r="CF4156" s="239"/>
      <c r="CM4156" s="336"/>
    </row>
    <row r="4157" spans="84:91" s="51" customFormat="1">
      <c r="CF4157" s="239"/>
      <c r="CM4157" s="336"/>
    </row>
    <row r="4158" spans="84:91" s="51" customFormat="1">
      <c r="CF4158" s="239"/>
      <c r="CM4158" s="336"/>
    </row>
    <row r="4159" spans="84:91" s="51" customFormat="1">
      <c r="CF4159" s="239"/>
      <c r="CM4159" s="336"/>
    </row>
    <row r="4160" spans="84:91" s="51" customFormat="1">
      <c r="CF4160" s="239"/>
      <c r="CM4160" s="336"/>
    </row>
    <row r="4161" spans="84:91" s="51" customFormat="1">
      <c r="CF4161" s="239"/>
      <c r="CM4161" s="336"/>
    </row>
    <row r="4162" spans="84:91" s="51" customFormat="1">
      <c r="CF4162" s="239"/>
      <c r="CM4162" s="336"/>
    </row>
    <row r="4163" spans="84:91" s="51" customFormat="1">
      <c r="CF4163" s="239"/>
      <c r="CM4163" s="336"/>
    </row>
    <row r="4164" spans="84:91" s="51" customFormat="1">
      <c r="CF4164" s="239"/>
      <c r="CM4164" s="336"/>
    </row>
    <row r="4165" spans="84:91" s="51" customFormat="1">
      <c r="CF4165" s="239"/>
      <c r="CM4165" s="336"/>
    </row>
    <row r="4166" spans="84:91" s="51" customFormat="1">
      <c r="CF4166" s="239"/>
      <c r="CM4166" s="336"/>
    </row>
    <row r="4167" spans="84:91" s="51" customFormat="1">
      <c r="CF4167" s="239"/>
      <c r="CM4167" s="336"/>
    </row>
    <row r="4168" spans="84:91" s="51" customFormat="1">
      <c r="CF4168" s="239"/>
      <c r="CM4168" s="336"/>
    </row>
    <row r="4169" spans="84:91" s="51" customFormat="1">
      <c r="CF4169" s="239"/>
      <c r="CM4169" s="336"/>
    </row>
    <row r="4170" spans="84:91" s="51" customFormat="1">
      <c r="CF4170" s="239"/>
      <c r="CM4170" s="336"/>
    </row>
    <row r="4171" spans="84:91" s="51" customFormat="1">
      <c r="CF4171" s="239"/>
      <c r="CM4171" s="336"/>
    </row>
    <row r="4172" spans="84:91" s="51" customFormat="1">
      <c r="CF4172" s="239"/>
      <c r="CM4172" s="336"/>
    </row>
    <row r="4173" spans="84:91" s="51" customFormat="1">
      <c r="CF4173" s="239"/>
      <c r="CM4173" s="336"/>
    </row>
    <row r="4174" spans="84:91" s="51" customFormat="1">
      <c r="CF4174" s="239"/>
      <c r="CM4174" s="336"/>
    </row>
    <row r="4175" spans="84:91" s="51" customFormat="1">
      <c r="CF4175" s="239"/>
      <c r="CM4175" s="336"/>
    </row>
    <row r="4176" spans="84:91" s="51" customFormat="1">
      <c r="CF4176" s="239"/>
      <c r="CM4176" s="336"/>
    </row>
    <row r="4177" spans="84:91" s="51" customFormat="1">
      <c r="CF4177" s="239"/>
      <c r="CM4177" s="336"/>
    </row>
    <row r="4178" spans="84:91" s="51" customFormat="1">
      <c r="CF4178" s="239"/>
      <c r="CM4178" s="336"/>
    </row>
    <row r="4179" spans="84:91" s="51" customFormat="1">
      <c r="CF4179" s="239"/>
      <c r="CM4179" s="336"/>
    </row>
    <row r="4180" spans="84:91" s="51" customFormat="1">
      <c r="CF4180" s="239"/>
      <c r="CM4180" s="336"/>
    </row>
    <row r="4181" spans="84:91" s="51" customFormat="1">
      <c r="CF4181" s="239"/>
      <c r="CM4181" s="336"/>
    </row>
    <row r="4182" spans="84:91" s="51" customFormat="1">
      <c r="CF4182" s="239"/>
      <c r="CM4182" s="336"/>
    </row>
    <row r="4183" spans="84:91" s="51" customFormat="1">
      <c r="CF4183" s="239"/>
      <c r="CM4183" s="336"/>
    </row>
    <row r="4184" spans="84:91" s="51" customFormat="1">
      <c r="CF4184" s="239"/>
      <c r="CM4184" s="336"/>
    </row>
    <row r="4185" spans="84:91" s="51" customFormat="1">
      <c r="CF4185" s="239"/>
      <c r="CM4185" s="336"/>
    </row>
    <row r="4186" spans="84:91" s="51" customFormat="1">
      <c r="CF4186" s="239"/>
      <c r="CM4186" s="336"/>
    </row>
    <row r="4187" spans="84:91" s="51" customFormat="1">
      <c r="CF4187" s="239"/>
      <c r="CM4187" s="336"/>
    </row>
    <row r="4188" spans="84:91" s="51" customFormat="1">
      <c r="CF4188" s="239"/>
      <c r="CM4188" s="336"/>
    </row>
    <row r="4189" spans="84:91" s="51" customFormat="1">
      <c r="CF4189" s="239"/>
      <c r="CM4189" s="336"/>
    </row>
    <row r="4190" spans="84:91" s="51" customFormat="1">
      <c r="CF4190" s="239"/>
      <c r="CM4190" s="336"/>
    </row>
    <row r="4191" spans="84:91" s="51" customFormat="1">
      <c r="CF4191" s="239"/>
      <c r="CM4191" s="336"/>
    </row>
    <row r="4192" spans="84:91" s="51" customFormat="1">
      <c r="CF4192" s="239"/>
      <c r="CM4192" s="336"/>
    </row>
    <row r="4193" spans="84:91" s="51" customFormat="1">
      <c r="CF4193" s="239"/>
      <c r="CM4193" s="336"/>
    </row>
    <row r="4194" spans="84:91" s="51" customFormat="1">
      <c r="CF4194" s="239"/>
      <c r="CM4194" s="336"/>
    </row>
    <row r="4195" spans="84:91" s="51" customFormat="1">
      <c r="CF4195" s="239"/>
      <c r="CM4195" s="336"/>
    </row>
    <row r="4196" spans="84:91" s="51" customFormat="1">
      <c r="CF4196" s="239"/>
      <c r="CM4196" s="336"/>
    </row>
    <row r="4197" spans="84:91" s="51" customFormat="1">
      <c r="CF4197" s="239"/>
      <c r="CM4197" s="336"/>
    </row>
    <row r="4198" spans="84:91" s="51" customFormat="1">
      <c r="CF4198" s="239"/>
      <c r="CM4198" s="336"/>
    </row>
    <row r="4199" spans="84:91" s="51" customFormat="1">
      <c r="CF4199" s="239"/>
      <c r="CM4199" s="336"/>
    </row>
    <row r="4200" spans="84:91" s="51" customFormat="1">
      <c r="CF4200" s="239"/>
      <c r="CM4200" s="336"/>
    </row>
    <row r="4201" spans="84:91" s="51" customFormat="1">
      <c r="CF4201" s="239"/>
      <c r="CM4201" s="336"/>
    </row>
    <row r="4202" spans="84:91" s="51" customFormat="1">
      <c r="CF4202" s="239"/>
      <c r="CM4202" s="336"/>
    </row>
    <row r="4203" spans="84:91" s="51" customFormat="1">
      <c r="CF4203" s="239"/>
      <c r="CM4203" s="336"/>
    </row>
    <row r="4204" spans="84:91" s="51" customFormat="1">
      <c r="CF4204" s="239"/>
      <c r="CM4204" s="336"/>
    </row>
    <row r="4205" spans="84:91" s="51" customFormat="1">
      <c r="CF4205" s="239"/>
      <c r="CM4205" s="336"/>
    </row>
    <row r="4206" spans="84:91" s="51" customFormat="1">
      <c r="CF4206" s="239"/>
      <c r="CM4206" s="336"/>
    </row>
    <row r="4207" spans="84:91" s="51" customFormat="1">
      <c r="CF4207" s="239"/>
      <c r="CM4207" s="336"/>
    </row>
    <row r="4208" spans="84:91" s="51" customFormat="1">
      <c r="CF4208" s="239"/>
      <c r="CM4208" s="336"/>
    </row>
    <row r="4209" spans="84:91" s="51" customFormat="1">
      <c r="CF4209" s="239"/>
      <c r="CM4209" s="336"/>
    </row>
    <row r="4210" spans="84:91" s="51" customFormat="1">
      <c r="CF4210" s="239"/>
      <c r="CM4210" s="336"/>
    </row>
    <row r="4211" spans="84:91" s="51" customFormat="1">
      <c r="CF4211" s="239"/>
      <c r="CM4211" s="336"/>
    </row>
    <row r="4212" spans="84:91" s="51" customFormat="1">
      <c r="CF4212" s="239"/>
      <c r="CM4212" s="336"/>
    </row>
    <row r="4213" spans="84:91" s="51" customFormat="1">
      <c r="CF4213" s="239"/>
      <c r="CM4213" s="336"/>
    </row>
    <row r="4214" spans="84:91" s="51" customFormat="1">
      <c r="CF4214" s="239"/>
      <c r="CM4214" s="336"/>
    </row>
    <row r="4215" spans="84:91" s="51" customFormat="1">
      <c r="CF4215" s="239"/>
      <c r="CM4215" s="336"/>
    </row>
    <row r="4216" spans="84:91" s="51" customFormat="1">
      <c r="CF4216" s="239"/>
      <c r="CM4216" s="336"/>
    </row>
    <row r="4217" spans="84:91" s="51" customFormat="1">
      <c r="CF4217" s="239"/>
      <c r="CM4217" s="336"/>
    </row>
    <row r="4218" spans="84:91" s="51" customFormat="1">
      <c r="CF4218" s="239"/>
      <c r="CM4218" s="336"/>
    </row>
    <row r="4219" spans="84:91" s="51" customFormat="1">
      <c r="CF4219" s="239"/>
      <c r="CM4219" s="336"/>
    </row>
    <row r="4220" spans="84:91" s="51" customFormat="1">
      <c r="CF4220" s="239"/>
      <c r="CM4220" s="336"/>
    </row>
    <row r="4221" spans="84:91" s="51" customFormat="1">
      <c r="CF4221" s="239"/>
      <c r="CM4221" s="336"/>
    </row>
    <row r="4222" spans="84:91" s="51" customFormat="1">
      <c r="CF4222" s="239"/>
      <c r="CM4222" s="336"/>
    </row>
    <row r="4223" spans="84:91" s="51" customFormat="1">
      <c r="CF4223" s="239"/>
      <c r="CM4223" s="336"/>
    </row>
    <row r="4224" spans="84:91" s="51" customFormat="1">
      <c r="CF4224" s="239"/>
      <c r="CM4224" s="336"/>
    </row>
    <row r="4225" spans="84:91" s="51" customFormat="1">
      <c r="CF4225" s="239"/>
      <c r="CM4225" s="336"/>
    </row>
    <row r="4226" spans="84:91" s="51" customFormat="1">
      <c r="CF4226" s="239"/>
      <c r="CM4226" s="336"/>
    </row>
    <row r="4227" spans="84:91" s="51" customFormat="1">
      <c r="CF4227" s="239"/>
      <c r="CM4227" s="336"/>
    </row>
    <row r="4228" spans="84:91" s="51" customFormat="1">
      <c r="CF4228" s="239"/>
      <c r="CM4228" s="336"/>
    </row>
    <row r="4229" spans="84:91" s="51" customFormat="1">
      <c r="CF4229" s="239"/>
      <c r="CM4229" s="336"/>
    </row>
    <row r="4230" spans="84:91" s="51" customFormat="1">
      <c r="CF4230" s="239"/>
      <c r="CM4230" s="336"/>
    </row>
    <row r="4231" spans="84:91" s="51" customFormat="1">
      <c r="CF4231" s="239"/>
      <c r="CM4231" s="336"/>
    </row>
    <row r="4232" spans="84:91" s="51" customFormat="1">
      <c r="CF4232" s="239"/>
      <c r="CM4232" s="336"/>
    </row>
    <row r="4233" spans="84:91" s="51" customFormat="1">
      <c r="CF4233" s="239"/>
      <c r="CM4233" s="336"/>
    </row>
    <row r="4234" spans="84:91" s="51" customFormat="1">
      <c r="CF4234" s="239"/>
      <c r="CM4234" s="336"/>
    </row>
    <row r="4235" spans="84:91" s="51" customFormat="1">
      <c r="CF4235" s="239"/>
      <c r="CM4235" s="336"/>
    </row>
    <row r="4236" spans="84:91" s="51" customFormat="1">
      <c r="CF4236" s="239"/>
      <c r="CM4236" s="336"/>
    </row>
    <row r="4237" spans="84:91" s="51" customFormat="1">
      <c r="CF4237" s="239"/>
      <c r="CM4237" s="336"/>
    </row>
    <row r="4238" spans="84:91" s="51" customFormat="1">
      <c r="CF4238" s="239"/>
      <c r="CM4238" s="336"/>
    </row>
    <row r="4239" spans="84:91" s="51" customFormat="1">
      <c r="CF4239" s="239"/>
      <c r="CM4239" s="336"/>
    </row>
    <row r="4240" spans="84:91" s="51" customFormat="1">
      <c r="CF4240" s="239"/>
      <c r="CM4240" s="336"/>
    </row>
    <row r="4241" spans="84:91" s="51" customFormat="1">
      <c r="CF4241" s="239"/>
      <c r="CM4241" s="336"/>
    </row>
    <row r="4242" spans="84:91" s="51" customFormat="1">
      <c r="CF4242" s="239"/>
      <c r="CM4242" s="336"/>
    </row>
    <row r="4243" spans="84:91" s="51" customFormat="1">
      <c r="CF4243" s="239"/>
      <c r="CM4243" s="336"/>
    </row>
    <row r="4244" spans="84:91" s="51" customFormat="1">
      <c r="CF4244" s="239"/>
      <c r="CM4244" s="336"/>
    </row>
    <row r="4245" spans="84:91" s="51" customFormat="1">
      <c r="CF4245" s="239"/>
      <c r="CM4245" s="336"/>
    </row>
    <row r="4246" spans="84:91" s="51" customFormat="1">
      <c r="CF4246" s="239"/>
      <c r="CM4246" s="336"/>
    </row>
    <row r="4247" spans="84:91" s="51" customFormat="1">
      <c r="CF4247" s="239"/>
      <c r="CM4247" s="336"/>
    </row>
    <row r="4248" spans="84:91" s="51" customFormat="1">
      <c r="CF4248" s="239"/>
      <c r="CM4248" s="336"/>
    </row>
    <row r="4249" spans="84:91" s="51" customFormat="1">
      <c r="CF4249" s="239"/>
      <c r="CM4249" s="336"/>
    </row>
    <row r="4250" spans="84:91" s="51" customFormat="1">
      <c r="CF4250" s="239"/>
      <c r="CM4250" s="336"/>
    </row>
    <row r="4251" spans="84:91" s="51" customFormat="1">
      <c r="CF4251" s="239"/>
      <c r="CM4251" s="336"/>
    </row>
    <row r="4252" spans="84:91" s="51" customFormat="1">
      <c r="CF4252" s="239"/>
      <c r="CM4252" s="336"/>
    </row>
    <row r="4253" spans="84:91" s="51" customFormat="1">
      <c r="CF4253" s="239"/>
      <c r="CM4253" s="336"/>
    </row>
    <row r="4254" spans="84:91" s="51" customFormat="1">
      <c r="CF4254" s="239"/>
      <c r="CM4254" s="336"/>
    </row>
    <row r="4255" spans="84:91" s="51" customFormat="1">
      <c r="CF4255" s="239"/>
      <c r="CM4255" s="336"/>
    </row>
    <row r="4256" spans="84:91" s="51" customFormat="1">
      <c r="CF4256" s="239"/>
      <c r="CM4256" s="336"/>
    </row>
    <row r="4257" spans="84:91" s="51" customFormat="1">
      <c r="CF4257" s="239"/>
      <c r="CM4257" s="336"/>
    </row>
    <row r="4258" spans="84:91" s="51" customFormat="1">
      <c r="CF4258" s="239"/>
      <c r="CM4258" s="336"/>
    </row>
    <row r="4259" spans="84:91" s="51" customFormat="1">
      <c r="CF4259" s="239"/>
      <c r="CM4259" s="336"/>
    </row>
    <row r="4260" spans="84:91" s="51" customFormat="1">
      <c r="CF4260" s="239"/>
      <c r="CM4260" s="336"/>
    </row>
    <row r="4261" spans="84:91" s="51" customFormat="1">
      <c r="CF4261" s="239"/>
      <c r="CM4261" s="336"/>
    </row>
    <row r="4262" spans="84:91" s="51" customFormat="1">
      <c r="CF4262" s="239"/>
      <c r="CM4262" s="336"/>
    </row>
    <row r="4263" spans="84:91" s="51" customFormat="1">
      <c r="CF4263" s="239"/>
      <c r="CM4263" s="336"/>
    </row>
    <row r="4264" spans="84:91" s="51" customFormat="1">
      <c r="CF4264" s="239"/>
      <c r="CM4264" s="336"/>
    </row>
    <row r="4265" spans="84:91" s="51" customFormat="1">
      <c r="CF4265" s="239"/>
      <c r="CM4265" s="336"/>
    </row>
    <row r="4266" spans="84:91" s="51" customFormat="1">
      <c r="CF4266" s="239"/>
      <c r="CM4266" s="336"/>
    </row>
    <row r="4267" spans="84:91" s="51" customFormat="1">
      <c r="CF4267" s="239"/>
      <c r="CM4267" s="336"/>
    </row>
    <row r="4268" spans="84:91" s="51" customFormat="1">
      <c r="CF4268" s="239"/>
      <c r="CM4268" s="336"/>
    </row>
    <row r="4269" spans="84:91" s="51" customFormat="1">
      <c r="CF4269" s="239"/>
      <c r="CM4269" s="336"/>
    </row>
    <row r="4270" spans="84:91" s="51" customFormat="1">
      <c r="CF4270" s="239"/>
      <c r="CM4270" s="336"/>
    </row>
    <row r="4271" spans="84:91" s="51" customFormat="1">
      <c r="CF4271" s="239"/>
      <c r="CM4271" s="336"/>
    </row>
    <row r="4272" spans="84:91" s="51" customFormat="1">
      <c r="CF4272" s="239"/>
      <c r="CM4272" s="336"/>
    </row>
    <row r="4273" spans="84:91" s="51" customFormat="1">
      <c r="CF4273" s="239"/>
      <c r="CM4273" s="336"/>
    </row>
    <row r="4274" spans="84:91" s="51" customFormat="1">
      <c r="CF4274" s="239"/>
      <c r="CM4274" s="336"/>
    </row>
    <row r="4275" spans="84:91" s="51" customFormat="1">
      <c r="CF4275" s="239"/>
      <c r="CM4275" s="336"/>
    </row>
    <row r="4276" spans="84:91" s="51" customFormat="1">
      <c r="CF4276" s="239"/>
      <c r="CM4276" s="336"/>
    </row>
    <row r="4277" spans="84:91" s="51" customFormat="1">
      <c r="CF4277" s="239"/>
      <c r="CM4277" s="336"/>
    </row>
    <row r="4278" spans="84:91" s="51" customFormat="1">
      <c r="CF4278" s="239"/>
      <c r="CM4278" s="336"/>
    </row>
    <row r="4279" spans="84:91" s="51" customFormat="1">
      <c r="CF4279" s="239"/>
      <c r="CM4279" s="336"/>
    </row>
    <row r="4280" spans="84:91" s="51" customFormat="1">
      <c r="CF4280" s="239"/>
      <c r="CM4280" s="336"/>
    </row>
    <row r="4281" spans="84:91" s="51" customFormat="1">
      <c r="CF4281" s="239"/>
      <c r="CM4281" s="336"/>
    </row>
    <row r="4282" spans="84:91" s="51" customFormat="1">
      <c r="CF4282" s="239"/>
      <c r="CM4282" s="336"/>
    </row>
    <row r="4283" spans="84:91" s="51" customFormat="1">
      <c r="CF4283" s="239"/>
      <c r="CM4283" s="336"/>
    </row>
    <row r="4284" spans="84:91" s="51" customFormat="1">
      <c r="CF4284" s="239"/>
      <c r="CM4284" s="336"/>
    </row>
    <row r="4285" spans="84:91" s="51" customFormat="1">
      <c r="CF4285" s="239"/>
      <c r="CM4285" s="336"/>
    </row>
    <row r="4286" spans="84:91" s="51" customFormat="1">
      <c r="CF4286" s="239"/>
      <c r="CM4286" s="336"/>
    </row>
    <row r="4287" spans="84:91" s="51" customFormat="1">
      <c r="CF4287" s="239"/>
      <c r="CM4287" s="336"/>
    </row>
    <row r="4288" spans="84:91" s="51" customFormat="1">
      <c r="CF4288" s="239"/>
      <c r="CM4288" s="336"/>
    </row>
    <row r="4289" spans="84:91" s="51" customFormat="1">
      <c r="CF4289" s="239"/>
      <c r="CM4289" s="336"/>
    </row>
    <row r="4290" spans="84:91" s="51" customFormat="1">
      <c r="CF4290" s="239"/>
      <c r="CM4290" s="336"/>
    </row>
    <row r="4291" spans="84:91" s="51" customFormat="1">
      <c r="CF4291" s="239"/>
      <c r="CM4291" s="336"/>
    </row>
    <row r="4292" spans="84:91" s="51" customFormat="1">
      <c r="CF4292" s="239"/>
      <c r="CM4292" s="336"/>
    </row>
    <row r="4293" spans="84:91" s="51" customFormat="1">
      <c r="CF4293" s="239"/>
      <c r="CM4293" s="336"/>
    </row>
    <row r="4294" spans="84:91" s="51" customFormat="1">
      <c r="CF4294" s="239"/>
      <c r="CM4294" s="336"/>
    </row>
    <row r="4295" spans="84:91" s="51" customFormat="1">
      <c r="CF4295" s="239"/>
      <c r="CM4295" s="336"/>
    </row>
    <row r="4296" spans="84:91" s="51" customFormat="1">
      <c r="CF4296" s="239"/>
      <c r="CM4296" s="336"/>
    </row>
    <row r="4297" spans="84:91" s="51" customFormat="1">
      <c r="CF4297" s="239"/>
      <c r="CM4297" s="336"/>
    </row>
    <row r="4298" spans="84:91" s="51" customFormat="1">
      <c r="CF4298" s="239"/>
      <c r="CM4298" s="336"/>
    </row>
    <row r="4299" spans="84:91" s="51" customFormat="1">
      <c r="CF4299" s="239"/>
      <c r="CM4299" s="336"/>
    </row>
    <row r="4300" spans="84:91" s="51" customFormat="1">
      <c r="CF4300" s="239"/>
      <c r="CM4300" s="336"/>
    </row>
    <row r="4301" spans="84:91" s="51" customFormat="1">
      <c r="CF4301" s="239"/>
      <c r="CM4301" s="336"/>
    </row>
    <row r="4302" spans="84:91" s="51" customFormat="1">
      <c r="CF4302" s="239"/>
      <c r="CM4302" s="336"/>
    </row>
    <row r="4303" spans="84:91" s="51" customFormat="1">
      <c r="CF4303" s="239"/>
      <c r="CM4303" s="336"/>
    </row>
    <row r="4304" spans="84:91" s="51" customFormat="1">
      <c r="CF4304" s="239"/>
      <c r="CM4304" s="336"/>
    </row>
    <row r="4305" spans="84:91" s="51" customFormat="1">
      <c r="CF4305" s="239"/>
      <c r="CM4305" s="336"/>
    </row>
    <row r="4306" spans="84:91" s="51" customFormat="1">
      <c r="CF4306" s="239"/>
      <c r="CM4306" s="336"/>
    </row>
    <row r="4307" spans="84:91" s="51" customFormat="1">
      <c r="CF4307" s="239"/>
      <c r="CM4307" s="336"/>
    </row>
    <row r="4308" spans="84:91" s="51" customFormat="1">
      <c r="CF4308" s="239"/>
      <c r="CM4308" s="336"/>
    </row>
    <row r="4309" spans="84:91" s="51" customFormat="1">
      <c r="CF4309" s="239"/>
      <c r="CM4309" s="336"/>
    </row>
    <row r="4310" spans="84:91" s="51" customFormat="1">
      <c r="CF4310" s="239"/>
      <c r="CM4310" s="336"/>
    </row>
    <row r="4311" spans="84:91" s="51" customFormat="1">
      <c r="CF4311" s="239"/>
      <c r="CM4311" s="336"/>
    </row>
    <row r="4312" spans="84:91" s="51" customFormat="1">
      <c r="CF4312" s="239"/>
      <c r="CM4312" s="336"/>
    </row>
    <row r="4313" spans="84:91" s="51" customFormat="1">
      <c r="CF4313" s="239"/>
      <c r="CM4313" s="336"/>
    </row>
    <row r="4314" spans="84:91" s="51" customFormat="1">
      <c r="CF4314" s="239"/>
      <c r="CM4314" s="336"/>
    </row>
    <row r="4315" spans="84:91" s="51" customFormat="1">
      <c r="CF4315" s="239"/>
      <c r="CM4315" s="336"/>
    </row>
    <row r="4316" spans="84:91" s="51" customFormat="1">
      <c r="CF4316" s="239"/>
      <c r="CM4316" s="336"/>
    </row>
    <row r="4317" spans="84:91" s="51" customFormat="1">
      <c r="CF4317" s="239"/>
      <c r="CM4317" s="336"/>
    </row>
    <row r="4318" spans="84:91" s="51" customFormat="1">
      <c r="CF4318" s="239"/>
      <c r="CM4318" s="336"/>
    </row>
    <row r="4319" spans="84:91" s="51" customFormat="1">
      <c r="CF4319" s="239"/>
      <c r="CM4319" s="336"/>
    </row>
    <row r="4320" spans="84:91" s="51" customFormat="1">
      <c r="CF4320" s="239"/>
      <c r="CM4320" s="336"/>
    </row>
    <row r="4321" spans="84:91" s="51" customFormat="1">
      <c r="CF4321" s="239"/>
      <c r="CM4321" s="336"/>
    </row>
    <row r="4322" spans="84:91" s="51" customFormat="1">
      <c r="CF4322" s="239"/>
      <c r="CM4322" s="336"/>
    </row>
    <row r="4323" spans="84:91" s="51" customFormat="1">
      <c r="CF4323" s="239"/>
      <c r="CM4323" s="336"/>
    </row>
    <row r="4324" spans="84:91" s="51" customFormat="1">
      <c r="CF4324" s="239"/>
      <c r="CM4324" s="336"/>
    </row>
    <row r="4325" spans="84:91" s="51" customFormat="1">
      <c r="CF4325" s="239"/>
      <c r="CM4325" s="336"/>
    </row>
    <row r="4326" spans="84:91" s="51" customFormat="1">
      <c r="CF4326" s="239"/>
      <c r="CM4326" s="336"/>
    </row>
    <row r="4327" spans="84:91" s="51" customFormat="1">
      <c r="CF4327" s="239"/>
      <c r="CM4327" s="336"/>
    </row>
    <row r="4328" spans="84:91" s="51" customFormat="1">
      <c r="CF4328" s="239"/>
      <c r="CM4328" s="336"/>
    </row>
    <row r="4329" spans="84:91" s="51" customFormat="1">
      <c r="CF4329" s="239"/>
      <c r="CM4329" s="336"/>
    </row>
    <row r="4330" spans="84:91" s="51" customFormat="1">
      <c r="CF4330" s="239"/>
      <c r="CM4330" s="336"/>
    </row>
    <row r="4331" spans="84:91" s="51" customFormat="1">
      <c r="CF4331" s="239"/>
      <c r="CM4331" s="336"/>
    </row>
    <row r="4332" spans="84:91" s="51" customFormat="1">
      <c r="CF4332" s="239"/>
      <c r="CM4332" s="336"/>
    </row>
    <row r="4333" spans="84:91" s="51" customFormat="1">
      <c r="CF4333" s="239"/>
      <c r="CM4333" s="336"/>
    </row>
    <row r="4334" spans="84:91" s="51" customFormat="1">
      <c r="CF4334" s="239"/>
      <c r="CM4334" s="336"/>
    </row>
    <row r="4335" spans="84:91" s="51" customFormat="1">
      <c r="CF4335" s="239"/>
      <c r="CM4335" s="336"/>
    </row>
    <row r="4336" spans="84:91" s="51" customFormat="1">
      <c r="CF4336" s="239"/>
      <c r="CM4336" s="336"/>
    </row>
    <row r="4337" spans="84:91" s="51" customFormat="1">
      <c r="CF4337" s="239"/>
      <c r="CM4337" s="336"/>
    </row>
    <row r="4338" spans="84:91" s="51" customFormat="1">
      <c r="CF4338" s="239"/>
      <c r="CM4338" s="336"/>
    </row>
    <row r="4339" spans="84:91" s="51" customFormat="1">
      <c r="CF4339" s="239"/>
      <c r="CM4339" s="336"/>
    </row>
    <row r="4340" spans="84:91" s="51" customFormat="1">
      <c r="CF4340" s="239"/>
      <c r="CM4340" s="336"/>
    </row>
    <row r="4341" spans="84:91" s="51" customFormat="1">
      <c r="CF4341" s="239"/>
      <c r="CM4341" s="336"/>
    </row>
    <row r="4342" spans="84:91" s="51" customFormat="1">
      <c r="CF4342" s="239"/>
      <c r="CM4342" s="336"/>
    </row>
    <row r="4343" spans="84:91" s="51" customFormat="1">
      <c r="CF4343" s="239"/>
      <c r="CM4343" s="336"/>
    </row>
    <row r="4344" spans="84:91" s="51" customFormat="1">
      <c r="CF4344" s="239"/>
      <c r="CM4344" s="336"/>
    </row>
    <row r="4345" spans="84:91" s="51" customFormat="1">
      <c r="CF4345" s="239"/>
      <c r="CM4345" s="336"/>
    </row>
    <row r="4346" spans="84:91" s="51" customFormat="1">
      <c r="CF4346" s="239"/>
      <c r="CM4346" s="336"/>
    </row>
    <row r="4347" spans="84:91" s="51" customFormat="1">
      <c r="CF4347" s="239"/>
      <c r="CM4347" s="336"/>
    </row>
    <row r="4348" spans="84:91" s="51" customFormat="1">
      <c r="CF4348" s="239"/>
      <c r="CM4348" s="336"/>
    </row>
    <row r="4349" spans="84:91" s="51" customFormat="1">
      <c r="CF4349" s="239"/>
      <c r="CM4349" s="336"/>
    </row>
    <row r="4350" spans="84:91" s="51" customFormat="1">
      <c r="CF4350" s="239"/>
      <c r="CM4350" s="336"/>
    </row>
    <row r="4351" spans="84:91" s="51" customFormat="1">
      <c r="CF4351" s="239"/>
      <c r="CM4351" s="336"/>
    </row>
    <row r="4352" spans="84:91" s="51" customFormat="1">
      <c r="CF4352" s="239"/>
      <c r="CM4352" s="336"/>
    </row>
    <row r="4353" spans="84:91" s="51" customFormat="1">
      <c r="CF4353" s="239"/>
      <c r="CM4353" s="336"/>
    </row>
    <row r="4354" spans="84:91" s="51" customFormat="1">
      <c r="CF4354" s="239"/>
      <c r="CM4354" s="336"/>
    </row>
    <row r="4355" spans="84:91" s="51" customFormat="1">
      <c r="CF4355" s="239"/>
      <c r="CM4355" s="336"/>
    </row>
    <row r="4356" spans="84:91" s="51" customFormat="1">
      <c r="CF4356" s="239"/>
      <c r="CM4356" s="336"/>
    </row>
    <row r="4357" spans="84:91" s="51" customFormat="1">
      <c r="CF4357" s="239"/>
      <c r="CM4357" s="336"/>
    </row>
    <row r="4358" spans="84:91" s="51" customFormat="1">
      <c r="CF4358" s="239"/>
      <c r="CM4358" s="336"/>
    </row>
    <row r="4359" spans="84:91" s="51" customFormat="1">
      <c r="CF4359" s="239"/>
      <c r="CM4359" s="336"/>
    </row>
    <row r="4360" spans="84:91" s="51" customFormat="1">
      <c r="CF4360" s="239"/>
      <c r="CM4360" s="336"/>
    </row>
    <row r="4361" spans="84:91" s="51" customFormat="1">
      <c r="CF4361" s="239"/>
      <c r="CM4361" s="336"/>
    </row>
    <row r="4362" spans="84:91" s="51" customFormat="1">
      <c r="CF4362" s="239"/>
      <c r="CM4362" s="336"/>
    </row>
    <row r="4363" spans="84:91" s="51" customFormat="1">
      <c r="CF4363" s="239"/>
      <c r="CM4363" s="336"/>
    </row>
    <row r="4364" spans="84:91" s="51" customFormat="1">
      <c r="CF4364" s="239"/>
      <c r="CM4364" s="336"/>
    </row>
    <row r="4365" spans="84:91" s="51" customFormat="1">
      <c r="CF4365" s="239"/>
      <c r="CM4365" s="336"/>
    </row>
    <row r="4366" spans="84:91" s="51" customFormat="1">
      <c r="CF4366" s="239"/>
      <c r="CM4366" s="336"/>
    </row>
    <row r="4367" spans="84:91" s="51" customFormat="1">
      <c r="CF4367" s="239"/>
      <c r="CM4367" s="336"/>
    </row>
    <row r="4368" spans="84:91" s="51" customFormat="1">
      <c r="CF4368" s="239"/>
      <c r="CM4368" s="336"/>
    </row>
    <row r="4369" spans="84:91" s="51" customFormat="1">
      <c r="CF4369" s="239"/>
      <c r="CM4369" s="336"/>
    </row>
    <row r="4370" spans="84:91" s="51" customFormat="1">
      <c r="CF4370" s="239"/>
      <c r="CM4370" s="336"/>
    </row>
    <row r="4371" spans="84:91" s="51" customFormat="1">
      <c r="CF4371" s="239"/>
      <c r="CM4371" s="336"/>
    </row>
    <row r="4372" spans="84:91" s="51" customFormat="1">
      <c r="CF4372" s="239"/>
      <c r="CM4372" s="336"/>
    </row>
    <row r="4373" spans="84:91" s="51" customFormat="1">
      <c r="CF4373" s="239"/>
      <c r="CM4373" s="336"/>
    </row>
    <row r="4374" spans="84:91" s="51" customFormat="1">
      <c r="CF4374" s="239"/>
      <c r="CM4374" s="336"/>
    </row>
    <row r="4375" spans="84:91" s="51" customFormat="1">
      <c r="CF4375" s="239"/>
      <c r="CM4375" s="336"/>
    </row>
    <row r="4376" spans="84:91" s="51" customFormat="1">
      <c r="CF4376" s="239"/>
      <c r="CM4376" s="336"/>
    </row>
    <row r="4377" spans="84:91" s="51" customFormat="1">
      <c r="CF4377" s="239"/>
      <c r="CM4377" s="336"/>
    </row>
    <row r="4378" spans="84:91" s="51" customFormat="1">
      <c r="CF4378" s="239"/>
      <c r="CM4378" s="336"/>
    </row>
    <row r="4379" spans="84:91" s="51" customFormat="1">
      <c r="CF4379" s="239"/>
      <c r="CM4379" s="336"/>
    </row>
    <row r="4380" spans="84:91" s="51" customFormat="1">
      <c r="CF4380" s="239"/>
      <c r="CM4380" s="336"/>
    </row>
    <row r="4381" spans="84:91" s="51" customFormat="1">
      <c r="CF4381" s="239"/>
      <c r="CM4381" s="336"/>
    </row>
    <row r="4382" spans="84:91" s="51" customFormat="1">
      <c r="CF4382" s="239"/>
      <c r="CM4382" s="336"/>
    </row>
    <row r="4383" spans="84:91" s="51" customFormat="1">
      <c r="CF4383" s="239"/>
      <c r="CM4383" s="336"/>
    </row>
    <row r="4384" spans="84:91" s="51" customFormat="1">
      <c r="CF4384" s="239"/>
      <c r="CM4384" s="336"/>
    </row>
    <row r="4385" spans="84:91" s="51" customFormat="1">
      <c r="CF4385" s="239"/>
      <c r="CM4385" s="336"/>
    </row>
    <row r="4386" spans="84:91" s="51" customFormat="1">
      <c r="CF4386" s="239"/>
      <c r="CM4386" s="336"/>
    </row>
    <row r="4387" spans="84:91" s="51" customFormat="1">
      <c r="CF4387" s="239"/>
      <c r="CM4387" s="336"/>
    </row>
    <row r="4388" spans="84:91" s="51" customFormat="1">
      <c r="CF4388" s="239"/>
      <c r="CM4388" s="336"/>
    </row>
    <row r="4389" spans="84:91" s="51" customFormat="1">
      <c r="CF4389" s="239"/>
      <c r="CM4389" s="336"/>
    </row>
    <row r="4390" spans="84:91" s="51" customFormat="1">
      <c r="CF4390" s="239"/>
      <c r="CM4390" s="336"/>
    </row>
    <row r="4391" spans="84:91" s="51" customFormat="1">
      <c r="CF4391" s="239"/>
      <c r="CM4391" s="336"/>
    </row>
    <row r="4392" spans="84:91" s="51" customFormat="1">
      <c r="CF4392" s="239"/>
      <c r="CM4392" s="336"/>
    </row>
    <row r="4393" spans="84:91" s="51" customFormat="1">
      <c r="CF4393" s="239"/>
      <c r="CM4393" s="336"/>
    </row>
    <row r="4394" spans="84:91" s="51" customFormat="1">
      <c r="CF4394" s="239"/>
      <c r="CM4394" s="336"/>
    </row>
    <row r="4395" spans="84:91" s="51" customFormat="1">
      <c r="CF4395" s="239"/>
      <c r="CM4395" s="336"/>
    </row>
    <row r="4396" spans="84:91" s="51" customFormat="1">
      <c r="CF4396" s="239"/>
      <c r="CM4396" s="336"/>
    </row>
    <row r="4397" spans="84:91" s="51" customFormat="1">
      <c r="CF4397" s="239"/>
      <c r="CM4397" s="336"/>
    </row>
    <row r="4398" spans="84:91" s="51" customFormat="1">
      <c r="CF4398" s="239"/>
      <c r="CM4398" s="336"/>
    </row>
    <row r="4399" spans="84:91" s="51" customFormat="1">
      <c r="CF4399" s="239"/>
      <c r="CM4399" s="336"/>
    </row>
    <row r="4400" spans="84:91" s="51" customFormat="1">
      <c r="CF4400" s="239"/>
      <c r="CM4400" s="336"/>
    </row>
    <row r="4401" spans="84:91" s="51" customFormat="1">
      <c r="CF4401" s="239"/>
      <c r="CM4401" s="336"/>
    </row>
    <row r="4402" spans="84:91" s="51" customFormat="1">
      <c r="CF4402" s="239"/>
      <c r="CM4402" s="336"/>
    </row>
    <row r="4403" spans="84:91" s="51" customFormat="1">
      <c r="CF4403" s="239"/>
      <c r="CM4403" s="336"/>
    </row>
    <row r="4404" spans="84:91" s="51" customFormat="1">
      <c r="CF4404" s="239"/>
      <c r="CM4404" s="336"/>
    </row>
    <row r="4405" spans="84:91" s="51" customFormat="1">
      <c r="CF4405" s="239"/>
      <c r="CM4405" s="336"/>
    </row>
    <row r="4406" spans="84:91" s="51" customFormat="1">
      <c r="CF4406" s="239"/>
      <c r="CM4406" s="336"/>
    </row>
    <row r="4407" spans="84:91" s="51" customFormat="1">
      <c r="CF4407" s="239"/>
      <c r="CM4407" s="336"/>
    </row>
    <row r="4408" spans="84:91" s="51" customFormat="1">
      <c r="CF4408" s="239"/>
      <c r="CM4408" s="336"/>
    </row>
    <row r="4409" spans="84:91" s="51" customFormat="1">
      <c r="CF4409" s="239"/>
      <c r="CM4409" s="336"/>
    </row>
    <row r="4410" spans="84:91" s="51" customFormat="1">
      <c r="CF4410" s="239"/>
      <c r="CM4410" s="336"/>
    </row>
    <row r="4411" spans="84:91" s="51" customFormat="1">
      <c r="CF4411" s="239"/>
      <c r="CM4411" s="336"/>
    </row>
    <row r="4412" spans="84:91" s="51" customFormat="1">
      <c r="CF4412" s="239"/>
      <c r="CM4412" s="336"/>
    </row>
    <row r="4413" spans="84:91" s="51" customFormat="1">
      <c r="CF4413" s="239"/>
      <c r="CM4413" s="336"/>
    </row>
    <row r="4414" spans="84:91" s="51" customFormat="1">
      <c r="CF4414" s="239"/>
      <c r="CM4414" s="336"/>
    </row>
    <row r="4415" spans="84:91" s="51" customFormat="1">
      <c r="CF4415" s="239"/>
      <c r="CM4415" s="336"/>
    </row>
    <row r="4416" spans="84:91" s="51" customFormat="1">
      <c r="CF4416" s="239"/>
      <c r="CM4416" s="336"/>
    </row>
    <row r="4417" spans="84:91" s="51" customFormat="1">
      <c r="CF4417" s="239"/>
      <c r="CM4417" s="336"/>
    </row>
    <row r="4418" spans="84:91" s="51" customFormat="1">
      <c r="CF4418" s="239"/>
      <c r="CM4418" s="336"/>
    </row>
    <row r="4419" spans="84:91" s="51" customFormat="1">
      <c r="CF4419" s="239"/>
      <c r="CM4419" s="336"/>
    </row>
    <row r="4420" spans="84:91" s="51" customFormat="1">
      <c r="CF4420" s="239"/>
      <c r="CM4420" s="336"/>
    </row>
    <row r="4421" spans="84:91" s="51" customFormat="1">
      <c r="CF4421" s="239"/>
      <c r="CM4421" s="336"/>
    </row>
    <row r="4422" spans="84:91" s="51" customFormat="1">
      <c r="CF4422" s="239"/>
      <c r="CM4422" s="336"/>
    </row>
    <row r="4423" spans="84:91" s="51" customFormat="1">
      <c r="CF4423" s="239"/>
      <c r="CM4423" s="336"/>
    </row>
    <row r="4424" spans="84:91" s="51" customFormat="1">
      <c r="CF4424" s="239"/>
      <c r="CM4424" s="336"/>
    </row>
    <row r="4425" spans="84:91" s="51" customFormat="1">
      <c r="CF4425" s="239"/>
      <c r="CM4425" s="336"/>
    </row>
    <row r="4426" spans="84:91" s="51" customFormat="1">
      <c r="CF4426" s="239"/>
      <c r="CM4426" s="336"/>
    </row>
    <row r="4427" spans="84:91" s="51" customFormat="1">
      <c r="CF4427" s="239"/>
      <c r="CM4427" s="336"/>
    </row>
    <row r="4428" spans="84:91" s="51" customFormat="1">
      <c r="CF4428" s="239"/>
      <c r="CM4428" s="336"/>
    </row>
    <row r="4429" spans="84:91" s="51" customFormat="1">
      <c r="CF4429" s="239"/>
      <c r="CM4429" s="336"/>
    </row>
    <row r="4430" spans="84:91" s="51" customFormat="1">
      <c r="CF4430" s="239"/>
      <c r="CM4430" s="336"/>
    </row>
    <row r="4431" spans="84:91" s="51" customFormat="1">
      <c r="CF4431" s="239"/>
      <c r="CM4431" s="336"/>
    </row>
    <row r="4432" spans="84:91" s="51" customFormat="1">
      <c r="CF4432" s="239"/>
      <c r="CM4432" s="336"/>
    </row>
    <row r="4433" spans="84:91" s="51" customFormat="1">
      <c r="CF4433" s="239"/>
      <c r="CM4433" s="336"/>
    </row>
    <row r="4434" spans="84:91" s="51" customFormat="1">
      <c r="CF4434" s="239"/>
      <c r="CM4434" s="336"/>
    </row>
    <row r="4435" spans="84:91" s="51" customFormat="1">
      <c r="CF4435" s="239"/>
      <c r="CM4435" s="336"/>
    </row>
    <row r="4436" spans="84:91" s="51" customFormat="1">
      <c r="CF4436" s="239"/>
      <c r="CM4436" s="336"/>
    </row>
    <row r="4437" spans="84:91" s="51" customFormat="1">
      <c r="CF4437" s="239"/>
      <c r="CM4437" s="336"/>
    </row>
    <row r="4438" spans="84:91" s="51" customFormat="1">
      <c r="CF4438" s="239"/>
      <c r="CM4438" s="336"/>
    </row>
    <row r="4439" spans="84:91" s="51" customFormat="1">
      <c r="CF4439" s="239"/>
      <c r="CM4439" s="336"/>
    </row>
    <row r="4440" spans="84:91" s="51" customFormat="1">
      <c r="CF4440" s="239"/>
      <c r="CM4440" s="336"/>
    </row>
    <row r="4441" spans="84:91" s="51" customFormat="1">
      <c r="CF4441" s="239"/>
      <c r="CM4441" s="336"/>
    </row>
    <row r="4442" spans="84:91" s="51" customFormat="1">
      <c r="CF4442" s="239"/>
      <c r="CM4442" s="336"/>
    </row>
    <row r="4443" spans="84:91" s="51" customFormat="1">
      <c r="CF4443" s="239"/>
      <c r="CM4443" s="336"/>
    </row>
    <row r="4444" spans="84:91" s="51" customFormat="1">
      <c r="CF4444" s="239"/>
      <c r="CM4444" s="336"/>
    </row>
    <row r="4445" spans="84:91" s="51" customFormat="1">
      <c r="CF4445" s="239"/>
      <c r="CM4445" s="336"/>
    </row>
    <row r="4446" spans="84:91" s="51" customFormat="1">
      <c r="CF4446" s="239"/>
      <c r="CM4446" s="336"/>
    </row>
    <row r="4447" spans="84:91" s="51" customFormat="1">
      <c r="CF4447" s="239"/>
      <c r="CM4447" s="336"/>
    </row>
    <row r="4448" spans="84:91" s="51" customFormat="1">
      <c r="CF4448" s="239"/>
      <c r="CM4448" s="336"/>
    </row>
    <row r="4449" spans="84:91" s="51" customFormat="1">
      <c r="CF4449" s="239"/>
      <c r="CM4449" s="336"/>
    </row>
    <row r="4450" spans="84:91" s="51" customFormat="1">
      <c r="CF4450" s="239"/>
      <c r="CM4450" s="336"/>
    </row>
    <row r="4451" spans="84:91" s="51" customFormat="1">
      <c r="CF4451" s="239"/>
      <c r="CM4451" s="336"/>
    </row>
    <row r="4452" spans="84:91" s="51" customFormat="1">
      <c r="CF4452" s="239"/>
      <c r="CM4452" s="336"/>
    </row>
    <row r="4453" spans="84:91" s="51" customFormat="1">
      <c r="CF4453" s="239"/>
      <c r="CM4453" s="336"/>
    </row>
    <row r="4454" spans="84:91" s="51" customFormat="1">
      <c r="CF4454" s="239"/>
      <c r="CM4454" s="336"/>
    </row>
    <row r="4455" spans="84:91" s="51" customFormat="1">
      <c r="CF4455" s="239"/>
      <c r="CM4455" s="336"/>
    </row>
    <row r="4456" spans="84:91" s="51" customFormat="1">
      <c r="CF4456" s="239"/>
      <c r="CM4456" s="336"/>
    </row>
    <row r="4457" spans="84:91" s="51" customFormat="1">
      <c r="CF4457" s="239"/>
      <c r="CM4457" s="336"/>
    </row>
    <row r="4458" spans="84:91" s="51" customFormat="1">
      <c r="CF4458" s="239"/>
      <c r="CM4458" s="336"/>
    </row>
    <row r="4459" spans="84:91" s="51" customFormat="1">
      <c r="CF4459" s="239"/>
      <c r="CM4459" s="336"/>
    </row>
    <row r="4460" spans="84:91" s="51" customFormat="1">
      <c r="CF4460" s="239"/>
      <c r="CM4460" s="336"/>
    </row>
    <row r="4461" spans="84:91" s="51" customFormat="1">
      <c r="CF4461" s="239"/>
      <c r="CM4461" s="336"/>
    </row>
    <row r="4462" spans="84:91" s="51" customFormat="1">
      <c r="CF4462" s="239"/>
      <c r="CM4462" s="336"/>
    </row>
    <row r="4463" spans="84:91" s="51" customFormat="1">
      <c r="CF4463" s="239"/>
      <c r="CM4463" s="336"/>
    </row>
    <row r="4464" spans="84:91" s="51" customFormat="1">
      <c r="CF4464" s="239"/>
      <c r="CM4464" s="336"/>
    </row>
    <row r="4465" spans="84:91" s="51" customFormat="1">
      <c r="CF4465" s="239"/>
      <c r="CM4465" s="336"/>
    </row>
    <row r="4466" spans="84:91" s="51" customFormat="1">
      <c r="CF4466" s="239"/>
      <c r="CM4466" s="336"/>
    </row>
    <row r="4467" spans="84:91" s="51" customFormat="1">
      <c r="CF4467" s="239"/>
      <c r="CM4467" s="336"/>
    </row>
    <row r="4468" spans="84:91" s="51" customFormat="1">
      <c r="CF4468" s="239"/>
      <c r="CM4468" s="336"/>
    </row>
    <row r="4469" spans="84:91" s="51" customFormat="1">
      <c r="CF4469" s="239"/>
      <c r="CM4469" s="336"/>
    </row>
    <row r="4470" spans="84:91" s="51" customFormat="1">
      <c r="CF4470" s="239"/>
      <c r="CM4470" s="336"/>
    </row>
    <row r="4471" spans="84:91" s="51" customFormat="1">
      <c r="CF4471" s="239"/>
      <c r="CM4471" s="336"/>
    </row>
    <row r="4472" spans="84:91" s="51" customFormat="1">
      <c r="CF4472" s="239"/>
      <c r="CM4472" s="336"/>
    </row>
    <row r="4473" spans="84:91" s="51" customFormat="1">
      <c r="CF4473" s="239"/>
      <c r="CM4473" s="336"/>
    </row>
    <row r="4474" spans="84:91" s="51" customFormat="1">
      <c r="CF4474" s="239"/>
      <c r="CM4474" s="336"/>
    </row>
    <row r="4475" spans="84:91" s="51" customFormat="1">
      <c r="CF4475" s="239"/>
      <c r="CM4475" s="336"/>
    </row>
    <row r="4476" spans="84:91" s="51" customFormat="1">
      <c r="CF4476" s="239"/>
      <c r="CM4476" s="336"/>
    </row>
    <row r="4477" spans="84:91" s="51" customFormat="1">
      <c r="CF4477" s="239"/>
      <c r="CM4477" s="336"/>
    </row>
    <row r="4478" spans="84:91" s="51" customFormat="1">
      <c r="CF4478" s="239"/>
      <c r="CM4478" s="336"/>
    </row>
    <row r="4479" spans="84:91" s="51" customFormat="1">
      <c r="CF4479" s="239"/>
      <c r="CM4479" s="336"/>
    </row>
    <row r="4480" spans="84:91" s="51" customFormat="1">
      <c r="CF4480" s="239"/>
      <c r="CM4480" s="336"/>
    </row>
    <row r="4481" spans="84:91" s="51" customFormat="1">
      <c r="CF4481" s="239"/>
      <c r="CM4481" s="336"/>
    </row>
    <row r="4482" spans="84:91" s="51" customFormat="1">
      <c r="CF4482" s="239"/>
      <c r="CM4482" s="336"/>
    </row>
    <row r="4483" spans="84:91" s="51" customFormat="1">
      <c r="CF4483" s="239"/>
      <c r="CM4483" s="336"/>
    </row>
    <row r="4484" spans="84:91" s="51" customFormat="1">
      <c r="CF4484" s="239"/>
      <c r="CM4484" s="336"/>
    </row>
    <row r="4485" spans="84:91" s="51" customFormat="1">
      <c r="CF4485" s="239"/>
      <c r="CM4485" s="336"/>
    </row>
    <row r="4486" spans="84:91" s="51" customFormat="1">
      <c r="CF4486" s="239"/>
      <c r="CM4486" s="336"/>
    </row>
    <row r="4487" spans="84:91" s="51" customFormat="1">
      <c r="CF4487" s="239"/>
      <c r="CM4487" s="336"/>
    </row>
    <row r="4488" spans="84:91" s="51" customFormat="1">
      <c r="CF4488" s="239"/>
      <c r="CM4488" s="336"/>
    </row>
    <row r="4489" spans="84:91" s="51" customFormat="1">
      <c r="CF4489" s="239"/>
      <c r="CM4489" s="336"/>
    </row>
    <row r="4490" spans="84:91" s="51" customFormat="1">
      <c r="CF4490" s="239"/>
      <c r="CM4490" s="336"/>
    </row>
    <row r="4491" spans="84:91" s="51" customFormat="1">
      <c r="CF4491" s="239"/>
      <c r="CM4491" s="336"/>
    </row>
    <row r="4492" spans="84:91" s="51" customFormat="1">
      <c r="CF4492" s="239"/>
      <c r="CM4492" s="336"/>
    </row>
    <row r="4493" spans="84:91" s="51" customFormat="1">
      <c r="CF4493" s="239"/>
      <c r="CM4493" s="336"/>
    </row>
    <row r="4494" spans="84:91" s="51" customFormat="1">
      <c r="CF4494" s="239"/>
      <c r="CM4494" s="336"/>
    </row>
    <row r="4495" spans="84:91" s="51" customFormat="1">
      <c r="CF4495" s="239"/>
      <c r="CM4495" s="336"/>
    </row>
    <row r="4496" spans="84:91" s="51" customFormat="1">
      <c r="CF4496" s="239"/>
      <c r="CM4496" s="336"/>
    </row>
    <row r="4497" spans="84:91" s="51" customFormat="1">
      <c r="CF4497" s="239"/>
      <c r="CM4497" s="336"/>
    </row>
    <row r="4498" spans="84:91" s="51" customFormat="1">
      <c r="CF4498" s="239"/>
      <c r="CM4498" s="336"/>
    </row>
    <row r="4499" spans="84:91" s="51" customFormat="1">
      <c r="CF4499" s="239"/>
      <c r="CM4499" s="336"/>
    </row>
    <row r="4500" spans="84:91" s="51" customFormat="1">
      <c r="CF4500" s="239"/>
      <c r="CM4500" s="336"/>
    </row>
    <row r="4501" spans="84:91" s="51" customFormat="1">
      <c r="CF4501" s="239"/>
      <c r="CM4501" s="336"/>
    </row>
    <row r="4502" spans="84:91" s="51" customFormat="1">
      <c r="CF4502" s="239"/>
      <c r="CM4502" s="336"/>
    </row>
    <row r="4503" spans="84:91" s="51" customFormat="1">
      <c r="CF4503" s="239"/>
      <c r="CM4503" s="336"/>
    </row>
    <row r="4504" spans="84:91" s="51" customFormat="1">
      <c r="CF4504" s="239"/>
      <c r="CM4504" s="336"/>
    </row>
    <row r="4505" spans="84:91" s="51" customFormat="1">
      <c r="CF4505" s="239"/>
      <c r="CM4505" s="336"/>
    </row>
    <row r="4506" spans="84:91" s="51" customFormat="1">
      <c r="CF4506" s="239"/>
      <c r="CM4506" s="336"/>
    </row>
    <row r="4507" spans="84:91" s="51" customFormat="1">
      <c r="CF4507" s="239"/>
      <c r="CM4507" s="336"/>
    </row>
    <row r="4508" spans="84:91" s="51" customFormat="1">
      <c r="CF4508" s="239"/>
      <c r="CM4508" s="336"/>
    </row>
    <row r="4509" spans="84:91" s="51" customFormat="1">
      <c r="CF4509" s="239"/>
      <c r="CM4509" s="336"/>
    </row>
    <row r="4510" spans="84:91" s="51" customFormat="1">
      <c r="CF4510" s="239"/>
      <c r="CM4510" s="336"/>
    </row>
    <row r="4511" spans="84:91" s="51" customFormat="1">
      <c r="CF4511" s="239"/>
      <c r="CM4511" s="336"/>
    </row>
    <row r="4512" spans="84:91" s="51" customFormat="1">
      <c r="CF4512" s="239"/>
      <c r="CM4512" s="336"/>
    </row>
    <row r="4513" spans="84:91" s="51" customFormat="1">
      <c r="CF4513" s="239"/>
      <c r="CM4513" s="336"/>
    </row>
    <row r="4514" spans="84:91" s="51" customFormat="1">
      <c r="CF4514" s="239"/>
      <c r="CM4514" s="336"/>
    </row>
    <row r="4515" spans="84:91" s="51" customFormat="1">
      <c r="CF4515" s="239"/>
      <c r="CM4515" s="336"/>
    </row>
    <row r="4516" spans="84:91" s="51" customFormat="1">
      <c r="CF4516" s="239"/>
      <c r="CM4516" s="336"/>
    </row>
    <row r="4517" spans="84:91" s="51" customFormat="1">
      <c r="CF4517" s="239"/>
      <c r="CM4517" s="336"/>
    </row>
    <row r="4518" spans="84:91" s="51" customFormat="1">
      <c r="CF4518" s="239"/>
      <c r="CM4518" s="336"/>
    </row>
    <row r="4519" spans="84:91" s="51" customFormat="1">
      <c r="CF4519" s="239"/>
      <c r="CM4519" s="336"/>
    </row>
    <row r="4520" spans="84:91" s="51" customFormat="1">
      <c r="CF4520" s="239"/>
      <c r="CM4520" s="336"/>
    </row>
    <row r="4521" spans="84:91" s="51" customFormat="1">
      <c r="CF4521" s="239"/>
      <c r="CM4521" s="336"/>
    </row>
    <row r="4522" spans="84:91" s="51" customFormat="1">
      <c r="CF4522" s="239"/>
      <c r="CM4522" s="336"/>
    </row>
    <row r="4523" spans="84:91" s="51" customFormat="1">
      <c r="CF4523" s="239"/>
      <c r="CM4523" s="336"/>
    </row>
    <row r="4524" spans="84:91" s="51" customFormat="1">
      <c r="CF4524" s="239"/>
      <c r="CM4524" s="336"/>
    </row>
    <row r="4525" spans="84:91" s="51" customFormat="1">
      <c r="CF4525" s="239"/>
      <c r="CM4525" s="336"/>
    </row>
    <row r="4526" spans="84:91" s="51" customFormat="1">
      <c r="CF4526" s="239"/>
      <c r="CM4526" s="336"/>
    </row>
    <row r="4527" spans="84:91" s="51" customFormat="1">
      <c r="CF4527" s="239"/>
      <c r="CM4527" s="336"/>
    </row>
    <row r="4528" spans="84:91" s="51" customFormat="1">
      <c r="CF4528" s="239"/>
      <c r="CM4528" s="336"/>
    </row>
    <row r="4529" spans="84:91" s="51" customFormat="1">
      <c r="CF4529" s="239"/>
      <c r="CM4529" s="336"/>
    </row>
    <row r="4530" spans="84:91" s="51" customFormat="1">
      <c r="CF4530" s="239"/>
      <c r="CM4530" s="336"/>
    </row>
    <row r="4531" spans="84:91" s="51" customFormat="1">
      <c r="CF4531" s="239"/>
      <c r="CM4531" s="336"/>
    </row>
    <row r="4532" spans="84:91" s="51" customFormat="1">
      <c r="CF4532" s="239"/>
      <c r="CM4532" s="336"/>
    </row>
    <row r="4533" spans="84:91" s="51" customFormat="1">
      <c r="CF4533" s="239"/>
      <c r="CM4533" s="336"/>
    </row>
    <row r="4534" spans="84:91" s="51" customFormat="1">
      <c r="CF4534" s="239"/>
      <c r="CM4534" s="336"/>
    </row>
    <row r="4535" spans="84:91" s="51" customFormat="1">
      <c r="CF4535" s="239"/>
      <c r="CM4535" s="336"/>
    </row>
    <row r="4536" spans="84:91" s="51" customFormat="1">
      <c r="CF4536" s="239"/>
      <c r="CM4536" s="336"/>
    </row>
    <row r="4537" spans="84:91" s="51" customFormat="1">
      <c r="CF4537" s="239"/>
      <c r="CM4537" s="336"/>
    </row>
    <row r="4538" spans="84:91" s="51" customFormat="1">
      <c r="CF4538" s="239"/>
      <c r="CM4538" s="336"/>
    </row>
    <row r="4539" spans="84:91" s="51" customFormat="1">
      <c r="CF4539" s="239"/>
      <c r="CM4539" s="336"/>
    </row>
    <row r="4540" spans="84:91" s="51" customFormat="1">
      <c r="CF4540" s="239"/>
      <c r="CM4540" s="336"/>
    </row>
    <row r="4541" spans="84:91" s="51" customFormat="1">
      <c r="CF4541" s="239"/>
      <c r="CM4541" s="336"/>
    </row>
    <row r="4542" spans="84:91" s="51" customFormat="1">
      <c r="CF4542" s="239"/>
      <c r="CM4542" s="336"/>
    </row>
    <row r="4543" spans="84:91" s="51" customFormat="1">
      <c r="CF4543" s="239"/>
      <c r="CM4543" s="336"/>
    </row>
    <row r="4544" spans="84:91" s="51" customFormat="1">
      <c r="CF4544" s="239"/>
      <c r="CM4544" s="336"/>
    </row>
    <row r="4545" spans="84:91" s="51" customFormat="1">
      <c r="CF4545" s="239"/>
      <c r="CM4545" s="336"/>
    </row>
    <row r="4546" spans="84:91" s="51" customFormat="1">
      <c r="CF4546" s="239"/>
      <c r="CM4546" s="336"/>
    </row>
    <row r="4547" spans="84:91" s="51" customFormat="1">
      <c r="CF4547" s="239"/>
      <c r="CM4547" s="336"/>
    </row>
    <row r="4548" spans="84:91" s="51" customFormat="1">
      <c r="CF4548" s="239"/>
      <c r="CM4548" s="336"/>
    </row>
    <row r="4549" spans="84:91" s="51" customFormat="1">
      <c r="CF4549" s="239"/>
      <c r="CM4549" s="336"/>
    </row>
    <row r="4550" spans="84:91" s="51" customFormat="1">
      <c r="CF4550" s="239"/>
      <c r="CM4550" s="336"/>
    </row>
    <row r="4551" spans="84:91" s="51" customFormat="1">
      <c r="CF4551" s="239"/>
      <c r="CM4551" s="336"/>
    </row>
    <row r="4552" spans="84:91" s="51" customFormat="1">
      <c r="CF4552" s="239"/>
      <c r="CM4552" s="336"/>
    </row>
    <row r="4553" spans="84:91" s="51" customFormat="1">
      <c r="CF4553" s="239"/>
      <c r="CM4553" s="336"/>
    </row>
    <row r="4554" spans="84:91" s="51" customFormat="1">
      <c r="CF4554" s="239"/>
      <c r="CM4554" s="336"/>
    </row>
    <row r="4555" spans="84:91" s="51" customFormat="1">
      <c r="CF4555" s="239"/>
      <c r="CM4555" s="336"/>
    </row>
    <row r="4556" spans="84:91" s="51" customFormat="1">
      <c r="CF4556" s="239"/>
      <c r="CM4556" s="336"/>
    </row>
    <row r="4557" spans="84:91" s="51" customFormat="1">
      <c r="CF4557" s="239"/>
      <c r="CM4557" s="336"/>
    </row>
    <row r="4558" spans="84:91" s="51" customFormat="1">
      <c r="CF4558" s="239"/>
      <c r="CM4558" s="336"/>
    </row>
    <row r="4559" spans="84:91" s="51" customFormat="1">
      <c r="CF4559" s="239"/>
      <c r="CM4559" s="336"/>
    </row>
    <row r="4560" spans="84:91" s="51" customFormat="1">
      <c r="CF4560" s="239"/>
      <c r="CM4560" s="336"/>
    </row>
    <row r="4561" spans="84:91" s="51" customFormat="1">
      <c r="CF4561" s="239"/>
      <c r="CM4561" s="336"/>
    </row>
    <row r="4562" spans="84:91" s="51" customFormat="1">
      <c r="CF4562" s="239"/>
      <c r="CM4562" s="336"/>
    </row>
    <row r="4563" spans="84:91" s="51" customFormat="1">
      <c r="CF4563" s="239"/>
      <c r="CM4563" s="336"/>
    </row>
    <row r="4564" spans="84:91" s="51" customFormat="1">
      <c r="CF4564" s="239"/>
      <c r="CM4564" s="336"/>
    </row>
    <row r="4565" spans="84:91" s="51" customFormat="1">
      <c r="CF4565" s="239"/>
      <c r="CM4565" s="336"/>
    </row>
    <row r="4566" spans="84:91" s="51" customFormat="1">
      <c r="CF4566" s="239"/>
      <c r="CM4566" s="336"/>
    </row>
    <row r="4567" spans="84:91" s="51" customFormat="1">
      <c r="CF4567" s="239"/>
      <c r="CM4567" s="336"/>
    </row>
    <row r="4568" spans="84:91" s="51" customFormat="1">
      <c r="CF4568" s="239"/>
      <c r="CM4568" s="336"/>
    </row>
    <row r="4569" spans="84:91" s="51" customFormat="1">
      <c r="CF4569" s="239"/>
      <c r="CM4569" s="336"/>
    </row>
    <row r="4570" spans="84:91" s="51" customFormat="1">
      <c r="CF4570" s="239"/>
      <c r="CM4570" s="336"/>
    </row>
    <row r="4571" spans="84:91" s="51" customFormat="1">
      <c r="CF4571" s="239"/>
      <c r="CM4571" s="336"/>
    </row>
    <row r="4572" spans="84:91" s="51" customFormat="1">
      <c r="CF4572" s="239"/>
      <c r="CM4572" s="336"/>
    </row>
    <row r="4573" spans="84:91" s="51" customFormat="1">
      <c r="CF4573" s="239"/>
      <c r="CM4573" s="336"/>
    </row>
    <row r="4574" spans="84:91" s="51" customFormat="1">
      <c r="CF4574" s="239"/>
      <c r="CM4574" s="336"/>
    </row>
    <row r="4575" spans="84:91" s="51" customFormat="1">
      <c r="CF4575" s="239"/>
      <c r="CM4575" s="336"/>
    </row>
    <row r="4576" spans="84:91" s="51" customFormat="1">
      <c r="CF4576" s="239"/>
      <c r="CM4576" s="336"/>
    </row>
    <row r="4577" spans="84:91" s="51" customFormat="1">
      <c r="CF4577" s="239"/>
      <c r="CM4577" s="336"/>
    </row>
    <row r="4578" spans="84:91" s="51" customFormat="1">
      <c r="CF4578" s="239"/>
      <c r="CM4578" s="336"/>
    </row>
    <row r="4579" spans="84:91" s="51" customFormat="1">
      <c r="CF4579" s="239"/>
      <c r="CM4579" s="336"/>
    </row>
    <row r="4580" spans="84:91" s="51" customFormat="1">
      <c r="CF4580" s="239"/>
      <c r="CM4580" s="336"/>
    </row>
    <row r="4581" spans="84:91" s="51" customFormat="1">
      <c r="CF4581" s="239"/>
      <c r="CM4581" s="336"/>
    </row>
    <row r="4582" spans="84:91" s="51" customFormat="1">
      <c r="CF4582" s="239"/>
      <c r="CM4582" s="336"/>
    </row>
    <row r="4583" spans="84:91" s="51" customFormat="1">
      <c r="CF4583" s="239"/>
      <c r="CM4583" s="336"/>
    </row>
    <row r="4584" spans="84:91" s="51" customFormat="1">
      <c r="CF4584" s="239"/>
      <c r="CM4584" s="336"/>
    </row>
    <row r="4585" spans="84:91" s="51" customFormat="1">
      <c r="CF4585" s="239"/>
      <c r="CM4585" s="336"/>
    </row>
    <row r="4586" spans="84:91" s="51" customFormat="1">
      <c r="CF4586" s="239"/>
      <c r="CM4586" s="336"/>
    </row>
    <row r="4587" spans="84:91" s="51" customFormat="1">
      <c r="CF4587" s="239"/>
      <c r="CM4587" s="336"/>
    </row>
    <row r="4588" spans="84:91" s="51" customFormat="1">
      <c r="CF4588" s="239"/>
      <c r="CM4588" s="336"/>
    </row>
    <row r="4589" spans="84:91" s="51" customFormat="1">
      <c r="CF4589" s="239"/>
      <c r="CM4589" s="336"/>
    </row>
    <row r="4590" spans="84:91" s="51" customFormat="1">
      <c r="CF4590" s="239"/>
      <c r="CM4590" s="336"/>
    </row>
    <row r="4591" spans="84:91" s="51" customFormat="1">
      <c r="CF4591" s="239"/>
      <c r="CM4591" s="336"/>
    </row>
    <row r="4592" spans="84:91" s="51" customFormat="1">
      <c r="CF4592" s="239"/>
      <c r="CM4592" s="336"/>
    </row>
    <row r="4593" spans="84:91" s="51" customFormat="1">
      <c r="CF4593" s="239"/>
      <c r="CM4593" s="336"/>
    </row>
    <row r="4594" spans="84:91" s="51" customFormat="1">
      <c r="CF4594" s="239"/>
      <c r="CM4594" s="336"/>
    </row>
    <row r="4595" spans="84:91" s="51" customFormat="1">
      <c r="CF4595" s="239"/>
      <c r="CM4595" s="336"/>
    </row>
    <row r="4596" spans="84:91" s="51" customFormat="1">
      <c r="CF4596" s="239"/>
      <c r="CM4596" s="336"/>
    </row>
    <row r="4597" spans="84:91" s="51" customFormat="1">
      <c r="CF4597" s="239"/>
      <c r="CM4597" s="336"/>
    </row>
    <row r="4598" spans="84:91" s="51" customFormat="1">
      <c r="CF4598" s="239"/>
      <c r="CM4598" s="336"/>
    </row>
    <row r="4599" spans="84:91" s="51" customFormat="1">
      <c r="CF4599" s="239"/>
      <c r="CM4599" s="336"/>
    </row>
    <row r="4600" spans="84:91" s="51" customFormat="1">
      <c r="CF4600" s="239"/>
      <c r="CM4600" s="336"/>
    </row>
    <row r="4601" spans="84:91" s="51" customFormat="1">
      <c r="CF4601" s="239"/>
      <c r="CM4601" s="336"/>
    </row>
    <row r="4602" spans="84:91" s="51" customFormat="1">
      <c r="CF4602" s="239"/>
      <c r="CM4602" s="336"/>
    </row>
    <row r="4603" spans="84:91" s="51" customFormat="1">
      <c r="CF4603" s="239"/>
      <c r="CM4603" s="336"/>
    </row>
    <row r="4604" spans="84:91" s="51" customFormat="1">
      <c r="CF4604" s="239"/>
      <c r="CM4604" s="336"/>
    </row>
    <row r="4605" spans="84:91" s="51" customFormat="1">
      <c r="CF4605" s="239"/>
      <c r="CM4605" s="336"/>
    </row>
    <row r="4606" spans="84:91" s="51" customFormat="1">
      <c r="CF4606" s="239"/>
      <c r="CM4606" s="336"/>
    </row>
    <row r="4607" spans="84:91" s="51" customFormat="1">
      <c r="CF4607" s="239"/>
      <c r="CM4607" s="336"/>
    </row>
    <row r="4608" spans="84:91" s="51" customFormat="1">
      <c r="CF4608" s="239"/>
      <c r="CM4608" s="336"/>
    </row>
    <row r="4609" spans="84:91" s="51" customFormat="1">
      <c r="CF4609" s="239"/>
      <c r="CM4609" s="336"/>
    </row>
    <row r="4610" spans="84:91" s="51" customFormat="1">
      <c r="CF4610" s="239"/>
      <c r="CM4610" s="336"/>
    </row>
    <row r="4611" spans="84:91" s="51" customFormat="1">
      <c r="CF4611" s="239"/>
      <c r="CM4611" s="336"/>
    </row>
    <row r="4612" spans="84:91" s="51" customFormat="1">
      <c r="CF4612" s="239"/>
      <c r="CM4612" s="336"/>
    </row>
    <row r="4613" spans="84:91" s="51" customFormat="1">
      <c r="CF4613" s="239"/>
      <c r="CM4613" s="336"/>
    </row>
    <row r="4614" spans="84:91" s="51" customFormat="1">
      <c r="CF4614" s="239"/>
      <c r="CM4614" s="336"/>
    </row>
    <row r="4615" spans="84:91" s="51" customFormat="1">
      <c r="CF4615" s="239"/>
      <c r="CM4615" s="336"/>
    </row>
    <row r="4616" spans="84:91" s="51" customFormat="1">
      <c r="CF4616" s="239"/>
      <c r="CM4616" s="336"/>
    </row>
    <row r="4617" spans="84:91" s="51" customFormat="1">
      <c r="CF4617" s="239"/>
      <c r="CM4617" s="336"/>
    </row>
    <row r="4618" spans="84:91" s="51" customFormat="1">
      <c r="CF4618" s="239"/>
      <c r="CM4618" s="336"/>
    </row>
    <row r="4619" spans="84:91" s="51" customFormat="1">
      <c r="CF4619" s="239"/>
      <c r="CM4619" s="336"/>
    </row>
    <row r="4620" spans="84:91" s="51" customFormat="1">
      <c r="CF4620" s="239"/>
      <c r="CM4620" s="336"/>
    </row>
    <row r="4621" spans="84:91" s="51" customFormat="1">
      <c r="CF4621" s="239"/>
      <c r="CM4621" s="336"/>
    </row>
    <row r="4622" spans="84:91" s="51" customFormat="1">
      <c r="CF4622" s="239"/>
      <c r="CM4622" s="336"/>
    </row>
    <row r="4623" spans="84:91" s="51" customFormat="1">
      <c r="CF4623" s="239"/>
      <c r="CM4623" s="336"/>
    </row>
    <row r="4624" spans="84:91" s="51" customFormat="1">
      <c r="CF4624" s="239"/>
      <c r="CM4624" s="336"/>
    </row>
    <row r="4625" spans="84:91" s="51" customFormat="1">
      <c r="CF4625" s="239"/>
      <c r="CM4625" s="336"/>
    </row>
    <row r="4626" spans="84:91" s="51" customFormat="1">
      <c r="CF4626" s="239"/>
      <c r="CM4626" s="336"/>
    </row>
    <row r="4627" spans="84:91" s="51" customFormat="1">
      <c r="CF4627" s="239"/>
      <c r="CM4627" s="336"/>
    </row>
    <row r="4628" spans="84:91" s="51" customFormat="1">
      <c r="CF4628" s="239"/>
      <c r="CM4628" s="336"/>
    </row>
    <row r="4629" spans="84:91" s="51" customFormat="1">
      <c r="CF4629" s="239"/>
      <c r="CM4629" s="336"/>
    </row>
    <row r="4630" spans="84:91" s="51" customFormat="1">
      <c r="CF4630" s="239"/>
      <c r="CM4630" s="336"/>
    </row>
    <row r="4631" spans="84:91" s="51" customFormat="1">
      <c r="CF4631" s="239"/>
      <c r="CM4631" s="336"/>
    </row>
    <row r="4632" spans="84:91" s="51" customFormat="1">
      <c r="CF4632" s="239"/>
      <c r="CM4632" s="336"/>
    </row>
    <row r="4633" spans="84:91" s="51" customFormat="1">
      <c r="CF4633" s="239"/>
      <c r="CM4633" s="336"/>
    </row>
    <row r="4634" spans="84:91" s="51" customFormat="1">
      <c r="CF4634" s="239"/>
      <c r="CM4634" s="336"/>
    </row>
    <row r="4635" spans="84:91" s="51" customFormat="1">
      <c r="CF4635" s="239"/>
      <c r="CM4635" s="336"/>
    </row>
    <row r="4636" spans="84:91" s="51" customFormat="1">
      <c r="CF4636" s="239"/>
      <c r="CM4636" s="336"/>
    </row>
    <row r="4637" spans="84:91" s="51" customFormat="1">
      <c r="CF4637" s="239"/>
      <c r="CM4637" s="336"/>
    </row>
    <row r="4638" spans="84:91" s="51" customFormat="1">
      <c r="CF4638" s="239"/>
      <c r="CM4638" s="336"/>
    </row>
    <row r="4639" spans="84:91" s="51" customFormat="1">
      <c r="CF4639" s="239"/>
      <c r="CM4639" s="336"/>
    </row>
    <row r="4640" spans="84:91" s="51" customFormat="1">
      <c r="CF4640" s="239"/>
      <c r="CM4640" s="336"/>
    </row>
    <row r="4641" spans="84:91" s="51" customFormat="1">
      <c r="CF4641" s="239"/>
      <c r="CM4641" s="336"/>
    </row>
    <row r="4642" spans="84:91" s="51" customFormat="1">
      <c r="CF4642" s="239"/>
      <c r="CM4642" s="336"/>
    </row>
    <row r="4643" spans="84:91" s="51" customFormat="1">
      <c r="CF4643" s="239"/>
      <c r="CM4643" s="336"/>
    </row>
    <row r="4644" spans="84:91" s="51" customFormat="1">
      <c r="CF4644" s="239"/>
      <c r="CM4644" s="336"/>
    </row>
    <row r="4645" spans="84:91" s="51" customFormat="1">
      <c r="CF4645" s="239"/>
      <c r="CM4645" s="336"/>
    </row>
    <row r="4646" spans="84:91" s="51" customFormat="1">
      <c r="CF4646" s="239"/>
      <c r="CM4646" s="336"/>
    </row>
    <row r="4647" spans="84:91" s="51" customFormat="1">
      <c r="CF4647" s="239"/>
      <c r="CM4647" s="336"/>
    </row>
    <row r="4648" spans="84:91" s="51" customFormat="1">
      <c r="CF4648" s="239"/>
      <c r="CM4648" s="336"/>
    </row>
    <row r="4649" spans="84:91" s="51" customFormat="1">
      <c r="CF4649" s="239"/>
      <c r="CM4649" s="336"/>
    </row>
    <row r="4650" spans="84:91" s="51" customFormat="1">
      <c r="CF4650" s="239"/>
      <c r="CM4650" s="336"/>
    </row>
    <row r="4651" spans="84:91" s="51" customFormat="1">
      <c r="CF4651" s="239"/>
      <c r="CM4651" s="336"/>
    </row>
    <row r="4652" spans="84:91" s="51" customFormat="1">
      <c r="CF4652" s="239"/>
      <c r="CM4652" s="336"/>
    </row>
    <row r="4653" spans="84:91" s="51" customFormat="1">
      <c r="CF4653" s="239"/>
      <c r="CM4653" s="336"/>
    </row>
    <row r="4654" spans="84:91" s="51" customFormat="1">
      <c r="CF4654" s="239"/>
      <c r="CM4654" s="336"/>
    </row>
    <row r="4655" spans="84:91" s="51" customFormat="1">
      <c r="CF4655" s="239"/>
      <c r="CM4655" s="336"/>
    </row>
    <row r="4656" spans="84:91" s="51" customFormat="1">
      <c r="CF4656" s="239"/>
      <c r="CM4656" s="336"/>
    </row>
    <row r="4657" spans="84:91" s="51" customFormat="1">
      <c r="CF4657" s="239"/>
      <c r="CM4657" s="336"/>
    </row>
    <row r="4658" spans="84:91" s="51" customFormat="1">
      <c r="CF4658" s="239"/>
      <c r="CM4658" s="336"/>
    </row>
    <row r="4659" spans="84:91" s="51" customFormat="1">
      <c r="CF4659" s="239"/>
      <c r="CM4659" s="336"/>
    </row>
    <row r="4660" spans="84:91" s="51" customFormat="1">
      <c r="CF4660" s="239"/>
      <c r="CM4660" s="336"/>
    </row>
    <row r="4661" spans="84:91" s="51" customFormat="1">
      <c r="CF4661" s="239"/>
      <c r="CM4661" s="336"/>
    </row>
    <row r="4662" spans="84:91" s="51" customFormat="1">
      <c r="CF4662" s="239"/>
      <c r="CM4662" s="336"/>
    </row>
    <row r="4663" spans="84:91" s="51" customFormat="1">
      <c r="CF4663" s="239"/>
      <c r="CM4663" s="336"/>
    </row>
    <row r="4664" spans="84:91" s="51" customFormat="1">
      <c r="CF4664" s="239"/>
      <c r="CM4664" s="336"/>
    </row>
    <row r="4665" spans="84:91" s="51" customFormat="1">
      <c r="CF4665" s="239"/>
      <c r="CM4665" s="336"/>
    </row>
    <row r="4666" spans="84:91" s="51" customFormat="1">
      <c r="CF4666" s="239"/>
      <c r="CM4666" s="336"/>
    </row>
    <row r="4667" spans="84:91" s="51" customFormat="1">
      <c r="CF4667" s="239"/>
      <c r="CM4667" s="336"/>
    </row>
    <row r="4668" spans="84:91" s="51" customFormat="1">
      <c r="CF4668" s="239"/>
      <c r="CM4668" s="336"/>
    </row>
    <row r="4669" spans="84:91" s="51" customFormat="1">
      <c r="CF4669" s="239"/>
      <c r="CM4669" s="336"/>
    </row>
    <row r="4670" spans="84:91" s="51" customFormat="1">
      <c r="CF4670" s="239"/>
      <c r="CM4670" s="336"/>
    </row>
    <row r="4671" spans="84:91" s="51" customFormat="1">
      <c r="CF4671" s="239"/>
      <c r="CM4671" s="336"/>
    </row>
    <row r="4672" spans="84:91" s="51" customFormat="1">
      <c r="CF4672" s="239"/>
      <c r="CM4672" s="336"/>
    </row>
    <row r="4673" spans="84:91" s="51" customFormat="1">
      <c r="CF4673" s="239"/>
      <c r="CM4673" s="336"/>
    </row>
    <row r="4674" spans="84:91" s="51" customFormat="1">
      <c r="CF4674" s="239"/>
      <c r="CM4674" s="336"/>
    </row>
    <row r="4675" spans="84:91" s="51" customFormat="1">
      <c r="CF4675" s="239"/>
      <c r="CM4675" s="336"/>
    </row>
    <row r="4676" spans="84:91" s="51" customFormat="1">
      <c r="CF4676" s="239"/>
      <c r="CM4676" s="336"/>
    </row>
    <row r="4677" spans="84:91" s="51" customFormat="1">
      <c r="CF4677" s="239"/>
      <c r="CM4677" s="336"/>
    </row>
    <row r="4678" spans="84:91" s="51" customFormat="1">
      <c r="CF4678" s="239"/>
      <c r="CM4678" s="336"/>
    </row>
    <row r="4679" spans="84:91" s="51" customFormat="1">
      <c r="CF4679" s="239"/>
      <c r="CM4679" s="336"/>
    </row>
    <row r="4680" spans="84:91" s="51" customFormat="1">
      <c r="CF4680" s="239"/>
      <c r="CM4680" s="336"/>
    </row>
    <row r="4681" spans="84:91" s="51" customFormat="1">
      <c r="CF4681" s="239"/>
      <c r="CM4681" s="336"/>
    </row>
    <row r="4682" spans="84:91" s="51" customFormat="1">
      <c r="CF4682" s="239"/>
      <c r="CM4682" s="336"/>
    </row>
    <row r="4683" spans="84:91" s="51" customFormat="1">
      <c r="CF4683" s="239"/>
      <c r="CM4683" s="336"/>
    </row>
    <row r="4684" spans="84:91" s="51" customFormat="1">
      <c r="CF4684" s="239"/>
      <c r="CM4684" s="336"/>
    </row>
    <row r="4685" spans="84:91" s="51" customFormat="1">
      <c r="CF4685" s="239"/>
      <c r="CM4685" s="336"/>
    </row>
    <row r="4686" spans="84:91" s="51" customFormat="1">
      <c r="CF4686" s="239"/>
      <c r="CM4686" s="336"/>
    </row>
    <row r="4687" spans="84:91" s="51" customFormat="1">
      <c r="CF4687" s="239"/>
      <c r="CM4687" s="336"/>
    </row>
    <row r="4688" spans="84:91" s="51" customFormat="1">
      <c r="CF4688" s="239"/>
      <c r="CM4688" s="336"/>
    </row>
    <row r="4689" spans="84:91" s="51" customFormat="1">
      <c r="CF4689" s="239"/>
      <c r="CM4689" s="336"/>
    </row>
    <row r="4690" spans="84:91" s="51" customFormat="1">
      <c r="CF4690" s="239"/>
      <c r="CM4690" s="336"/>
    </row>
    <row r="4691" spans="84:91" s="51" customFormat="1">
      <c r="CF4691" s="239"/>
      <c r="CM4691" s="336"/>
    </row>
    <row r="4692" spans="84:91" s="51" customFormat="1">
      <c r="CF4692" s="239"/>
      <c r="CM4692" s="336"/>
    </row>
    <row r="4693" spans="84:91" s="51" customFormat="1">
      <c r="CF4693" s="239"/>
      <c r="CM4693" s="336"/>
    </row>
    <row r="4694" spans="84:91" s="51" customFormat="1">
      <c r="CF4694" s="239"/>
      <c r="CM4694" s="336"/>
    </row>
    <row r="4695" spans="84:91" s="51" customFormat="1">
      <c r="CF4695" s="239"/>
      <c r="CM4695" s="336"/>
    </row>
    <row r="4696" spans="84:91" s="51" customFormat="1">
      <c r="CF4696" s="239"/>
      <c r="CM4696" s="336"/>
    </row>
    <row r="4697" spans="84:91" s="51" customFormat="1">
      <c r="CF4697" s="239"/>
      <c r="CM4697" s="336"/>
    </row>
    <row r="4698" spans="84:91" s="51" customFormat="1">
      <c r="CF4698" s="239"/>
      <c r="CM4698" s="336"/>
    </row>
    <row r="4699" spans="84:91" s="51" customFormat="1">
      <c r="CF4699" s="239"/>
      <c r="CM4699" s="336"/>
    </row>
    <row r="4700" spans="84:91" s="51" customFormat="1">
      <c r="CF4700" s="239"/>
      <c r="CM4700" s="336"/>
    </row>
    <row r="4701" spans="84:91" s="51" customFormat="1">
      <c r="CF4701" s="239"/>
      <c r="CM4701" s="336"/>
    </row>
    <row r="4702" spans="84:91" s="51" customFormat="1">
      <c r="CF4702" s="239"/>
      <c r="CM4702" s="336"/>
    </row>
    <row r="4703" spans="84:91" s="51" customFormat="1">
      <c r="CF4703" s="239"/>
      <c r="CM4703" s="336"/>
    </row>
    <row r="4704" spans="84:91" s="51" customFormat="1">
      <c r="CF4704" s="239"/>
      <c r="CM4704" s="336"/>
    </row>
    <row r="4705" spans="84:91" s="51" customFormat="1">
      <c r="CF4705" s="239"/>
      <c r="CM4705" s="336"/>
    </row>
    <row r="4706" spans="84:91" s="51" customFormat="1">
      <c r="CF4706" s="239"/>
      <c r="CM4706" s="336"/>
    </row>
    <row r="4707" spans="84:91" s="51" customFormat="1">
      <c r="CF4707" s="239"/>
      <c r="CM4707" s="336"/>
    </row>
    <row r="4708" spans="84:91" s="51" customFormat="1">
      <c r="CF4708" s="239"/>
      <c r="CM4708" s="336"/>
    </row>
    <row r="4709" spans="84:91" s="51" customFormat="1">
      <c r="CF4709" s="239"/>
      <c r="CM4709" s="336"/>
    </row>
    <row r="4710" spans="84:91" s="51" customFormat="1">
      <c r="CF4710" s="239"/>
      <c r="CM4710" s="336"/>
    </row>
    <row r="4711" spans="84:91" s="51" customFormat="1">
      <c r="CF4711" s="239"/>
      <c r="CM4711" s="336"/>
    </row>
    <row r="4712" spans="84:91" s="51" customFormat="1">
      <c r="CF4712" s="239"/>
      <c r="CM4712" s="336"/>
    </row>
    <row r="4713" spans="84:91" s="51" customFormat="1">
      <c r="CF4713" s="239"/>
      <c r="CM4713" s="336"/>
    </row>
    <row r="4714" spans="84:91" s="51" customFormat="1">
      <c r="CF4714" s="239"/>
      <c r="CM4714" s="336"/>
    </row>
    <row r="4715" spans="84:91" s="51" customFormat="1">
      <c r="CF4715" s="239"/>
      <c r="CM4715" s="336"/>
    </row>
    <row r="4716" spans="84:91" s="51" customFormat="1">
      <c r="CF4716" s="239"/>
      <c r="CM4716" s="336"/>
    </row>
    <row r="4717" spans="84:91" s="51" customFormat="1">
      <c r="CF4717" s="239"/>
      <c r="CM4717" s="336"/>
    </row>
    <row r="4718" spans="84:91" s="51" customFormat="1">
      <c r="CF4718" s="239"/>
      <c r="CM4718" s="336"/>
    </row>
    <row r="4719" spans="84:91" s="51" customFormat="1">
      <c r="CF4719" s="239"/>
      <c r="CM4719" s="336"/>
    </row>
    <row r="4720" spans="84:91" s="51" customFormat="1">
      <c r="CF4720" s="239"/>
      <c r="CM4720" s="336"/>
    </row>
    <row r="4721" spans="84:91" s="51" customFormat="1">
      <c r="CF4721" s="239"/>
      <c r="CM4721" s="336"/>
    </row>
    <row r="4722" spans="84:91" s="51" customFormat="1">
      <c r="CF4722" s="239"/>
      <c r="CM4722" s="336"/>
    </row>
    <row r="4723" spans="84:91" s="51" customFormat="1">
      <c r="CF4723" s="239"/>
      <c r="CM4723" s="336"/>
    </row>
    <row r="4724" spans="84:91" s="51" customFormat="1">
      <c r="CF4724" s="239"/>
      <c r="CM4724" s="336"/>
    </row>
    <row r="4725" spans="84:91" s="51" customFormat="1">
      <c r="CF4725" s="239"/>
      <c r="CM4725" s="336"/>
    </row>
    <row r="4726" spans="84:91" s="51" customFormat="1">
      <c r="CF4726" s="239"/>
      <c r="CM4726" s="336"/>
    </row>
    <row r="4727" spans="84:91" s="51" customFormat="1">
      <c r="CF4727" s="239"/>
      <c r="CM4727" s="336"/>
    </row>
    <row r="4728" spans="84:91" s="51" customFormat="1">
      <c r="CF4728" s="239"/>
      <c r="CM4728" s="336"/>
    </row>
    <row r="4729" spans="84:91" s="51" customFormat="1">
      <c r="CF4729" s="239"/>
      <c r="CM4729" s="336"/>
    </row>
    <row r="4730" spans="84:91" s="51" customFormat="1">
      <c r="CF4730" s="239"/>
      <c r="CM4730" s="336"/>
    </row>
    <row r="4731" spans="84:91" s="51" customFormat="1">
      <c r="CF4731" s="239"/>
      <c r="CM4731" s="336"/>
    </row>
    <row r="4732" spans="84:91" s="51" customFormat="1">
      <c r="CF4732" s="239"/>
      <c r="CM4732" s="336"/>
    </row>
    <row r="4733" spans="84:91" s="51" customFormat="1">
      <c r="CF4733" s="239"/>
      <c r="CM4733" s="336"/>
    </row>
    <row r="4734" spans="84:91" s="51" customFormat="1">
      <c r="CF4734" s="239"/>
      <c r="CM4734" s="336"/>
    </row>
    <row r="4735" spans="84:91" s="51" customFormat="1">
      <c r="CF4735" s="239"/>
      <c r="CM4735" s="336"/>
    </row>
    <row r="4736" spans="84:91" s="51" customFormat="1">
      <c r="CF4736" s="239"/>
      <c r="CM4736" s="336"/>
    </row>
    <row r="4737" spans="84:91" s="51" customFormat="1">
      <c r="CF4737" s="239"/>
      <c r="CM4737" s="336"/>
    </row>
    <row r="4738" spans="84:91" s="51" customFormat="1">
      <c r="CF4738" s="239"/>
      <c r="CM4738" s="336"/>
    </row>
    <row r="4739" spans="84:91" s="51" customFormat="1">
      <c r="CF4739" s="239"/>
      <c r="CM4739" s="336"/>
    </row>
    <row r="4740" spans="84:91" s="51" customFormat="1">
      <c r="CF4740" s="239"/>
      <c r="CM4740" s="336"/>
    </row>
    <row r="4741" spans="84:91" s="51" customFormat="1">
      <c r="CF4741" s="239"/>
      <c r="CM4741" s="336"/>
    </row>
    <row r="4742" spans="84:91" s="51" customFormat="1">
      <c r="CF4742" s="239"/>
      <c r="CM4742" s="336"/>
    </row>
    <row r="4743" spans="84:91" s="51" customFormat="1">
      <c r="CF4743" s="239"/>
      <c r="CM4743" s="336"/>
    </row>
    <row r="4744" spans="84:91" s="51" customFormat="1">
      <c r="CF4744" s="239"/>
      <c r="CM4744" s="336"/>
    </row>
    <row r="4745" spans="84:91" s="51" customFormat="1">
      <c r="CF4745" s="239"/>
      <c r="CM4745" s="336"/>
    </row>
    <row r="4746" spans="84:91" s="51" customFormat="1">
      <c r="CF4746" s="239"/>
      <c r="CM4746" s="336"/>
    </row>
    <row r="4747" spans="84:91" s="51" customFormat="1">
      <c r="CF4747" s="239"/>
      <c r="CM4747" s="336"/>
    </row>
    <row r="4748" spans="84:91" s="51" customFormat="1">
      <c r="CF4748" s="239"/>
      <c r="CM4748" s="336"/>
    </row>
    <row r="4749" spans="84:91" s="51" customFormat="1">
      <c r="CF4749" s="239"/>
      <c r="CM4749" s="336"/>
    </row>
    <row r="4750" spans="84:91" s="51" customFormat="1">
      <c r="CF4750" s="239"/>
      <c r="CM4750" s="336"/>
    </row>
    <row r="4751" spans="84:91" s="51" customFormat="1">
      <c r="CF4751" s="239"/>
      <c r="CM4751" s="336"/>
    </row>
    <row r="4752" spans="84:91" s="51" customFormat="1">
      <c r="CF4752" s="239"/>
      <c r="CM4752" s="336"/>
    </row>
    <row r="4753" spans="84:91" s="51" customFormat="1">
      <c r="CF4753" s="239"/>
      <c r="CM4753" s="336"/>
    </row>
    <row r="4754" spans="84:91" s="51" customFormat="1">
      <c r="CF4754" s="239"/>
      <c r="CM4754" s="336"/>
    </row>
    <row r="4755" spans="84:91" s="51" customFormat="1">
      <c r="CF4755" s="239"/>
      <c r="CM4755" s="336"/>
    </row>
    <row r="4756" spans="84:91" s="51" customFormat="1">
      <c r="CF4756" s="239"/>
      <c r="CM4756" s="336"/>
    </row>
    <row r="4757" spans="84:91" s="51" customFormat="1">
      <c r="CF4757" s="239"/>
      <c r="CM4757" s="336"/>
    </row>
    <row r="4758" spans="84:91" s="51" customFormat="1">
      <c r="CF4758" s="239"/>
      <c r="CM4758" s="336"/>
    </row>
    <row r="4759" spans="84:91" s="51" customFormat="1">
      <c r="CF4759" s="239"/>
      <c r="CM4759" s="336"/>
    </row>
    <row r="4760" spans="84:91" s="51" customFormat="1">
      <c r="CF4760" s="239"/>
      <c r="CM4760" s="336"/>
    </row>
    <row r="4761" spans="84:91" s="51" customFormat="1">
      <c r="CF4761" s="239"/>
      <c r="CM4761" s="336"/>
    </row>
    <row r="4762" spans="84:91" s="51" customFormat="1">
      <c r="CF4762" s="239"/>
      <c r="CM4762" s="336"/>
    </row>
    <row r="4763" spans="84:91" s="51" customFormat="1">
      <c r="CF4763" s="239"/>
      <c r="CM4763" s="336"/>
    </row>
    <row r="4764" spans="84:91" s="51" customFormat="1">
      <c r="CF4764" s="239"/>
      <c r="CM4764" s="336"/>
    </row>
    <row r="4765" spans="84:91" s="51" customFormat="1">
      <c r="CF4765" s="239"/>
      <c r="CM4765" s="336"/>
    </row>
    <row r="4766" spans="84:91" s="51" customFormat="1">
      <c r="CF4766" s="239"/>
      <c r="CM4766" s="336"/>
    </row>
    <row r="4767" spans="84:91" s="51" customFormat="1">
      <c r="CF4767" s="239"/>
      <c r="CM4767" s="336"/>
    </row>
    <row r="4768" spans="84:91" s="51" customFormat="1">
      <c r="CF4768" s="239"/>
      <c r="CM4768" s="336"/>
    </row>
    <row r="4769" spans="84:91" s="51" customFormat="1">
      <c r="CF4769" s="239"/>
      <c r="CM4769" s="336"/>
    </row>
    <row r="4770" spans="84:91" s="51" customFormat="1">
      <c r="CF4770" s="239"/>
      <c r="CM4770" s="336"/>
    </row>
    <row r="4771" spans="84:91" s="51" customFormat="1">
      <c r="CF4771" s="239"/>
      <c r="CM4771" s="336"/>
    </row>
    <row r="4772" spans="84:91" s="51" customFormat="1">
      <c r="CF4772" s="239"/>
      <c r="CM4772" s="336"/>
    </row>
    <row r="4773" spans="84:91" s="51" customFormat="1">
      <c r="CF4773" s="239"/>
      <c r="CM4773" s="336"/>
    </row>
    <row r="4774" spans="84:91" s="51" customFormat="1">
      <c r="CF4774" s="239"/>
      <c r="CM4774" s="336"/>
    </row>
    <row r="4775" spans="84:91" s="51" customFormat="1">
      <c r="CF4775" s="239"/>
      <c r="CM4775" s="336"/>
    </row>
    <row r="4776" spans="84:91" s="51" customFormat="1">
      <c r="CF4776" s="239"/>
      <c r="CM4776" s="336"/>
    </row>
    <row r="4777" spans="84:91" s="51" customFormat="1">
      <c r="CF4777" s="239"/>
      <c r="CM4777" s="336"/>
    </row>
    <row r="4778" spans="84:91" s="51" customFormat="1">
      <c r="CF4778" s="239"/>
      <c r="CM4778" s="336"/>
    </row>
    <row r="4779" spans="84:91" s="51" customFormat="1">
      <c r="CF4779" s="239"/>
      <c r="CM4779" s="336"/>
    </row>
    <row r="4780" spans="84:91" s="51" customFormat="1">
      <c r="CF4780" s="239"/>
      <c r="CM4780" s="336"/>
    </row>
    <row r="4781" spans="84:91" s="51" customFormat="1">
      <c r="CF4781" s="239"/>
      <c r="CM4781" s="336"/>
    </row>
    <row r="4782" spans="84:91" s="51" customFormat="1">
      <c r="CF4782" s="239"/>
      <c r="CM4782" s="336"/>
    </row>
    <row r="4783" spans="84:91" s="51" customFormat="1">
      <c r="CF4783" s="239"/>
      <c r="CM4783" s="336"/>
    </row>
    <row r="4784" spans="84:91" s="51" customFormat="1">
      <c r="CF4784" s="239"/>
      <c r="CM4784" s="336"/>
    </row>
    <row r="4785" spans="84:91" s="51" customFormat="1">
      <c r="CF4785" s="239"/>
      <c r="CM4785" s="336"/>
    </row>
    <row r="4786" spans="84:91" s="51" customFormat="1">
      <c r="CF4786" s="239"/>
      <c r="CM4786" s="336"/>
    </row>
    <row r="4787" spans="84:91" s="51" customFormat="1">
      <c r="CF4787" s="239"/>
      <c r="CM4787" s="336"/>
    </row>
    <row r="4788" spans="84:91" s="51" customFormat="1">
      <c r="CF4788" s="239"/>
      <c r="CM4788" s="336"/>
    </row>
    <row r="4789" spans="84:91" s="51" customFormat="1">
      <c r="CF4789" s="239"/>
      <c r="CM4789" s="336"/>
    </row>
    <row r="4790" spans="84:91" s="51" customFormat="1">
      <c r="CF4790" s="239"/>
      <c r="CM4790" s="336"/>
    </row>
    <row r="4791" spans="84:91" s="51" customFormat="1">
      <c r="CF4791" s="239"/>
      <c r="CM4791" s="336"/>
    </row>
    <row r="4792" spans="84:91" s="51" customFormat="1">
      <c r="CF4792" s="239"/>
      <c r="CM4792" s="336"/>
    </row>
    <row r="4793" spans="84:91" s="51" customFormat="1">
      <c r="CF4793" s="239"/>
      <c r="CM4793" s="336"/>
    </row>
    <row r="4794" spans="84:91" s="51" customFormat="1">
      <c r="CF4794" s="239"/>
      <c r="CM4794" s="336"/>
    </row>
    <row r="4795" spans="84:91" s="51" customFormat="1">
      <c r="CF4795" s="239"/>
      <c r="CM4795" s="336"/>
    </row>
    <row r="4796" spans="84:91" s="51" customFormat="1">
      <c r="CF4796" s="239"/>
      <c r="CM4796" s="336"/>
    </row>
    <row r="4797" spans="84:91" s="51" customFormat="1">
      <c r="CF4797" s="239"/>
      <c r="CM4797" s="336"/>
    </row>
    <row r="4798" spans="84:91" s="51" customFormat="1">
      <c r="CF4798" s="239"/>
      <c r="CM4798" s="336"/>
    </row>
    <row r="4799" spans="84:91" s="51" customFormat="1">
      <c r="CF4799" s="239"/>
      <c r="CM4799" s="336"/>
    </row>
    <row r="4800" spans="84:91" s="51" customFormat="1">
      <c r="CF4800" s="239"/>
      <c r="CM4800" s="336"/>
    </row>
    <row r="4801" spans="84:91" s="51" customFormat="1">
      <c r="CF4801" s="239"/>
      <c r="CM4801" s="336"/>
    </row>
    <row r="4802" spans="84:91" s="51" customFormat="1">
      <c r="CF4802" s="239"/>
      <c r="CM4802" s="336"/>
    </row>
    <row r="4803" spans="84:91" s="51" customFormat="1">
      <c r="CF4803" s="239"/>
      <c r="CM4803" s="336"/>
    </row>
    <row r="4804" spans="84:91" s="51" customFormat="1">
      <c r="CF4804" s="239"/>
      <c r="CM4804" s="336"/>
    </row>
    <row r="4805" spans="84:91" s="51" customFormat="1">
      <c r="CF4805" s="239"/>
      <c r="CM4805" s="336"/>
    </row>
    <row r="4806" spans="84:91" s="51" customFormat="1">
      <c r="CF4806" s="239"/>
      <c r="CM4806" s="336"/>
    </row>
    <row r="4807" spans="84:91" s="51" customFormat="1">
      <c r="CF4807" s="239"/>
      <c r="CM4807" s="336"/>
    </row>
    <row r="4808" spans="84:91" s="51" customFormat="1">
      <c r="CF4808" s="239"/>
      <c r="CM4808" s="336"/>
    </row>
    <row r="4809" spans="84:91" s="51" customFormat="1">
      <c r="CF4809" s="239"/>
      <c r="CM4809" s="336"/>
    </row>
    <row r="4810" spans="84:91" s="51" customFormat="1">
      <c r="CF4810" s="239"/>
      <c r="CM4810" s="336"/>
    </row>
    <row r="4811" spans="84:91" s="51" customFormat="1">
      <c r="CF4811" s="239"/>
      <c r="CM4811" s="336"/>
    </row>
    <row r="4812" spans="84:91" s="51" customFormat="1">
      <c r="CF4812" s="239"/>
      <c r="CM4812" s="336"/>
    </row>
    <row r="4813" spans="84:91" s="51" customFormat="1">
      <c r="CF4813" s="239"/>
      <c r="CM4813" s="336"/>
    </row>
    <row r="4814" spans="84:91" s="51" customFormat="1">
      <c r="CF4814" s="239"/>
      <c r="CM4814" s="336"/>
    </row>
    <row r="4815" spans="84:91" s="51" customFormat="1">
      <c r="CF4815" s="239"/>
      <c r="CM4815" s="336"/>
    </row>
    <row r="4816" spans="84:91" s="51" customFormat="1">
      <c r="CF4816" s="239"/>
      <c r="CM4816" s="336"/>
    </row>
    <row r="4817" spans="84:91" s="51" customFormat="1">
      <c r="CF4817" s="239"/>
      <c r="CM4817" s="336"/>
    </row>
    <row r="4818" spans="84:91" s="51" customFormat="1">
      <c r="CF4818" s="239"/>
      <c r="CM4818" s="336"/>
    </row>
    <row r="4819" spans="84:91" s="51" customFormat="1">
      <c r="CF4819" s="239"/>
      <c r="CM4819" s="336"/>
    </row>
    <row r="4820" spans="84:91" s="51" customFormat="1">
      <c r="CF4820" s="239"/>
      <c r="CM4820" s="336"/>
    </row>
    <row r="4821" spans="84:91" s="51" customFormat="1">
      <c r="CF4821" s="239"/>
      <c r="CM4821" s="336"/>
    </row>
    <row r="4822" spans="84:91" s="51" customFormat="1">
      <c r="CF4822" s="239"/>
      <c r="CM4822" s="336"/>
    </row>
    <row r="4823" spans="84:91" s="51" customFormat="1">
      <c r="CF4823" s="239"/>
      <c r="CM4823" s="336"/>
    </row>
    <row r="4824" spans="84:91" s="51" customFormat="1">
      <c r="CF4824" s="239"/>
      <c r="CM4824" s="336"/>
    </row>
    <row r="4825" spans="84:91" s="51" customFormat="1">
      <c r="CF4825" s="239"/>
      <c r="CM4825" s="336"/>
    </row>
    <row r="4826" spans="84:91" s="51" customFormat="1">
      <c r="CF4826" s="239"/>
      <c r="CM4826" s="336"/>
    </row>
    <row r="4827" spans="84:91" s="51" customFormat="1">
      <c r="CF4827" s="239"/>
      <c r="CM4827" s="336"/>
    </row>
    <row r="4828" spans="84:91" s="51" customFormat="1">
      <c r="CF4828" s="239"/>
      <c r="CM4828" s="336"/>
    </row>
    <row r="4829" spans="84:91" s="51" customFormat="1">
      <c r="CF4829" s="239"/>
      <c r="CM4829" s="336"/>
    </row>
    <row r="4830" spans="84:91" s="51" customFormat="1">
      <c r="CF4830" s="239"/>
      <c r="CM4830" s="336"/>
    </row>
    <row r="4831" spans="84:91" s="51" customFormat="1">
      <c r="CF4831" s="239"/>
      <c r="CM4831" s="336"/>
    </row>
    <row r="4832" spans="84:91" s="51" customFormat="1">
      <c r="CF4832" s="239"/>
      <c r="CM4832" s="336"/>
    </row>
    <row r="4833" spans="84:91" s="51" customFormat="1">
      <c r="CF4833" s="239"/>
      <c r="CM4833" s="336"/>
    </row>
    <row r="4834" spans="84:91" s="51" customFormat="1">
      <c r="CF4834" s="239"/>
      <c r="CM4834" s="336"/>
    </row>
    <row r="4835" spans="84:91" s="51" customFormat="1">
      <c r="CF4835" s="239"/>
      <c r="CM4835" s="336"/>
    </row>
    <row r="4836" spans="84:91" s="51" customFormat="1">
      <c r="CF4836" s="239"/>
      <c r="CM4836" s="336"/>
    </row>
    <row r="4837" spans="84:91" s="51" customFormat="1">
      <c r="CF4837" s="239"/>
      <c r="CM4837" s="336"/>
    </row>
    <row r="4838" spans="84:91" s="51" customFormat="1">
      <c r="CF4838" s="239"/>
      <c r="CM4838" s="336"/>
    </row>
    <row r="4839" spans="84:91" s="51" customFormat="1">
      <c r="CF4839" s="239"/>
      <c r="CM4839" s="336"/>
    </row>
    <row r="4840" spans="84:91" s="51" customFormat="1">
      <c r="CF4840" s="239"/>
      <c r="CM4840" s="336"/>
    </row>
    <row r="4841" spans="84:91" s="51" customFormat="1">
      <c r="CF4841" s="239"/>
      <c r="CM4841" s="336"/>
    </row>
    <row r="4842" spans="84:91" s="51" customFormat="1">
      <c r="CF4842" s="239"/>
      <c r="CM4842" s="336"/>
    </row>
    <row r="4843" spans="84:91" s="51" customFormat="1">
      <c r="CF4843" s="239"/>
      <c r="CM4843" s="336"/>
    </row>
    <row r="4844" spans="84:91" s="51" customFormat="1">
      <c r="CF4844" s="239"/>
      <c r="CM4844" s="336"/>
    </row>
    <row r="4845" spans="84:91" s="51" customFormat="1">
      <c r="CF4845" s="239"/>
      <c r="CM4845" s="336"/>
    </row>
    <row r="4846" spans="84:91" s="51" customFormat="1">
      <c r="CF4846" s="239"/>
      <c r="CM4846" s="336"/>
    </row>
    <row r="4847" spans="84:91" s="51" customFormat="1">
      <c r="CF4847" s="239"/>
      <c r="CM4847" s="336"/>
    </row>
    <row r="4848" spans="84:91" s="51" customFormat="1">
      <c r="CF4848" s="239"/>
      <c r="CM4848" s="336"/>
    </row>
    <row r="4849" spans="84:91" s="51" customFormat="1">
      <c r="CF4849" s="239"/>
      <c r="CM4849" s="336"/>
    </row>
    <row r="4850" spans="84:91" s="51" customFormat="1">
      <c r="CF4850" s="239"/>
      <c r="CM4850" s="336"/>
    </row>
    <row r="4851" spans="84:91" s="51" customFormat="1">
      <c r="CF4851" s="239"/>
      <c r="CM4851" s="336"/>
    </row>
    <row r="4852" spans="84:91" s="51" customFormat="1">
      <c r="CF4852" s="239"/>
      <c r="CM4852" s="336"/>
    </row>
    <row r="4853" spans="84:91" s="51" customFormat="1">
      <c r="CF4853" s="239"/>
      <c r="CM4853" s="336"/>
    </row>
    <row r="4854" spans="84:91" s="51" customFormat="1">
      <c r="CF4854" s="239"/>
      <c r="CM4854" s="336"/>
    </row>
    <row r="4855" spans="84:91" s="51" customFormat="1">
      <c r="CF4855" s="239"/>
      <c r="CM4855" s="336"/>
    </row>
    <row r="4856" spans="84:91" s="51" customFormat="1">
      <c r="CF4856" s="239"/>
      <c r="CM4856" s="336"/>
    </row>
    <row r="4857" spans="84:91" s="51" customFormat="1">
      <c r="CF4857" s="239"/>
      <c r="CM4857" s="336"/>
    </row>
    <row r="4858" spans="84:91" s="51" customFormat="1">
      <c r="CF4858" s="239"/>
      <c r="CM4858" s="336"/>
    </row>
    <row r="4859" spans="84:91" s="51" customFormat="1">
      <c r="CF4859" s="239"/>
      <c r="CM4859" s="336"/>
    </row>
    <row r="4860" spans="84:91" s="51" customFormat="1">
      <c r="CF4860" s="239"/>
      <c r="CM4860" s="336"/>
    </row>
    <row r="4861" spans="84:91" s="51" customFormat="1">
      <c r="CF4861" s="239"/>
      <c r="CM4861" s="336"/>
    </row>
    <row r="4862" spans="84:91" s="51" customFormat="1">
      <c r="CF4862" s="239"/>
      <c r="CM4862" s="336"/>
    </row>
    <row r="4863" spans="84:91" s="51" customFormat="1">
      <c r="CF4863" s="239"/>
      <c r="CM4863" s="336"/>
    </row>
    <row r="4864" spans="84:91" s="51" customFormat="1">
      <c r="CF4864" s="239"/>
      <c r="CM4864" s="336"/>
    </row>
    <row r="4865" spans="84:91" s="51" customFormat="1">
      <c r="CF4865" s="239"/>
      <c r="CM4865" s="336"/>
    </row>
    <row r="4866" spans="84:91" s="51" customFormat="1">
      <c r="CF4866" s="239"/>
      <c r="CM4866" s="336"/>
    </row>
    <row r="4867" spans="84:91" s="51" customFormat="1">
      <c r="CF4867" s="239"/>
      <c r="CM4867" s="336"/>
    </row>
    <row r="4868" spans="84:91" s="51" customFormat="1">
      <c r="CF4868" s="239"/>
      <c r="CM4868" s="336"/>
    </row>
    <row r="4869" spans="84:91" s="51" customFormat="1">
      <c r="CF4869" s="239"/>
      <c r="CM4869" s="336"/>
    </row>
    <row r="4870" spans="84:91" s="51" customFormat="1">
      <c r="CF4870" s="239"/>
      <c r="CM4870" s="336"/>
    </row>
    <row r="4871" spans="84:91" s="51" customFormat="1">
      <c r="CF4871" s="239"/>
      <c r="CM4871" s="336"/>
    </row>
    <row r="4872" spans="84:91" s="51" customFormat="1">
      <c r="CF4872" s="239"/>
      <c r="CM4872" s="336"/>
    </row>
    <row r="4873" spans="84:91" s="51" customFormat="1">
      <c r="CF4873" s="239"/>
      <c r="CM4873" s="336"/>
    </row>
    <row r="4874" spans="84:91" s="51" customFormat="1">
      <c r="CF4874" s="239"/>
      <c r="CM4874" s="336"/>
    </row>
    <row r="4875" spans="84:91" s="51" customFormat="1">
      <c r="CF4875" s="239"/>
      <c r="CM4875" s="336"/>
    </row>
    <row r="4876" spans="84:91" s="51" customFormat="1">
      <c r="CF4876" s="239"/>
      <c r="CM4876" s="336"/>
    </row>
    <row r="4877" spans="84:91" s="51" customFormat="1">
      <c r="CF4877" s="239"/>
      <c r="CM4877" s="336"/>
    </row>
    <row r="4878" spans="84:91" s="51" customFormat="1">
      <c r="CF4878" s="239"/>
      <c r="CM4878" s="336"/>
    </row>
    <row r="4879" spans="84:91" s="51" customFormat="1">
      <c r="CF4879" s="239"/>
      <c r="CM4879" s="336"/>
    </row>
    <row r="4880" spans="84:91" s="51" customFormat="1">
      <c r="CF4880" s="239"/>
      <c r="CM4880" s="336"/>
    </row>
    <row r="4881" spans="84:91" s="51" customFormat="1">
      <c r="CF4881" s="239"/>
      <c r="CM4881" s="336"/>
    </row>
    <row r="4882" spans="84:91" s="51" customFormat="1">
      <c r="CF4882" s="239"/>
      <c r="CM4882" s="336"/>
    </row>
    <row r="4883" spans="84:91" s="51" customFormat="1">
      <c r="CF4883" s="239"/>
      <c r="CM4883" s="336"/>
    </row>
    <row r="4884" spans="84:91" s="51" customFormat="1">
      <c r="CF4884" s="239"/>
      <c r="CM4884" s="336"/>
    </row>
    <row r="4885" spans="84:91" s="51" customFormat="1">
      <c r="CF4885" s="239"/>
      <c r="CM4885" s="336"/>
    </row>
    <row r="4886" spans="84:91" s="51" customFormat="1">
      <c r="CF4886" s="239"/>
      <c r="CM4886" s="336"/>
    </row>
    <row r="4887" spans="84:91" s="51" customFormat="1">
      <c r="CF4887" s="239"/>
      <c r="CM4887" s="336"/>
    </row>
    <row r="4888" spans="84:91" s="51" customFormat="1">
      <c r="CF4888" s="239"/>
      <c r="CM4888" s="336"/>
    </row>
    <row r="4889" spans="84:91" s="51" customFormat="1">
      <c r="CF4889" s="239"/>
      <c r="CM4889" s="336"/>
    </row>
    <row r="4890" spans="84:91" s="51" customFormat="1">
      <c r="CF4890" s="239"/>
      <c r="CM4890" s="336"/>
    </row>
    <row r="4891" spans="84:91" s="51" customFormat="1">
      <c r="CF4891" s="239"/>
      <c r="CM4891" s="336"/>
    </row>
    <row r="4892" spans="84:91" s="51" customFormat="1">
      <c r="CF4892" s="239"/>
      <c r="CM4892" s="336"/>
    </row>
    <row r="4893" spans="84:91" s="51" customFormat="1">
      <c r="CF4893" s="239"/>
      <c r="CM4893" s="336"/>
    </row>
    <row r="4894" spans="84:91" s="51" customFormat="1">
      <c r="CF4894" s="239"/>
      <c r="CM4894" s="336"/>
    </row>
    <row r="4895" spans="84:91" s="51" customFormat="1">
      <c r="CF4895" s="239"/>
      <c r="CM4895" s="336"/>
    </row>
    <row r="4896" spans="84:91" s="51" customFormat="1">
      <c r="CF4896" s="239"/>
      <c r="CM4896" s="336"/>
    </row>
    <row r="4897" spans="84:91" s="51" customFormat="1">
      <c r="CF4897" s="239"/>
      <c r="CM4897" s="336"/>
    </row>
    <row r="4898" spans="84:91" s="51" customFormat="1">
      <c r="CF4898" s="239"/>
      <c r="CM4898" s="336"/>
    </row>
    <row r="4899" spans="84:91" s="51" customFormat="1">
      <c r="CF4899" s="239"/>
      <c r="CM4899" s="336"/>
    </row>
    <row r="4900" spans="84:91" s="51" customFormat="1">
      <c r="CF4900" s="239"/>
      <c r="CM4900" s="336"/>
    </row>
    <row r="4901" spans="84:91" s="51" customFormat="1">
      <c r="CF4901" s="239"/>
      <c r="CM4901" s="336"/>
    </row>
    <row r="4902" spans="84:91" s="51" customFormat="1">
      <c r="CF4902" s="239"/>
      <c r="CM4902" s="336"/>
    </row>
    <row r="4903" spans="84:91" s="51" customFormat="1">
      <c r="CF4903" s="239"/>
      <c r="CM4903" s="336"/>
    </row>
    <row r="4904" spans="84:91" s="51" customFormat="1">
      <c r="CF4904" s="239"/>
      <c r="CM4904" s="336"/>
    </row>
    <row r="4905" spans="84:91" s="51" customFormat="1">
      <c r="CF4905" s="239"/>
      <c r="CM4905" s="336"/>
    </row>
    <row r="4906" spans="84:91" s="51" customFormat="1">
      <c r="CF4906" s="239"/>
      <c r="CM4906" s="336"/>
    </row>
    <row r="4907" spans="84:91" s="51" customFormat="1">
      <c r="CF4907" s="239"/>
      <c r="CM4907" s="336"/>
    </row>
    <row r="4908" spans="84:91" s="51" customFormat="1">
      <c r="CF4908" s="239"/>
      <c r="CM4908" s="336"/>
    </row>
    <row r="4909" spans="84:91" s="51" customFormat="1">
      <c r="CF4909" s="239"/>
      <c r="CM4909" s="336"/>
    </row>
    <row r="4910" spans="84:91" s="51" customFormat="1">
      <c r="CF4910" s="239"/>
      <c r="CM4910" s="336"/>
    </row>
    <row r="4911" spans="84:91" s="51" customFormat="1">
      <c r="CF4911" s="239"/>
      <c r="CM4911" s="336"/>
    </row>
    <row r="4912" spans="84:91" s="51" customFormat="1">
      <c r="CF4912" s="239"/>
      <c r="CM4912" s="336"/>
    </row>
    <row r="4913" spans="84:91" s="51" customFormat="1">
      <c r="CF4913" s="239"/>
      <c r="CM4913" s="336"/>
    </row>
    <row r="4914" spans="84:91" s="51" customFormat="1">
      <c r="CF4914" s="239"/>
      <c r="CM4914" s="336"/>
    </row>
    <row r="4915" spans="84:91" s="51" customFormat="1">
      <c r="CF4915" s="239"/>
      <c r="CM4915" s="336"/>
    </row>
    <row r="4916" spans="84:91" s="51" customFormat="1">
      <c r="CF4916" s="239"/>
      <c r="CM4916" s="336"/>
    </row>
    <row r="4917" spans="84:91" s="51" customFormat="1">
      <c r="CF4917" s="239"/>
      <c r="CM4917" s="336"/>
    </row>
    <row r="4918" spans="84:91" s="51" customFormat="1">
      <c r="CF4918" s="239"/>
      <c r="CM4918" s="336"/>
    </row>
    <row r="4919" spans="84:91" s="51" customFormat="1">
      <c r="CF4919" s="239"/>
      <c r="CM4919" s="336"/>
    </row>
    <row r="4920" spans="84:91" s="51" customFormat="1">
      <c r="CF4920" s="239"/>
      <c r="CM4920" s="336"/>
    </row>
    <row r="4921" spans="84:91" s="51" customFormat="1">
      <c r="CF4921" s="239"/>
      <c r="CM4921" s="336"/>
    </row>
    <row r="4922" spans="84:91" s="51" customFormat="1">
      <c r="CF4922" s="239"/>
      <c r="CM4922" s="336"/>
    </row>
    <row r="4923" spans="84:91" s="51" customFormat="1">
      <c r="CF4923" s="239"/>
      <c r="CM4923" s="336"/>
    </row>
    <row r="4924" spans="84:91" s="51" customFormat="1">
      <c r="CF4924" s="239"/>
      <c r="CM4924" s="336"/>
    </row>
    <row r="4925" spans="84:91" s="51" customFormat="1">
      <c r="CF4925" s="239"/>
      <c r="CM4925" s="336"/>
    </row>
    <row r="4926" spans="84:91" s="51" customFormat="1">
      <c r="CF4926" s="239"/>
      <c r="CM4926" s="336"/>
    </row>
    <row r="4927" spans="84:91" s="51" customFormat="1">
      <c r="CF4927" s="239"/>
      <c r="CM4927" s="336"/>
    </row>
    <row r="4928" spans="84:91" s="51" customFormat="1">
      <c r="CF4928" s="239"/>
      <c r="CM4928" s="336"/>
    </row>
    <row r="4929" spans="84:91" s="51" customFormat="1">
      <c r="CF4929" s="239"/>
      <c r="CM4929" s="336"/>
    </row>
    <row r="4930" spans="84:91" s="51" customFormat="1">
      <c r="CF4930" s="239"/>
      <c r="CM4930" s="336"/>
    </row>
    <row r="4931" spans="84:91" s="51" customFormat="1">
      <c r="CF4931" s="239"/>
      <c r="CM4931" s="336"/>
    </row>
    <row r="4932" spans="84:91" s="51" customFormat="1">
      <c r="CF4932" s="239"/>
      <c r="CM4932" s="336"/>
    </row>
    <row r="4933" spans="84:91" s="51" customFormat="1">
      <c r="CF4933" s="239"/>
      <c r="CM4933" s="336"/>
    </row>
    <row r="4934" spans="84:91" s="51" customFormat="1">
      <c r="CF4934" s="239"/>
      <c r="CM4934" s="336"/>
    </row>
    <row r="4935" spans="84:91" s="51" customFormat="1">
      <c r="CF4935" s="239"/>
      <c r="CM4935" s="336"/>
    </row>
    <row r="4936" spans="84:91" s="51" customFormat="1">
      <c r="CF4936" s="239"/>
      <c r="CM4936" s="336"/>
    </row>
    <row r="4937" spans="84:91" s="51" customFormat="1">
      <c r="CF4937" s="239"/>
      <c r="CM4937" s="336"/>
    </row>
    <row r="4938" spans="84:91" s="51" customFormat="1">
      <c r="CF4938" s="239"/>
      <c r="CM4938" s="336"/>
    </row>
    <row r="4939" spans="84:91" s="51" customFormat="1">
      <c r="CF4939" s="239"/>
      <c r="CM4939" s="336"/>
    </row>
    <row r="4940" spans="84:91" s="51" customFormat="1">
      <c r="CF4940" s="239"/>
      <c r="CM4940" s="336"/>
    </row>
    <row r="4941" spans="84:91" s="51" customFormat="1">
      <c r="CF4941" s="239"/>
      <c r="CM4941" s="336"/>
    </row>
    <row r="4942" spans="84:91" s="51" customFormat="1">
      <c r="CF4942" s="239"/>
      <c r="CM4942" s="336"/>
    </row>
    <row r="4943" spans="84:91" s="51" customFormat="1">
      <c r="CF4943" s="239"/>
      <c r="CM4943" s="336"/>
    </row>
    <row r="4944" spans="84:91" s="51" customFormat="1">
      <c r="CF4944" s="239"/>
      <c r="CM4944" s="336"/>
    </row>
    <row r="4945" spans="84:91" s="51" customFormat="1">
      <c r="CF4945" s="239"/>
      <c r="CM4945" s="336"/>
    </row>
    <row r="4946" spans="84:91" s="51" customFormat="1">
      <c r="CF4946" s="239"/>
      <c r="CM4946" s="336"/>
    </row>
    <row r="4947" spans="84:91" s="51" customFormat="1">
      <c r="CF4947" s="239"/>
      <c r="CM4947" s="336"/>
    </row>
    <row r="4948" spans="84:91" s="51" customFormat="1">
      <c r="CF4948" s="239"/>
      <c r="CM4948" s="336"/>
    </row>
    <row r="4949" spans="84:91" s="51" customFormat="1">
      <c r="CF4949" s="239"/>
      <c r="CM4949" s="336"/>
    </row>
    <row r="4950" spans="84:91" s="51" customFormat="1">
      <c r="CF4950" s="239"/>
      <c r="CM4950" s="336"/>
    </row>
    <row r="4951" spans="84:91" s="51" customFormat="1">
      <c r="CF4951" s="239"/>
      <c r="CM4951" s="336"/>
    </row>
    <row r="4952" spans="84:91" s="51" customFormat="1">
      <c r="CF4952" s="239"/>
      <c r="CM4952" s="336"/>
    </row>
    <row r="4953" spans="84:91" s="51" customFormat="1">
      <c r="CF4953" s="239"/>
      <c r="CM4953" s="336"/>
    </row>
    <row r="4954" spans="84:91" s="51" customFormat="1">
      <c r="CF4954" s="239"/>
      <c r="CM4954" s="336"/>
    </row>
    <row r="4955" spans="84:91" s="51" customFormat="1">
      <c r="CF4955" s="239"/>
      <c r="CM4955" s="336"/>
    </row>
    <row r="4956" spans="84:91" s="51" customFormat="1">
      <c r="CF4956" s="239"/>
      <c r="CM4956" s="336"/>
    </row>
    <row r="4957" spans="84:91" s="51" customFormat="1">
      <c r="CF4957" s="239"/>
      <c r="CM4957" s="336"/>
    </row>
    <row r="4958" spans="84:91" s="51" customFormat="1">
      <c r="CF4958" s="239"/>
      <c r="CM4958" s="336"/>
    </row>
    <row r="4959" spans="84:91" s="51" customFormat="1">
      <c r="CF4959" s="239"/>
      <c r="CM4959" s="336"/>
    </row>
    <row r="4960" spans="84:91" s="51" customFormat="1">
      <c r="CF4960" s="239"/>
      <c r="CM4960" s="336"/>
    </row>
    <row r="4961" spans="84:91" s="51" customFormat="1">
      <c r="CF4961" s="239"/>
      <c r="CM4961" s="336"/>
    </row>
    <row r="4962" spans="84:91" s="51" customFormat="1">
      <c r="CF4962" s="239"/>
      <c r="CM4962" s="336"/>
    </row>
    <row r="4963" spans="84:91" s="51" customFormat="1">
      <c r="CF4963" s="239"/>
      <c r="CM4963" s="336"/>
    </row>
    <row r="4964" spans="84:91" s="51" customFormat="1">
      <c r="CF4964" s="239"/>
      <c r="CM4964" s="336"/>
    </row>
    <row r="4965" spans="84:91" s="51" customFormat="1">
      <c r="CF4965" s="239"/>
      <c r="CM4965" s="336"/>
    </row>
    <row r="4966" spans="84:91" s="51" customFormat="1">
      <c r="CF4966" s="239"/>
      <c r="CM4966" s="336"/>
    </row>
    <row r="4967" spans="84:91" s="51" customFormat="1">
      <c r="CF4967" s="239"/>
      <c r="CM4967" s="336"/>
    </row>
    <row r="4968" spans="84:91" s="51" customFormat="1">
      <c r="CF4968" s="239"/>
      <c r="CM4968" s="336"/>
    </row>
    <row r="4969" spans="84:91" s="51" customFormat="1">
      <c r="CF4969" s="239"/>
      <c r="CM4969" s="336"/>
    </row>
    <row r="4970" spans="84:91" s="51" customFormat="1">
      <c r="CF4970" s="239"/>
      <c r="CM4970" s="336"/>
    </row>
    <row r="4971" spans="84:91" s="51" customFormat="1">
      <c r="CF4971" s="239"/>
      <c r="CM4971" s="336"/>
    </row>
    <row r="4972" spans="84:91" s="51" customFormat="1">
      <c r="CF4972" s="239"/>
      <c r="CM4972" s="336"/>
    </row>
    <row r="4973" spans="84:91" s="51" customFormat="1">
      <c r="CF4973" s="239"/>
      <c r="CM4973" s="336"/>
    </row>
    <row r="4974" spans="84:91" s="51" customFormat="1">
      <c r="CF4974" s="239"/>
      <c r="CM4974" s="336"/>
    </row>
    <row r="4975" spans="84:91" s="51" customFormat="1">
      <c r="CF4975" s="239"/>
      <c r="CM4975" s="336"/>
    </row>
    <row r="4976" spans="84:91" s="51" customFormat="1">
      <c r="CF4976" s="239"/>
      <c r="CM4976" s="336"/>
    </row>
    <row r="4977" spans="84:91" s="51" customFormat="1">
      <c r="CF4977" s="239"/>
      <c r="CM4977" s="336"/>
    </row>
    <row r="4978" spans="84:91" s="51" customFormat="1">
      <c r="CF4978" s="239"/>
      <c r="CM4978" s="336"/>
    </row>
    <row r="4979" spans="84:91" s="51" customFormat="1">
      <c r="CF4979" s="239"/>
      <c r="CM4979" s="336"/>
    </row>
    <row r="4980" spans="84:91" s="51" customFormat="1">
      <c r="CF4980" s="239"/>
      <c r="CM4980" s="336"/>
    </row>
    <row r="4981" spans="84:91" s="51" customFormat="1">
      <c r="CF4981" s="239"/>
      <c r="CM4981" s="336"/>
    </row>
    <row r="4982" spans="84:91" s="51" customFormat="1">
      <c r="CF4982" s="239"/>
      <c r="CM4982" s="336"/>
    </row>
    <row r="4983" spans="84:91" s="51" customFormat="1">
      <c r="CF4983" s="239"/>
      <c r="CM4983" s="336"/>
    </row>
    <row r="4984" spans="84:91" s="51" customFormat="1">
      <c r="CF4984" s="239"/>
      <c r="CM4984" s="336"/>
    </row>
    <row r="4985" spans="84:91" s="51" customFormat="1">
      <c r="CF4985" s="239"/>
      <c r="CM4985" s="336"/>
    </row>
    <row r="4986" spans="84:91" s="51" customFormat="1">
      <c r="CF4986" s="239"/>
      <c r="CM4986" s="336"/>
    </row>
    <row r="4987" spans="84:91" s="51" customFormat="1">
      <c r="CF4987" s="239"/>
      <c r="CM4987" s="336"/>
    </row>
    <row r="4988" spans="84:91" s="51" customFormat="1">
      <c r="CF4988" s="239"/>
      <c r="CM4988" s="336"/>
    </row>
    <row r="4989" spans="84:91" s="51" customFormat="1">
      <c r="CF4989" s="239"/>
      <c r="CM4989" s="336"/>
    </row>
    <row r="4990" spans="84:91" s="51" customFormat="1">
      <c r="CF4990" s="239"/>
      <c r="CM4990" s="336"/>
    </row>
    <row r="4991" spans="84:91" s="51" customFormat="1">
      <c r="CF4991" s="239"/>
      <c r="CM4991" s="336"/>
    </row>
    <row r="4992" spans="84:91" s="51" customFormat="1">
      <c r="CF4992" s="239"/>
      <c r="CM4992" s="336"/>
    </row>
    <row r="4993" spans="84:91" s="51" customFormat="1">
      <c r="CF4993" s="239"/>
      <c r="CM4993" s="336"/>
    </row>
    <row r="4994" spans="84:91" s="51" customFormat="1">
      <c r="CF4994" s="239"/>
      <c r="CM4994" s="336"/>
    </row>
    <row r="4995" spans="84:91" s="51" customFormat="1">
      <c r="CF4995" s="239"/>
      <c r="CM4995" s="336"/>
    </row>
    <row r="4996" spans="84:91" s="51" customFormat="1">
      <c r="CF4996" s="239"/>
      <c r="CM4996" s="336"/>
    </row>
    <row r="4997" spans="84:91" s="51" customFormat="1">
      <c r="CF4997" s="239"/>
      <c r="CM4997" s="336"/>
    </row>
    <row r="4998" spans="84:91" s="51" customFormat="1">
      <c r="CF4998" s="239"/>
      <c r="CM4998" s="336"/>
    </row>
    <row r="4999" spans="84:91" s="51" customFormat="1">
      <c r="CF4999" s="239"/>
      <c r="CM4999" s="336"/>
    </row>
    <row r="5000" spans="84:91" s="51" customFormat="1">
      <c r="CF5000" s="239"/>
      <c r="CM5000" s="336"/>
    </row>
    <row r="5001" spans="84:91" s="51" customFormat="1">
      <c r="CF5001" s="239"/>
      <c r="CM5001" s="336"/>
    </row>
    <row r="5002" spans="84:91" s="51" customFormat="1">
      <c r="CF5002" s="239"/>
      <c r="CM5002" s="336"/>
    </row>
    <row r="5003" spans="84:91" s="51" customFormat="1">
      <c r="CF5003" s="239"/>
      <c r="CM5003" s="336"/>
    </row>
    <row r="5004" spans="84:91" s="51" customFormat="1">
      <c r="CF5004" s="239"/>
      <c r="CM5004" s="336"/>
    </row>
    <row r="5005" spans="84:91" s="51" customFormat="1">
      <c r="CF5005" s="239"/>
      <c r="CM5005" s="336"/>
    </row>
    <row r="5006" spans="84:91" s="51" customFormat="1">
      <c r="CF5006" s="239"/>
      <c r="CM5006" s="336"/>
    </row>
    <row r="5007" spans="84:91" s="51" customFormat="1">
      <c r="CF5007" s="239"/>
      <c r="CM5007" s="336"/>
    </row>
    <row r="5008" spans="84:91" s="51" customFormat="1">
      <c r="CF5008" s="239"/>
      <c r="CM5008" s="336"/>
    </row>
    <row r="5009" spans="84:91" s="51" customFormat="1">
      <c r="CF5009" s="239"/>
      <c r="CM5009" s="336"/>
    </row>
    <row r="5010" spans="84:91" s="51" customFormat="1">
      <c r="CF5010" s="239"/>
      <c r="CM5010" s="336"/>
    </row>
    <row r="5011" spans="84:91" s="51" customFormat="1">
      <c r="CF5011" s="239"/>
      <c r="CM5011" s="336"/>
    </row>
    <row r="5012" spans="84:91" s="51" customFormat="1">
      <c r="CF5012" s="239"/>
      <c r="CM5012" s="336"/>
    </row>
    <row r="5013" spans="84:91" s="51" customFormat="1">
      <c r="CF5013" s="239"/>
      <c r="CM5013" s="336"/>
    </row>
    <row r="5014" spans="84:91" s="51" customFormat="1">
      <c r="CF5014" s="239"/>
      <c r="CM5014" s="336"/>
    </row>
    <row r="5015" spans="84:91" s="51" customFormat="1">
      <c r="CF5015" s="239"/>
      <c r="CM5015" s="336"/>
    </row>
    <row r="5016" spans="84:91" s="51" customFormat="1">
      <c r="CF5016" s="239"/>
      <c r="CM5016" s="336"/>
    </row>
    <row r="5017" spans="84:91" s="51" customFormat="1">
      <c r="CF5017" s="239"/>
      <c r="CM5017" s="336"/>
    </row>
    <row r="5018" spans="84:91" s="51" customFormat="1">
      <c r="CF5018" s="239"/>
      <c r="CM5018" s="336"/>
    </row>
    <row r="5019" spans="84:91" s="51" customFormat="1">
      <c r="CF5019" s="239"/>
      <c r="CM5019" s="336"/>
    </row>
    <row r="5020" spans="84:91" s="51" customFormat="1">
      <c r="CF5020" s="239"/>
      <c r="CM5020" s="336"/>
    </row>
    <row r="5021" spans="84:91" s="51" customFormat="1">
      <c r="CF5021" s="239"/>
      <c r="CM5021" s="336"/>
    </row>
    <row r="5022" spans="84:91" s="51" customFormat="1">
      <c r="CF5022" s="239"/>
      <c r="CM5022" s="336"/>
    </row>
    <row r="5023" spans="84:91" s="51" customFormat="1">
      <c r="CF5023" s="239"/>
      <c r="CM5023" s="336"/>
    </row>
    <row r="5024" spans="84:91" s="51" customFormat="1">
      <c r="CF5024" s="239"/>
      <c r="CM5024" s="336"/>
    </row>
    <row r="5025" spans="84:91" s="51" customFormat="1">
      <c r="CF5025" s="239"/>
      <c r="CM5025" s="336"/>
    </row>
    <row r="5026" spans="84:91" s="51" customFormat="1">
      <c r="CF5026" s="239"/>
      <c r="CM5026" s="336"/>
    </row>
    <row r="5027" spans="84:91" s="51" customFormat="1">
      <c r="CF5027" s="239"/>
      <c r="CM5027" s="336"/>
    </row>
    <row r="5028" spans="84:91" s="51" customFormat="1">
      <c r="CF5028" s="239"/>
      <c r="CM5028" s="336"/>
    </row>
    <row r="5029" spans="84:91" s="51" customFormat="1">
      <c r="CF5029" s="239"/>
      <c r="CM5029" s="336"/>
    </row>
    <row r="5030" spans="84:91" s="51" customFormat="1">
      <c r="CF5030" s="239"/>
      <c r="CM5030" s="336"/>
    </row>
    <row r="5031" spans="84:91" s="51" customFormat="1">
      <c r="CF5031" s="239"/>
      <c r="CM5031" s="336"/>
    </row>
    <row r="5032" spans="84:91" s="51" customFormat="1">
      <c r="CF5032" s="239"/>
      <c r="CM5032" s="336"/>
    </row>
    <row r="5033" spans="84:91" s="51" customFormat="1">
      <c r="CF5033" s="239"/>
      <c r="CM5033" s="336"/>
    </row>
    <row r="5034" spans="84:91" s="51" customFormat="1">
      <c r="CF5034" s="239"/>
      <c r="CM5034" s="336"/>
    </row>
    <row r="5035" spans="84:91" s="51" customFormat="1">
      <c r="CF5035" s="239"/>
      <c r="CM5035" s="336"/>
    </row>
    <row r="5036" spans="84:91" s="51" customFormat="1">
      <c r="CF5036" s="239"/>
      <c r="CM5036" s="336"/>
    </row>
    <row r="5037" spans="84:91" s="51" customFormat="1">
      <c r="CF5037" s="239"/>
      <c r="CM5037" s="336"/>
    </row>
    <row r="5038" spans="84:91" s="51" customFormat="1">
      <c r="CF5038" s="239"/>
      <c r="CM5038" s="336"/>
    </row>
    <row r="5039" spans="84:91" s="51" customFormat="1">
      <c r="CF5039" s="239"/>
      <c r="CM5039" s="336"/>
    </row>
    <row r="5040" spans="84:91" s="51" customFormat="1">
      <c r="CF5040" s="239"/>
      <c r="CM5040" s="336"/>
    </row>
    <row r="5041" spans="84:91" s="51" customFormat="1">
      <c r="CF5041" s="239"/>
      <c r="CM5041" s="336"/>
    </row>
    <row r="5042" spans="84:91" s="51" customFormat="1">
      <c r="CF5042" s="239"/>
      <c r="CM5042" s="336"/>
    </row>
    <row r="5043" spans="84:91" s="51" customFormat="1">
      <c r="CF5043" s="239"/>
      <c r="CM5043" s="336"/>
    </row>
    <row r="5044" spans="84:91" s="51" customFormat="1">
      <c r="CF5044" s="239"/>
      <c r="CM5044" s="336"/>
    </row>
    <row r="5045" spans="84:91" s="51" customFormat="1">
      <c r="CF5045" s="239"/>
      <c r="CM5045" s="336"/>
    </row>
    <row r="5046" spans="84:91" s="51" customFormat="1">
      <c r="CF5046" s="239"/>
      <c r="CM5046" s="336"/>
    </row>
    <row r="5047" spans="84:91" s="51" customFormat="1">
      <c r="CF5047" s="239"/>
      <c r="CM5047" s="336"/>
    </row>
    <row r="5048" spans="84:91" s="51" customFormat="1">
      <c r="CF5048" s="239"/>
      <c r="CM5048" s="336"/>
    </row>
    <row r="5049" spans="84:91" s="51" customFormat="1">
      <c r="CF5049" s="239"/>
      <c r="CM5049" s="336"/>
    </row>
    <row r="5050" spans="84:91" s="51" customFormat="1">
      <c r="CF5050" s="239"/>
      <c r="CM5050" s="336"/>
    </row>
    <row r="5051" spans="84:91" s="51" customFormat="1">
      <c r="CF5051" s="239"/>
      <c r="CM5051" s="336"/>
    </row>
    <row r="5052" spans="84:91" s="51" customFormat="1">
      <c r="CF5052" s="239"/>
      <c r="CM5052" s="336"/>
    </row>
    <row r="5053" spans="84:91" s="51" customFormat="1">
      <c r="CF5053" s="239"/>
      <c r="CM5053" s="336"/>
    </row>
    <row r="5054" spans="84:91" s="51" customFormat="1">
      <c r="CF5054" s="239"/>
      <c r="CM5054" s="336"/>
    </row>
    <row r="5055" spans="84:91" s="51" customFormat="1">
      <c r="CF5055" s="239"/>
      <c r="CM5055" s="336"/>
    </row>
    <row r="5056" spans="84:91" s="51" customFormat="1">
      <c r="CF5056" s="239"/>
      <c r="CM5056" s="336"/>
    </row>
    <row r="5057" spans="84:91" s="51" customFormat="1">
      <c r="CF5057" s="239"/>
      <c r="CM5057" s="336"/>
    </row>
    <row r="5058" spans="84:91" s="51" customFormat="1">
      <c r="CF5058" s="239"/>
      <c r="CM5058" s="336"/>
    </row>
    <row r="5059" spans="84:91" s="51" customFormat="1">
      <c r="CF5059" s="239"/>
      <c r="CM5059" s="336"/>
    </row>
    <row r="5060" spans="84:91" s="51" customFormat="1">
      <c r="CF5060" s="239"/>
      <c r="CM5060" s="336"/>
    </row>
    <row r="5061" spans="84:91" s="51" customFormat="1">
      <c r="CF5061" s="239"/>
      <c r="CM5061" s="336"/>
    </row>
    <row r="5062" spans="84:91" s="51" customFormat="1">
      <c r="CF5062" s="239"/>
      <c r="CM5062" s="336"/>
    </row>
    <row r="5063" spans="84:91" s="51" customFormat="1">
      <c r="CF5063" s="239"/>
      <c r="CM5063" s="336"/>
    </row>
    <row r="5064" spans="84:91" s="51" customFormat="1">
      <c r="CF5064" s="239"/>
      <c r="CM5064" s="336"/>
    </row>
    <row r="5065" spans="84:91" s="51" customFormat="1">
      <c r="CF5065" s="239"/>
      <c r="CM5065" s="336"/>
    </row>
    <row r="5066" spans="84:91" s="51" customFormat="1">
      <c r="CF5066" s="239"/>
      <c r="CM5066" s="336"/>
    </row>
    <row r="5067" spans="84:91" s="51" customFormat="1">
      <c r="CF5067" s="239"/>
      <c r="CM5067" s="336"/>
    </row>
    <row r="5068" spans="84:91" s="51" customFormat="1">
      <c r="CF5068" s="239"/>
      <c r="CM5068" s="336"/>
    </row>
    <row r="5069" spans="84:91" s="51" customFormat="1">
      <c r="CF5069" s="239"/>
      <c r="CM5069" s="336"/>
    </row>
    <row r="5070" spans="84:91" s="51" customFormat="1">
      <c r="CF5070" s="239"/>
      <c r="CM5070" s="336"/>
    </row>
    <row r="5071" spans="84:91" s="51" customFormat="1">
      <c r="CF5071" s="239"/>
      <c r="CM5071" s="336"/>
    </row>
    <row r="5072" spans="84:91" s="51" customFormat="1">
      <c r="CF5072" s="239"/>
      <c r="CM5072" s="336"/>
    </row>
    <row r="5073" spans="84:91" s="51" customFormat="1">
      <c r="CF5073" s="239"/>
      <c r="CM5073" s="336"/>
    </row>
    <row r="5074" spans="84:91" s="51" customFormat="1">
      <c r="CF5074" s="239"/>
      <c r="CM5074" s="336"/>
    </row>
    <row r="5075" spans="84:91" s="51" customFormat="1">
      <c r="CF5075" s="239"/>
      <c r="CM5075" s="336"/>
    </row>
    <row r="5076" spans="84:91" s="51" customFormat="1">
      <c r="CF5076" s="239"/>
      <c r="CM5076" s="336"/>
    </row>
    <row r="5077" spans="84:91" s="51" customFormat="1">
      <c r="CF5077" s="239"/>
      <c r="CM5077" s="336"/>
    </row>
    <row r="5078" spans="84:91" s="51" customFormat="1">
      <c r="CF5078" s="239"/>
      <c r="CM5078" s="336"/>
    </row>
    <row r="5079" spans="84:91" s="51" customFormat="1">
      <c r="CF5079" s="239"/>
      <c r="CM5079" s="336"/>
    </row>
    <row r="5080" spans="84:91" s="51" customFormat="1">
      <c r="CF5080" s="239"/>
      <c r="CM5080" s="336"/>
    </row>
    <row r="5081" spans="84:91" s="51" customFormat="1">
      <c r="CF5081" s="239"/>
      <c r="CM5081" s="336"/>
    </row>
    <row r="5082" spans="84:91" s="51" customFormat="1">
      <c r="CF5082" s="239"/>
      <c r="CM5082" s="336"/>
    </row>
    <row r="5083" spans="84:91" s="51" customFormat="1">
      <c r="CF5083" s="239"/>
      <c r="CM5083" s="336"/>
    </row>
    <row r="5084" spans="84:91" s="51" customFormat="1">
      <c r="CF5084" s="239"/>
      <c r="CM5084" s="336"/>
    </row>
    <row r="5085" spans="84:91" s="51" customFormat="1">
      <c r="CF5085" s="239"/>
      <c r="CM5085" s="336"/>
    </row>
    <row r="5086" spans="84:91" s="51" customFormat="1">
      <c r="CF5086" s="239"/>
      <c r="CM5086" s="336"/>
    </row>
    <row r="5087" spans="84:91" s="51" customFormat="1">
      <c r="CF5087" s="239"/>
      <c r="CM5087" s="336"/>
    </row>
    <row r="5088" spans="84:91" s="51" customFormat="1">
      <c r="CF5088" s="239"/>
      <c r="CM5088" s="336"/>
    </row>
    <row r="5089" spans="84:91" s="51" customFormat="1">
      <c r="CF5089" s="239"/>
      <c r="CM5089" s="336"/>
    </row>
    <row r="5090" spans="84:91" s="51" customFormat="1">
      <c r="CF5090" s="239"/>
      <c r="CM5090" s="336"/>
    </row>
    <row r="5091" spans="84:91" s="51" customFormat="1">
      <c r="CF5091" s="239"/>
      <c r="CM5091" s="336"/>
    </row>
    <row r="5092" spans="84:91" s="51" customFormat="1">
      <c r="CF5092" s="239"/>
      <c r="CM5092" s="336"/>
    </row>
    <row r="5093" spans="84:91" s="51" customFormat="1">
      <c r="CF5093" s="239"/>
      <c r="CM5093" s="336"/>
    </row>
    <row r="5094" spans="84:91" s="51" customFormat="1">
      <c r="CF5094" s="239"/>
      <c r="CM5094" s="336"/>
    </row>
    <row r="5095" spans="84:91" s="51" customFormat="1">
      <c r="CF5095" s="239"/>
      <c r="CM5095" s="336"/>
    </row>
    <row r="5096" spans="84:91" s="51" customFormat="1">
      <c r="CF5096" s="239"/>
      <c r="CM5096" s="336"/>
    </row>
    <row r="5097" spans="84:91" s="51" customFormat="1">
      <c r="CF5097" s="239"/>
      <c r="CM5097" s="336"/>
    </row>
    <row r="5098" spans="84:91" s="51" customFormat="1">
      <c r="CF5098" s="239"/>
      <c r="CM5098" s="336"/>
    </row>
    <row r="5099" spans="84:91" s="51" customFormat="1">
      <c r="CF5099" s="239"/>
      <c r="CM5099" s="336"/>
    </row>
    <row r="5100" spans="84:91" s="51" customFormat="1">
      <c r="CF5100" s="239"/>
      <c r="CM5100" s="336"/>
    </row>
    <row r="5101" spans="84:91" s="51" customFormat="1">
      <c r="CF5101" s="239"/>
      <c r="CM5101" s="336"/>
    </row>
    <row r="5102" spans="84:91" s="51" customFormat="1">
      <c r="CF5102" s="239"/>
      <c r="CM5102" s="336"/>
    </row>
    <row r="5103" spans="84:91" s="51" customFormat="1">
      <c r="CF5103" s="239"/>
      <c r="CM5103" s="336"/>
    </row>
    <row r="5104" spans="84:91" s="51" customFormat="1">
      <c r="CF5104" s="239"/>
      <c r="CM5104" s="336"/>
    </row>
    <row r="5105" spans="84:91" s="51" customFormat="1">
      <c r="CF5105" s="239"/>
      <c r="CM5105" s="336"/>
    </row>
    <row r="5106" spans="84:91" s="51" customFormat="1">
      <c r="CF5106" s="239"/>
      <c r="CM5106" s="336"/>
    </row>
    <row r="5107" spans="84:91" s="51" customFormat="1">
      <c r="CF5107" s="239"/>
      <c r="CM5107" s="336"/>
    </row>
    <row r="5108" spans="84:91" s="51" customFormat="1">
      <c r="CF5108" s="239"/>
      <c r="CM5108" s="336"/>
    </row>
    <row r="5109" spans="84:91" s="51" customFormat="1">
      <c r="CF5109" s="239"/>
      <c r="CM5109" s="336"/>
    </row>
    <row r="5110" spans="84:91" s="51" customFormat="1">
      <c r="CF5110" s="239"/>
      <c r="CM5110" s="336"/>
    </row>
    <row r="5111" spans="84:91" s="51" customFormat="1">
      <c r="CF5111" s="239"/>
      <c r="CM5111" s="336"/>
    </row>
    <row r="5112" spans="84:91" s="51" customFormat="1">
      <c r="CF5112" s="239"/>
      <c r="CM5112" s="336"/>
    </row>
    <row r="5113" spans="84:91" s="51" customFormat="1">
      <c r="CF5113" s="239"/>
      <c r="CM5113" s="336"/>
    </row>
    <row r="5114" spans="84:91" s="51" customFormat="1">
      <c r="CF5114" s="239"/>
      <c r="CM5114" s="336"/>
    </row>
    <row r="5115" spans="84:91" s="51" customFormat="1">
      <c r="CF5115" s="239"/>
      <c r="CM5115" s="336"/>
    </row>
    <row r="5116" spans="84:91" s="51" customFormat="1">
      <c r="CF5116" s="239"/>
      <c r="CM5116" s="336"/>
    </row>
    <row r="5117" spans="84:91" s="51" customFormat="1">
      <c r="CF5117" s="239"/>
      <c r="CM5117" s="336"/>
    </row>
    <row r="5118" spans="84:91" s="51" customFormat="1">
      <c r="CF5118" s="239"/>
      <c r="CM5118" s="336"/>
    </row>
    <row r="5119" spans="84:91" s="51" customFormat="1">
      <c r="CF5119" s="239"/>
      <c r="CM5119" s="336"/>
    </row>
    <row r="5120" spans="84:91" s="51" customFormat="1">
      <c r="CF5120" s="239"/>
      <c r="CM5120" s="336"/>
    </row>
    <row r="5121" spans="84:91" s="51" customFormat="1">
      <c r="CF5121" s="239"/>
      <c r="CM5121" s="336"/>
    </row>
    <row r="5122" spans="84:91" s="51" customFormat="1">
      <c r="CF5122" s="239"/>
      <c r="CM5122" s="336"/>
    </row>
    <row r="5123" spans="84:91" s="51" customFormat="1">
      <c r="CF5123" s="239"/>
      <c r="CM5123" s="336"/>
    </row>
    <row r="5124" spans="84:91" s="51" customFormat="1">
      <c r="CF5124" s="239"/>
      <c r="CM5124" s="336"/>
    </row>
    <row r="5125" spans="84:91" s="51" customFormat="1">
      <c r="CF5125" s="239"/>
      <c r="CM5125" s="336"/>
    </row>
    <row r="5126" spans="84:91" s="51" customFormat="1">
      <c r="CF5126" s="239"/>
      <c r="CM5126" s="336"/>
    </row>
    <row r="5127" spans="84:91" s="51" customFormat="1">
      <c r="CF5127" s="239"/>
      <c r="CM5127" s="336"/>
    </row>
    <row r="5128" spans="84:91" s="51" customFormat="1">
      <c r="CF5128" s="239"/>
      <c r="CM5128" s="336"/>
    </row>
    <row r="5129" spans="84:91" s="51" customFormat="1">
      <c r="CF5129" s="239"/>
      <c r="CM5129" s="336"/>
    </row>
    <row r="5130" spans="84:91" s="51" customFormat="1">
      <c r="CF5130" s="239"/>
      <c r="CM5130" s="336"/>
    </row>
    <row r="5131" spans="84:91" s="51" customFormat="1">
      <c r="CF5131" s="239"/>
      <c r="CM5131" s="336"/>
    </row>
    <row r="5132" spans="84:91" s="51" customFormat="1">
      <c r="CF5132" s="239"/>
      <c r="CM5132" s="336"/>
    </row>
    <row r="5133" spans="84:91" s="51" customFormat="1">
      <c r="CF5133" s="239"/>
      <c r="CM5133" s="336"/>
    </row>
    <row r="5134" spans="84:91" s="51" customFormat="1">
      <c r="CF5134" s="239"/>
      <c r="CM5134" s="336"/>
    </row>
    <row r="5135" spans="84:91" s="51" customFormat="1">
      <c r="CF5135" s="239"/>
      <c r="CM5135" s="336"/>
    </row>
    <row r="5136" spans="84:91" s="51" customFormat="1">
      <c r="CF5136" s="239"/>
      <c r="CM5136" s="336"/>
    </row>
    <row r="5137" spans="84:91" s="51" customFormat="1">
      <c r="CF5137" s="239"/>
      <c r="CM5137" s="336"/>
    </row>
    <row r="5138" spans="84:91" s="51" customFormat="1">
      <c r="CF5138" s="239"/>
      <c r="CM5138" s="336"/>
    </row>
    <row r="5139" spans="84:91" s="51" customFormat="1">
      <c r="CF5139" s="239"/>
      <c r="CM5139" s="336"/>
    </row>
    <row r="5140" spans="84:91" s="51" customFormat="1">
      <c r="CF5140" s="239"/>
      <c r="CM5140" s="336"/>
    </row>
    <row r="5141" spans="84:91" s="51" customFormat="1">
      <c r="CF5141" s="239"/>
      <c r="CM5141" s="336"/>
    </row>
    <row r="5142" spans="84:91" s="51" customFormat="1">
      <c r="CF5142" s="239"/>
      <c r="CM5142" s="336"/>
    </row>
    <row r="5143" spans="84:91" s="51" customFormat="1">
      <c r="CF5143" s="239"/>
      <c r="CM5143" s="336"/>
    </row>
    <row r="5144" spans="84:91" s="51" customFormat="1">
      <c r="CF5144" s="239"/>
      <c r="CM5144" s="336"/>
    </row>
    <row r="5145" spans="84:91" s="51" customFormat="1">
      <c r="CF5145" s="239"/>
      <c r="CM5145" s="336"/>
    </row>
    <row r="5146" spans="84:91" s="51" customFormat="1">
      <c r="CF5146" s="239"/>
      <c r="CM5146" s="336"/>
    </row>
    <row r="5147" spans="84:91" s="51" customFormat="1">
      <c r="CF5147" s="239"/>
      <c r="CM5147" s="336"/>
    </row>
    <row r="5148" spans="84:91" s="51" customFormat="1">
      <c r="CF5148" s="239"/>
      <c r="CM5148" s="336"/>
    </row>
    <row r="5149" spans="84:91" s="51" customFormat="1">
      <c r="CF5149" s="239"/>
      <c r="CM5149" s="336"/>
    </row>
    <row r="5150" spans="84:91" s="51" customFormat="1">
      <c r="CF5150" s="239"/>
      <c r="CM5150" s="336"/>
    </row>
    <row r="5151" spans="84:91" s="51" customFormat="1">
      <c r="CF5151" s="239"/>
      <c r="CM5151" s="336"/>
    </row>
    <row r="5152" spans="84:91" s="51" customFormat="1">
      <c r="CF5152" s="239"/>
      <c r="CM5152" s="336"/>
    </row>
    <row r="5153" spans="84:91" s="51" customFormat="1">
      <c r="CF5153" s="239"/>
      <c r="CM5153" s="336"/>
    </row>
    <row r="5154" spans="84:91" s="51" customFormat="1">
      <c r="CF5154" s="239"/>
      <c r="CM5154" s="336"/>
    </row>
    <row r="5155" spans="84:91" s="51" customFormat="1">
      <c r="CF5155" s="239"/>
      <c r="CM5155" s="336"/>
    </row>
    <row r="5156" spans="84:91" s="51" customFormat="1">
      <c r="CF5156" s="239"/>
      <c r="CM5156" s="336"/>
    </row>
    <row r="5157" spans="84:91" s="51" customFormat="1">
      <c r="CF5157" s="239"/>
      <c r="CM5157" s="336"/>
    </row>
    <row r="5158" spans="84:91" s="51" customFormat="1">
      <c r="CF5158" s="239"/>
      <c r="CM5158" s="336"/>
    </row>
    <row r="5159" spans="84:91" s="51" customFormat="1">
      <c r="CF5159" s="239"/>
      <c r="CM5159" s="336"/>
    </row>
    <row r="5160" spans="84:91" s="51" customFormat="1">
      <c r="CF5160" s="239"/>
      <c r="CM5160" s="336"/>
    </row>
    <row r="5161" spans="84:91" s="51" customFormat="1">
      <c r="CF5161" s="239"/>
      <c r="CM5161" s="336"/>
    </row>
    <row r="5162" spans="84:91" s="51" customFormat="1">
      <c r="CF5162" s="239"/>
      <c r="CM5162" s="336"/>
    </row>
    <row r="5163" spans="84:91" s="51" customFormat="1">
      <c r="CF5163" s="239"/>
      <c r="CM5163" s="336"/>
    </row>
    <row r="5164" spans="84:91" s="51" customFormat="1">
      <c r="CF5164" s="239"/>
      <c r="CM5164" s="336"/>
    </row>
    <row r="5165" spans="84:91" s="51" customFormat="1">
      <c r="CF5165" s="239"/>
      <c r="CM5165" s="336"/>
    </row>
    <row r="5166" spans="84:91" s="51" customFormat="1">
      <c r="CF5166" s="239"/>
      <c r="CM5166" s="336"/>
    </row>
    <row r="5167" spans="84:91" s="51" customFormat="1">
      <c r="CF5167" s="239"/>
      <c r="CM5167" s="336"/>
    </row>
    <row r="5168" spans="84:91" s="51" customFormat="1">
      <c r="CF5168" s="239"/>
      <c r="CM5168" s="336"/>
    </row>
    <row r="5169" spans="84:91" s="51" customFormat="1">
      <c r="CF5169" s="239"/>
      <c r="CM5169" s="336"/>
    </row>
    <row r="5170" spans="84:91" s="51" customFormat="1">
      <c r="CF5170" s="239"/>
      <c r="CM5170" s="336"/>
    </row>
    <row r="5171" spans="84:91" s="51" customFormat="1">
      <c r="CF5171" s="239"/>
      <c r="CM5171" s="336"/>
    </row>
    <row r="5172" spans="84:91" s="51" customFormat="1">
      <c r="CF5172" s="239"/>
      <c r="CM5172" s="336"/>
    </row>
    <row r="5173" spans="84:91" s="51" customFormat="1">
      <c r="CF5173" s="239"/>
      <c r="CM5173" s="336"/>
    </row>
    <row r="5174" spans="84:91" s="51" customFormat="1">
      <c r="CF5174" s="239"/>
      <c r="CM5174" s="336"/>
    </row>
    <row r="5175" spans="84:91" s="51" customFormat="1">
      <c r="CF5175" s="239"/>
      <c r="CM5175" s="336"/>
    </row>
    <row r="5176" spans="84:91" s="51" customFormat="1">
      <c r="CF5176" s="239"/>
      <c r="CM5176" s="336"/>
    </row>
    <row r="5177" spans="84:91" s="51" customFormat="1">
      <c r="CF5177" s="239"/>
      <c r="CM5177" s="336"/>
    </row>
    <row r="5178" spans="84:91" s="51" customFormat="1">
      <c r="CF5178" s="239"/>
      <c r="CM5178" s="336"/>
    </row>
    <row r="5179" spans="84:91" s="51" customFormat="1">
      <c r="CF5179" s="239"/>
      <c r="CM5179" s="336"/>
    </row>
    <row r="5180" spans="84:91" s="51" customFormat="1">
      <c r="CF5180" s="239"/>
      <c r="CM5180" s="336"/>
    </row>
    <row r="5181" spans="84:91" s="51" customFormat="1">
      <c r="CF5181" s="239"/>
      <c r="CM5181" s="336"/>
    </row>
    <row r="5182" spans="84:91" s="51" customFormat="1">
      <c r="CF5182" s="239"/>
      <c r="CM5182" s="336"/>
    </row>
    <row r="5183" spans="84:91" s="51" customFormat="1">
      <c r="CF5183" s="239"/>
      <c r="CM5183" s="336"/>
    </row>
    <row r="5184" spans="84:91" s="51" customFormat="1">
      <c r="CF5184" s="239"/>
      <c r="CM5184" s="336"/>
    </row>
    <row r="5185" spans="84:91" s="51" customFormat="1">
      <c r="CF5185" s="239"/>
      <c r="CM5185" s="336"/>
    </row>
    <row r="5186" spans="84:91" s="51" customFormat="1">
      <c r="CF5186" s="239"/>
      <c r="CM5186" s="336"/>
    </row>
    <row r="5187" spans="84:91" s="51" customFormat="1">
      <c r="CF5187" s="239"/>
      <c r="CM5187" s="336"/>
    </row>
    <row r="5188" spans="84:91" s="51" customFormat="1">
      <c r="CF5188" s="239"/>
      <c r="CM5188" s="336"/>
    </row>
    <row r="5189" spans="84:91" s="51" customFormat="1">
      <c r="CF5189" s="239"/>
      <c r="CM5189" s="336"/>
    </row>
    <row r="5190" spans="84:91" s="51" customFormat="1">
      <c r="CF5190" s="239"/>
      <c r="CM5190" s="336"/>
    </row>
    <row r="5191" spans="84:91" s="51" customFormat="1">
      <c r="CF5191" s="239"/>
      <c r="CM5191" s="336"/>
    </row>
    <row r="5192" spans="84:91" s="51" customFormat="1">
      <c r="CF5192" s="239"/>
      <c r="CM5192" s="336"/>
    </row>
    <row r="5193" spans="84:91" s="51" customFormat="1">
      <c r="CF5193" s="239"/>
      <c r="CM5193" s="336"/>
    </row>
    <row r="5194" spans="84:91" s="51" customFormat="1">
      <c r="CF5194" s="239"/>
      <c r="CM5194" s="336"/>
    </row>
    <row r="5195" spans="84:91" s="51" customFormat="1">
      <c r="CF5195" s="239"/>
      <c r="CM5195" s="336"/>
    </row>
    <row r="5196" spans="84:91" s="51" customFormat="1">
      <c r="CF5196" s="239"/>
      <c r="CM5196" s="336"/>
    </row>
    <row r="5197" spans="84:91" s="51" customFormat="1">
      <c r="CF5197" s="239"/>
      <c r="CM5197" s="336"/>
    </row>
    <row r="5198" spans="84:91" s="51" customFormat="1">
      <c r="CF5198" s="239"/>
      <c r="CM5198" s="336"/>
    </row>
    <row r="5199" spans="84:91" s="51" customFormat="1">
      <c r="CF5199" s="239"/>
      <c r="CM5199" s="336"/>
    </row>
    <row r="5200" spans="84:91" s="51" customFormat="1">
      <c r="CF5200" s="239"/>
      <c r="CM5200" s="336"/>
    </row>
    <row r="5201" spans="84:91" s="51" customFormat="1">
      <c r="CF5201" s="239"/>
      <c r="CM5201" s="336"/>
    </row>
    <row r="5202" spans="84:91" s="51" customFormat="1">
      <c r="CF5202" s="239"/>
      <c r="CM5202" s="336"/>
    </row>
    <row r="5203" spans="84:91" s="51" customFormat="1">
      <c r="CF5203" s="239"/>
      <c r="CM5203" s="336"/>
    </row>
    <row r="5204" spans="84:91" s="51" customFormat="1">
      <c r="CF5204" s="239"/>
      <c r="CM5204" s="336"/>
    </row>
    <row r="5205" spans="84:91" s="51" customFormat="1">
      <c r="CF5205" s="239"/>
      <c r="CM5205" s="336"/>
    </row>
    <row r="5206" spans="84:91" s="51" customFormat="1">
      <c r="CF5206" s="239"/>
      <c r="CM5206" s="336"/>
    </row>
    <row r="5207" spans="84:91" s="51" customFormat="1">
      <c r="CF5207" s="239"/>
      <c r="CM5207" s="336"/>
    </row>
    <row r="5208" spans="84:91" s="51" customFormat="1">
      <c r="CF5208" s="239"/>
      <c r="CM5208" s="336"/>
    </row>
    <row r="5209" spans="84:91" s="51" customFormat="1">
      <c r="CF5209" s="239"/>
      <c r="CM5209" s="336"/>
    </row>
    <row r="5210" spans="84:91" s="51" customFormat="1">
      <c r="CF5210" s="239"/>
      <c r="CM5210" s="336"/>
    </row>
    <row r="5211" spans="84:91" s="51" customFormat="1">
      <c r="CF5211" s="239"/>
      <c r="CM5211" s="336"/>
    </row>
    <row r="5212" spans="84:91" s="51" customFormat="1">
      <c r="CF5212" s="239"/>
      <c r="CM5212" s="336"/>
    </row>
    <row r="5213" spans="84:91" s="51" customFormat="1">
      <c r="CF5213" s="239"/>
      <c r="CM5213" s="336"/>
    </row>
    <row r="5214" spans="84:91" s="51" customFormat="1">
      <c r="CF5214" s="239"/>
      <c r="CM5214" s="336"/>
    </row>
    <row r="5215" spans="84:91" s="51" customFormat="1">
      <c r="CF5215" s="239"/>
      <c r="CM5215" s="336"/>
    </row>
    <row r="5216" spans="84:91" s="51" customFormat="1">
      <c r="CF5216" s="239"/>
      <c r="CM5216" s="336"/>
    </row>
    <row r="5217" spans="84:91" s="51" customFormat="1">
      <c r="CF5217" s="239"/>
      <c r="CM5217" s="336"/>
    </row>
    <row r="5218" spans="84:91" s="51" customFormat="1">
      <c r="CF5218" s="239"/>
      <c r="CM5218" s="336"/>
    </row>
    <row r="5219" spans="84:91" s="51" customFormat="1">
      <c r="CF5219" s="239"/>
      <c r="CM5219" s="336"/>
    </row>
    <row r="5220" spans="84:91" s="51" customFormat="1">
      <c r="CF5220" s="239"/>
      <c r="CM5220" s="336"/>
    </row>
    <row r="5221" spans="84:91" s="51" customFormat="1">
      <c r="CF5221" s="239"/>
      <c r="CM5221" s="336"/>
    </row>
    <row r="5222" spans="84:91" s="51" customFormat="1">
      <c r="CF5222" s="239"/>
      <c r="CM5222" s="336"/>
    </row>
    <row r="5223" spans="84:91" s="51" customFormat="1">
      <c r="CF5223" s="239"/>
      <c r="CM5223" s="336"/>
    </row>
    <row r="5224" spans="84:91" s="51" customFormat="1">
      <c r="CF5224" s="239"/>
      <c r="CM5224" s="336"/>
    </row>
    <row r="5225" spans="84:91" s="51" customFormat="1">
      <c r="CF5225" s="239"/>
      <c r="CM5225" s="336"/>
    </row>
    <row r="5226" spans="84:91" s="51" customFormat="1">
      <c r="CF5226" s="239"/>
      <c r="CM5226" s="336"/>
    </row>
    <row r="5227" spans="84:91" s="51" customFormat="1">
      <c r="CF5227" s="239"/>
      <c r="CM5227" s="336"/>
    </row>
    <row r="5228" spans="84:91" s="51" customFormat="1">
      <c r="CF5228" s="239"/>
      <c r="CM5228" s="336"/>
    </row>
    <row r="5229" spans="84:91" s="51" customFormat="1">
      <c r="CF5229" s="239"/>
      <c r="CM5229" s="336"/>
    </row>
    <row r="5230" spans="84:91" s="51" customFormat="1">
      <c r="CF5230" s="239"/>
      <c r="CM5230" s="336"/>
    </row>
    <row r="5231" spans="84:91" s="51" customFormat="1">
      <c r="CF5231" s="239"/>
      <c r="CM5231" s="336"/>
    </row>
    <row r="5232" spans="84:91" s="51" customFormat="1">
      <c r="CF5232" s="239"/>
      <c r="CM5232" s="336"/>
    </row>
    <row r="5233" spans="84:91" s="51" customFormat="1">
      <c r="CF5233" s="239"/>
      <c r="CM5233" s="336"/>
    </row>
    <row r="5234" spans="84:91" s="51" customFormat="1">
      <c r="CF5234" s="239"/>
      <c r="CM5234" s="336"/>
    </row>
    <row r="5235" spans="84:91" s="51" customFormat="1">
      <c r="CF5235" s="239"/>
      <c r="CM5235" s="336"/>
    </row>
    <row r="5236" spans="84:91" s="51" customFormat="1">
      <c r="CF5236" s="239"/>
      <c r="CM5236" s="336"/>
    </row>
    <row r="5237" spans="84:91" s="51" customFormat="1">
      <c r="CF5237" s="239"/>
      <c r="CM5237" s="336"/>
    </row>
    <row r="5238" spans="84:91" s="51" customFormat="1">
      <c r="CF5238" s="239"/>
      <c r="CM5238" s="336"/>
    </row>
    <row r="5239" spans="84:91" s="51" customFormat="1">
      <c r="CF5239" s="239"/>
      <c r="CM5239" s="336"/>
    </row>
    <row r="5240" spans="84:91" s="51" customFormat="1">
      <c r="CF5240" s="239"/>
      <c r="CM5240" s="336"/>
    </row>
    <row r="5241" spans="84:91" s="51" customFormat="1">
      <c r="CF5241" s="239"/>
      <c r="CM5241" s="336"/>
    </row>
    <row r="5242" spans="84:91" s="51" customFormat="1">
      <c r="CF5242" s="239"/>
      <c r="CM5242" s="336"/>
    </row>
    <row r="5243" spans="84:91" s="51" customFormat="1">
      <c r="CF5243" s="239"/>
      <c r="CM5243" s="336"/>
    </row>
    <row r="5244" spans="84:91" s="51" customFormat="1">
      <c r="CF5244" s="239"/>
      <c r="CM5244" s="336"/>
    </row>
    <row r="5245" spans="84:91" s="51" customFormat="1">
      <c r="CF5245" s="239"/>
      <c r="CM5245" s="336"/>
    </row>
    <row r="5246" spans="84:91" s="51" customFormat="1">
      <c r="CF5246" s="239"/>
      <c r="CM5246" s="336"/>
    </row>
    <row r="5247" spans="84:91" s="51" customFormat="1">
      <c r="CF5247" s="239"/>
      <c r="CM5247" s="336"/>
    </row>
    <row r="5248" spans="84:91" s="51" customFormat="1">
      <c r="CF5248" s="239"/>
      <c r="CM5248" s="336"/>
    </row>
    <row r="5249" spans="84:91" s="51" customFormat="1">
      <c r="CF5249" s="239"/>
      <c r="CM5249" s="336"/>
    </row>
    <row r="5250" spans="84:91" s="51" customFormat="1">
      <c r="CF5250" s="239"/>
      <c r="CM5250" s="336"/>
    </row>
    <row r="5251" spans="84:91" s="51" customFormat="1">
      <c r="CF5251" s="239"/>
      <c r="CM5251" s="336"/>
    </row>
    <row r="5252" spans="84:91" s="51" customFormat="1">
      <c r="CF5252" s="239"/>
      <c r="CM5252" s="336"/>
    </row>
    <row r="5253" spans="84:91" s="51" customFormat="1">
      <c r="CF5253" s="239"/>
      <c r="CM5253" s="336"/>
    </row>
    <row r="5254" spans="84:91" s="51" customFormat="1">
      <c r="CF5254" s="239"/>
      <c r="CM5254" s="336"/>
    </row>
    <row r="5255" spans="84:91" s="51" customFormat="1">
      <c r="CF5255" s="239"/>
      <c r="CM5255" s="336"/>
    </row>
    <row r="5256" spans="84:91" s="51" customFormat="1">
      <c r="CF5256" s="239"/>
      <c r="CM5256" s="336"/>
    </row>
    <row r="5257" spans="84:91" s="51" customFormat="1">
      <c r="CF5257" s="239"/>
      <c r="CM5257" s="336"/>
    </row>
    <row r="5258" spans="84:91" s="51" customFormat="1">
      <c r="CF5258" s="239"/>
      <c r="CM5258" s="336"/>
    </row>
    <row r="5259" spans="84:91" s="51" customFormat="1">
      <c r="CF5259" s="239"/>
      <c r="CM5259" s="336"/>
    </row>
    <row r="5260" spans="84:91" s="51" customFormat="1">
      <c r="CF5260" s="239"/>
      <c r="CM5260" s="336"/>
    </row>
    <row r="5261" spans="84:91" s="51" customFormat="1">
      <c r="CF5261" s="239"/>
      <c r="CM5261" s="336"/>
    </row>
    <row r="5262" spans="84:91" s="51" customFormat="1">
      <c r="CF5262" s="239"/>
      <c r="CM5262" s="336"/>
    </row>
    <row r="5263" spans="84:91" s="51" customFormat="1">
      <c r="CF5263" s="239"/>
      <c r="CM5263" s="336"/>
    </row>
    <row r="5264" spans="84:91" s="51" customFormat="1">
      <c r="CF5264" s="239"/>
      <c r="CM5264" s="336"/>
    </row>
    <row r="5265" spans="84:91" s="51" customFormat="1">
      <c r="CF5265" s="239"/>
      <c r="CM5265" s="336"/>
    </row>
    <row r="5266" spans="84:91" s="51" customFormat="1">
      <c r="CF5266" s="239"/>
      <c r="CM5266" s="336"/>
    </row>
    <row r="5267" spans="84:91" s="51" customFormat="1">
      <c r="CF5267" s="239"/>
      <c r="CM5267" s="336"/>
    </row>
    <row r="5268" spans="84:91" s="51" customFormat="1">
      <c r="CF5268" s="239"/>
      <c r="CM5268" s="336"/>
    </row>
    <row r="5269" spans="84:91" s="51" customFormat="1">
      <c r="CF5269" s="239"/>
      <c r="CM5269" s="336"/>
    </row>
    <row r="5270" spans="84:91" s="51" customFormat="1">
      <c r="CF5270" s="239"/>
      <c r="CM5270" s="336"/>
    </row>
    <row r="5271" spans="84:91" s="51" customFormat="1">
      <c r="CF5271" s="239"/>
      <c r="CM5271" s="336"/>
    </row>
    <row r="5272" spans="84:91" s="51" customFormat="1">
      <c r="CF5272" s="239"/>
      <c r="CM5272" s="336"/>
    </row>
    <row r="5273" spans="84:91" s="51" customFormat="1">
      <c r="CF5273" s="239"/>
      <c r="CM5273" s="336"/>
    </row>
    <row r="5274" spans="84:91" s="51" customFormat="1">
      <c r="CF5274" s="239"/>
      <c r="CM5274" s="336"/>
    </row>
    <row r="5275" spans="84:91" s="51" customFormat="1">
      <c r="CF5275" s="239"/>
      <c r="CM5275" s="336"/>
    </row>
    <row r="5276" spans="84:91" s="51" customFormat="1">
      <c r="CF5276" s="239"/>
      <c r="CM5276" s="336"/>
    </row>
    <row r="5277" spans="84:91" s="51" customFormat="1">
      <c r="CF5277" s="239"/>
      <c r="CM5277" s="336"/>
    </row>
    <row r="5278" spans="84:91" s="51" customFormat="1">
      <c r="CF5278" s="239"/>
      <c r="CM5278" s="336"/>
    </row>
    <row r="5279" spans="84:91" s="51" customFormat="1">
      <c r="CF5279" s="239"/>
      <c r="CM5279" s="336"/>
    </row>
    <row r="5280" spans="84:91" s="51" customFormat="1">
      <c r="CF5280" s="239"/>
      <c r="CM5280" s="336"/>
    </row>
    <row r="5281" spans="84:91" s="51" customFormat="1">
      <c r="CF5281" s="239"/>
      <c r="CM5281" s="336"/>
    </row>
    <row r="5282" spans="84:91" s="51" customFormat="1">
      <c r="CF5282" s="239"/>
      <c r="CM5282" s="336"/>
    </row>
    <row r="5283" spans="84:91" s="51" customFormat="1">
      <c r="CF5283" s="239"/>
      <c r="CM5283" s="336"/>
    </row>
    <row r="5284" spans="84:91" s="51" customFormat="1">
      <c r="CF5284" s="239"/>
      <c r="CM5284" s="336"/>
    </row>
    <row r="5285" spans="84:91" s="51" customFormat="1">
      <c r="CF5285" s="239"/>
      <c r="CM5285" s="336"/>
    </row>
    <row r="5286" spans="84:91" s="51" customFormat="1">
      <c r="CF5286" s="239"/>
      <c r="CM5286" s="336"/>
    </row>
    <row r="5287" spans="84:91" s="51" customFormat="1">
      <c r="CF5287" s="239"/>
      <c r="CM5287" s="336"/>
    </row>
    <row r="5288" spans="84:91" s="51" customFormat="1">
      <c r="CF5288" s="239"/>
      <c r="CM5288" s="336"/>
    </row>
    <row r="5289" spans="84:91" s="51" customFormat="1">
      <c r="CF5289" s="239"/>
      <c r="CM5289" s="336"/>
    </row>
    <row r="5290" spans="84:91" s="51" customFormat="1">
      <c r="CF5290" s="239"/>
      <c r="CM5290" s="336"/>
    </row>
    <row r="5291" spans="84:91" s="51" customFormat="1">
      <c r="CF5291" s="239"/>
      <c r="CM5291" s="336"/>
    </row>
    <row r="5292" spans="84:91" s="51" customFormat="1">
      <c r="CF5292" s="239"/>
      <c r="CM5292" s="336"/>
    </row>
    <row r="5293" spans="84:91" s="51" customFormat="1">
      <c r="CF5293" s="239"/>
      <c r="CM5293" s="336"/>
    </row>
    <row r="5294" spans="84:91" s="51" customFormat="1">
      <c r="CF5294" s="239"/>
      <c r="CM5294" s="336"/>
    </row>
    <row r="5295" spans="84:91" s="51" customFormat="1">
      <c r="CF5295" s="239"/>
      <c r="CM5295" s="336"/>
    </row>
    <row r="5296" spans="84:91" s="51" customFormat="1">
      <c r="CF5296" s="239"/>
      <c r="CM5296" s="336"/>
    </row>
    <row r="5297" spans="84:91" s="51" customFormat="1">
      <c r="CF5297" s="239"/>
      <c r="CM5297" s="336"/>
    </row>
    <row r="5298" spans="84:91" s="51" customFormat="1">
      <c r="CF5298" s="239"/>
      <c r="CM5298" s="336"/>
    </row>
    <row r="5299" spans="84:91" s="51" customFormat="1">
      <c r="CF5299" s="239"/>
      <c r="CM5299" s="336"/>
    </row>
    <row r="5300" spans="84:91" s="51" customFormat="1">
      <c r="CF5300" s="239"/>
      <c r="CM5300" s="336"/>
    </row>
    <row r="5301" spans="84:91" s="51" customFormat="1">
      <c r="CF5301" s="239"/>
      <c r="CM5301" s="336"/>
    </row>
    <row r="5302" spans="84:91" s="51" customFormat="1">
      <c r="CF5302" s="239"/>
      <c r="CM5302" s="336"/>
    </row>
    <row r="5303" spans="84:91" s="51" customFormat="1">
      <c r="CF5303" s="239"/>
      <c r="CM5303" s="336"/>
    </row>
    <row r="5304" spans="84:91" s="51" customFormat="1">
      <c r="CF5304" s="239"/>
      <c r="CM5304" s="336"/>
    </row>
    <row r="5305" spans="84:91" s="51" customFormat="1">
      <c r="CF5305" s="239"/>
      <c r="CM5305" s="336"/>
    </row>
    <row r="5306" spans="84:91" s="51" customFormat="1">
      <c r="CF5306" s="239"/>
      <c r="CM5306" s="336"/>
    </row>
    <row r="5307" spans="84:91" s="51" customFormat="1">
      <c r="CF5307" s="239"/>
      <c r="CM5307" s="336"/>
    </row>
    <row r="5308" spans="84:91" s="51" customFormat="1">
      <c r="CF5308" s="239"/>
      <c r="CM5308" s="336"/>
    </row>
    <row r="5309" spans="84:91" s="51" customFormat="1">
      <c r="CF5309" s="239"/>
      <c r="CM5309" s="336"/>
    </row>
    <row r="5310" spans="84:91" s="51" customFormat="1">
      <c r="CF5310" s="239"/>
      <c r="CM5310" s="336"/>
    </row>
    <row r="5311" spans="84:91" s="51" customFormat="1">
      <c r="CF5311" s="239"/>
      <c r="CM5311" s="336"/>
    </row>
    <row r="5312" spans="84:91" s="51" customFormat="1">
      <c r="CF5312" s="239"/>
      <c r="CM5312" s="336"/>
    </row>
    <row r="5313" spans="84:91" s="51" customFormat="1">
      <c r="CF5313" s="239"/>
      <c r="CM5313" s="336"/>
    </row>
    <row r="5314" spans="84:91" s="51" customFormat="1">
      <c r="CF5314" s="239"/>
      <c r="CM5314" s="336"/>
    </row>
    <row r="5315" spans="84:91" s="51" customFormat="1">
      <c r="CF5315" s="239"/>
      <c r="CM5315" s="336"/>
    </row>
    <row r="5316" spans="84:91" s="51" customFormat="1">
      <c r="CF5316" s="239"/>
      <c r="CM5316" s="336"/>
    </row>
    <row r="5317" spans="84:91" s="51" customFormat="1">
      <c r="CF5317" s="239"/>
      <c r="CM5317" s="336"/>
    </row>
    <row r="5318" spans="84:91" s="51" customFormat="1">
      <c r="CF5318" s="239"/>
      <c r="CM5318" s="336"/>
    </row>
    <row r="5319" spans="84:91" s="51" customFormat="1">
      <c r="CF5319" s="239"/>
      <c r="CM5319" s="336"/>
    </row>
    <row r="5320" spans="84:91" s="51" customFormat="1">
      <c r="CF5320" s="239"/>
      <c r="CM5320" s="336"/>
    </row>
    <row r="5321" spans="84:91" s="51" customFormat="1">
      <c r="CF5321" s="239"/>
      <c r="CM5321" s="336"/>
    </row>
    <row r="5322" spans="84:91" s="51" customFormat="1">
      <c r="CF5322" s="239"/>
      <c r="CM5322" s="336"/>
    </row>
    <row r="5323" spans="84:91" s="51" customFormat="1">
      <c r="CF5323" s="239"/>
      <c r="CM5323" s="336"/>
    </row>
    <row r="5324" spans="84:91" s="51" customFormat="1">
      <c r="CF5324" s="239"/>
      <c r="CM5324" s="336"/>
    </row>
    <row r="5325" spans="84:91" s="51" customFormat="1">
      <c r="CF5325" s="239"/>
      <c r="CM5325" s="336"/>
    </row>
    <row r="5326" spans="84:91" s="51" customFormat="1">
      <c r="CF5326" s="239"/>
      <c r="CM5326" s="336"/>
    </row>
    <row r="5327" spans="84:91" s="51" customFormat="1">
      <c r="CF5327" s="239"/>
      <c r="CM5327" s="336"/>
    </row>
    <row r="5328" spans="84:91" s="51" customFormat="1">
      <c r="CF5328" s="239"/>
      <c r="CM5328" s="336"/>
    </row>
    <row r="5329" spans="84:91" s="51" customFormat="1">
      <c r="CF5329" s="239"/>
      <c r="CM5329" s="336"/>
    </row>
    <row r="5330" spans="84:91" s="51" customFormat="1">
      <c r="CF5330" s="239"/>
      <c r="CM5330" s="336"/>
    </row>
    <row r="5331" spans="84:91" s="51" customFormat="1">
      <c r="CF5331" s="239"/>
      <c r="CM5331" s="336"/>
    </row>
    <row r="5332" spans="84:91" s="51" customFormat="1">
      <c r="CF5332" s="239"/>
      <c r="CM5332" s="336"/>
    </row>
    <row r="5333" spans="84:91" s="51" customFormat="1">
      <c r="CF5333" s="239"/>
      <c r="CM5333" s="336"/>
    </row>
    <row r="5334" spans="84:91" s="51" customFormat="1">
      <c r="CF5334" s="239"/>
      <c r="CM5334" s="336"/>
    </row>
    <row r="5335" spans="84:91" s="51" customFormat="1">
      <c r="CF5335" s="239"/>
      <c r="CM5335" s="336"/>
    </row>
    <row r="5336" spans="84:91" s="51" customFormat="1">
      <c r="CF5336" s="239"/>
      <c r="CM5336" s="336"/>
    </row>
    <row r="5337" spans="84:91" s="51" customFormat="1">
      <c r="CF5337" s="239"/>
      <c r="CM5337" s="336"/>
    </row>
    <row r="5338" spans="84:91" s="51" customFormat="1">
      <c r="CF5338" s="239"/>
      <c r="CM5338" s="336"/>
    </row>
    <row r="5339" spans="84:91" s="51" customFormat="1">
      <c r="CF5339" s="239"/>
      <c r="CM5339" s="336"/>
    </row>
    <row r="5340" spans="84:91" s="51" customFormat="1">
      <c r="CF5340" s="239"/>
      <c r="CM5340" s="336"/>
    </row>
    <row r="5341" spans="84:91" s="51" customFormat="1">
      <c r="CF5341" s="239"/>
      <c r="CM5341" s="336"/>
    </row>
    <row r="5342" spans="84:91" s="51" customFormat="1">
      <c r="CF5342" s="239"/>
      <c r="CM5342" s="336"/>
    </row>
    <row r="5343" spans="84:91" s="51" customFormat="1">
      <c r="CF5343" s="239"/>
      <c r="CM5343" s="336"/>
    </row>
    <row r="5344" spans="84:91" s="51" customFormat="1">
      <c r="CF5344" s="239"/>
      <c r="CM5344" s="336"/>
    </row>
    <row r="5345" spans="84:91" s="51" customFormat="1">
      <c r="CF5345" s="239"/>
      <c r="CM5345" s="336"/>
    </row>
    <row r="5346" spans="84:91" s="51" customFormat="1">
      <c r="CF5346" s="239"/>
      <c r="CM5346" s="336"/>
    </row>
    <row r="5347" spans="84:91" s="51" customFormat="1">
      <c r="CF5347" s="239"/>
      <c r="CM5347" s="336"/>
    </row>
    <row r="5348" spans="84:91" s="51" customFormat="1">
      <c r="CF5348" s="239"/>
      <c r="CM5348" s="336"/>
    </row>
    <row r="5349" spans="84:91" s="51" customFormat="1">
      <c r="CF5349" s="239"/>
      <c r="CM5349" s="336"/>
    </row>
    <row r="5350" spans="84:91" s="51" customFormat="1">
      <c r="CF5350" s="239"/>
      <c r="CM5350" s="336"/>
    </row>
    <row r="5351" spans="84:91" s="51" customFormat="1">
      <c r="CF5351" s="239"/>
      <c r="CM5351" s="336"/>
    </row>
    <row r="5352" spans="84:91" s="51" customFormat="1">
      <c r="CF5352" s="239"/>
      <c r="CM5352" s="336"/>
    </row>
    <row r="5353" spans="84:91" s="51" customFormat="1">
      <c r="CF5353" s="239"/>
      <c r="CM5353" s="336"/>
    </row>
    <row r="5354" spans="84:91" s="51" customFormat="1">
      <c r="CF5354" s="239"/>
      <c r="CM5354" s="336"/>
    </row>
    <row r="5355" spans="84:91" s="51" customFormat="1">
      <c r="CF5355" s="239"/>
      <c r="CM5355" s="336"/>
    </row>
    <row r="5356" spans="84:91" s="51" customFormat="1">
      <c r="CF5356" s="239"/>
      <c r="CM5356" s="336"/>
    </row>
    <row r="5357" spans="84:91" s="51" customFormat="1">
      <c r="CF5357" s="239"/>
      <c r="CM5357" s="336"/>
    </row>
    <row r="5358" spans="84:91" s="51" customFormat="1">
      <c r="CF5358" s="239"/>
      <c r="CM5358" s="336"/>
    </row>
    <row r="5359" spans="84:91" s="51" customFormat="1">
      <c r="CF5359" s="239"/>
      <c r="CM5359" s="336"/>
    </row>
    <row r="5360" spans="84:91" s="51" customFormat="1">
      <c r="CF5360" s="239"/>
      <c r="CM5360" s="336"/>
    </row>
    <row r="5361" spans="84:91" s="51" customFormat="1">
      <c r="CF5361" s="239"/>
      <c r="CM5361" s="336"/>
    </row>
    <row r="5362" spans="84:91" s="51" customFormat="1">
      <c r="CF5362" s="239"/>
      <c r="CM5362" s="336"/>
    </row>
    <row r="5363" spans="84:91" s="51" customFormat="1">
      <c r="CF5363" s="239"/>
      <c r="CM5363" s="336"/>
    </row>
    <row r="5364" spans="84:91" s="51" customFormat="1">
      <c r="CF5364" s="239"/>
      <c r="CM5364" s="336"/>
    </row>
    <row r="5365" spans="84:91" s="51" customFormat="1">
      <c r="CF5365" s="239"/>
      <c r="CM5365" s="336"/>
    </row>
    <row r="5366" spans="84:91" s="51" customFormat="1">
      <c r="CF5366" s="239"/>
      <c r="CM5366" s="336"/>
    </row>
    <row r="5367" spans="84:91" s="51" customFormat="1">
      <c r="CF5367" s="239"/>
      <c r="CM5367" s="336"/>
    </row>
    <row r="5368" spans="84:91" s="51" customFormat="1">
      <c r="CF5368" s="239"/>
      <c r="CM5368" s="336"/>
    </row>
    <row r="5369" spans="84:91" s="51" customFormat="1">
      <c r="CF5369" s="239"/>
      <c r="CM5369" s="336"/>
    </row>
    <row r="5370" spans="84:91" s="51" customFormat="1">
      <c r="CF5370" s="239"/>
      <c r="CM5370" s="336"/>
    </row>
    <row r="5371" spans="84:91" s="51" customFormat="1">
      <c r="CF5371" s="239"/>
      <c r="CM5371" s="336"/>
    </row>
    <row r="5372" spans="84:91" s="51" customFormat="1">
      <c r="CF5372" s="239"/>
      <c r="CM5372" s="336"/>
    </row>
    <row r="5373" spans="84:91" s="51" customFormat="1">
      <c r="CF5373" s="239"/>
      <c r="CM5373" s="336"/>
    </row>
    <row r="5374" spans="84:91" s="51" customFormat="1">
      <c r="CF5374" s="239"/>
      <c r="CM5374" s="336"/>
    </row>
    <row r="5375" spans="84:91" s="51" customFormat="1">
      <c r="CF5375" s="239"/>
      <c r="CM5375" s="336"/>
    </row>
    <row r="5376" spans="84:91" s="51" customFormat="1">
      <c r="CF5376" s="239"/>
      <c r="CM5376" s="336"/>
    </row>
    <row r="5377" spans="84:91" s="51" customFormat="1">
      <c r="CF5377" s="239"/>
      <c r="CM5377" s="336"/>
    </row>
    <row r="5378" spans="84:91" s="51" customFormat="1">
      <c r="CF5378" s="239"/>
      <c r="CM5378" s="336"/>
    </row>
    <row r="5379" spans="84:91" s="51" customFormat="1">
      <c r="CF5379" s="239"/>
      <c r="CM5379" s="336"/>
    </row>
    <row r="5380" spans="84:91" s="51" customFormat="1">
      <c r="CF5380" s="239"/>
      <c r="CM5380" s="336"/>
    </row>
    <row r="5381" spans="84:91" s="51" customFormat="1">
      <c r="CF5381" s="239"/>
      <c r="CM5381" s="336"/>
    </row>
    <row r="5382" spans="84:91" s="51" customFormat="1">
      <c r="CF5382" s="239"/>
      <c r="CM5382" s="336"/>
    </row>
    <row r="5383" spans="84:91" s="51" customFormat="1">
      <c r="CF5383" s="239"/>
      <c r="CM5383" s="336"/>
    </row>
    <row r="5384" spans="84:91" s="51" customFormat="1">
      <c r="CF5384" s="239"/>
      <c r="CM5384" s="336"/>
    </row>
    <row r="5385" spans="84:91" s="51" customFormat="1">
      <c r="CF5385" s="239"/>
      <c r="CM5385" s="336"/>
    </row>
    <row r="5386" spans="84:91" s="51" customFormat="1">
      <c r="CF5386" s="239"/>
      <c r="CM5386" s="336"/>
    </row>
    <row r="5387" spans="84:91" s="51" customFormat="1">
      <c r="CF5387" s="239"/>
      <c r="CM5387" s="336"/>
    </row>
    <row r="5388" spans="84:91" s="51" customFormat="1">
      <c r="CF5388" s="239"/>
      <c r="CM5388" s="336"/>
    </row>
    <row r="5389" spans="84:91" s="51" customFormat="1">
      <c r="CF5389" s="239"/>
      <c r="CM5389" s="336"/>
    </row>
    <row r="5390" spans="84:91" s="51" customFormat="1">
      <c r="CF5390" s="239"/>
      <c r="CM5390" s="336"/>
    </row>
    <row r="5391" spans="84:91" s="51" customFormat="1">
      <c r="CF5391" s="239"/>
      <c r="CM5391" s="336"/>
    </row>
    <row r="5392" spans="84:91" s="51" customFormat="1">
      <c r="CF5392" s="239"/>
      <c r="CM5392" s="336"/>
    </row>
    <row r="5393" spans="84:91" s="51" customFormat="1">
      <c r="CF5393" s="239"/>
      <c r="CM5393" s="336"/>
    </row>
    <row r="5394" spans="84:91" s="51" customFormat="1">
      <c r="CF5394" s="239"/>
      <c r="CM5394" s="336"/>
    </row>
    <row r="5395" spans="84:91" s="51" customFormat="1">
      <c r="CF5395" s="239"/>
      <c r="CM5395" s="336"/>
    </row>
    <row r="5396" spans="84:91" s="51" customFormat="1">
      <c r="CF5396" s="239"/>
      <c r="CM5396" s="336"/>
    </row>
    <row r="5397" spans="84:91" s="51" customFormat="1">
      <c r="CF5397" s="239"/>
      <c r="CM5397" s="336"/>
    </row>
    <row r="5398" spans="84:91" s="51" customFormat="1">
      <c r="CF5398" s="239"/>
      <c r="CM5398" s="336"/>
    </row>
    <row r="5399" spans="84:91" s="51" customFormat="1">
      <c r="CF5399" s="239"/>
      <c r="CM5399" s="336"/>
    </row>
    <row r="5400" spans="84:91" s="51" customFormat="1">
      <c r="CF5400" s="239"/>
      <c r="CM5400" s="336"/>
    </row>
    <row r="5401" spans="84:91" s="51" customFormat="1">
      <c r="CF5401" s="239"/>
      <c r="CM5401" s="336"/>
    </row>
    <row r="5402" spans="84:91" s="51" customFormat="1">
      <c r="CF5402" s="239"/>
      <c r="CM5402" s="336"/>
    </row>
    <row r="5403" spans="84:91" s="51" customFormat="1">
      <c r="CF5403" s="239"/>
      <c r="CM5403" s="336"/>
    </row>
    <row r="5404" spans="84:91" s="51" customFormat="1">
      <c r="CF5404" s="239"/>
      <c r="CM5404" s="336"/>
    </row>
    <row r="5405" spans="84:91" s="51" customFormat="1">
      <c r="CF5405" s="239"/>
      <c r="CM5405" s="336"/>
    </row>
    <row r="5406" spans="84:91" s="51" customFormat="1">
      <c r="CF5406" s="239"/>
      <c r="CM5406" s="336"/>
    </row>
    <row r="5407" spans="84:91" s="51" customFormat="1">
      <c r="CF5407" s="239"/>
      <c r="CM5407" s="336"/>
    </row>
    <row r="5408" spans="84:91" s="51" customFormat="1">
      <c r="CF5408" s="239"/>
      <c r="CM5408" s="336"/>
    </row>
    <row r="5409" spans="84:91" s="51" customFormat="1">
      <c r="CF5409" s="239"/>
      <c r="CM5409" s="336"/>
    </row>
    <row r="5410" spans="84:91" s="51" customFormat="1">
      <c r="CF5410" s="239"/>
      <c r="CM5410" s="336"/>
    </row>
    <row r="5411" spans="84:91" s="51" customFormat="1">
      <c r="CF5411" s="239"/>
      <c r="CM5411" s="336"/>
    </row>
    <row r="5412" spans="84:91" s="51" customFormat="1">
      <c r="CF5412" s="239"/>
      <c r="CM5412" s="336"/>
    </row>
    <row r="5413" spans="84:91" s="51" customFormat="1">
      <c r="CF5413" s="239"/>
      <c r="CM5413" s="336"/>
    </row>
    <row r="5414" spans="84:91" s="51" customFormat="1">
      <c r="CF5414" s="239"/>
      <c r="CM5414" s="336"/>
    </row>
    <row r="5415" spans="84:91" s="51" customFormat="1">
      <c r="CF5415" s="239"/>
      <c r="CM5415" s="336"/>
    </row>
    <row r="5416" spans="84:91" s="51" customFormat="1">
      <c r="CF5416" s="239"/>
      <c r="CM5416" s="336"/>
    </row>
    <row r="5417" spans="84:91" s="51" customFormat="1">
      <c r="CF5417" s="239"/>
      <c r="CM5417" s="336"/>
    </row>
    <row r="5418" spans="84:91" s="51" customFormat="1">
      <c r="CF5418" s="239"/>
      <c r="CM5418" s="336"/>
    </row>
    <row r="5419" spans="84:91" s="51" customFormat="1">
      <c r="CF5419" s="239"/>
      <c r="CM5419" s="336"/>
    </row>
    <row r="5420" spans="84:91" s="51" customFormat="1">
      <c r="CF5420" s="239"/>
      <c r="CM5420" s="336"/>
    </row>
    <row r="5421" spans="84:91" s="51" customFormat="1">
      <c r="CF5421" s="239"/>
      <c r="CM5421" s="336"/>
    </row>
    <row r="5422" spans="84:91" s="51" customFormat="1">
      <c r="CF5422" s="239"/>
      <c r="CM5422" s="336"/>
    </row>
    <row r="5423" spans="84:91" s="51" customFormat="1">
      <c r="CF5423" s="239"/>
      <c r="CM5423" s="336"/>
    </row>
    <row r="5424" spans="84:91" s="51" customFormat="1">
      <c r="CF5424" s="239"/>
      <c r="CM5424" s="336"/>
    </row>
    <row r="5425" spans="84:91" s="51" customFormat="1">
      <c r="CF5425" s="239"/>
      <c r="CM5425" s="336"/>
    </row>
    <row r="5426" spans="84:91" s="51" customFormat="1">
      <c r="CF5426" s="239"/>
      <c r="CM5426" s="336"/>
    </row>
    <row r="5427" spans="84:91" s="51" customFormat="1">
      <c r="CF5427" s="239"/>
      <c r="CM5427" s="336"/>
    </row>
    <row r="5428" spans="84:91" s="51" customFormat="1">
      <c r="CF5428" s="239"/>
      <c r="CM5428" s="336"/>
    </row>
    <row r="5429" spans="84:91" s="51" customFormat="1">
      <c r="CF5429" s="239"/>
      <c r="CM5429" s="336"/>
    </row>
    <row r="5430" spans="84:91" s="51" customFormat="1">
      <c r="CF5430" s="239"/>
      <c r="CM5430" s="336"/>
    </row>
    <row r="5431" spans="84:91" s="51" customFormat="1">
      <c r="CF5431" s="239"/>
      <c r="CM5431" s="336"/>
    </row>
    <row r="5432" spans="84:91" s="51" customFormat="1">
      <c r="CF5432" s="239"/>
      <c r="CM5432" s="336"/>
    </row>
    <row r="5433" spans="84:91" s="51" customFormat="1">
      <c r="CF5433" s="239"/>
      <c r="CM5433" s="336"/>
    </row>
    <row r="5434" spans="84:91" s="51" customFormat="1">
      <c r="CF5434" s="239"/>
      <c r="CM5434" s="336"/>
    </row>
    <row r="5435" spans="84:91" s="51" customFormat="1">
      <c r="CF5435" s="239"/>
      <c r="CM5435" s="336"/>
    </row>
    <row r="5436" spans="84:91" s="51" customFormat="1">
      <c r="CF5436" s="239"/>
      <c r="CM5436" s="336"/>
    </row>
    <row r="5437" spans="84:91" s="51" customFormat="1">
      <c r="CF5437" s="239"/>
      <c r="CM5437" s="336"/>
    </row>
    <row r="5438" spans="84:91" s="51" customFormat="1">
      <c r="CF5438" s="239"/>
      <c r="CM5438" s="336"/>
    </row>
    <row r="5439" spans="84:91" s="51" customFormat="1">
      <c r="CF5439" s="239"/>
      <c r="CM5439" s="336"/>
    </row>
    <row r="5440" spans="84:91" s="51" customFormat="1">
      <c r="CF5440" s="239"/>
      <c r="CM5440" s="336"/>
    </row>
    <row r="5441" spans="84:91" s="51" customFormat="1">
      <c r="CF5441" s="239"/>
      <c r="CM5441" s="336"/>
    </row>
    <row r="5442" spans="84:91" s="51" customFormat="1">
      <c r="CF5442" s="239"/>
      <c r="CM5442" s="336"/>
    </row>
    <row r="5443" spans="84:91" s="51" customFormat="1">
      <c r="CF5443" s="239"/>
      <c r="CM5443" s="336"/>
    </row>
    <row r="5444" spans="84:91" s="51" customFormat="1">
      <c r="CF5444" s="239"/>
      <c r="CM5444" s="336"/>
    </row>
    <row r="5445" spans="84:91" s="51" customFormat="1">
      <c r="CF5445" s="239"/>
      <c r="CM5445" s="336"/>
    </row>
    <row r="5446" spans="84:91" s="51" customFormat="1">
      <c r="CF5446" s="239"/>
      <c r="CM5446" s="336"/>
    </row>
    <row r="5447" spans="84:91" s="51" customFormat="1">
      <c r="CF5447" s="239"/>
      <c r="CM5447" s="336"/>
    </row>
    <row r="5448" spans="84:91" s="51" customFormat="1">
      <c r="CF5448" s="239"/>
      <c r="CM5448" s="336"/>
    </row>
    <row r="5449" spans="84:91" s="51" customFormat="1">
      <c r="CF5449" s="239"/>
      <c r="CM5449" s="336"/>
    </row>
    <row r="5450" spans="84:91" s="51" customFormat="1">
      <c r="CF5450" s="239"/>
      <c r="CM5450" s="336"/>
    </row>
    <row r="5451" spans="84:91" s="51" customFormat="1">
      <c r="CF5451" s="239"/>
      <c r="CM5451" s="336"/>
    </row>
    <row r="5452" spans="84:91" s="51" customFormat="1">
      <c r="CF5452" s="239"/>
      <c r="CM5452" s="336"/>
    </row>
    <row r="5453" spans="84:91" s="51" customFormat="1">
      <c r="CF5453" s="239"/>
      <c r="CM5453" s="336"/>
    </row>
    <row r="5454" spans="84:91" s="51" customFormat="1">
      <c r="CF5454" s="239"/>
      <c r="CM5454" s="336"/>
    </row>
    <row r="5455" spans="84:91" s="51" customFormat="1">
      <c r="CF5455" s="239"/>
      <c r="CM5455" s="336"/>
    </row>
    <row r="5456" spans="84:91" s="51" customFormat="1">
      <c r="CF5456" s="239"/>
      <c r="CM5456" s="336"/>
    </row>
    <row r="5457" spans="84:91" s="51" customFormat="1">
      <c r="CF5457" s="239"/>
      <c r="CM5457" s="336"/>
    </row>
    <row r="5458" spans="84:91" s="51" customFormat="1">
      <c r="CF5458" s="239"/>
      <c r="CM5458" s="336"/>
    </row>
    <row r="5459" spans="84:91" s="51" customFormat="1">
      <c r="CF5459" s="239"/>
      <c r="CM5459" s="336"/>
    </row>
    <row r="5460" spans="84:91" s="51" customFormat="1">
      <c r="CF5460" s="239"/>
      <c r="CM5460" s="336"/>
    </row>
    <row r="5461" spans="84:91" s="51" customFormat="1">
      <c r="CF5461" s="239"/>
      <c r="CM5461" s="336"/>
    </row>
    <row r="5462" spans="84:91" s="51" customFormat="1">
      <c r="CF5462" s="239"/>
      <c r="CM5462" s="336"/>
    </row>
    <row r="5463" spans="84:91" s="51" customFormat="1">
      <c r="CF5463" s="239"/>
      <c r="CM5463" s="336"/>
    </row>
    <row r="5464" spans="84:91" s="51" customFormat="1">
      <c r="CF5464" s="239"/>
      <c r="CM5464" s="336"/>
    </row>
    <row r="5465" spans="84:91" s="51" customFormat="1">
      <c r="CF5465" s="239"/>
      <c r="CM5465" s="336"/>
    </row>
    <row r="5466" spans="84:91" s="51" customFormat="1">
      <c r="CF5466" s="239"/>
      <c r="CM5466" s="336"/>
    </row>
    <row r="5467" spans="84:91" s="51" customFormat="1">
      <c r="CF5467" s="239"/>
      <c r="CM5467" s="336"/>
    </row>
    <row r="5468" spans="84:91" s="51" customFormat="1">
      <c r="CF5468" s="239"/>
      <c r="CM5468" s="336"/>
    </row>
    <row r="5469" spans="84:91" s="51" customFormat="1">
      <c r="CF5469" s="239"/>
      <c r="CM5469" s="336"/>
    </row>
    <row r="5470" spans="84:91" s="51" customFormat="1">
      <c r="CF5470" s="239"/>
      <c r="CM5470" s="336"/>
    </row>
    <row r="5471" spans="84:91" s="51" customFormat="1">
      <c r="CF5471" s="239"/>
      <c r="CM5471" s="336"/>
    </row>
    <row r="5472" spans="84:91" s="51" customFormat="1">
      <c r="CF5472" s="239"/>
      <c r="CM5472" s="336"/>
    </row>
    <row r="5473" spans="84:91" s="51" customFormat="1">
      <c r="CF5473" s="239"/>
      <c r="CM5473" s="336"/>
    </row>
    <row r="5474" spans="84:91" s="51" customFormat="1">
      <c r="CF5474" s="239"/>
      <c r="CM5474" s="336"/>
    </row>
    <row r="5475" spans="84:91" s="51" customFormat="1">
      <c r="CF5475" s="239"/>
      <c r="CM5475" s="336"/>
    </row>
    <row r="5476" spans="84:91" s="51" customFormat="1">
      <c r="CF5476" s="239"/>
      <c r="CM5476" s="336"/>
    </row>
    <row r="5477" spans="84:91" s="51" customFormat="1">
      <c r="CF5477" s="239"/>
      <c r="CM5477" s="336"/>
    </row>
    <row r="5478" spans="84:91" s="51" customFormat="1">
      <c r="CF5478" s="239"/>
      <c r="CM5478" s="336"/>
    </row>
    <row r="5479" spans="84:91" s="51" customFormat="1">
      <c r="CF5479" s="239"/>
      <c r="CM5479" s="336"/>
    </row>
    <row r="5480" spans="84:91" s="51" customFormat="1">
      <c r="CF5480" s="239"/>
      <c r="CM5480" s="336"/>
    </row>
    <row r="5481" spans="84:91" s="51" customFormat="1">
      <c r="CF5481" s="239"/>
      <c r="CM5481" s="336"/>
    </row>
    <row r="5482" spans="84:91" s="51" customFormat="1">
      <c r="CF5482" s="239"/>
      <c r="CM5482" s="336"/>
    </row>
    <row r="5483" spans="84:91" s="51" customFormat="1">
      <c r="CF5483" s="239"/>
      <c r="CM5483" s="336"/>
    </row>
    <row r="5484" spans="84:91" s="51" customFormat="1">
      <c r="CF5484" s="239"/>
      <c r="CM5484" s="336"/>
    </row>
    <row r="5485" spans="84:91" s="51" customFormat="1">
      <c r="CF5485" s="239"/>
      <c r="CM5485" s="336"/>
    </row>
    <row r="5486" spans="84:91" s="51" customFormat="1">
      <c r="CF5486" s="239"/>
      <c r="CM5486" s="336"/>
    </row>
    <row r="5487" spans="84:91" s="51" customFormat="1">
      <c r="CF5487" s="239"/>
      <c r="CM5487" s="336"/>
    </row>
    <row r="5488" spans="84:91" s="51" customFormat="1">
      <c r="CF5488" s="239"/>
      <c r="CM5488" s="336"/>
    </row>
    <row r="5489" spans="84:91" s="51" customFormat="1">
      <c r="CF5489" s="239"/>
      <c r="CM5489" s="336"/>
    </row>
    <row r="5490" spans="84:91" s="51" customFormat="1">
      <c r="CF5490" s="239"/>
      <c r="CM5490" s="336"/>
    </row>
    <row r="5491" spans="84:91" s="51" customFormat="1">
      <c r="CF5491" s="239"/>
      <c r="CM5491" s="336"/>
    </row>
    <row r="5492" spans="84:91" s="51" customFormat="1">
      <c r="CF5492" s="239"/>
      <c r="CM5492" s="336"/>
    </row>
    <row r="5493" spans="84:91" s="51" customFormat="1">
      <c r="CF5493" s="239"/>
      <c r="CM5493" s="336"/>
    </row>
    <row r="5494" spans="84:91" s="51" customFormat="1">
      <c r="CF5494" s="239"/>
      <c r="CM5494" s="336"/>
    </row>
    <row r="5495" spans="84:91" s="51" customFormat="1">
      <c r="CF5495" s="239"/>
      <c r="CM5495" s="336"/>
    </row>
    <row r="5496" spans="84:91" s="51" customFormat="1">
      <c r="CF5496" s="239"/>
      <c r="CM5496" s="336"/>
    </row>
    <row r="5497" spans="84:91" s="51" customFormat="1">
      <c r="CF5497" s="239"/>
      <c r="CM5497" s="336"/>
    </row>
    <row r="5498" spans="84:91" s="51" customFormat="1">
      <c r="CF5498" s="239"/>
      <c r="CM5498" s="336"/>
    </row>
    <row r="5499" spans="84:91" s="51" customFormat="1">
      <c r="CF5499" s="239"/>
      <c r="CM5499" s="336"/>
    </row>
    <row r="5500" spans="84:91" s="51" customFormat="1">
      <c r="CF5500" s="239"/>
      <c r="CM5500" s="336"/>
    </row>
    <row r="5501" spans="84:91" s="51" customFormat="1">
      <c r="CF5501" s="239"/>
      <c r="CM5501" s="336"/>
    </row>
    <row r="5502" spans="84:91" s="51" customFormat="1">
      <c r="CF5502" s="239"/>
      <c r="CM5502" s="336"/>
    </row>
    <row r="5503" spans="84:91" s="51" customFormat="1">
      <c r="CF5503" s="239"/>
      <c r="CM5503" s="336"/>
    </row>
    <row r="5504" spans="84:91" s="51" customFormat="1">
      <c r="CF5504" s="239"/>
      <c r="CM5504" s="336"/>
    </row>
    <row r="5505" spans="84:91" s="51" customFormat="1">
      <c r="CF5505" s="239"/>
      <c r="CM5505" s="336"/>
    </row>
    <row r="5506" spans="84:91" s="51" customFormat="1">
      <c r="CF5506" s="239"/>
      <c r="CM5506" s="336"/>
    </row>
    <row r="5507" spans="84:91" s="51" customFormat="1">
      <c r="CF5507" s="239"/>
      <c r="CM5507" s="336"/>
    </row>
    <row r="5508" spans="84:91" s="51" customFormat="1">
      <c r="CF5508" s="239"/>
      <c r="CM5508" s="336"/>
    </row>
    <row r="5509" spans="84:91" s="51" customFormat="1">
      <c r="CF5509" s="239"/>
      <c r="CM5509" s="336"/>
    </row>
    <row r="5510" spans="84:91" s="51" customFormat="1">
      <c r="CF5510" s="239"/>
      <c r="CM5510" s="336"/>
    </row>
    <row r="5511" spans="84:91" s="51" customFormat="1">
      <c r="CF5511" s="239"/>
      <c r="CM5511" s="336"/>
    </row>
    <row r="5512" spans="84:91" s="51" customFormat="1">
      <c r="CF5512" s="239"/>
      <c r="CM5512" s="336"/>
    </row>
    <row r="5513" spans="84:91" s="51" customFormat="1">
      <c r="CF5513" s="239"/>
      <c r="CM5513" s="336"/>
    </row>
    <row r="5514" spans="84:91" s="51" customFormat="1">
      <c r="CF5514" s="239"/>
      <c r="CM5514" s="336"/>
    </row>
    <row r="5515" spans="84:91" s="51" customFormat="1">
      <c r="CF5515" s="239"/>
      <c r="CM5515" s="336"/>
    </row>
    <row r="5516" spans="84:91" s="51" customFormat="1">
      <c r="CF5516" s="239"/>
      <c r="CM5516" s="336"/>
    </row>
    <row r="5517" spans="84:91" s="51" customFormat="1">
      <c r="CF5517" s="239"/>
      <c r="CM5517" s="336"/>
    </row>
    <row r="5518" spans="84:91" s="51" customFormat="1">
      <c r="CF5518" s="239"/>
      <c r="CM5518" s="336"/>
    </row>
    <row r="5519" spans="84:91" s="51" customFormat="1">
      <c r="CF5519" s="239"/>
      <c r="CM5519" s="336"/>
    </row>
    <row r="5520" spans="84:91" s="51" customFormat="1">
      <c r="CF5520" s="239"/>
      <c r="CM5520" s="336"/>
    </row>
    <row r="5521" spans="84:91" s="51" customFormat="1">
      <c r="CF5521" s="239"/>
      <c r="CM5521" s="336"/>
    </row>
    <row r="5522" spans="84:91" s="51" customFormat="1">
      <c r="CF5522" s="239"/>
      <c r="CM5522" s="336"/>
    </row>
    <row r="5523" spans="84:91" s="51" customFormat="1">
      <c r="CF5523" s="239"/>
      <c r="CM5523" s="336"/>
    </row>
    <row r="5524" spans="84:91" s="51" customFormat="1">
      <c r="CF5524" s="239"/>
      <c r="CM5524" s="336"/>
    </row>
    <row r="5525" spans="84:91" s="51" customFormat="1">
      <c r="CF5525" s="239"/>
      <c r="CM5525" s="336"/>
    </row>
    <row r="5526" spans="84:91" s="51" customFormat="1">
      <c r="CF5526" s="239"/>
      <c r="CM5526" s="336"/>
    </row>
    <row r="5527" spans="84:91" s="51" customFormat="1">
      <c r="CF5527" s="239"/>
      <c r="CM5527" s="336"/>
    </row>
    <row r="5528" spans="84:91" s="51" customFormat="1">
      <c r="CF5528" s="239"/>
      <c r="CM5528" s="336"/>
    </row>
    <row r="5529" spans="84:91" s="51" customFormat="1">
      <c r="CF5529" s="239"/>
      <c r="CM5529" s="336"/>
    </row>
    <row r="5530" spans="84:91" s="51" customFormat="1">
      <c r="CF5530" s="239"/>
      <c r="CM5530" s="336"/>
    </row>
    <row r="5531" spans="84:91" s="51" customFormat="1">
      <c r="CF5531" s="239"/>
      <c r="CM5531" s="336"/>
    </row>
    <row r="5532" spans="84:91" s="51" customFormat="1">
      <c r="CF5532" s="239"/>
      <c r="CM5532" s="336"/>
    </row>
    <row r="5533" spans="84:91" s="51" customFormat="1">
      <c r="CF5533" s="239"/>
      <c r="CM5533" s="336"/>
    </row>
    <row r="5534" spans="84:91" s="51" customFormat="1">
      <c r="CF5534" s="239"/>
      <c r="CM5534" s="336"/>
    </row>
    <row r="5535" spans="84:91" s="51" customFormat="1">
      <c r="CF5535" s="239"/>
      <c r="CM5535" s="336"/>
    </row>
    <row r="5536" spans="84:91" s="51" customFormat="1">
      <c r="CF5536" s="239"/>
      <c r="CM5536" s="336"/>
    </row>
    <row r="5537" spans="84:91" s="51" customFormat="1">
      <c r="CF5537" s="239"/>
      <c r="CM5537" s="336"/>
    </row>
    <row r="5538" spans="84:91" s="51" customFormat="1">
      <c r="CF5538" s="239"/>
      <c r="CM5538" s="336"/>
    </row>
    <row r="5539" spans="84:91" s="51" customFormat="1">
      <c r="CF5539" s="239"/>
      <c r="CM5539" s="336"/>
    </row>
    <row r="5540" spans="84:91" s="51" customFormat="1">
      <c r="CF5540" s="239"/>
      <c r="CM5540" s="336"/>
    </row>
    <row r="5541" spans="84:91" s="51" customFormat="1">
      <c r="CF5541" s="239"/>
      <c r="CM5541" s="336"/>
    </row>
    <row r="5542" spans="84:91" s="51" customFormat="1">
      <c r="CF5542" s="239"/>
      <c r="CM5542" s="336"/>
    </row>
    <row r="5543" spans="84:91" s="51" customFormat="1">
      <c r="CF5543" s="239"/>
      <c r="CM5543" s="336"/>
    </row>
    <row r="5544" spans="84:91" s="51" customFormat="1">
      <c r="CF5544" s="239"/>
      <c r="CM5544" s="336"/>
    </row>
    <row r="5545" spans="84:91" s="51" customFormat="1">
      <c r="CF5545" s="239"/>
      <c r="CM5545" s="336"/>
    </row>
    <row r="5546" spans="84:91" s="51" customFormat="1">
      <c r="CF5546" s="239"/>
      <c r="CM5546" s="336"/>
    </row>
    <row r="5547" spans="84:91" s="51" customFormat="1">
      <c r="CF5547" s="239"/>
      <c r="CM5547" s="336"/>
    </row>
    <row r="5548" spans="84:91" s="51" customFormat="1">
      <c r="CF5548" s="239"/>
      <c r="CM5548" s="336"/>
    </row>
    <row r="5549" spans="84:91" s="51" customFormat="1">
      <c r="CF5549" s="239"/>
      <c r="CM5549" s="336"/>
    </row>
    <row r="5550" spans="84:91" s="51" customFormat="1">
      <c r="CF5550" s="239"/>
      <c r="CM5550" s="336"/>
    </row>
    <row r="5551" spans="84:91" s="51" customFormat="1">
      <c r="CF5551" s="239"/>
      <c r="CM5551" s="336"/>
    </row>
    <row r="5552" spans="84:91" s="51" customFormat="1">
      <c r="CF5552" s="239"/>
      <c r="CM5552" s="336"/>
    </row>
    <row r="5553" spans="84:91" s="51" customFormat="1">
      <c r="CF5553" s="239"/>
      <c r="CM5553" s="336"/>
    </row>
    <row r="5554" spans="84:91" s="51" customFormat="1">
      <c r="CF5554" s="239"/>
      <c r="CM5554" s="336"/>
    </row>
    <row r="5555" spans="84:91" s="51" customFormat="1">
      <c r="CF5555" s="239"/>
      <c r="CM5555" s="336"/>
    </row>
    <row r="5556" spans="84:91" s="51" customFormat="1">
      <c r="CF5556" s="239"/>
      <c r="CM5556" s="336"/>
    </row>
    <row r="5557" spans="84:91" s="51" customFormat="1">
      <c r="CF5557" s="239"/>
      <c r="CM5557" s="336"/>
    </row>
    <row r="5558" spans="84:91" s="51" customFormat="1">
      <c r="CF5558" s="239"/>
      <c r="CM5558" s="336"/>
    </row>
    <row r="5559" spans="84:91" s="51" customFormat="1">
      <c r="CF5559" s="239"/>
      <c r="CM5559" s="336"/>
    </row>
    <row r="5560" spans="84:91" s="51" customFormat="1">
      <c r="CF5560" s="239"/>
      <c r="CM5560" s="336"/>
    </row>
    <row r="5561" spans="84:91" s="51" customFormat="1">
      <c r="CF5561" s="239"/>
      <c r="CM5561" s="336"/>
    </row>
    <row r="5562" spans="84:91" s="51" customFormat="1">
      <c r="CF5562" s="239"/>
      <c r="CM5562" s="336"/>
    </row>
    <row r="5563" spans="84:91" s="51" customFormat="1">
      <c r="CF5563" s="239"/>
      <c r="CM5563" s="336"/>
    </row>
    <row r="5564" spans="84:91" s="51" customFormat="1">
      <c r="CF5564" s="239"/>
      <c r="CM5564" s="336"/>
    </row>
    <row r="5565" spans="84:91" s="51" customFormat="1">
      <c r="CF5565" s="239"/>
      <c r="CM5565" s="336"/>
    </row>
    <row r="5566" spans="84:91" s="51" customFormat="1">
      <c r="CF5566" s="239"/>
      <c r="CM5566" s="336"/>
    </row>
    <row r="5567" spans="84:91" s="51" customFormat="1">
      <c r="CF5567" s="239"/>
      <c r="CM5567" s="336"/>
    </row>
    <row r="5568" spans="84:91" s="51" customFormat="1">
      <c r="CF5568" s="239"/>
      <c r="CM5568" s="336"/>
    </row>
    <row r="5569" spans="84:91" s="51" customFormat="1">
      <c r="CF5569" s="239"/>
      <c r="CM5569" s="336"/>
    </row>
    <row r="5570" spans="84:91" s="51" customFormat="1">
      <c r="CF5570" s="239"/>
      <c r="CM5570" s="336"/>
    </row>
    <row r="5571" spans="84:91" s="51" customFormat="1">
      <c r="CF5571" s="239"/>
      <c r="CM5571" s="336"/>
    </row>
    <row r="5572" spans="84:91" s="51" customFormat="1">
      <c r="CF5572" s="239"/>
      <c r="CM5572" s="336"/>
    </row>
    <row r="5573" spans="84:91" s="51" customFormat="1">
      <c r="CF5573" s="239"/>
      <c r="CM5573" s="336"/>
    </row>
    <row r="5574" spans="84:91" s="51" customFormat="1">
      <c r="CF5574" s="239"/>
      <c r="CM5574" s="336"/>
    </row>
    <row r="5575" spans="84:91" s="51" customFormat="1">
      <c r="CF5575" s="239"/>
      <c r="CM5575" s="336"/>
    </row>
    <row r="5576" spans="84:91" s="51" customFormat="1">
      <c r="CF5576" s="239"/>
      <c r="CM5576" s="336"/>
    </row>
    <row r="5577" spans="84:91" s="51" customFormat="1">
      <c r="CF5577" s="239"/>
      <c r="CM5577" s="336"/>
    </row>
    <row r="5578" spans="84:91" s="51" customFormat="1">
      <c r="CF5578" s="239"/>
      <c r="CM5578" s="336"/>
    </row>
    <row r="5579" spans="84:91" s="51" customFormat="1">
      <c r="CF5579" s="239"/>
      <c r="CM5579" s="336"/>
    </row>
    <row r="5580" spans="84:91" s="51" customFormat="1">
      <c r="CF5580" s="239"/>
      <c r="CM5580" s="336"/>
    </row>
    <row r="5581" spans="84:91" s="51" customFormat="1">
      <c r="CF5581" s="239"/>
      <c r="CM5581" s="336"/>
    </row>
    <row r="5582" spans="84:91" s="51" customFormat="1">
      <c r="CF5582" s="239"/>
      <c r="CM5582" s="336"/>
    </row>
    <row r="5583" spans="84:91" s="51" customFormat="1">
      <c r="CF5583" s="239"/>
      <c r="CM5583" s="336"/>
    </row>
    <row r="5584" spans="84:91" s="51" customFormat="1">
      <c r="CF5584" s="239"/>
      <c r="CM5584" s="336"/>
    </row>
    <row r="5585" spans="84:91" s="51" customFormat="1">
      <c r="CF5585" s="239"/>
      <c r="CM5585" s="336"/>
    </row>
    <row r="5586" spans="84:91" s="51" customFormat="1">
      <c r="CF5586" s="239"/>
      <c r="CM5586" s="336"/>
    </row>
    <row r="5587" spans="84:91" s="51" customFormat="1">
      <c r="CF5587" s="239"/>
      <c r="CM5587" s="336"/>
    </row>
    <row r="5588" spans="84:91" s="51" customFormat="1">
      <c r="CF5588" s="239"/>
      <c r="CM5588" s="336"/>
    </row>
    <row r="5589" spans="84:91" s="51" customFormat="1">
      <c r="CF5589" s="239"/>
      <c r="CM5589" s="336"/>
    </row>
    <row r="5590" spans="84:91" s="51" customFormat="1">
      <c r="CF5590" s="239"/>
      <c r="CM5590" s="336"/>
    </row>
    <row r="5591" spans="84:91" s="51" customFormat="1">
      <c r="CF5591" s="239"/>
      <c r="CM5591" s="336"/>
    </row>
    <row r="5592" spans="84:91" s="51" customFormat="1">
      <c r="CF5592" s="239"/>
      <c r="CM5592" s="336"/>
    </row>
    <row r="5593" spans="84:91" s="51" customFormat="1">
      <c r="CF5593" s="239"/>
      <c r="CM5593" s="336"/>
    </row>
    <row r="5594" spans="84:91" s="51" customFormat="1">
      <c r="CF5594" s="239"/>
      <c r="CM5594" s="336"/>
    </row>
    <row r="5595" spans="84:91" s="51" customFormat="1">
      <c r="CF5595" s="239"/>
      <c r="CM5595" s="336"/>
    </row>
    <row r="5596" spans="84:91" s="51" customFormat="1">
      <c r="CF5596" s="239"/>
      <c r="CM5596" s="336"/>
    </row>
    <row r="5597" spans="84:91" s="51" customFormat="1">
      <c r="CF5597" s="239"/>
      <c r="CM5597" s="336"/>
    </row>
    <row r="5598" spans="84:91" s="51" customFormat="1">
      <c r="CF5598" s="239"/>
      <c r="CM5598" s="336"/>
    </row>
    <row r="5599" spans="84:91" s="51" customFormat="1">
      <c r="CF5599" s="239"/>
      <c r="CM5599" s="336"/>
    </row>
    <row r="5600" spans="84:91" s="51" customFormat="1">
      <c r="CF5600" s="239"/>
      <c r="CM5600" s="336"/>
    </row>
    <row r="5601" spans="84:91" s="51" customFormat="1">
      <c r="CF5601" s="239"/>
      <c r="CM5601" s="336"/>
    </row>
    <row r="5602" spans="84:91" s="51" customFormat="1">
      <c r="CF5602" s="239"/>
      <c r="CM5602" s="336"/>
    </row>
    <row r="5603" spans="84:91" s="51" customFormat="1">
      <c r="CF5603" s="239"/>
      <c r="CM5603" s="336"/>
    </row>
    <row r="5604" spans="84:91" s="51" customFormat="1">
      <c r="CF5604" s="239"/>
      <c r="CM5604" s="336"/>
    </row>
    <row r="5605" spans="84:91" s="51" customFormat="1">
      <c r="CF5605" s="239"/>
      <c r="CM5605" s="336"/>
    </row>
    <row r="5606" spans="84:91" s="51" customFormat="1">
      <c r="CF5606" s="239"/>
      <c r="CM5606" s="336"/>
    </row>
    <row r="5607" spans="84:91" s="51" customFormat="1">
      <c r="CF5607" s="239"/>
      <c r="CM5607" s="336"/>
    </row>
    <row r="5608" spans="84:91" s="51" customFormat="1">
      <c r="CF5608" s="239"/>
      <c r="CM5608" s="336"/>
    </row>
    <row r="5609" spans="84:91" s="51" customFormat="1">
      <c r="CF5609" s="239"/>
      <c r="CM5609" s="336"/>
    </row>
    <row r="5610" spans="84:91" s="51" customFormat="1">
      <c r="CF5610" s="239"/>
      <c r="CM5610" s="336"/>
    </row>
    <row r="5611" spans="84:91" s="51" customFormat="1">
      <c r="CF5611" s="239"/>
      <c r="CM5611" s="336"/>
    </row>
    <row r="5612" spans="84:91" s="51" customFormat="1">
      <c r="CF5612" s="239"/>
      <c r="CM5612" s="336"/>
    </row>
    <row r="5613" spans="84:91" s="51" customFormat="1">
      <c r="CF5613" s="239"/>
      <c r="CM5613" s="336"/>
    </row>
    <row r="5614" spans="84:91" s="51" customFormat="1">
      <c r="CF5614" s="239"/>
      <c r="CM5614" s="336"/>
    </row>
    <row r="5615" spans="84:91" s="51" customFormat="1">
      <c r="CF5615" s="239"/>
      <c r="CM5615" s="336"/>
    </row>
    <row r="5616" spans="84:91" s="51" customFormat="1">
      <c r="CF5616" s="239"/>
      <c r="CM5616" s="336"/>
    </row>
    <row r="5617" spans="84:91" s="51" customFormat="1">
      <c r="CF5617" s="239"/>
      <c r="CM5617" s="336"/>
    </row>
    <row r="5618" spans="84:91" s="51" customFormat="1">
      <c r="CF5618" s="239"/>
      <c r="CM5618" s="336"/>
    </row>
    <row r="5619" spans="84:91" s="51" customFormat="1">
      <c r="CF5619" s="239"/>
      <c r="CM5619" s="336"/>
    </row>
    <row r="5620" spans="84:91" s="51" customFormat="1">
      <c r="CF5620" s="239"/>
      <c r="CM5620" s="336"/>
    </row>
    <row r="5621" spans="84:91" s="51" customFormat="1">
      <c r="CF5621" s="239"/>
      <c r="CM5621" s="336"/>
    </row>
    <row r="5622" spans="84:91" s="51" customFormat="1">
      <c r="CF5622" s="239"/>
      <c r="CM5622" s="336"/>
    </row>
    <row r="5623" spans="84:91" s="51" customFormat="1">
      <c r="CF5623" s="239"/>
      <c r="CM5623" s="336"/>
    </row>
    <row r="5624" spans="84:91" s="51" customFormat="1">
      <c r="CF5624" s="239"/>
      <c r="CM5624" s="336"/>
    </row>
    <row r="5625" spans="84:91" s="51" customFormat="1">
      <c r="CF5625" s="239"/>
      <c r="CM5625" s="336"/>
    </row>
    <row r="5626" spans="84:91" s="51" customFormat="1">
      <c r="CF5626" s="239"/>
      <c r="CM5626" s="336"/>
    </row>
    <row r="5627" spans="84:91" s="51" customFormat="1">
      <c r="CF5627" s="239"/>
      <c r="CM5627" s="336"/>
    </row>
    <row r="5628" spans="84:91" s="51" customFormat="1">
      <c r="CF5628" s="239"/>
      <c r="CM5628" s="336"/>
    </row>
    <row r="5629" spans="84:91" s="51" customFormat="1">
      <c r="CF5629" s="239"/>
      <c r="CM5629" s="336"/>
    </row>
    <row r="5630" spans="84:91" s="51" customFormat="1">
      <c r="CF5630" s="239"/>
      <c r="CM5630" s="336"/>
    </row>
    <row r="5631" spans="84:91" s="51" customFormat="1">
      <c r="CF5631" s="239"/>
      <c r="CM5631" s="336"/>
    </row>
    <row r="5632" spans="84:91" s="51" customFormat="1">
      <c r="CF5632" s="239"/>
      <c r="CM5632" s="336"/>
    </row>
    <row r="5633" spans="84:91" s="51" customFormat="1">
      <c r="CF5633" s="239"/>
      <c r="CM5633" s="336"/>
    </row>
    <row r="5634" spans="84:91" s="51" customFormat="1">
      <c r="CF5634" s="239"/>
      <c r="CM5634" s="336"/>
    </row>
    <row r="5635" spans="84:91" s="51" customFormat="1">
      <c r="CF5635" s="239"/>
      <c r="CM5635" s="336"/>
    </row>
    <row r="5636" spans="84:91" s="51" customFormat="1">
      <c r="CF5636" s="239"/>
      <c r="CM5636" s="336"/>
    </row>
    <row r="5637" spans="84:91" s="51" customFormat="1">
      <c r="CF5637" s="239"/>
      <c r="CM5637" s="336"/>
    </row>
    <row r="5638" spans="84:91" s="51" customFormat="1">
      <c r="CF5638" s="239"/>
      <c r="CM5638" s="336"/>
    </row>
    <row r="5639" spans="84:91" s="51" customFormat="1">
      <c r="CF5639" s="239"/>
      <c r="CM5639" s="336"/>
    </row>
    <row r="5640" spans="84:91" s="51" customFormat="1">
      <c r="CF5640" s="239"/>
      <c r="CM5640" s="336"/>
    </row>
    <row r="5641" spans="84:91" s="51" customFormat="1">
      <c r="CF5641" s="239"/>
      <c r="CM5641" s="336"/>
    </row>
    <row r="5642" spans="84:91" s="51" customFormat="1">
      <c r="CF5642" s="239"/>
      <c r="CM5642" s="336"/>
    </row>
    <row r="5643" spans="84:91" s="51" customFormat="1">
      <c r="CF5643" s="239"/>
      <c r="CM5643" s="336"/>
    </row>
    <row r="5644" spans="84:91" s="51" customFormat="1">
      <c r="CF5644" s="239"/>
      <c r="CM5644" s="336"/>
    </row>
    <row r="5645" spans="84:91" s="51" customFormat="1">
      <c r="CF5645" s="239"/>
      <c r="CM5645" s="336"/>
    </row>
    <row r="5646" spans="84:91" s="51" customFormat="1">
      <c r="CF5646" s="239"/>
      <c r="CM5646" s="336"/>
    </row>
    <row r="5647" spans="84:91" s="51" customFormat="1">
      <c r="CF5647" s="239"/>
      <c r="CM5647" s="336"/>
    </row>
    <row r="5648" spans="84:91" s="51" customFormat="1">
      <c r="CF5648" s="239"/>
      <c r="CM5648" s="336"/>
    </row>
    <row r="5649" spans="84:91" s="51" customFormat="1">
      <c r="CF5649" s="239"/>
      <c r="CM5649" s="336"/>
    </row>
    <row r="5650" spans="84:91" s="51" customFormat="1">
      <c r="CF5650" s="239"/>
      <c r="CM5650" s="336"/>
    </row>
    <row r="5651" spans="84:91" s="51" customFormat="1">
      <c r="CF5651" s="239"/>
      <c r="CM5651" s="336"/>
    </row>
    <row r="5652" spans="84:91" s="51" customFormat="1">
      <c r="CF5652" s="239"/>
      <c r="CM5652" s="336"/>
    </row>
    <row r="5653" spans="84:91" s="51" customFormat="1">
      <c r="CF5653" s="239"/>
      <c r="CM5653" s="336"/>
    </row>
    <row r="5654" spans="84:91" s="51" customFormat="1">
      <c r="CF5654" s="239"/>
      <c r="CM5654" s="336"/>
    </row>
    <row r="5655" spans="84:91" s="51" customFormat="1">
      <c r="CF5655" s="239"/>
      <c r="CM5655" s="336"/>
    </row>
    <row r="5656" spans="84:91" s="51" customFormat="1">
      <c r="CF5656" s="239"/>
      <c r="CM5656" s="336"/>
    </row>
    <row r="5657" spans="84:91" s="51" customFormat="1">
      <c r="CF5657" s="239"/>
      <c r="CM5657" s="336"/>
    </row>
    <row r="5658" spans="84:91" s="51" customFormat="1">
      <c r="CF5658" s="239"/>
      <c r="CM5658" s="336"/>
    </row>
    <row r="5659" spans="84:91" s="51" customFormat="1">
      <c r="CF5659" s="239"/>
      <c r="CM5659" s="336"/>
    </row>
    <row r="5660" spans="84:91" s="51" customFormat="1">
      <c r="CF5660" s="239"/>
      <c r="CM5660" s="336"/>
    </row>
    <row r="5661" spans="84:91" s="51" customFormat="1">
      <c r="CF5661" s="239"/>
      <c r="CM5661" s="336"/>
    </row>
    <row r="5662" spans="84:91" s="51" customFormat="1">
      <c r="CF5662" s="239"/>
      <c r="CM5662" s="336"/>
    </row>
    <row r="5663" spans="84:91" s="51" customFormat="1">
      <c r="CF5663" s="239"/>
      <c r="CM5663" s="336"/>
    </row>
    <row r="5664" spans="84:91" s="51" customFormat="1">
      <c r="CF5664" s="239"/>
      <c r="CM5664" s="336"/>
    </row>
    <row r="5665" spans="84:91" s="51" customFormat="1">
      <c r="CF5665" s="239"/>
      <c r="CM5665" s="336"/>
    </row>
    <row r="5666" spans="84:91" s="51" customFormat="1">
      <c r="CF5666" s="239"/>
      <c r="CM5666" s="336"/>
    </row>
    <row r="5667" spans="84:91" s="51" customFormat="1">
      <c r="CF5667" s="239"/>
      <c r="CM5667" s="336"/>
    </row>
    <row r="5668" spans="84:91" s="51" customFormat="1">
      <c r="CF5668" s="239"/>
      <c r="CM5668" s="336"/>
    </row>
    <row r="5669" spans="84:91" s="51" customFormat="1">
      <c r="CF5669" s="239"/>
      <c r="CM5669" s="336"/>
    </row>
    <row r="5670" spans="84:91" s="51" customFormat="1">
      <c r="CF5670" s="239"/>
      <c r="CM5670" s="336"/>
    </row>
    <row r="5671" spans="84:91" s="51" customFormat="1">
      <c r="CF5671" s="239"/>
      <c r="CM5671" s="336"/>
    </row>
    <row r="5672" spans="84:91" s="51" customFormat="1">
      <c r="CF5672" s="239"/>
      <c r="CM5672" s="336"/>
    </row>
    <row r="5673" spans="84:91" s="51" customFormat="1">
      <c r="CF5673" s="239"/>
      <c r="CM5673" s="336"/>
    </row>
    <row r="5674" spans="84:91" s="51" customFormat="1">
      <c r="CF5674" s="239"/>
      <c r="CM5674" s="336"/>
    </row>
    <row r="5675" spans="84:91" s="51" customFormat="1">
      <c r="CF5675" s="239"/>
      <c r="CM5675" s="336"/>
    </row>
    <row r="5676" spans="84:91" s="51" customFormat="1">
      <c r="CF5676" s="239"/>
      <c r="CM5676" s="336"/>
    </row>
    <row r="5677" spans="84:91" s="51" customFormat="1">
      <c r="CF5677" s="239"/>
      <c r="CM5677" s="336"/>
    </row>
    <row r="5678" spans="84:91" s="51" customFormat="1">
      <c r="CF5678" s="239"/>
      <c r="CM5678" s="336"/>
    </row>
    <row r="5679" spans="84:91" s="51" customFormat="1">
      <c r="CF5679" s="239"/>
      <c r="CM5679" s="336"/>
    </row>
    <row r="5680" spans="84:91" s="51" customFormat="1">
      <c r="CF5680" s="239"/>
      <c r="CM5680" s="336"/>
    </row>
    <row r="5681" spans="84:91" s="51" customFormat="1">
      <c r="CF5681" s="239"/>
      <c r="CM5681" s="336"/>
    </row>
    <row r="5682" spans="84:91" s="51" customFormat="1">
      <c r="CF5682" s="239"/>
      <c r="CM5682" s="336"/>
    </row>
    <row r="5683" spans="84:91" s="51" customFormat="1">
      <c r="CF5683" s="239"/>
      <c r="CM5683" s="336"/>
    </row>
    <row r="5684" spans="84:91" s="51" customFormat="1">
      <c r="CF5684" s="239"/>
      <c r="CM5684" s="336"/>
    </row>
    <row r="5685" spans="84:91" s="51" customFormat="1">
      <c r="CF5685" s="239"/>
      <c r="CM5685" s="336"/>
    </row>
    <row r="5686" spans="84:91" s="51" customFormat="1">
      <c r="CF5686" s="239"/>
      <c r="CM5686" s="336"/>
    </row>
    <row r="5687" spans="84:91" s="51" customFormat="1">
      <c r="CF5687" s="239"/>
      <c r="CM5687" s="336"/>
    </row>
    <row r="5688" spans="84:91" s="51" customFormat="1">
      <c r="CF5688" s="239"/>
      <c r="CM5688" s="336"/>
    </row>
    <row r="5689" spans="84:91" s="51" customFormat="1">
      <c r="CF5689" s="239"/>
      <c r="CM5689" s="336"/>
    </row>
    <row r="5690" spans="84:91" s="51" customFormat="1">
      <c r="CF5690" s="239"/>
      <c r="CM5690" s="336"/>
    </row>
    <row r="5691" spans="84:91" s="51" customFormat="1">
      <c r="CF5691" s="239"/>
      <c r="CM5691" s="336"/>
    </row>
    <row r="5692" spans="84:91" s="51" customFormat="1">
      <c r="CF5692" s="239"/>
      <c r="CM5692" s="336"/>
    </row>
    <row r="5693" spans="84:91" s="51" customFormat="1">
      <c r="CF5693" s="239"/>
      <c r="CM5693" s="336"/>
    </row>
    <row r="5694" spans="84:91" s="51" customFormat="1">
      <c r="CF5694" s="239"/>
      <c r="CM5694" s="336"/>
    </row>
    <row r="5695" spans="84:91" s="51" customFormat="1">
      <c r="CF5695" s="239"/>
      <c r="CM5695" s="336"/>
    </row>
    <row r="5696" spans="84:91" s="51" customFormat="1">
      <c r="CF5696" s="239"/>
      <c r="CM5696" s="336"/>
    </row>
    <row r="5697" spans="84:91" s="51" customFormat="1">
      <c r="CF5697" s="239"/>
      <c r="CM5697" s="336"/>
    </row>
    <row r="5698" spans="84:91" s="51" customFormat="1">
      <c r="CF5698" s="239"/>
      <c r="CM5698" s="336"/>
    </row>
    <row r="5699" spans="84:91" s="51" customFormat="1">
      <c r="CF5699" s="239"/>
      <c r="CM5699" s="336"/>
    </row>
    <row r="5700" spans="84:91" s="51" customFormat="1">
      <c r="CF5700" s="239"/>
      <c r="CM5700" s="336"/>
    </row>
    <row r="5701" spans="84:91" s="51" customFormat="1">
      <c r="CF5701" s="239"/>
      <c r="CM5701" s="336"/>
    </row>
    <row r="5702" spans="84:91" s="51" customFormat="1">
      <c r="CF5702" s="239"/>
      <c r="CM5702" s="336"/>
    </row>
    <row r="5703" spans="84:91" s="51" customFormat="1">
      <c r="CF5703" s="239"/>
      <c r="CM5703" s="336"/>
    </row>
    <row r="5704" spans="84:91" s="51" customFormat="1">
      <c r="CF5704" s="239"/>
      <c r="CM5704" s="336"/>
    </row>
    <row r="5705" spans="84:91" s="51" customFormat="1">
      <c r="CF5705" s="239"/>
      <c r="CM5705" s="336"/>
    </row>
    <row r="5706" spans="84:91" s="51" customFormat="1">
      <c r="CF5706" s="239"/>
      <c r="CM5706" s="336"/>
    </row>
    <row r="5707" spans="84:91" s="51" customFormat="1">
      <c r="CF5707" s="239"/>
      <c r="CM5707" s="336"/>
    </row>
    <row r="5708" spans="84:91" s="51" customFormat="1">
      <c r="CF5708" s="239"/>
      <c r="CM5708" s="336"/>
    </row>
    <row r="5709" spans="84:91" s="51" customFormat="1">
      <c r="CF5709" s="239"/>
      <c r="CM5709" s="336"/>
    </row>
    <row r="5710" spans="84:91" s="51" customFormat="1">
      <c r="CF5710" s="239"/>
      <c r="CM5710" s="336"/>
    </row>
    <row r="5711" spans="84:91" s="51" customFormat="1">
      <c r="CF5711" s="239"/>
      <c r="CM5711" s="336"/>
    </row>
    <row r="5712" spans="84:91" s="51" customFormat="1">
      <c r="CF5712" s="239"/>
      <c r="CM5712" s="336"/>
    </row>
    <row r="5713" spans="84:91" s="51" customFormat="1">
      <c r="CF5713" s="239"/>
      <c r="CM5713" s="336"/>
    </row>
    <row r="5714" spans="84:91" s="51" customFormat="1">
      <c r="CF5714" s="239"/>
      <c r="CM5714" s="336"/>
    </row>
    <row r="5715" spans="84:91" s="51" customFormat="1">
      <c r="CF5715" s="239"/>
      <c r="CM5715" s="336"/>
    </row>
    <row r="5716" spans="84:91" s="51" customFormat="1">
      <c r="CF5716" s="239"/>
      <c r="CM5716" s="336"/>
    </row>
    <row r="5717" spans="84:91" s="51" customFormat="1">
      <c r="CF5717" s="239"/>
      <c r="CM5717" s="336"/>
    </row>
    <row r="5718" spans="84:91" s="51" customFormat="1">
      <c r="CF5718" s="239"/>
      <c r="CM5718" s="336"/>
    </row>
    <row r="5719" spans="84:91" s="51" customFormat="1">
      <c r="CF5719" s="239"/>
      <c r="CM5719" s="336"/>
    </row>
    <row r="5720" spans="84:91" s="51" customFormat="1">
      <c r="CF5720" s="239"/>
      <c r="CM5720" s="336"/>
    </row>
    <row r="5721" spans="84:91" s="51" customFormat="1">
      <c r="CF5721" s="239"/>
      <c r="CM5721" s="336"/>
    </row>
    <row r="5722" spans="84:91" s="51" customFormat="1">
      <c r="CF5722" s="239"/>
      <c r="CM5722" s="336"/>
    </row>
    <row r="5723" spans="84:91" s="51" customFormat="1">
      <c r="CF5723" s="239"/>
      <c r="CM5723" s="336"/>
    </row>
    <row r="5724" spans="84:91" s="51" customFormat="1">
      <c r="CF5724" s="239"/>
      <c r="CM5724" s="336"/>
    </row>
    <row r="5725" spans="84:91" s="51" customFormat="1">
      <c r="CF5725" s="239"/>
      <c r="CM5725" s="336"/>
    </row>
    <row r="5726" spans="84:91" s="51" customFormat="1">
      <c r="CF5726" s="239"/>
      <c r="CM5726" s="336"/>
    </row>
    <row r="5727" spans="84:91" s="51" customFormat="1">
      <c r="CF5727" s="239"/>
      <c r="CM5727" s="336"/>
    </row>
    <row r="5728" spans="84:91" s="51" customFormat="1">
      <c r="CF5728" s="239"/>
      <c r="CM5728" s="336"/>
    </row>
    <row r="5729" spans="84:91" s="51" customFormat="1">
      <c r="CF5729" s="239"/>
      <c r="CM5729" s="336"/>
    </row>
    <row r="5730" spans="84:91" s="51" customFormat="1">
      <c r="CF5730" s="239"/>
      <c r="CM5730" s="336"/>
    </row>
    <row r="5731" spans="84:91" s="51" customFormat="1">
      <c r="CF5731" s="239"/>
      <c r="CM5731" s="336"/>
    </row>
    <row r="5732" spans="84:91" s="51" customFormat="1">
      <c r="CF5732" s="239"/>
      <c r="CM5732" s="336"/>
    </row>
    <row r="5733" spans="84:91" s="51" customFormat="1">
      <c r="CF5733" s="239"/>
      <c r="CM5733" s="336"/>
    </row>
    <row r="5734" spans="84:91" s="51" customFormat="1">
      <c r="CF5734" s="239"/>
      <c r="CM5734" s="336"/>
    </row>
    <row r="5735" spans="84:91" s="51" customFormat="1">
      <c r="CF5735" s="239"/>
      <c r="CM5735" s="336"/>
    </row>
    <row r="5736" spans="84:91" s="51" customFormat="1">
      <c r="CF5736" s="239"/>
      <c r="CM5736" s="336"/>
    </row>
    <row r="5737" spans="84:91" s="51" customFormat="1">
      <c r="CF5737" s="239"/>
      <c r="CM5737" s="336"/>
    </row>
    <row r="5738" spans="84:91" s="51" customFormat="1">
      <c r="CF5738" s="239"/>
      <c r="CM5738" s="336"/>
    </row>
    <row r="5739" spans="84:91" s="51" customFormat="1">
      <c r="CF5739" s="239"/>
      <c r="CM5739" s="336"/>
    </row>
    <row r="5740" spans="84:91" s="51" customFormat="1">
      <c r="CF5740" s="239"/>
      <c r="CM5740" s="336"/>
    </row>
    <row r="5741" spans="84:91" s="51" customFormat="1">
      <c r="CF5741" s="239"/>
      <c r="CM5741" s="336"/>
    </row>
    <row r="5742" spans="84:91" s="51" customFormat="1">
      <c r="CF5742" s="239"/>
      <c r="CM5742" s="336"/>
    </row>
    <row r="5743" spans="84:91" s="51" customFormat="1">
      <c r="CF5743" s="239"/>
      <c r="CM5743" s="336"/>
    </row>
    <row r="5744" spans="84:91" s="51" customFormat="1">
      <c r="CF5744" s="239"/>
      <c r="CM5744" s="336"/>
    </row>
    <row r="5745" spans="84:91" s="51" customFormat="1">
      <c r="CF5745" s="239"/>
      <c r="CM5745" s="336"/>
    </row>
    <row r="5746" spans="84:91" s="51" customFormat="1">
      <c r="CF5746" s="239"/>
      <c r="CM5746" s="336"/>
    </row>
    <row r="5747" spans="84:91" s="51" customFormat="1">
      <c r="CF5747" s="239"/>
      <c r="CM5747" s="336"/>
    </row>
    <row r="5748" spans="84:91" s="51" customFormat="1">
      <c r="CF5748" s="239"/>
      <c r="CM5748" s="336"/>
    </row>
    <row r="5749" spans="84:91" s="51" customFormat="1">
      <c r="CF5749" s="239"/>
      <c r="CM5749" s="336"/>
    </row>
    <row r="5750" spans="84:91" s="51" customFormat="1">
      <c r="CF5750" s="239"/>
      <c r="CM5750" s="336"/>
    </row>
    <row r="5751" spans="84:91" s="51" customFormat="1">
      <c r="CF5751" s="239"/>
      <c r="CM5751" s="336"/>
    </row>
    <row r="5752" spans="84:91" s="51" customFormat="1">
      <c r="CF5752" s="239"/>
      <c r="CM5752" s="336"/>
    </row>
    <row r="5753" spans="84:91" s="51" customFormat="1">
      <c r="CF5753" s="239"/>
      <c r="CM5753" s="336"/>
    </row>
    <row r="5754" spans="84:91" s="51" customFormat="1">
      <c r="CF5754" s="239"/>
      <c r="CM5754" s="336"/>
    </row>
    <row r="5755" spans="84:91" s="51" customFormat="1">
      <c r="CF5755" s="239"/>
      <c r="CM5755" s="336"/>
    </row>
    <row r="5756" spans="84:91" s="51" customFormat="1">
      <c r="CF5756" s="239"/>
      <c r="CM5756" s="336"/>
    </row>
    <row r="5757" spans="84:91" s="51" customFormat="1">
      <c r="CF5757" s="239"/>
      <c r="CM5757" s="336"/>
    </row>
    <row r="5758" spans="84:91" s="51" customFormat="1">
      <c r="CF5758" s="239"/>
      <c r="CM5758" s="336"/>
    </row>
    <row r="5759" spans="84:91" s="51" customFormat="1">
      <c r="CF5759" s="239"/>
      <c r="CM5759" s="336"/>
    </row>
    <row r="5760" spans="84:91" s="51" customFormat="1">
      <c r="CF5760" s="239"/>
      <c r="CM5760" s="336"/>
    </row>
    <row r="5761" spans="84:91" s="51" customFormat="1">
      <c r="CF5761" s="239"/>
      <c r="CM5761" s="336"/>
    </row>
    <row r="5762" spans="84:91" s="51" customFormat="1">
      <c r="CF5762" s="239"/>
      <c r="CM5762" s="336"/>
    </row>
    <row r="5763" spans="84:91" s="51" customFormat="1">
      <c r="CF5763" s="239"/>
      <c r="CM5763" s="336"/>
    </row>
    <row r="5764" spans="84:91" s="51" customFormat="1">
      <c r="CF5764" s="239"/>
      <c r="CM5764" s="336"/>
    </row>
    <row r="5765" spans="84:91" s="51" customFormat="1">
      <c r="CF5765" s="239"/>
      <c r="CM5765" s="336"/>
    </row>
    <row r="5766" spans="84:91" s="51" customFormat="1">
      <c r="CF5766" s="239"/>
      <c r="CM5766" s="336"/>
    </row>
    <row r="5767" spans="84:91" s="51" customFormat="1">
      <c r="CF5767" s="239"/>
      <c r="CM5767" s="336"/>
    </row>
    <row r="5768" spans="84:91" s="51" customFormat="1">
      <c r="CF5768" s="239"/>
      <c r="CM5768" s="336"/>
    </row>
    <row r="5769" spans="84:91" s="51" customFormat="1">
      <c r="CF5769" s="239"/>
      <c r="CM5769" s="336"/>
    </row>
    <row r="5770" spans="84:91" s="51" customFormat="1">
      <c r="CF5770" s="239"/>
      <c r="CM5770" s="336"/>
    </row>
    <row r="5771" spans="84:91" s="51" customFormat="1">
      <c r="CF5771" s="239"/>
      <c r="CM5771" s="336"/>
    </row>
    <row r="5772" spans="84:91" s="51" customFormat="1">
      <c r="CF5772" s="239"/>
      <c r="CM5772" s="336"/>
    </row>
    <row r="5773" spans="84:91" s="51" customFormat="1">
      <c r="CF5773" s="239"/>
      <c r="CM5773" s="336"/>
    </row>
    <row r="5774" spans="84:91" s="51" customFormat="1">
      <c r="CF5774" s="239"/>
      <c r="CM5774" s="336"/>
    </row>
    <row r="5775" spans="84:91" s="51" customFormat="1">
      <c r="CF5775" s="239"/>
      <c r="CM5775" s="336"/>
    </row>
    <row r="5776" spans="84:91" s="51" customFormat="1">
      <c r="CF5776" s="239"/>
      <c r="CM5776" s="336"/>
    </row>
    <row r="5777" spans="84:91" s="51" customFormat="1">
      <c r="CF5777" s="239"/>
      <c r="CM5777" s="336"/>
    </row>
    <row r="5778" spans="84:91" s="51" customFormat="1">
      <c r="CF5778" s="239"/>
      <c r="CM5778" s="336"/>
    </row>
    <row r="5779" spans="84:91" s="51" customFormat="1">
      <c r="CF5779" s="239"/>
      <c r="CM5779" s="336"/>
    </row>
    <row r="5780" spans="84:91" s="51" customFormat="1">
      <c r="CF5780" s="239"/>
      <c r="CM5780" s="336"/>
    </row>
    <row r="5781" spans="84:91" s="51" customFormat="1">
      <c r="CF5781" s="239"/>
      <c r="CM5781" s="336"/>
    </row>
    <row r="5782" spans="84:91" s="51" customFormat="1">
      <c r="CF5782" s="239"/>
      <c r="CM5782" s="336"/>
    </row>
    <row r="5783" spans="84:91" s="51" customFormat="1">
      <c r="CF5783" s="239"/>
      <c r="CM5783" s="336"/>
    </row>
    <row r="5784" spans="84:91" s="51" customFormat="1">
      <c r="CF5784" s="239"/>
      <c r="CM5784" s="336"/>
    </row>
    <row r="5785" spans="84:91" s="51" customFormat="1">
      <c r="CF5785" s="239"/>
      <c r="CM5785" s="336"/>
    </row>
    <row r="5786" spans="84:91" s="51" customFormat="1">
      <c r="CF5786" s="239"/>
      <c r="CM5786" s="336"/>
    </row>
    <row r="5787" spans="84:91" s="51" customFormat="1">
      <c r="CF5787" s="239"/>
      <c r="CM5787" s="336"/>
    </row>
    <row r="5788" spans="84:91" s="51" customFormat="1">
      <c r="CF5788" s="239"/>
      <c r="CM5788" s="336"/>
    </row>
    <row r="5789" spans="84:91" s="51" customFormat="1">
      <c r="CF5789" s="239"/>
      <c r="CM5789" s="336"/>
    </row>
    <row r="5790" spans="84:91" s="51" customFormat="1">
      <c r="CF5790" s="239"/>
      <c r="CM5790" s="336"/>
    </row>
    <row r="5791" spans="84:91" s="51" customFormat="1">
      <c r="CF5791" s="239"/>
      <c r="CM5791" s="336"/>
    </row>
    <row r="5792" spans="84:91" s="51" customFormat="1">
      <c r="CF5792" s="239"/>
      <c r="CM5792" s="336"/>
    </row>
    <row r="5793" spans="84:91" s="51" customFormat="1">
      <c r="CF5793" s="239"/>
      <c r="CM5793" s="336"/>
    </row>
    <row r="5794" spans="84:91" s="51" customFormat="1">
      <c r="CF5794" s="239"/>
      <c r="CM5794" s="336"/>
    </row>
    <row r="5795" spans="84:91" s="51" customFormat="1">
      <c r="CF5795" s="239"/>
      <c r="CM5795" s="336"/>
    </row>
    <row r="5796" spans="84:91" s="51" customFormat="1">
      <c r="CF5796" s="239"/>
      <c r="CM5796" s="336"/>
    </row>
    <row r="5797" spans="84:91" s="51" customFormat="1">
      <c r="CF5797" s="239"/>
      <c r="CM5797" s="336"/>
    </row>
    <row r="5798" spans="84:91" s="51" customFormat="1">
      <c r="CF5798" s="239"/>
      <c r="CM5798" s="336"/>
    </row>
    <row r="5799" spans="84:91" s="51" customFormat="1">
      <c r="CF5799" s="239"/>
      <c r="CM5799" s="336"/>
    </row>
    <row r="5800" spans="84:91" s="51" customFormat="1">
      <c r="CF5800" s="239"/>
      <c r="CM5800" s="336"/>
    </row>
    <row r="5801" spans="84:91" s="51" customFormat="1">
      <c r="CF5801" s="239"/>
      <c r="CM5801" s="336"/>
    </row>
    <row r="5802" spans="84:91" s="51" customFormat="1">
      <c r="CF5802" s="239"/>
      <c r="CM5802" s="336"/>
    </row>
    <row r="5803" spans="84:91" s="51" customFormat="1">
      <c r="CF5803" s="239"/>
      <c r="CM5803" s="336"/>
    </row>
    <row r="5804" spans="84:91" s="51" customFormat="1">
      <c r="CF5804" s="239"/>
      <c r="CM5804" s="336"/>
    </row>
    <row r="5805" spans="84:91" s="51" customFormat="1">
      <c r="CF5805" s="239"/>
      <c r="CM5805" s="336"/>
    </row>
    <row r="5806" spans="84:91" s="51" customFormat="1">
      <c r="CF5806" s="239"/>
      <c r="CM5806" s="336"/>
    </row>
    <row r="5807" spans="84:91" s="51" customFormat="1">
      <c r="CF5807" s="239"/>
      <c r="CM5807" s="336"/>
    </row>
    <row r="5808" spans="84:91" s="51" customFormat="1">
      <c r="CF5808" s="239"/>
      <c r="CM5808" s="336"/>
    </row>
    <row r="5809" spans="84:91" s="51" customFormat="1">
      <c r="CF5809" s="239"/>
      <c r="CM5809" s="336"/>
    </row>
    <row r="5810" spans="84:91" s="51" customFormat="1">
      <c r="CF5810" s="239"/>
      <c r="CM5810" s="336"/>
    </row>
    <row r="5811" spans="84:91" s="51" customFormat="1">
      <c r="CF5811" s="239"/>
      <c r="CM5811" s="336"/>
    </row>
    <row r="5812" spans="84:91" s="51" customFormat="1">
      <c r="CF5812" s="239"/>
      <c r="CM5812" s="336"/>
    </row>
    <row r="5813" spans="84:91" s="51" customFormat="1">
      <c r="CF5813" s="239"/>
      <c r="CM5813" s="336"/>
    </row>
    <row r="5814" spans="84:91" s="51" customFormat="1">
      <c r="CF5814" s="239"/>
      <c r="CM5814" s="336"/>
    </row>
    <row r="5815" spans="84:91" s="51" customFormat="1">
      <c r="CF5815" s="239"/>
      <c r="CM5815" s="336"/>
    </row>
    <row r="5816" spans="84:91" s="51" customFormat="1">
      <c r="CF5816" s="239"/>
      <c r="CM5816" s="336"/>
    </row>
    <row r="5817" spans="84:91" s="51" customFormat="1">
      <c r="CF5817" s="239"/>
      <c r="CM5817" s="336"/>
    </row>
    <row r="5818" spans="84:91" s="51" customFormat="1">
      <c r="CF5818" s="239"/>
      <c r="CM5818" s="336"/>
    </row>
    <row r="5819" spans="84:91" s="51" customFormat="1">
      <c r="CF5819" s="239"/>
      <c r="CM5819" s="336"/>
    </row>
    <row r="5820" spans="84:91" s="51" customFormat="1">
      <c r="CF5820" s="239"/>
      <c r="CM5820" s="336"/>
    </row>
    <row r="5821" spans="84:91" s="51" customFormat="1">
      <c r="CF5821" s="239"/>
      <c r="CM5821" s="336"/>
    </row>
    <row r="5822" spans="84:91" s="51" customFormat="1">
      <c r="CF5822" s="239"/>
      <c r="CM5822" s="336"/>
    </row>
    <row r="5823" spans="84:91" s="51" customFormat="1">
      <c r="CF5823" s="239"/>
      <c r="CM5823" s="336"/>
    </row>
    <row r="5824" spans="84:91" s="51" customFormat="1">
      <c r="CF5824" s="239"/>
      <c r="CM5824" s="336"/>
    </row>
    <row r="5825" spans="84:91" s="51" customFormat="1">
      <c r="CF5825" s="239"/>
      <c r="CM5825" s="336"/>
    </row>
    <row r="5826" spans="84:91" s="51" customFormat="1">
      <c r="CF5826" s="239"/>
      <c r="CM5826" s="336"/>
    </row>
    <row r="5827" spans="84:91" s="51" customFormat="1">
      <c r="CF5827" s="239"/>
      <c r="CM5827" s="336"/>
    </row>
    <row r="5828" spans="84:91" s="51" customFormat="1">
      <c r="CF5828" s="239"/>
      <c r="CM5828" s="336"/>
    </row>
    <row r="5829" spans="84:91" s="51" customFormat="1">
      <c r="CF5829" s="239"/>
      <c r="CM5829" s="336"/>
    </row>
    <row r="5830" spans="84:91" s="51" customFormat="1">
      <c r="CF5830" s="239"/>
      <c r="CM5830" s="336"/>
    </row>
    <row r="5831" spans="84:91" s="51" customFormat="1">
      <c r="CF5831" s="239"/>
      <c r="CM5831" s="336"/>
    </row>
    <row r="5832" spans="84:91" s="51" customFormat="1">
      <c r="CF5832" s="239"/>
      <c r="CM5832" s="336"/>
    </row>
    <row r="5833" spans="84:91" s="51" customFormat="1">
      <c r="CF5833" s="239"/>
      <c r="CM5833" s="336"/>
    </row>
    <row r="5834" spans="84:91" s="51" customFormat="1">
      <c r="CF5834" s="239"/>
      <c r="CM5834" s="336"/>
    </row>
    <row r="5835" spans="84:91" s="51" customFormat="1">
      <c r="CF5835" s="239"/>
      <c r="CM5835" s="336"/>
    </row>
    <row r="5836" spans="84:91" s="51" customFormat="1">
      <c r="CF5836" s="239"/>
      <c r="CM5836" s="336"/>
    </row>
    <row r="5837" spans="84:91" s="51" customFormat="1">
      <c r="CF5837" s="239"/>
      <c r="CM5837" s="336"/>
    </row>
    <row r="5838" spans="84:91" s="51" customFormat="1">
      <c r="CF5838" s="239"/>
      <c r="CM5838" s="336"/>
    </row>
    <row r="5839" spans="84:91" s="51" customFormat="1">
      <c r="CF5839" s="239"/>
      <c r="CM5839" s="336"/>
    </row>
    <row r="5840" spans="84:91" s="51" customFormat="1">
      <c r="CF5840" s="239"/>
      <c r="CM5840" s="336"/>
    </row>
    <row r="5841" spans="84:91" s="51" customFormat="1">
      <c r="CF5841" s="239"/>
      <c r="CM5841" s="336"/>
    </row>
    <row r="5842" spans="84:91" s="51" customFormat="1">
      <c r="CF5842" s="239"/>
      <c r="CM5842" s="336"/>
    </row>
    <row r="5843" spans="84:91" s="51" customFormat="1">
      <c r="CF5843" s="239"/>
      <c r="CM5843" s="336"/>
    </row>
    <row r="5844" spans="84:91" s="51" customFormat="1">
      <c r="CF5844" s="239"/>
      <c r="CM5844" s="336"/>
    </row>
    <row r="5845" spans="84:91" s="51" customFormat="1">
      <c r="CF5845" s="239"/>
      <c r="CM5845" s="336"/>
    </row>
    <row r="5846" spans="84:91" s="51" customFormat="1">
      <c r="CF5846" s="239"/>
      <c r="CM5846" s="336"/>
    </row>
    <row r="5847" spans="84:91" s="51" customFormat="1">
      <c r="CF5847" s="239"/>
      <c r="CM5847" s="336"/>
    </row>
    <row r="5848" spans="84:91" s="51" customFormat="1">
      <c r="CF5848" s="239"/>
      <c r="CM5848" s="336"/>
    </row>
    <row r="5849" spans="84:91" s="51" customFormat="1">
      <c r="CF5849" s="239"/>
      <c r="CM5849" s="336"/>
    </row>
    <row r="5850" spans="84:91" s="51" customFormat="1">
      <c r="CF5850" s="239"/>
      <c r="CM5850" s="336"/>
    </row>
    <row r="5851" spans="84:91" s="51" customFormat="1">
      <c r="CF5851" s="239"/>
      <c r="CM5851" s="336"/>
    </row>
    <row r="5852" spans="84:91" s="51" customFormat="1">
      <c r="CF5852" s="239"/>
      <c r="CM5852" s="336"/>
    </row>
    <row r="5853" spans="84:91" s="51" customFormat="1">
      <c r="CF5853" s="239"/>
      <c r="CM5853" s="336"/>
    </row>
    <row r="5854" spans="84:91" s="51" customFormat="1">
      <c r="CF5854" s="239"/>
      <c r="CM5854" s="336"/>
    </row>
    <row r="5855" spans="84:91" s="51" customFormat="1">
      <c r="CF5855" s="239"/>
      <c r="CM5855" s="336"/>
    </row>
    <row r="5856" spans="84:91" s="51" customFormat="1">
      <c r="CF5856" s="239"/>
      <c r="CM5856" s="336"/>
    </row>
    <row r="5857" spans="84:91" s="51" customFormat="1">
      <c r="CF5857" s="239"/>
      <c r="CM5857" s="336"/>
    </row>
    <row r="5858" spans="84:91" s="51" customFormat="1">
      <c r="CF5858" s="239"/>
      <c r="CM5858" s="336"/>
    </row>
    <row r="5859" spans="84:91" s="51" customFormat="1">
      <c r="CF5859" s="239"/>
      <c r="CM5859" s="336"/>
    </row>
    <row r="5860" spans="84:91" s="51" customFormat="1">
      <c r="CF5860" s="239"/>
      <c r="CM5860" s="336"/>
    </row>
    <row r="5861" spans="84:91" s="51" customFormat="1">
      <c r="CF5861" s="239"/>
      <c r="CM5861" s="336"/>
    </row>
    <row r="5862" spans="84:91" s="51" customFormat="1">
      <c r="CF5862" s="239"/>
      <c r="CM5862" s="336"/>
    </row>
    <row r="5863" spans="84:91" s="51" customFormat="1">
      <c r="CF5863" s="239"/>
      <c r="CM5863" s="336"/>
    </row>
    <row r="5864" spans="84:91" s="51" customFormat="1">
      <c r="CF5864" s="239"/>
      <c r="CM5864" s="336"/>
    </row>
    <row r="5865" spans="84:91" s="51" customFormat="1">
      <c r="CF5865" s="239"/>
      <c r="CM5865" s="336"/>
    </row>
    <row r="5866" spans="84:91" s="51" customFormat="1">
      <c r="CF5866" s="239"/>
      <c r="CM5866" s="336"/>
    </row>
    <row r="5867" spans="84:91" s="51" customFormat="1">
      <c r="CF5867" s="239"/>
      <c r="CM5867" s="336"/>
    </row>
    <row r="5868" spans="84:91" s="51" customFormat="1">
      <c r="CF5868" s="239"/>
      <c r="CM5868" s="336"/>
    </row>
    <row r="5869" spans="84:91" s="51" customFormat="1">
      <c r="CF5869" s="239"/>
      <c r="CM5869" s="336"/>
    </row>
    <row r="5870" spans="84:91" s="51" customFormat="1">
      <c r="CF5870" s="239"/>
      <c r="CM5870" s="336"/>
    </row>
    <row r="5871" spans="84:91" s="51" customFormat="1">
      <c r="CF5871" s="239"/>
      <c r="CM5871" s="336"/>
    </row>
    <row r="5872" spans="84:91" s="51" customFormat="1">
      <c r="CF5872" s="239"/>
      <c r="CM5872" s="336"/>
    </row>
    <row r="5873" spans="84:91" s="51" customFormat="1">
      <c r="CF5873" s="239"/>
      <c r="CM5873" s="336"/>
    </row>
    <row r="5874" spans="84:91" s="51" customFormat="1">
      <c r="CF5874" s="239"/>
      <c r="CM5874" s="336"/>
    </row>
    <row r="5875" spans="84:91" s="51" customFormat="1">
      <c r="CF5875" s="239"/>
      <c r="CM5875" s="336"/>
    </row>
    <row r="5876" spans="84:91" s="51" customFormat="1">
      <c r="CF5876" s="239"/>
      <c r="CM5876" s="336"/>
    </row>
    <row r="5877" spans="84:91" s="51" customFormat="1">
      <c r="CF5877" s="239"/>
      <c r="CM5877" s="336"/>
    </row>
    <row r="5878" spans="84:91" s="51" customFormat="1">
      <c r="CF5878" s="239"/>
      <c r="CM5878" s="336"/>
    </row>
    <row r="5879" spans="84:91" s="51" customFormat="1">
      <c r="CF5879" s="239"/>
      <c r="CM5879" s="336"/>
    </row>
    <row r="5880" spans="84:91" s="51" customFormat="1">
      <c r="CF5880" s="239"/>
      <c r="CM5880" s="336"/>
    </row>
    <row r="5881" spans="84:91" s="51" customFormat="1">
      <c r="CF5881" s="239"/>
      <c r="CM5881" s="336"/>
    </row>
    <row r="5882" spans="84:91" s="51" customFormat="1">
      <c r="CF5882" s="239"/>
      <c r="CM5882" s="336"/>
    </row>
    <row r="5883" spans="84:91" s="51" customFormat="1">
      <c r="CF5883" s="239"/>
      <c r="CM5883" s="336"/>
    </row>
    <row r="5884" spans="84:91" s="51" customFormat="1">
      <c r="CF5884" s="239"/>
      <c r="CM5884" s="336"/>
    </row>
    <row r="5885" spans="84:91" s="51" customFormat="1">
      <c r="CF5885" s="239"/>
      <c r="CM5885" s="336"/>
    </row>
    <row r="5886" spans="84:91" s="51" customFormat="1">
      <c r="CF5886" s="239"/>
      <c r="CM5886" s="336"/>
    </row>
    <row r="5887" spans="84:91" s="51" customFormat="1">
      <c r="CF5887" s="239"/>
      <c r="CM5887" s="336"/>
    </row>
    <row r="5888" spans="84:91" s="51" customFormat="1">
      <c r="CF5888" s="239"/>
      <c r="CM5888" s="336"/>
    </row>
    <row r="5889" spans="84:91" s="51" customFormat="1">
      <c r="CF5889" s="239"/>
      <c r="CM5889" s="336"/>
    </row>
    <row r="5890" spans="84:91" s="51" customFormat="1">
      <c r="CF5890" s="239"/>
      <c r="CM5890" s="336"/>
    </row>
    <row r="5891" spans="84:91" s="51" customFormat="1">
      <c r="CF5891" s="239"/>
      <c r="CM5891" s="336"/>
    </row>
    <row r="5892" spans="84:91" s="51" customFormat="1">
      <c r="CF5892" s="239"/>
      <c r="CM5892" s="336"/>
    </row>
    <row r="5893" spans="84:91" s="51" customFormat="1">
      <c r="CF5893" s="239"/>
      <c r="CM5893" s="336"/>
    </row>
    <row r="5894" spans="84:91" s="51" customFormat="1">
      <c r="CF5894" s="239"/>
      <c r="CM5894" s="336"/>
    </row>
    <row r="5895" spans="84:91" s="51" customFormat="1">
      <c r="CF5895" s="239"/>
      <c r="CM5895" s="336"/>
    </row>
    <row r="5896" spans="84:91" s="51" customFormat="1">
      <c r="CF5896" s="239"/>
      <c r="CM5896" s="336"/>
    </row>
    <row r="5897" spans="84:91" s="51" customFormat="1">
      <c r="CF5897" s="239"/>
      <c r="CM5897" s="336"/>
    </row>
    <row r="5898" spans="84:91" s="51" customFormat="1">
      <c r="CF5898" s="239"/>
      <c r="CM5898" s="336"/>
    </row>
    <row r="5899" spans="84:91" s="51" customFormat="1">
      <c r="CF5899" s="239"/>
      <c r="CM5899" s="336"/>
    </row>
    <row r="5900" spans="84:91" s="51" customFormat="1">
      <c r="CF5900" s="239"/>
      <c r="CM5900" s="336"/>
    </row>
    <row r="5901" spans="84:91" s="51" customFormat="1">
      <c r="CF5901" s="239"/>
      <c r="CM5901" s="336"/>
    </row>
    <row r="5902" spans="84:91" s="51" customFormat="1">
      <c r="CF5902" s="239"/>
      <c r="CM5902" s="336"/>
    </row>
    <row r="5903" spans="84:91" s="51" customFormat="1">
      <c r="CF5903" s="239"/>
      <c r="CM5903" s="336"/>
    </row>
    <row r="5904" spans="84:91" s="51" customFormat="1">
      <c r="CF5904" s="239"/>
      <c r="CM5904" s="336"/>
    </row>
    <row r="5905" spans="84:91" s="51" customFormat="1">
      <c r="CF5905" s="239"/>
      <c r="CM5905" s="336"/>
    </row>
    <row r="5906" spans="84:91" s="51" customFormat="1">
      <c r="CF5906" s="239"/>
      <c r="CM5906" s="336"/>
    </row>
    <row r="5907" spans="84:91" s="51" customFormat="1">
      <c r="CF5907" s="239"/>
      <c r="CM5907" s="336"/>
    </row>
    <row r="5908" spans="84:91" s="51" customFormat="1">
      <c r="CF5908" s="239"/>
      <c r="CM5908" s="336"/>
    </row>
    <row r="5909" spans="84:91" s="51" customFormat="1">
      <c r="CF5909" s="239"/>
      <c r="CM5909" s="336"/>
    </row>
    <row r="5910" spans="84:91" s="51" customFormat="1">
      <c r="CF5910" s="239"/>
      <c r="CM5910" s="336"/>
    </row>
    <row r="5911" spans="84:91" s="51" customFormat="1">
      <c r="CF5911" s="239"/>
      <c r="CM5911" s="336"/>
    </row>
    <row r="5912" spans="84:91" s="51" customFormat="1">
      <c r="CF5912" s="239"/>
      <c r="CM5912" s="336"/>
    </row>
    <row r="5913" spans="84:91" s="51" customFormat="1">
      <c r="CF5913" s="239"/>
      <c r="CM5913" s="336"/>
    </row>
    <row r="5914" spans="84:91" s="51" customFormat="1">
      <c r="CF5914" s="239"/>
      <c r="CM5914" s="336"/>
    </row>
    <row r="5915" spans="84:91" s="51" customFormat="1">
      <c r="CF5915" s="239"/>
      <c r="CM5915" s="336"/>
    </row>
    <row r="5916" spans="84:91" s="51" customFormat="1">
      <c r="CF5916" s="239"/>
      <c r="CM5916" s="336"/>
    </row>
    <row r="5917" spans="84:91" s="51" customFormat="1">
      <c r="CF5917" s="239"/>
      <c r="CM5917" s="336"/>
    </row>
    <row r="5918" spans="84:91" s="51" customFormat="1">
      <c r="CF5918" s="239"/>
      <c r="CM5918" s="336"/>
    </row>
    <row r="5919" spans="84:91" s="51" customFormat="1">
      <c r="CF5919" s="239"/>
      <c r="CM5919" s="336"/>
    </row>
    <row r="5920" spans="84:91" s="51" customFormat="1">
      <c r="CF5920" s="239"/>
      <c r="CM5920" s="336"/>
    </row>
    <row r="5921" spans="84:91" s="51" customFormat="1">
      <c r="CF5921" s="239"/>
      <c r="CM5921" s="336"/>
    </row>
    <row r="5922" spans="84:91" s="51" customFormat="1">
      <c r="CF5922" s="239"/>
      <c r="CM5922" s="336"/>
    </row>
    <row r="5923" spans="84:91" s="51" customFormat="1">
      <c r="CF5923" s="239"/>
      <c r="CM5923" s="336"/>
    </row>
    <row r="5924" spans="84:91" s="51" customFormat="1">
      <c r="CF5924" s="239"/>
      <c r="CM5924" s="336"/>
    </row>
    <row r="5925" spans="84:91" s="51" customFormat="1">
      <c r="CF5925" s="239"/>
      <c r="CM5925" s="336"/>
    </row>
    <row r="5926" spans="84:91" s="51" customFormat="1">
      <c r="CF5926" s="239"/>
      <c r="CM5926" s="336"/>
    </row>
    <row r="5927" spans="84:91" s="51" customFormat="1">
      <c r="CF5927" s="239"/>
      <c r="CM5927" s="336"/>
    </row>
    <row r="5928" spans="84:91" s="51" customFormat="1">
      <c r="CF5928" s="239"/>
      <c r="CM5928" s="336"/>
    </row>
    <row r="5929" spans="84:91" s="51" customFormat="1">
      <c r="CF5929" s="239"/>
      <c r="CM5929" s="336"/>
    </row>
    <row r="5930" spans="84:91" s="51" customFormat="1">
      <c r="CF5930" s="239"/>
      <c r="CM5930" s="336"/>
    </row>
    <row r="5931" spans="84:91" s="51" customFormat="1">
      <c r="CF5931" s="239"/>
      <c r="CM5931" s="336"/>
    </row>
    <row r="5932" spans="84:91" s="51" customFormat="1">
      <c r="CF5932" s="239"/>
      <c r="CM5932" s="336"/>
    </row>
    <row r="5933" spans="84:91" s="51" customFormat="1">
      <c r="CF5933" s="239"/>
      <c r="CM5933" s="336"/>
    </row>
    <row r="5934" spans="84:91" s="51" customFormat="1">
      <c r="CF5934" s="239"/>
      <c r="CM5934" s="336"/>
    </row>
    <row r="5935" spans="84:91" s="51" customFormat="1">
      <c r="CF5935" s="239"/>
      <c r="CM5935" s="336"/>
    </row>
    <row r="5936" spans="84:91" s="51" customFormat="1">
      <c r="CF5936" s="239"/>
      <c r="CM5936" s="336"/>
    </row>
    <row r="5937" spans="84:91" s="51" customFormat="1">
      <c r="CF5937" s="239"/>
      <c r="CM5937" s="336"/>
    </row>
    <row r="5938" spans="84:91" s="51" customFormat="1">
      <c r="CF5938" s="239"/>
      <c r="CM5938" s="336"/>
    </row>
    <row r="5939" spans="84:91" s="51" customFormat="1">
      <c r="CF5939" s="239"/>
      <c r="CM5939" s="336"/>
    </row>
    <row r="5940" spans="84:91" s="51" customFormat="1">
      <c r="CF5940" s="239"/>
      <c r="CM5940" s="336"/>
    </row>
    <row r="5941" spans="84:91" s="51" customFormat="1">
      <c r="CF5941" s="239"/>
      <c r="CM5941" s="336"/>
    </row>
    <row r="5942" spans="84:91" s="51" customFormat="1">
      <c r="CF5942" s="239"/>
      <c r="CM5942" s="336"/>
    </row>
    <row r="5943" spans="84:91" s="51" customFormat="1">
      <c r="CF5943" s="239"/>
      <c r="CM5943" s="336"/>
    </row>
    <row r="5944" spans="84:91" s="51" customFormat="1">
      <c r="CF5944" s="239"/>
      <c r="CM5944" s="336"/>
    </row>
    <row r="5945" spans="84:91" s="51" customFormat="1">
      <c r="CF5945" s="239"/>
      <c r="CM5945" s="336"/>
    </row>
    <row r="5946" spans="84:91" s="51" customFormat="1">
      <c r="CF5946" s="239"/>
      <c r="CM5946" s="336"/>
    </row>
    <row r="5947" spans="84:91" s="51" customFormat="1">
      <c r="CF5947" s="239"/>
      <c r="CM5947" s="336"/>
    </row>
    <row r="5948" spans="84:91" s="51" customFormat="1">
      <c r="CF5948" s="239"/>
      <c r="CM5948" s="336"/>
    </row>
    <row r="5949" spans="84:91" s="51" customFormat="1">
      <c r="CF5949" s="239"/>
      <c r="CM5949" s="336"/>
    </row>
    <row r="5950" spans="84:91" s="51" customFormat="1">
      <c r="CF5950" s="239"/>
      <c r="CM5950" s="336"/>
    </row>
    <row r="5951" spans="84:91" s="51" customFormat="1">
      <c r="CF5951" s="239"/>
      <c r="CM5951" s="336"/>
    </row>
    <row r="5952" spans="84:91" s="51" customFormat="1">
      <c r="CF5952" s="239"/>
      <c r="CM5952" s="336"/>
    </row>
    <row r="5953" spans="84:91" s="51" customFormat="1">
      <c r="CF5953" s="239"/>
      <c r="CM5953" s="336"/>
    </row>
    <row r="5954" spans="84:91" s="51" customFormat="1">
      <c r="CF5954" s="239"/>
      <c r="CM5954" s="336"/>
    </row>
    <row r="5955" spans="84:91" s="51" customFormat="1">
      <c r="CF5955" s="239"/>
      <c r="CM5955" s="336"/>
    </row>
    <row r="5956" spans="84:91" s="51" customFormat="1">
      <c r="CF5956" s="239"/>
      <c r="CM5956" s="336"/>
    </row>
    <row r="5957" spans="84:91" s="51" customFormat="1">
      <c r="CF5957" s="239"/>
      <c r="CM5957" s="336"/>
    </row>
    <row r="5958" spans="84:91" s="51" customFormat="1">
      <c r="CF5958" s="239"/>
      <c r="CM5958" s="336"/>
    </row>
    <row r="5959" spans="84:91" s="51" customFormat="1">
      <c r="CF5959" s="239"/>
      <c r="CM5959" s="336"/>
    </row>
    <row r="5960" spans="84:91" s="51" customFormat="1">
      <c r="CF5960" s="239"/>
      <c r="CM5960" s="336"/>
    </row>
    <row r="5961" spans="84:91" s="51" customFormat="1">
      <c r="CF5961" s="239"/>
      <c r="CM5961" s="336"/>
    </row>
    <row r="5962" spans="84:91" s="51" customFormat="1">
      <c r="CF5962" s="239"/>
      <c r="CM5962" s="336"/>
    </row>
    <row r="5963" spans="84:91" s="51" customFormat="1">
      <c r="CF5963" s="239"/>
      <c r="CM5963" s="336"/>
    </row>
    <row r="5964" spans="84:91" s="51" customFormat="1">
      <c r="CF5964" s="239"/>
      <c r="CM5964" s="336"/>
    </row>
    <row r="5965" spans="84:91" s="51" customFormat="1">
      <c r="CF5965" s="239"/>
      <c r="CM5965" s="336"/>
    </row>
    <row r="5966" spans="84:91" s="51" customFormat="1">
      <c r="CF5966" s="239"/>
      <c r="CM5966" s="336"/>
    </row>
    <row r="5967" spans="84:91" s="51" customFormat="1">
      <c r="CF5967" s="239"/>
      <c r="CM5967" s="336"/>
    </row>
    <row r="5968" spans="84:91" s="51" customFormat="1">
      <c r="CF5968" s="239"/>
      <c r="CM5968" s="336"/>
    </row>
    <row r="5969" spans="84:91" s="51" customFormat="1">
      <c r="CF5969" s="239"/>
      <c r="CM5969" s="336"/>
    </row>
    <row r="5970" spans="84:91" s="51" customFormat="1">
      <c r="CF5970" s="239"/>
      <c r="CM5970" s="336"/>
    </row>
    <row r="5971" spans="84:91" s="51" customFormat="1">
      <c r="CF5971" s="239"/>
      <c r="CM5971" s="336"/>
    </row>
    <row r="5972" spans="84:91" s="51" customFormat="1">
      <c r="CF5972" s="239"/>
      <c r="CM5972" s="336"/>
    </row>
    <row r="5973" spans="84:91" s="51" customFormat="1">
      <c r="CF5973" s="239"/>
      <c r="CM5973" s="336"/>
    </row>
    <row r="5974" spans="84:91" s="51" customFormat="1">
      <c r="CF5974" s="239"/>
      <c r="CM5974" s="336"/>
    </row>
    <row r="5975" spans="84:91" s="51" customFormat="1">
      <c r="CF5975" s="239"/>
      <c r="CM5975" s="336"/>
    </row>
    <row r="5976" spans="84:91" s="51" customFormat="1">
      <c r="CF5976" s="239"/>
      <c r="CM5976" s="336"/>
    </row>
    <row r="5977" spans="84:91" s="51" customFormat="1">
      <c r="CF5977" s="239"/>
      <c r="CM5977" s="336"/>
    </row>
    <row r="5978" spans="84:91" s="51" customFormat="1">
      <c r="CF5978" s="239"/>
      <c r="CM5978" s="336"/>
    </row>
    <row r="5979" spans="84:91" s="51" customFormat="1">
      <c r="CF5979" s="239"/>
      <c r="CM5979" s="336"/>
    </row>
    <row r="5980" spans="84:91" s="51" customFormat="1">
      <c r="CF5980" s="239"/>
      <c r="CM5980" s="336"/>
    </row>
    <row r="5981" spans="84:91" s="51" customFormat="1">
      <c r="CF5981" s="239"/>
      <c r="CM5981" s="336"/>
    </row>
    <row r="5982" spans="84:91" s="51" customFormat="1">
      <c r="CF5982" s="239"/>
      <c r="CM5982" s="336"/>
    </row>
    <row r="5983" spans="84:91" s="51" customFormat="1">
      <c r="CF5983" s="239"/>
      <c r="CM5983" s="336"/>
    </row>
    <row r="5984" spans="84:91" s="51" customFormat="1">
      <c r="CF5984" s="239"/>
      <c r="CM5984" s="336"/>
    </row>
    <row r="5985" spans="84:91" s="51" customFormat="1">
      <c r="CF5985" s="239"/>
      <c r="CM5985" s="336"/>
    </row>
    <row r="5986" spans="84:91" s="51" customFormat="1">
      <c r="CF5986" s="239"/>
      <c r="CM5986" s="336"/>
    </row>
    <row r="5987" spans="84:91" s="51" customFormat="1">
      <c r="CF5987" s="239"/>
      <c r="CM5987" s="336"/>
    </row>
    <row r="5988" spans="84:91" s="51" customFormat="1">
      <c r="CF5988" s="239"/>
      <c r="CM5988" s="336"/>
    </row>
    <row r="5989" spans="84:91" s="51" customFormat="1">
      <c r="CF5989" s="239"/>
      <c r="CM5989" s="336"/>
    </row>
    <row r="5990" spans="84:91" s="51" customFormat="1">
      <c r="CF5990" s="239"/>
      <c r="CM5990" s="336"/>
    </row>
    <row r="5991" spans="84:91" s="51" customFormat="1">
      <c r="CF5991" s="239"/>
      <c r="CM5991" s="336"/>
    </row>
    <row r="5992" spans="84:91" s="51" customFormat="1">
      <c r="CF5992" s="239"/>
      <c r="CM5992" s="336"/>
    </row>
    <row r="5993" spans="84:91" s="51" customFormat="1">
      <c r="CF5993" s="239"/>
      <c r="CM5993" s="336"/>
    </row>
    <row r="5994" spans="84:91" s="51" customFormat="1">
      <c r="CF5994" s="239"/>
      <c r="CM5994" s="336"/>
    </row>
    <row r="5995" spans="84:91" s="51" customFormat="1">
      <c r="CF5995" s="239"/>
      <c r="CM5995" s="336"/>
    </row>
    <row r="5996" spans="84:91" s="51" customFormat="1">
      <c r="CF5996" s="239"/>
      <c r="CM5996" s="336"/>
    </row>
    <row r="5997" spans="84:91" s="51" customFormat="1">
      <c r="CF5997" s="239"/>
      <c r="CM5997" s="336"/>
    </row>
    <row r="5998" spans="84:91" s="51" customFormat="1">
      <c r="CF5998" s="239"/>
      <c r="CM5998" s="336"/>
    </row>
    <row r="5999" spans="84:91" s="51" customFormat="1">
      <c r="CF5999" s="239"/>
      <c r="CM5999" s="336"/>
    </row>
    <row r="6000" spans="84:91" s="51" customFormat="1">
      <c r="CF6000" s="239"/>
      <c r="CM6000" s="336"/>
    </row>
    <row r="6001" spans="84:91" s="51" customFormat="1">
      <c r="CF6001" s="239"/>
      <c r="CM6001" s="336"/>
    </row>
    <row r="6002" spans="84:91" s="51" customFormat="1">
      <c r="CF6002" s="239"/>
      <c r="CM6002" s="336"/>
    </row>
    <row r="6003" spans="84:91" s="51" customFormat="1">
      <c r="CF6003" s="239"/>
      <c r="CM6003" s="336"/>
    </row>
    <row r="6004" spans="84:91" s="51" customFormat="1">
      <c r="CF6004" s="239"/>
      <c r="CM6004" s="336"/>
    </row>
    <row r="6005" spans="84:91" s="51" customFormat="1">
      <c r="CF6005" s="239"/>
      <c r="CM6005" s="336"/>
    </row>
    <row r="6006" spans="84:91" s="51" customFormat="1">
      <c r="CF6006" s="239"/>
      <c r="CM6006" s="336"/>
    </row>
    <row r="6007" spans="84:91" s="51" customFormat="1">
      <c r="CF6007" s="239"/>
      <c r="CM6007" s="336"/>
    </row>
    <row r="6008" spans="84:91" s="51" customFormat="1">
      <c r="CF6008" s="239"/>
      <c r="CM6008" s="336"/>
    </row>
    <row r="6009" spans="84:91" s="51" customFormat="1">
      <c r="CF6009" s="239"/>
      <c r="CM6009" s="336"/>
    </row>
    <row r="6010" spans="84:91" s="51" customFormat="1">
      <c r="CF6010" s="239"/>
      <c r="CM6010" s="336"/>
    </row>
    <row r="6011" spans="84:91" s="51" customFormat="1">
      <c r="CF6011" s="239"/>
      <c r="CM6011" s="336"/>
    </row>
    <row r="6012" spans="84:91" s="51" customFormat="1">
      <c r="CF6012" s="239"/>
      <c r="CM6012" s="336"/>
    </row>
    <row r="6013" spans="84:91" s="51" customFormat="1">
      <c r="CF6013" s="239"/>
      <c r="CM6013" s="336"/>
    </row>
    <row r="6014" spans="84:91" s="51" customFormat="1">
      <c r="CF6014" s="239"/>
      <c r="CM6014" s="336"/>
    </row>
    <row r="6015" spans="84:91" s="51" customFormat="1">
      <c r="CF6015" s="239"/>
      <c r="CM6015" s="336"/>
    </row>
    <row r="6016" spans="84:91" s="51" customFormat="1">
      <c r="CF6016" s="239"/>
      <c r="CM6016" s="336"/>
    </row>
    <row r="6017" spans="84:91" s="51" customFormat="1">
      <c r="CF6017" s="239"/>
      <c r="CM6017" s="336"/>
    </row>
    <row r="6018" spans="84:91" s="51" customFormat="1">
      <c r="CF6018" s="239"/>
      <c r="CM6018" s="336"/>
    </row>
    <row r="6019" spans="84:91" s="51" customFormat="1">
      <c r="CF6019" s="239"/>
      <c r="CM6019" s="336"/>
    </row>
    <row r="6020" spans="84:91" s="51" customFormat="1">
      <c r="CF6020" s="239"/>
      <c r="CM6020" s="336"/>
    </row>
    <row r="6021" spans="84:91" s="51" customFormat="1">
      <c r="CF6021" s="239"/>
      <c r="CM6021" s="336"/>
    </row>
    <row r="6022" spans="84:91" s="51" customFormat="1">
      <c r="CF6022" s="239"/>
      <c r="CM6022" s="336"/>
    </row>
    <row r="6023" spans="84:91" s="51" customFormat="1">
      <c r="CF6023" s="239"/>
      <c r="CM6023" s="336"/>
    </row>
    <row r="6024" spans="84:91" s="51" customFormat="1">
      <c r="CF6024" s="239"/>
      <c r="CM6024" s="336"/>
    </row>
    <row r="6025" spans="84:91" s="51" customFormat="1">
      <c r="CF6025" s="239"/>
      <c r="CM6025" s="336"/>
    </row>
    <row r="6026" spans="84:91" s="51" customFormat="1">
      <c r="CF6026" s="239"/>
      <c r="CM6026" s="336"/>
    </row>
    <row r="6027" spans="84:91" s="51" customFormat="1">
      <c r="CF6027" s="239"/>
      <c r="CM6027" s="336"/>
    </row>
    <row r="6028" spans="84:91" s="51" customFormat="1">
      <c r="CF6028" s="239"/>
      <c r="CM6028" s="336"/>
    </row>
    <row r="6029" spans="84:91" s="51" customFormat="1">
      <c r="CF6029" s="239"/>
      <c r="CM6029" s="336"/>
    </row>
    <row r="6030" spans="84:91" s="51" customFormat="1">
      <c r="CF6030" s="239"/>
      <c r="CM6030" s="336"/>
    </row>
    <row r="6031" spans="84:91" s="51" customFormat="1">
      <c r="CF6031" s="239"/>
      <c r="CM6031" s="336"/>
    </row>
    <row r="6032" spans="84:91" s="51" customFormat="1">
      <c r="CF6032" s="239"/>
      <c r="CM6032" s="336"/>
    </row>
    <row r="6033" spans="84:91" s="51" customFormat="1">
      <c r="CF6033" s="239"/>
      <c r="CM6033" s="336"/>
    </row>
    <row r="6034" spans="84:91" s="51" customFormat="1">
      <c r="CF6034" s="239"/>
      <c r="CM6034" s="336"/>
    </row>
    <row r="6035" spans="84:91" s="51" customFormat="1">
      <c r="CF6035" s="239"/>
      <c r="CM6035" s="336"/>
    </row>
    <row r="6036" spans="84:91" s="51" customFormat="1">
      <c r="CF6036" s="239"/>
      <c r="CM6036" s="336"/>
    </row>
    <row r="6037" spans="84:91" s="51" customFormat="1">
      <c r="CF6037" s="239"/>
      <c r="CM6037" s="336"/>
    </row>
    <row r="6038" spans="84:91" s="51" customFormat="1">
      <c r="CF6038" s="239"/>
      <c r="CM6038" s="336"/>
    </row>
    <row r="6039" spans="84:91" s="51" customFormat="1">
      <c r="CF6039" s="239"/>
      <c r="CM6039" s="336"/>
    </row>
    <row r="6040" spans="84:91" s="51" customFormat="1">
      <c r="CF6040" s="239"/>
      <c r="CM6040" s="336"/>
    </row>
    <row r="6041" spans="84:91" s="51" customFormat="1">
      <c r="CF6041" s="239"/>
      <c r="CM6041" s="336"/>
    </row>
    <row r="6042" spans="84:91" s="51" customFormat="1">
      <c r="CF6042" s="239"/>
      <c r="CM6042" s="336"/>
    </row>
    <row r="6043" spans="84:91" s="51" customFormat="1">
      <c r="CF6043" s="239"/>
      <c r="CM6043" s="336"/>
    </row>
    <row r="6044" spans="84:91" s="51" customFormat="1">
      <c r="CF6044" s="239"/>
      <c r="CM6044" s="336"/>
    </row>
    <row r="6045" spans="84:91" s="51" customFormat="1">
      <c r="CF6045" s="239"/>
      <c r="CM6045" s="336"/>
    </row>
    <row r="6046" spans="84:91" s="51" customFormat="1">
      <c r="CF6046" s="239"/>
      <c r="CM6046" s="336"/>
    </row>
    <row r="6047" spans="84:91" s="51" customFormat="1">
      <c r="CF6047" s="239"/>
      <c r="CM6047" s="336"/>
    </row>
    <row r="6048" spans="84:91" s="51" customFormat="1">
      <c r="CF6048" s="239"/>
      <c r="CM6048" s="336"/>
    </row>
    <row r="6049" spans="84:91" s="51" customFormat="1">
      <c r="CF6049" s="239"/>
      <c r="CM6049" s="336"/>
    </row>
    <row r="6050" spans="84:91" s="51" customFormat="1">
      <c r="CF6050" s="239"/>
      <c r="CM6050" s="336"/>
    </row>
    <row r="6051" spans="84:91" s="51" customFormat="1">
      <c r="CF6051" s="239"/>
      <c r="CM6051" s="336"/>
    </row>
    <row r="6052" spans="84:91" s="51" customFormat="1">
      <c r="CF6052" s="239"/>
      <c r="CM6052" s="336"/>
    </row>
    <row r="6053" spans="84:91" s="51" customFormat="1">
      <c r="CF6053" s="239"/>
      <c r="CM6053" s="336"/>
    </row>
    <row r="6054" spans="84:91" s="51" customFormat="1">
      <c r="CF6054" s="239"/>
      <c r="CM6054" s="336"/>
    </row>
    <row r="6055" spans="84:91" s="51" customFormat="1">
      <c r="CF6055" s="239"/>
      <c r="CM6055" s="336"/>
    </row>
    <row r="6056" spans="84:91" s="51" customFormat="1">
      <c r="CF6056" s="239"/>
      <c r="CM6056" s="336"/>
    </row>
    <row r="6057" spans="84:91" s="51" customFormat="1">
      <c r="CF6057" s="239"/>
      <c r="CM6057" s="336"/>
    </row>
    <row r="6058" spans="84:91" s="51" customFormat="1">
      <c r="CF6058" s="239"/>
      <c r="CM6058" s="336"/>
    </row>
    <row r="6059" spans="84:91" s="51" customFormat="1">
      <c r="CF6059" s="239"/>
      <c r="CM6059" s="336"/>
    </row>
    <row r="6060" spans="84:91" s="51" customFormat="1">
      <c r="CF6060" s="239"/>
      <c r="CM6060" s="336"/>
    </row>
    <row r="6061" spans="84:91" s="51" customFormat="1">
      <c r="CF6061" s="239"/>
      <c r="CM6061" s="336"/>
    </row>
    <row r="6062" spans="84:91" s="51" customFormat="1">
      <c r="CF6062" s="239"/>
      <c r="CM6062" s="336"/>
    </row>
    <row r="6063" spans="84:91" s="51" customFormat="1">
      <c r="CF6063" s="239"/>
      <c r="CM6063" s="336"/>
    </row>
    <row r="6064" spans="84:91" s="51" customFormat="1">
      <c r="CF6064" s="239"/>
      <c r="CM6064" s="336"/>
    </row>
    <row r="6065" spans="84:91" s="51" customFormat="1">
      <c r="CF6065" s="239"/>
      <c r="CM6065" s="336"/>
    </row>
    <row r="6066" spans="84:91" s="51" customFormat="1">
      <c r="CF6066" s="239"/>
      <c r="CM6066" s="336"/>
    </row>
    <row r="6067" spans="84:91" s="51" customFormat="1">
      <c r="CF6067" s="239"/>
      <c r="CM6067" s="336"/>
    </row>
    <row r="6068" spans="84:91" s="51" customFormat="1">
      <c r="CF6068" s="239"/>
      <c r="CM6068" s="336"/>
    </row>
    <row r="6069" spans="84:91" s="51" customFormat="1">
      <c r="CF6069" s="239"/>
      <c r="CM6069" s="336"/>
    </row>
    <row r="6070" spans="84:91" s="51" customFormat="1">
      <c r="CF6070" s="239"/>
      <c r="CM6070" s="336"/>
    </row>
    <row r="6071" spans="84:91" s="51" customFormat="1">
      <c r="CF6071" s="239"/>
      <c r="CM6071" s="336"/>
    </row>
    <row r="6072" spans="84:91" s="51" customFormat="1">
      <c r="CF6072" s="239"/>
      <c r="CM6072" s="336"/>
    </row>
    <row r="6073" spans="84:91" s="51" customFormat="1">
      <c r="CF6073" s="239"/>
      <c r="CM6073" s="336"/>
    </row>
    <row r="6074" spans="84:91" s="51" customFormat="1">
      <c r="CF6074" s="239"/>
      <c r="CM6074" s="336"/>
    </row>
    <row r="6075" spans="84:91" s="51" customFormat="1">
      <c r="CF6075" s="239"/>
      <c r="CM6075" s="336"/>
    </row>
    <row r="6076" spans="84:91" s="51" customFormat="1">
      <c r="CF6076" s="239"/>
      <c r="CM6076" s="336"/>
    </row>
    <row r="6077" spans="84:91" s="51" customFormat="1">
      <c r="CF6077" s="239"/>
      <c r="CM6077" s="336"/>
    </row>
    <row r="6078" spans="84:91" s="51" customFormat="1">
      <c r="CF6078" s="239"/>
      <c r="CM6078" s="336"/>
    </row>
    <row r="6079" spans="84:91" s="51" customFormat="1">
      <c r="CF6079" s="239"/>
      <c r="CM6079" s="336"/>
    </row>
    <row r="6080" spans="84:91" s="51" customFormat="1">
      <c r="CF6080" s="239"/>
      <c r="CM6080" s="336"/>
    </row>
    <row r="6081" spans="84:91" s="51" customFormat="1">
      <c r="CF6081" s="239"/>
      <c r="CM6081" s="336"/>
    </row>
    <row r="6082" spans="84:91" s="51" customFormat="1">
      <c r="CF6082" s="239"/>
      <c r="CM6082" s="336"/>
    </row>
    <row r="6083" spans="84:91" s="51" customFormat="1">
      <c r="CF6083" s="239"/>
      <c r="CM6083" s="336"/>
    </row>
    <row r="6084" spans="84:91" s="51" customFormat="1">
      <c r="CF6084" s="239"/>
      <c r="CM6084" s="336"/>
    </row>
    <row r="6085" spans="84:91" s="51" customFormat="1">
      <c r="CF6085" s="239"/>
      <c r="CM6085" s="336"/>
    </row>
    <row r="6086" spans="84:91" s="51" customFormat="1">
      <c r="CF6086" s="239"/>
      <c r="CM6086" s="336"/>
    </row>
    <row r="6087" spans="84:91" s="51" customFormat="1">
      <c r="CF6087" s="239"/>
      <c r="CM6087" s="336"/>
    </row>
    <row r="6088" spans="84:91" s="51" customFormat="1">
      <c r="CF6088" s="239"/>
      <c r="CM6088" s="336"/>
    </row>
    <row r="6089" spans="84:91" s="51" customFormat="1">
      <c r="CF6089" s="239"/>
      <c r="CM6089" s="336"/>
    </row>
    <row r="6090" spans="84:91" s="51" customFormat="1">
      <c r="CF6090" s="239"/>
      <c r="CM6090" s="336"/>
    </row>
    <row r="6091" spans="84:91" s="51" customFormat="1">
      <c r="CF6091" s="239"/>
      <c r="CM6091" s="336"/>
    </row>
    <row r="6092" spans="84:91" s="51" customFormat="1">
      <c r="CF6092" s="239"/>
      <c r="CM6092" s="336"/>
    </row>
    <row r="6093" spans="84:91" s="51" customFormat="1">
      <c r="CF6093" s="239"/>
      <c r="CM6093" s="336"/>
    </row>
    <row r="6094" spans="84:91" s="51" customFormat="1">
      <c r="CF6094" s="239"/>
      <c r="CM6094" s="336"/>
    </row>
    <row r="6095" spans="84:91" s="51" customFormat="1">
      <c r="CF6095" s="239"/>
      <c r="CM6095" s="336"/>
    </row>
    <row r="6096" spans="84:91" s="51" customFormat="1">
      <c r="CF6096" s="239"/>
      <c r="CM6096" s="336"/>
    </row>
    <row r="6097" spans="84:91" s="51" customFormat="1">
      <c r="CF6097" s="239"/>
      <c r="CM6097" s="336"/>
    </row>
    <row r="6098" spans="84:91" s="51" customFormat="1">
      <c r="CF6098" s="239"/>
      <c r="CM6098" s="336"/>
    </row>
    <row r="6099" spans="84:91" s="51" customFormat="1">
      <c r="CF6099" s="239"/>
      <c r="CM6099" s="336"/>
    </row>
    <row r="6100" spans="84:91" s="51" customFormat="1">
      <c r="CF6100" s="239"/>
      <c r="CM6100" s="336"/>
    </row>
    <row r="6101" spans="84:91" s="51" customFormat="1">
      <c r="CF6101" s="239"/>
      <c r="CM6101" s="336"/>
    </row>
    <row r="6102" spans="84:91" s="51" customFormat="1">
      <c r="CF6102" s="239"/>
      <c r="CM6102" s="336"/>
    </row>
    <row r="6103" spans="84:91" s="51" customFormat="1">
      <c r="CF6103" s="239"/>
      <c r="CM6103" s="336"/>
    </row>
    <row r="6104" spans="84:91" s="51" customFormat="1">
      <c r="CF6104" s="239"/>
      <c r="CM6104" s="336"/>
    </row>
    <row r="6105" spans="84:91" s="51" customFormat="1">
      <c r="CF6105" s="239"/>
      <c r="CM6105" s="336"/>
    </row>
    <row r="6106" spans="84:91" s="51" customFormat="1">
      <c r="CF6106" s="239"/>
      <c r="CM6106" s="336"/>
    </row>
    <row r="6107" spans="84:91" s="51" customFormat="1">
      <c r="CF6107" s="239"/>
      <c r="CM6107" s="336"/>
    </row>
    <row r="6108" spans="84:91" s="51" customFormat="1">
      <c r="CF6108" s="239"/>
      <c r="CM6108" s="336"/>
    </row>
    <row r="6109" spans="84:91" s="51" customFormat="1">
      <c r="CF6109" s="239"/>
      <c r="CM6109" s="336"/>
    </row>
    <row r="6110" spans="84:91" s="51" customFormat="1">
      <c r="CF6110" s="239"/>
      <c r="CM6110" s="336"/>
    </row>
    <row r="6111" spans="84:91" s="51" customFormat="1">
      <c r="CF6111" s="239"/>
      <c r="CM6111" s="336"/>
    </row>
    <row r="6112" spans="84:91" s="51" customFormat="1">
      <c r="CF6112" s="239"/>
      <c r="CM6112" s="336"/>
    </row>
    <row r="6113" spans="84:91" s="51" customFormat="1">
      <c r="CF6113" s="239"/>
      <c r="CM6113" s="336"/>
    </row>
    <row r="6114" spans="84:91" s="51" customFormat="1">
      <c r="CF6114" s="239"/>
      <c r="CM6114" s="336"/>
    </row>
    <row r="6115" spans="84:91" s="51" customFormat="1">
      <c r="CF6115" s="239"/>
      <c r="CM6115" s="336"/>
    </row>
    <row r="6116" spans="84:91" s="51" customFormat="1">
      <c r="CF6116" s="239"/>
      <c r="CM6116" s="336"/>
    </row>
    <row r="6117" spans="84:91" s="51" customFormat="1">
      <c r="CF6117" s="239"/>
      <c r="CM6117" s="336"/>
    </row>
    <row r="6118" spans="84:91" s="51" customFormat="1">
      <c r="CF6118" s="239"/>
      <c r="CM6118" s="336"/>
    </row>
    <row r="6119" spans="84:91" s="51" customFormat="1">
      <c r="CF6119" s="239"/>
      <c r="CM6119" s="336"/>
    </row>
    <row r="6120" spans="84:91" s="51" customFormat="1">
      <c r="CF6120" s="239"/>
      <c r="CM6120" s="336"/>
    </row>
    <row r="6121" spans="84:91" s="51" customFormat="1">
      <c r="CF6121" s="239"/>
      <c r="CM6121" s="336"/>
    </row>
    <row r="6122" spans="84:91" s="51" customFormat="1">
      <c r="CF6122" s="239"/>
      <c r="CM6122" s="336"/>
    </row>
    <row r="6123" spans="84:91" s="51" customFormat="1">
      <c r="CF6123" s="239"/>
      <c r="CM6123" s="336"/>
    </row>
    <row r="6124" spans="84:91" s="51" customFormat="1">
      <c r="CF6124" s="239"/>
      <c r="CM6124" s="336"/>
    </row>
    <row r="6125" spans="84:91" s="51" customFormat="1">
      <c r="CF6125" s="239"/>
      <c r="CM6125" s="336"/>
    </row>
    <row r="6126" spans="84:91" s="51" customFormat="1">
      <c r="CF6126" s="239"/>
      <c r="CM6126" s="336"/>
    </row>
    <row r="6127" spans="84:91" s="51" customFormat="1">
      <c r="CF6127" s="239"/>
      <c r="CM6127" s="336"/>
    </row>
    <row r="6128" spans="84:91" s="51" customFormat="1">
      <c r="CF6128" s="239"/>
      <c r="CM6128" s="336"/>
    </row>
    <row r="6129" spans="84:91" s="51" customFormat="1">
      <c r="CF6129" s="239"/>
      <c r="CM6129" s="336"/>
    </row>
    <row r="6130" spans="84:91" s="51" customFormat="1">
      <c r="CF6130" s="239"/>
      <c r="CM6130" s="336"/>
    </row>
    <row r="6131" spans="84:91" s="51" customFormat="1">
      <c r="CF6131" s="239"/>
      <c r="CM6131" s="336"/>
    </row>
    <row r="6132" spans="84:91" s="51" customFormat="1">
      <c r="CF6132" s="239"/>
      <c r="CM6132" s="336"/>
    </row>
    <row r="6133" spans="84:91" s="51" customFormat="1">
      <c r="CF6133" s="239"/>
      <c r="CM6133" s="336"/>
    </row>
    <row r="6134" spans="84:91" s="51" customFormat="1">
      <c r="CF6134" s="239"/>
      <c r="CM6134" s="336"/>
    </row>
    <row r="6135" spans="84:91" s="51" customFormat="1">
      <c r="CF6135" s="239"/>
      <c r="CM6135" s="336"/>
    </row>
    <row r="6136" spans="84:91" s="51" customFormat="1">
      <c r="CF6136" s="239"/>
      <c r="CM6136" s="336"/>
    </row>
    <row r="6137" spans="84:91" s="51" customFormat="1">
      <c r="CF6137" s="239"/>
      <c r="CM6137" s="336"/>
    </row>
    <row r="6138" spans="84:91" s="51" customFormat="1">
      <c r="CF6138" s="239"/>
      <c r="CM6138" s="336"/>
    </row>
    <row r="6139" spans="84:91" s="51" customFormat="1">
      <c r="CF6139" s="239"/>
      <c r="CM6139" s="336"/>
    </row>
    <row r="6140" spans="84:91" s="51" customFormat="1">
      <c r="CF6140" s="239"/>
      <c r="CM6140" s="336"/>
    </row>
    <row r="6141" spans="84:91" s="51" customFormat="1">
      <c r="CF6141" s="239"/>
      <c r="CM6141" s="336"/>
    </row>
    <row r="6142" spans="84:91" s="51" customFormat="1">
      <c r="CF6142" s="239"/>
      <c r="CM6142" s="336"/>
    </row>
    <row r="6143" spans="84:91" s="51" customFormat="1">
      <c r="CF6143" s="239"/>
      <c r="CM6143" s="336"/>
    </row>
    <row r="6144" spans="84:91" s="51" customFormat="1">
      <c r="CF6144" s="239"/>
      <c r="CM6144" s="336"/>
    </row>
    <row r="6145" spans="84:91" s="51" customFormat="1">
      <c r="CF6145" s="239"/>
      <c r="CM6145" s="336"/>
    </row>
    <row r="6146" spans="84:91" s="51" customFormat="1">
      <c r="CF6146" s="239"/>
      <c r="CM6146" s="336"/>
    </row>
    <row r="6147" spans="84:91" s="51" customFormat="1">
      <c r="CF6147" s="239"/>
      <c r="CM6147" s="336"/>
    </row>
    <row r="6148" spans="84:91" s="51" customFormat="1">
      <c r="CF6148" s="239"/>
      <c r="CM6148" s="336"/>
    </row>
    <row r="6149" spans="84:91" s="51" customFormat="1">
      <c r="CF6149" s="239"/>
      <c r="CM6149" s="336"/>
    </row>
    <row r="6150" spans="84:91" s="51" customFormat="1">
      <c r="CF6150" s="239"/>
      <c r="CM6150" s="336"/>
    </row>
    <row r="6151" spans="84:91" s="51" customFormat="1">
      <c r="CF6151" s="239"/>
      <c r="CM6151" s="336"/>
    </row>
    <row r="6152" spans="84:91" s="51" customFormat="1">
      <c r="CF6152" s="239"/>
      <c r="CM6152" s="336"/>
    </row>
    <row r="6153" spans="84:91" s="51" customFormat="1">
      <c r="CF6153" s="239"/>
      <c r="CM6153" s="336"/>
    </row>
    <row r="6154" spans="84:91" s="51" customFormat="1">
      <c r="CF6154" s="239"/>
      <c r="CM6154" s="336"/>
    </row>
    <row r="6155" spans="84:91" s="51" customFormat="1">
      <c r="CF6155" s="239"/>
      <c r="CM6155" s="336"/>
    </row>
    <row r="6156" spans="84:91" s="51" customFormat="1">
      <c r="CF6156" s="239"/>
      <c r="CM6156" s="336"/>
    </row>
    <row r="6157" spans="84:91" s="51" customFormat="1">
      <c r="CF6157" s="239"/>
      <c r="CM6157" s="336"/>
    </row>
    <row r="6158" spans="84:91" s="51" customFormat="1">
      <c r="CF6158" s="239"/>
      <c r="CM6158" s="336"/>
    </row>
    <row r="6159" spans="84:91" s="51" customFormat="1">
      <c r="CF6159" s="239"/>
      <c r="CM6159" s="336"/>
    </row>
    <row r="6160" spans="84:91" s="51" customFormat="1">
      <c r="CF6160" s="239"/>
      <c r="CM6160" s="336"/>
    </row>
    <row r="6161" spans="84:91" s="51" customFormat="1">
      <c r="CF6161" s="239"/>
      <c r="CM6161" s="336"/>
    </row>
    <row r="6162" spans="84:91" s="51" customFormat="1">
      <c r="CF6162" s="239"/>
      <c r="CM6162" s="336"/>
    </row>
    <row r="6163" spans="84:91" s="51" customFormat="1">
      <c r="CF6163" s="239"/>
      <c r="CM6163" s="336"/>
    </row>
    <row r="6164" spans="84:91" s="51" customFormat="1">
      <c r="CF6164" s="239"/>
      <c r="CM6164" s="336"/>
    </row>
    <row r="6165" spans="84:91" s="51" customFormat="1">
      <c r="CF6165" s="239"/>
      <c r="CM6165" s="336"/>
    </row>
    <row r="6166" spans="84:91" s="51" customFormat="1">
      <c r="CF6166" s="239"/>
      <c r="CM6166" s="336"/>
    </row>
    <row r="6167" spans="84:91" s="51" customFormat="1">
      <c r="CF6167" s="239"/>
      <c r="CM6167" s="336"/>
    </row>
    <row r="6168" spans="84:91" s="51" customFormat="1">
      <c r="CF6168" s="239"/>
      <c r="CM6168" s="336"/>
    </row>
    <row r="6169" spans="84:91" s="51" customFormat="1">
      <c r="CF6169" s="239"/>
      <c r="CM6169" s="336"/>
    </row>
    <row r="6170" spans="84:91" s="51" customFormat="1">
      <c r="CF6170" s="239"/>
      <c r="CM6170" s="336"/>
    </row>
    <row r="6171" spans="84:91" s="51" customFormat="1">
      <c r="CF6171" s="239"/>
      <c r="CM6171" s="336"/>
    </row>
    <row r="6172" spans="84:91" s="51" customFormat="1">
      <c r="CF6172" s="239"/>
      <c r="CM6172" s="336"/>
    </row>
    <row r="6173" spans="84:91" s="51" customFormat="1">
      <c r="CF6173" s="239"/>
      <c r="CM6173" s="336"/>
    </row>
    <row r="6174" spans="84:91" s="51" customFormat="1">
      <c r="CF6174" s="239"/>
      <c r="CM6174" s="336"/>
    </row>
    <row r="6175" spans="84:91" s="51" customFormat="1">
      <c r="CF6175" s="239"/>
      <c r="CM6175" s="336"/>
    </row>
    <row r="6176" spans="84:91" s="51" customFormat="1">
      <c r="CF6176" s="239"/>
      <c r="CM6176" s="336"/>
    </row>
    <row r="6177" spans="84:91" s="51" customFormat="1">
      <c r="CF6177" s="239"/>
      <c r="CM6177" s="336"/>
    </row>
    <row r="6178" spans="84:91" s="51" customFormat="1">
      <c r="CF6178" s="239"/>
      <c r="CM6178" s="336"/>
    </row>
    <row r="6179" spans="84:91" s="51" customFormat="1">
      <c r="CF6179" s="239"/>
      <c r="CM6179" s="336"/>
    </row>
    <row r="6180" spans="84:91" s="51" customFormat="1">
      <c r="CF6180" s="239"/>
      <c r="CM6180" s="336"/>
    </row>
    <row r="6181" spans="84:91" s="51" customFormat="1">
      <c r="CF6181" s="239"/>
      <c r="CM6181" s="336"/>
    </row>
    <row r="6182" spans="84:91" s="51" customFormat="1">
      <c r="CF6182" s="239"/>
      <c r="CM6182" s="336"/>
    </row>
    <row r="6183" spans="84:91" s="51" customFormat="1">
      <c r="CF6183" s="239"/>
      <c r="CM6183" s="336"/>
    </row>
    <row r="6184" spans="84:91" s="51" customFormat="1">
      <c r="CF6184" s="239"/>
      <c r="CM6184" s="336"/>
    </row>
    <row r="6185" spans="84:91" s="51" customFormat="1">
      <c r="CF6185" s="239"/>
      <c r="CM6185" s="336"/>
    </row>
    <row r="6186" spans="84:91" s="51" customFormat="1">
      <c r="CF6186" s="239"/>
      <c r="CM6186" s="336"/>
    </row>
    <row r="6187" spans="84:91" s="51" customFormat="1">
      <c r="CF6187" s="239"/>
      <c r="CM6187" s="336"/>
    </row>
    <row r="6188" spans="84:91" s="51" customFormat="1">
      <c r="CF6188" s="239"/>
      <c r="CM6188" s="336"/>
    </row>
    <row r="6189" spans="84:91" s="51" customFormat="1">
      <c r="CF6189" s="239"/>
      <c r="CM6189" s="336"/>
    </row>
    <row r="6190" spans="84:91" s="51" customFormat="1">
      <c r="CF6190" s="239"/>
      <c r="CM6190" s="336"/>
    </row>
    <row r="6191" spans="84:91" s="51" customFormat="1">
      <c r="CF6191" s="239"/>
      <c r="CM6191" s="336"/>
    </row>
    <row r="6192" spans="84:91" s="51" customFormat="1">
      <c r="CF6192" s="239"/>
      <c r="CM6192" s="336"/>
    </row>
    <row r="6193" spans="84:91" s="51" customFormat="1">
      <c r="CF6193" s="239"/>
      <c r="CM6193" s="336"/>
    </row>
    <row r="6194" spans="84:91" s="51" customFormat="1">
      <c r="CF6194" s="239"/>
      <c r="CM6194" s="336"/>
    </row>
    <row r="6195" spans="84:91" s="51" customFormat="1">
      <c r="CF6195" s="239"/>
      <c r="CM6195" s="336"/>
    </row>
    <row r="6196" spans="84:91" s="51" customFormat="1">
      <c r="CF6196" s="239"/>
      <c r="CM6196" s="336"/>
    </row>
    <row r="6197" spans="84:91" s="51" customFormat="1">
      <c r="CF6197" s="239"/>
      <c r="CM6197" s="336"/>
    </row>
    <row r="6198" spans="84:91" s="51" customFormat="1">
      <c r="CF6198" s="239"/>
      <c r="CM6198" s="336"/>
    </row>
    <row r="6199" spans="84:91" s="51" customFormat="1">
      <c r="CF6199" s="239"/>
      <c r="CM6199" s="336"/>
    </row>
    <row r="6200" spans="84:91" s="51" customFormat="1">
      <c r="CF6200" s="239"/>
      <c r="CM6200" s="336"/>
    </row>
    <row r="6201" spans="84:91" s="51" customFormat="1">
      <c r="CF6201" s="239"/>
      <c r="CM6201" s="336"/>
    </row>
    <row r="6202" spans="84:91" s="51" customFormat="1">
      <c r="CF6202" s="239"/>
      <c r="CM6202" s="336"/>
    </row>
    <row r="6203" spans="84:91" s="51" customFormat="1">
      <c r="CF6203" s="239"/>
      <c r="CM6203" s="336"/>
    </row>
    <row r="6204" spans="84:91" s="51" customFormat="1">
      <c r="CF6204" s="239"/>
      <c r="CM6204" s="336"/>
    </row>
    <row r="6205" spans="84:91" s="51" customFormat="1">
      <c r="CF6205" s="239"/>
      <c r="CM6205" s="336"/>
    </row>
    <row r="6206" spans="84:91" s="51" customFormat="1">
      <c r="CF6206" s="239"/>
      <c r="CM6206" s="336"/>
    </row>
    <row r="6207" spans="84:91" s="51" customFormat="1">
      <c r="CF6207" s="239"/>
      <c r="CM6207" s="336"/>
    </row>
    <row r="6208" spans="84:91" s="51" customFormat="1">
      <c r="CF6208" s="239"/>
      <c r="CM6208" s="336"/>
    </row>
    <row r="6209" spans="84:91" s="51" customFormat="1">
      <c r="CF6209" s="239"/>
      <c r="CM6209" s="336"/>
    </row>
    <row r="6210" spans="84:91" s="51" customFormat="1">
      <c r="CF6210" s="239"/>
      <c r="CM6210" s="336"/>
    </row>
    <row r="6211" spans="84:91" s="51" customFormat="1">
      <c r="CF6211" s="239"/>
      <c r="CM6211" s="336"/>
    </row>
    <row r="6212" spans="84:91" s="51" customFormat="1">
      <c r="CF6212" s="239"/>
      <c r="CM6212" s="336"/>
    </row>
    <row r="6213" spans="84:91" s="51" customFormat="1">
      <c r="CF6213" s="239"/>
      <c r="CM6213" s="336"/>
    </row>
    <row r="6214" spans="84:91" s="51" customFormat="1">
      <c r="CF6214" s="239"/>
      <c r="CM6214" s="336"/>
    </row>
    <row r="6215" spans="84:91" s="51" customFormat="1">
      <c r="CF6215" s="239"/>
      <c r="CM6215" s="336"/>
    </row>
    <row r="6216" spans="84:91" s="51" customFormat="1">
      <c r="CF6216" s="239"/>
      <c r="CM6216" s="336"/>
    </row>
    <row r="6217" spans="84:91" s="51" customFormat="1">
      <c r="CF6217" s="239"/>
      <c r="CM6217" s="336"/>
    </row>
    <row r="6218" spans="84:91" s="51" customFormat="1">
      <c r="CF6218" s="239"/>
      <c r="CM6218" s="336"/>
    </row>
    <row r="6219" spans="84:91" s="51" customFormat="1">
      <c r="CF6219" s="239"/>
      <c r="CM6219" s="336"/>
    </row>
    <row r="6220" spans="84:91" s="51" customFormat="1">
      <c r="CF6220" s="239"/>
      <c r="CM6220" s="336"/>
    </row>
    <row r="6221" spans="84:91" s="51" customFormat="1">
      <c r="CF6221" s="239"/>
      <c r="CM6221" s="336"/>
    </row>
    <row r="6222" spans="84:91" s="51" customFormat="1">
      <c r="CF6222" s="239"/>
      <c r="CM6222" s="336"/>
    </row>
    <row r="6223" spans="84:91" s="51" customFormat="1">
      <c r="CF6223" s="239"/>
      <c r="CM6223" s="336"/>
    </row>
    <row r="6224" spans="84:91" s="51" customFormat="1">
      <c r="CF6224" s="239"/>
      <c r="CM6224" s="336"/>
    </row>
    <row r="6225" spans="84:91" s="51" customFormat="1">
      <c r="CF6225" s="239"/>
      <c r="CM6225" s="336"/>
    </row>
    <row r="6226" spans="84:91" s="51" customFormat="1">
      <c r="CF6226" s="239"/>
      <c r="CM6226" s="336"/>
    </row>
    <row r="6227" spans="84:91" s="51" customFormat="1">
      <c r="CF6227" s="239"/>
      <c r="CM6227" s="336"/>
    </row>
    <row r="6228" spans="84:91" s="51" customFormat="1">
      <c r="CF6228" s="239"/>
      <c r="CM6228" s="336"/>
    </row>
    <row r="6229" spans="84:91" s="51" customFormat="1">
      <c r="CF6229" s="239"/>
      <c r="CM6229" s="336"/>
    </row>
    <row r="6230" spans="84:91" s="51" customFormat="1">
      <c r="CF6230" s="239"/>
      <c r="CM6230" s="336"/>
    </row>
    <row r="6231" spans="84:91" s="51" customFormat="1">
      <c r="CF6231" s="239"/>
      <c r="CM6231" s="336"/>
    </row>
    <row r="6232" spans="84:91" s="51" customFormat="1">
      <c r="CF6232" s="239"/>
      <c r="CM6232" s="336"/>
    </row>
    <row r="6233" spans="84:91" s="51" customFormat="1">
      <c r="CF6233" s="239"/>
      <c r="CM6233" s="336"/>
    </row>
    <row r="6234" spans="84:91" s="51" customFormat="1">
      <c r="CF6234" s="239"/>
      <c r="CM6234" s="336"/>
    </row>
    <row r="6235" spans="84:91" s="51" customFormat="1">
      <c r="CF6235" s="239"/>
      <c r="CM6235" s="336"/>
    </row>
    <row r="6236" spans="84:91" s="51" customFormat="1">
      <c r="CF6236" s="239"/>
      <c r="CM6236" s="336"/>
    </row>
    <row r="6237" spans="84:91" s="51" customFormat="1">
      <c r="CF6237" s="239"/>
      <c r="CM6237" s="336"/>
    </row>
    <row r="6238" spans="84:91" s="51" customFormat="1">
      <c r="CF6238" s="239"/>
      <c r="CM6238" s="336"/>
    </row>
    <row r="6239" spans="84:91" s="51" customFormat="1">
      <c r="CF6239" s="239"/>
      <c r="CM6239" s="336"/>
    </row>
    <row r="6240" spans="84:91" s="51" customFormat="1">
      <c r="CF6240" s="239"/>
      <c r="CM6240" s="336"/>
    </row>
    <row r="6241" spans="84:91" s="51" customFormat="1">
      <c r="CF6241" s="239"/>
      <c r="CM6241" s="336"/>
    </row>
    <row r="6242" spans="84:91" s="51" customFormat="1">
      <c r="CF6242" s="239"/>
      <c r="CM6242" s="336"/>
    </row>
    <row r="6243" spans="84:91" s="51" customFormat="1">
      <c r="CF6243" s="239"/>
      <c r="CM6243" s="336"/>
    </row>
    <row r="6244" spans="84:91" s="51" customFormat="1">
      <c r="CF6244" s="239"/>
      <c r="CM6244" s="336"/>
    </row>
    <row r="6245" spans="84:91" s="51" customFormat="1">
      <c r="CF6245" s="239"/>
      <c r="CM6245" s="336"/>
    </row>
    <row r="6246" spans="84:91" s="51" customFormat="1">
      <c r="CF6246" s="239"/>
      <c r="CM6246" s="336"/>
    </row>
    <row r="6247" spans="84:91" s="51" customFormat="1">
      <c r="CF6247" s="239"/>
      <c r="CM6247" s="336"/>
    </row>
    <row r="6248" spans="84:91" s="51" customFormat="1">
      <c r="CF6248" s="239"/>
      <c r="CM6248" s="336"/>
    </row>
    <row r="6249" spans="84:91" s="51" customFormat="1">
      <c r="CF6249" s="239"/>
      <c r="CM6249" s="336"/>
    </row>
    <row r="6250" spans="84:91" s="51" customFormat="1">
      <c r="CF6250" s="239"/>
      <c r="CM6250" s="336"/>
    </row>
    <row r="6251" spans="84:91" s="51" customFormat="1">
      <c r="CF6251" s="239"/>
      <c r="CM6251" s="336"/>
    </row>
    <row r="6252" spans="84:91" s="51" customFormat="1">
      <c r="CF6252" s="239"/>
      <c r="CM6252" s="336"/>
    </row>
    <row r="6253" spans="84:91" s="51" customFormat="1">
      <c r="CF6253" s="239"/>
      <c r="CM6253" s="336"/>
    </row>
    <row r="6254" spans="84:91" s="51" customFormat="1">
      <c r="CF6254" s="239"/>
      <c r="CM6254" s="336"/>
    </row>
    <row r="6255" spans="84:91" s="51" customFormat="1">
      <c r="CF6255" s="239"/>
      <c r="CM6255" s="336"/>
    </row>
    <row r="6256" spans="84:91" s="51" customFormat="1">
      <c r="CF6256" s="239"/>
      <c r="CM6256" s="336"/>
    </row>
    <row r="6257" spans="84:91" s="51" customFormat="1">
      <c r="CF6257" s="239"/>
      <c r="CM6257" s="336"/>
    </row>
    <row r="6258" spans="84:91" s="51" customFormat="1">
      <c r="CF6258" s="239"/>
      <c r="CM6258" s="336"/>
    </row>
    <row r="6259" spans="84:91" s="51" customFormat="1">
      <c r="CF6259" s="239"/>
      <c r="CM6259" s="336"/>
    </row>
    <row r="6260" spans="84:91" s="51" customFormat="1">
      <c r="CF6260" s="239"/>
      <c r="CM6260" s="336"/>
    </row>
    <row r="6261" spans="84:91" s="51" customFormat="1">
      <c r="CF6261" s="239"/>
      <c r="CM6261" s="336"/>
    </row>
    <row r="6262" spans="84:91" s="51" customFormat="1">
      <c r="CF6262" s="239"/>
      <c r="CM6262" s="336"/>
    </row>
    <row r="6263" spans="84:91" s="51" customFormat="1">
      <c r="CF6263" s="239"/>
      <c r="CM6263" s="336"/>
    </row>
    <row r="6264" spans="84:91" s="51" customFormat="1">
      <c r="CF6264" s="239"/>
      <c r="CM6264" s="336"/>
    </row>
    <row r="6265" spans="84:91" s="51" customFormat="1">
      <c r="CF6265" s="239"/>
      <c r="CM6265" s="336"/>
    </row>
    <row r="6266" spans="84:91" s="51" customFormat="1">
      <c r="CF6266" s="239"/>
      <c r="CM6266" s="336"/>
    </row>
    <row r="6267" spans="84:91" s="51" customFormat="1">
      <c r="CF6267" s="239"/>
      <c r="CM6267" s="336"/>
    </row>
    <row r="6268" spans="84:91" s="51" customFormat="1">
      <c r="CF6268" s="239"/>
      <c r="CM6268" s="336"/>
    </row>
    <row r="6269" spans="84:91" s="51" customFormat="1">
      <c r="CF6269" s="239"/>
      <c r="CM6269" s="336"/>
    </row>
    <row r="6270" spans="84:91" s="51" customFormat="1">
      <c r="CF6270" s="239"/>
      <c r="CM6270" s="336"/>
    </row>
    <row r="6271" spans="84:91" s="51" customFormat="1">
      <c r="CF6271" s="239"/>
      <c r="CM6271" s="336"/>
    </row>
    <row r="6272" spans="84:91" s="51" customFormat="1">
      <c r="CF6272" s="239"/>
      <c r="CM6272" s="336"/>
    </row>
    <row r="6273" spans="84:91" s="51" customFormat="1">
      <c r="CF6273" s="239"/>
      <c r="CM6273" s="336"/>
    </row>
    <row r="6274" spans="84:91" s="51" customFormat="1">
      <c r="CF6274" s="239"/>
      <c r="CM6274" s="336"/>
    </row>
    <row r="6275" spans="84:91" s="51" customFormat="1">
      <c r="CF6275" s="239"/>
      <c r="CM6275" s="336"/>
    </row>
    <row r="6276" spans="84:91" s="51" customFormat="1">
      <c r="CF6276" s="239"/>
      <c r="CM6276" s="336"/>
    </row>
    <row r="6277" spans="84:91" s="51" customFormat="1">
      <c r="CF6277" s="239"/>
      <c r="CM6277" s="336"/>
    </row>
    <row r="6278" spans="84:91" s="51" customFormat="1">
      <c r="CF6278" s="239"/>
      <c r="CM6278" s="336"/>
    </row>
    <row r="6279" spans="84:91" s="51" customFormat="1">
      <c r="CF6279" s="239"/>
      <c r="CM6279" s="336"/>
    </row>
    <row r="6280" spans="84:91" s="51" customFormat="1">
      <c r="CF6280" s="239"/>
      <c r="CM6280" s="336"/>
    </row>
    <row r="6281" spans="84:91" s="51" customFormat="1">
      <c r="CF6281" s="239"/>
      <c r="CM6281" s="336"/>
    </row>
    <row r="6282" spans="84:91" s="51" customFormat="1">
      <c r="CF6282" s="239"/>
      <c r="CM6282" s="336"/>
    </row>
    <row r="6283" spans="84:91" s="51" customFormat="1">
      <c r="CF6283" s="239"/>
      <c r="CM6283" s="336"/>
    </row>
    <row r="6284" spans="84:91" s="51" customFormat="1">
      <c r="CF6284" s="239"/>
      <c r="CM6284" s="336"/>
    </row>
    <row r="6285" spans="84:91" s="51" customFormat="1">
      <c r="CF6285" s="239"/>
      <c r="CM6285" s="336"/>
    </row>
    <row r="6286" spans="84:91" s="51" customFormat="1">
      <c r="CF6286" s="239"/>
      <c r="CM6286" s="336"/>
    </row>
    <row r="6287" spans="84:91" s="51" customFormat="1">
      <c r="CF6287" s="239"/>
      <c r="CM6287" s="336"/>
    </row>
    <row r="6288" spans="84:91" s="51" customFormat="1">
      <c r="CF6288" s="239"/>
      <c r="CM6288" s="336"/>
    </row>
    <row r="6289" spans="84:91" s="51" customFormat="1">
      <c r="CF6289" s="239"/>
      <c r="CM6289" s="336"/>
    </row>
    <row r="6290" spans="84:91" s="51" customFormat="1">
      <c r="CF6290" s="239"/>
      <c r="CM6290" s="336"/>
    </row>
    <row r="6291" spans="84:91" s="51" customFormat="1">
      <c r="CF6291" s="239"/>
      <c r="CM6291" s="336"/>
    </row>
    <row r="6292" spans="84:91" s="51" customFormat="1">
      <c r="CF6292" s="239"/>
      <c r="CM6292" s="336"/>
    </row>
    <row r="6293" spans="84:91" s="51" customFormat="1">
      <c r="CF6293" s="239"/>
      <c r="CM6293" s="336"/>
    </row>
    <row r="6294" spans="84:91" s="51" customFormat="1">
      <c r="CF6294" s="239"/>
      <c r="CM6294" s="336"/>
    </row>
    <row r="6295" spans="84:91" s="51" customFormat="1">
      <c r="CF6295" s="239"/>
      <c r="CM6295" s="336"/>
    </row>
    <row r="6296" spans="84:91" s="51" customFormat="1">
      <c r="CF6296" s="239"/>
      <c r="CM6296" s="336"/>
    </row>
    <row r="6297" spans="84:91" s="51" customFormat="1">
      <c r="CF6297" s="239"/>
      <c r="CM6297" s="336"/>
    </row>
    <row r="6298" spans="84:91" s="51" customFormat="1">
      <c r="CF6298" s="239"/>
      <c r="CM6298" s="336"/>
    </row>
    <row r="6299" spans="84:91" s="51" customFormat="1">
      <c r="CF6299" s="239"/>
      <c r="CM6299" s="336"/>
    </row>
    <row r="6300" spans="84:91" s="51" customFormat="1">
      <c r="CF6300" s="239"/>
      <c r="CM6300" s="336"/>
    </row>
    <row r="6301" spans="84:91" s="51" customFormat="1">
      <c r="CF6301" s="239"/>
      <c r="CM6301" s="336"/>
    </row>
    <row r="6302" spans="84:91" s="51" customFormat="1">
      <c r="CF6302" s="239"/>
      <c r="CM6302" s="336"/>
    </row>
    <row r="6303" spans="84:91" s="51" customFormat="1">
      <c r="CF6303" s="239"/>
      <c r="CM6303" s="336"/>
    </row>
    <row r="6304" spans="84:91" s="51" customFormat="1">
      <c r="CF6304" s="239"/>
      <c r="CM6304" s="336"/>
    </row>
    <row r="6305" spans="84:91" s="51" customFormat="1">
      <c r="CF6305" s="239"/>
      <c r="CM6305" s="336"/>
    </row>
    <row r="6306" spans="84:91" s="51" customFormat="1">
      <c r="CF6306" s="239"/>
      <c r="CM6306" s="336"/>
    </row>
    <row r="6307" spans="84:91" s="51" customFormat="1">
      <c r="CF6307" s="239"/>
      <c r="CM6307" s="336"/>
    </row>
    <row r="6308" spans="84:91" s="51" customFormat="1">
      <c r="CF6308" s="239"/>
      <c r="CM6308" s="336"/>
    </row>
    <row r="6309" spans="84:91" s="51" customFormat="1">
      <c r="CF6309" s="239"/>
      <c r="CM6309" s="336"/>
    </row>
    <row r="6310" spans="84:91" s="51" customFormat="1">
      <c r="CF6310" s="239"/>
      <c r="CM6310" s="336"/>
    </row>
    <row r="6311" spans="84:91" s="51" customFormat="1">
      <c r="CF6311" s="239"/>
      <c r="CM6311" s="336"/>
    </row>
    <row r="6312" spans="84:91" s="51" customFormat="1">
      <c r="CF6312" s="239"/>
      <c r="CM6312" s="336"/>
    </row>
    <row r="6313" spans="84:91" s="51" customFormat="1">
      <c r="CF6313" s="239"/>
      <c r="CM6313" s="336"/>
    </row>
    <row r="6314" spans="84:91" s="51" customFormat="1">
      <c r="CF6314" s="239"/>
      <c r="CM6314" s="336"/>
    </row>
    <row r="6315" spans="84:91" s="51" customFormat="1">
      <c r="CF6315" s="239"/>
      <c r="CM6315" s="336"/>
    </row>
    <row r="6316" spans="84:91" s="51" customFormat="1">
      <c r="CF6316" s="239"/>
      <c r="CM6316" s="336"/>
    </row>
    <row r="6317" spans="84:91" s="51" customFormat="1">
      <c r="CF6317" s="239"/>
      <c r="CM6317" s="336"/>
    </row>
    <row r="6318" spans="84:91" s="51" customFormat="1">
      <c r="CF6318" s="239"/>
      <c r="CM6318" s="336"/>
    </row>
    <row r="6319" spans="84:91" s="51" customFormat="1">
      <c r="CF6319" s="239"/>
      <c r="CM6319" s="336"/>
    </row>
    <row r="6320" spans="84:91" s="51" customFormat="1">
      <c r="CF6320" s="239"/>
      <c r="CM6320" s="336"/>
    </row>
    <row r="6321" spans="84:91" s="51" customFormat="1">
      <c r="CF6321" s="239"/>
      <c r="CM6321" s="336"/>
    </row>
    <row r="6322" spans="84:91" s="51" customFormat="1">
      <c r="CF6322" s="239"/>
      <c r="CM6322" s="336"/>
    </row>
    <row r="6323" spans="84:91" s="51" customFormat="1">
      <c r="CF6323" s="239"/>
      <c r="CM6323" s="336"/>
    </row>
    <row r="6324" spans="84:91" s="51" customFormat="1">
      <c r="CF6324" s="239"/>
      <c r="CM6324" s="336"/>
    </row>
    <row r="6325" spans="84:91" s="51" customFormat="1">
      <c r="CF6325" s="239"/>
      <c r="CM6325" s="336"/>
    </row>
    <row r="6326" spans="84:91" s="51" customFormat="1">
      <c r="CF6326" s="239"/>
      <c r="CM6326" s="336"/>
    </row>
    <row r="6327" spans="84:91" s="51" customFormat="1">
      <c r="CF6327" s="239"/>
      <c r="CM6327" s="336"/>
    </row>
    <row r="6328" spans="84:91" s="51" customFormat="1">
      <c r="CF6328" s="239"/>
      <c r="CM6328" s="336"/>
    </row>
    <row r="6329" spans="84:91" s="51" customFormat="1">
      <c r="CF6329" s="239"/>
      <c r="CM6329" s="336"/>
    </row>
    <row r="6330" spans="84:91" s="51" customFormat="1">
      <c r="CF6330" s="239"/>
      <c r="CM6330" s="336"/>
    </row>
    <row r="6331" spans="84:91" s="51" customFormat="1">
      <c r="CF6331" s="239"/>
      <c r="CM6331" s="336"/>
    </row>
    <row r="6332" spans="84:91" s="51" customFormat="1">
      <c r="CF6332" s="239"/>
      <c r="CM6332" s="336"/>
    </row>
    <row r="6333" spans="84:91" s="51" customFormat="1">
      <c r="CF6333" s="239"/>
      <c r="CM6333" s="336"/>
    </row>
    <row r="6334" spans="84:91" s="51" customFormat="1">
      <c r="CF6334" s="239"/>
      <c r="CM6334" s="336"/>
    </row>
    <row r="6335" spans="84:91" s="51" customFormat="1">
      <c r="CF6335" s="239"/>
      <c r="CM6335" s="336"/>
    </row>
    <row r="6336" spans="84:91" s="51" customFormat="1">
      <c r="CF6336" s="239"/>
      <c r="CM6336" s="336"/>
    </row>
    <row r="6337" spans="84:91" s="51" customFormat="1">
      <c r="CF6337" s="239"/>
      <c r="CM6337" s="336"/>
    </row>
    <row r="6338" spans="84:91" s="51" customFormat="1">
      <c r="CF6338" s="239"/>
      <c r="CM6338" s="336"/>
    </row>
    <row r="6339" spans="84:91" s="51" customFormat="1">
      <c r="CF6339" s="239"/>
      <c r="CM6339" s="336"/>
    </row>
    <row r="6340" spans="84:91" s="51" customFormat="1">
      <c r="CF6340" s="239"/>
      <c r="CM6340" s="336"/>
    </row>
    <row r="6341" spans="84:91" s="51" customFormat="1">
      <c r="CF6341" s="239"/>
      <c r="CM6341" s="336"/>
    </row>
    <row r="6342" spans="84:91" s="51" customFormat="1">
      <c r="CF6342" s="239"/>
      <c r="CM6342" s="336"/>
    </row>
    <row r="6343" spans="84:91" s="51" customFormat="1">
      <c r="CF6343" s="239"/>
      <c r="CM6343" s="336"/>
    </row>
    <row r="6344" spans="84:91" s="51" customFormat="1">
      <c r="CF6344" s="239"/>
      <c r="CM6344" s="336"/>
    </row>
    <row r="6345" spans="84:91" s="51" customFormat="1">
      <c r="CF6345" s="239"/>
      <c r="CM6345" s="336"/>
    </row>
    <row r="6346" spans="84:91" s="51" customFormat="1">
      <c r="CF6346" s="239"/>
      <c r="CM6346" s="336"/>
    </row>
    <row r="6347" spans="84:91" s="51" customFormat="1">
      <c r="CF6347" s="239"/>
      <c r="CM6347" s="336"/>
    </row>
    <row r="6348" spans="84:91" s="51" customFormat="1">
      <c r="CF6348" s="239"/>
      <c r="CM6348" s="336"/>
    </row>
    <row r="6349" spans="84:91" s="51" customFormat="1">
      <c r="CF6349" s="239"/>
      <c r="CM6349" s="336"/>
    </row>
    <row r="6350" spans="84:91" s="51" customFormat="1">
      <c r="CF6350" s="239"/>
      <c r="CM6350" s="336"/>
    </row>
    <row r="6351" spans="84:91" s="51" customFormat="1">
      <c r="CF6351" s="239"/>
      <c r="CM6351" s="336"/>
    </row>
    <row r="6352" spans="84:91" s="51" customFormat="1">
      <c r="CF6352" s="239"/>
      <c r="CM6352" s="336"/>
    </row>
    <row r="6353" spans="84:91" s="51" customFormat="1">
      <c r="CF6353" s="239"/>
      <c r="CM6353" s="336"/>
    </row>
    <row r="6354" spans="84:91" s="51" customFormat="1">
      <c r="CF6354" s="239"/>
      <c r="CM6354" s="336"/>
    </row>
    <row r="6355" spans="84:91" s="51" customFormat="1">
      <c r="CF6355" s="239"/>
      <c r="CM6355" s="336"/>
    </row>
    <row r="6356" spans="84:91" s="51" customFormat="1">
      <c r="CF6356" s="239"/>
      <c r="CM6356" s="336"/>
    </row>
    <row r="6357" spans="84:91" s="51" customFormat="1">
      <c r="CF6357" s="239"/>
      <c r="CM6357" s="336"/>
    </row>
    <row r="6358" spans="84:91" s="51" customFormat="1">
      <c r="CF6358" s="239"/>
      <c r="CM6358" s="336"/>
    </row>
    <row r="6359" spans="84:91" s="51" customFormat="1">
      <c r="CF6359" s="239"/>
      <c r="CM6359" s="336"/>
    </row>
    <row r="6360" spans="84:91" s="51" customFormat="1">
      <c r="CF6360" s="239"/>
      <c r="CM6360" s="336"/>
    </row>
    <row r="6361" spans="84:91" s="51" customFormat="1">
      <c r="CF6361" s="239"/>
      <c r="CM6361" s="336"/>
    </row>
    <row r="6362" spans="84:91" s="51" customFormat="1">
      <c r="CF6362" s="239"/>
      <c r="CM6362" s="336"/>
    </row>
    <row r="6363" spans="84:91" s="51" customFormat="1">
      <c r="CF6363" s="239"/>
      <c r="CM6363" s="336"/>
    </row>
    <row r="6364" spans="84:91" s="51" customFormat="1">
      <c r="CF6364" s="239"/>
      <c r="CM6364" s="336"/>
    </row>
    <row r="6365" spans="84:91" s="51" customFormat="1">
      <c r="CF6365" s="239"/>
      <c r="CM6365" s="336"/>
    </row>
    <row r="6366" spans="84:91" s="51" customFormat="1">
      <c r="CF6366" s="239"/>
      <c r="CM6366" s="336"/>
    </row>
    <row r="6367" spans="84:91" s="51" customFormat="1">
      <c r="CF6367" s="239"/>
      <c r="CM6367" s="336"/>
    </row>
    <row r="6368" spans="84:91" s="51" customFormat="1">
      <c r="CF6368" s="239"/>
      <c r="CM6368" s="336"/>
    </row>
    <row r="6369" spans="84:91" s="51" customFormat="1">
      <c r="CF6369" s="239"/>
      <c r="CM6369" s="336"/>
    </row>
    <row r="6370" spans="84:91" s="51" customFormat="1">
      <c r="CF6370" s="239"/>
      <c r="CM6370" s="336"/>
    </row>
    <row r="6371" spans="84:91" s="51" customFormat="1">
      <c r="CF6371" s="239"/>
      <c r="CM6371" s="336"/>
    </row>
    <row r="6372" spans="84:91" s="51" customFormat="1">
      <c r="CF6372" s="239"/>
      <c r="CM6372" s="336"/>
    </row>
    <row r="6373" spans="84:91" s="51" customFormat="1">
      <c r="CF6373" s="239"/>
      <c r="CM6373" s="336"/>
    </row>
    <row r="6374" spans="84:91" s="51" customFormat="1">
      <c r="CF6374" s="239"/>
      <c r="CM6374" s="336"/>
    </row>
    <row r="6375" spans="84:91" s="51" customFormat="1">
      <c r="CF6375" s="239"/>
      <c r="CM6375" s="336"/>
    </row>
    <row r="6376" spans="84:91" s="51" customFormat="1">
      <c r="CF6376" s="239"/>
      <c r="CM6376" s="336"/>
    </row>
    <row r="6377" spans="84:91" s="51" customFormat="1">
      <c r="CF6377" s="239"/>
      <c r="CM6377" s="336"/>
    </row>
    <row r="6378" spans="84:91" s="51" customFormat="1">
      <c r="CF6378" s="239"/>
      <c r="CM6378" s="336"/>
    </row>
    <row r="6379" spans="84:91" s="51" customFormat="1">
      <c r="CF6379" s="239"/>
      <c r="CM6379" s="336"/>
    </row>
    <row r="6380" spans="84:91" s="51" customFormat="1">
      <c r="CF6380" s="239"/>
      <c r="CM6380" s="336"/>
    </row>
    <row r="6381" spans="84:91" s="51" customFormat="1">
      <c r="CF6381" s="239"/>
      <c r="CM6381" s="336"/>
    </row>
    <row r="6382" spans="84:91" s="51" customFormat="1">
      <c r="CF6382" s="239"/>
      <c r="CM6382" s="336"/>
    </row>
    <row r="6383" spans="84:91" s="51" customFormat="1">
      <c r="CF6383" s="239"/>
      <c r="CM6383" s="336"/>
    </row>
    <row r="6384" spans="84:91" s="51" customFormat="1">
      <c r="CF6384" s="239"/>
      <c r="CM6384" s="336"/>
    </row>
    <row r="6385" spans="84:91" s="51" customFormat="1">
      <c r="CF6385" s="239"/>
      <c r="CM6385" s="336"/>
    </row>
    <row r="6386" spans="84:91" s="51" customFormat="1">
      <c r="CF6386" s="239"/>
      <c r="CM6386" s="336"/>
    </row>
    <row r="6387" spans="84:91" s="51" customFormat="1">
      <c r="CF6387" s="239"/>
      <c r="CM6387" s="336"/>
    </row>
    <row r="6388" spans="84:91" s="51" customFormat="1">
      <c r="CF6388" s="239"/>
      <c r="CM6388" s="336"/>
    </row>
    <row r="6389" spans="84:91" s="51" customFormat="1">
      <c r="CF6389" s="239"/>
      <c r="CM6389" s="336"/>
    </row>
    <row r="6390" spans="84:91" s="51" customFormat="1">
      <c r="CF6390" s="239"/>
      <c r="CM6390" s="336"/>
    </row>
    <row r="6391" spans="84:91" s="51" customFormat="1">
      <c r="CF6391" s="239"/>
      <c r="CM6391" s="336"/>
    </row>
    <row r="6392" spans="84:91" s="51" customFormat="1">
      <c r="CF6392" s="239"/>
      <c r="CM6392" s="336"/>
    </row>
    <row r="6393" spans="84:91" s="51" customFormat="1">
      <c r="CF6393" s="239"/>
      <c r="CM6393" s="336"/>
    </row>
    <row r="6394" spans="84:91" s="51" customFormat="1">
      <c r="CF6394" s="239"/>
      <c r="CM6394" s="336"/>
    </row>
    <row r="6395" spans="84:91" s="51" customFormat="1">
      <c r="CF6395" s="239"/>
      <c r="CM6395" s="336"/>
    </row>
    <row r="6396" spans="84:91" s="51" customFormat="1">
      <c r="CF6396" s="239"/>
      <c r="CM6396" s="336"/>
    </row>
    <row r="6397" spans="84:91" s="51" customFormat="1">
      <c r="CF6397" s="239"/>
      <c r="CM6397" s="336"/>
    </row>
    <row r="6398" spans="84:91" s="51" customFormat="1">
      <c r="CF6398" s="239"/>
      <c r="CM6398" s="336"/>
    </row>
    <row r="6399" spans="84:91" s="51" customFormat="1">
      <c r="CF6399" s="239"/>
      <c r="CM6399" s="336"/>
    </row>
    <row r="6400" spans="84:91" s="51" customFormat="1">
      <c r="CF6400" s="239"/>
      <c r="CM6400" s="336"/>
    </row>
    <row r="6401" spans="84:91" s="51" customFormat="1">
      <c r="CF6401" s="239"/>
      <c r="CM6401" s="336"/>
    </row>
    <row r="6402" spans="84:91" s="51" customFormat="1">
      <c r="CF6402" s="239"/>
      <c r="CM6402" s="336"/>
    </row>
    <row r="6403" spans="84:91" s="51" customFormat="1">
      <c r="CF6403" s="239"/>
      <c r="CM6403" s="336"/>
    </row>
    <row r="6404" spans="84:91" s="51" customFormat="1">
      <c r="CF6404" s="239"/>
      <c r="CM6404" s="336"/>
    </row>
    <row r="6405" spans="84:91" s="51" customFormat="1">
      <c r="CF6405" s="239"/>
      <c r="CM6405" s="336"/>
    </row>
    <row r="6406" spans="84:91" s="51" customFormat="1">
      <c r="CF6406" s="239"/>
      <c r="CM6406" s="336"/>
    </row>
    <row r="6407" spans="84:91" s="51" customFormat="1">
      <c r="CF6407" s="239"/>
      <c r="CM6407" s="336"/>
    </row>
    <row r="6408" spans="84:91" s="51" customFormat="1">
      <c r="CF6408" s="239"/>
      <c r="CM6408" s="336"/>
    </row>
    <row r="6409" spans="84:91" s="51" customFormat="1">
      <c r="CF6409" s="239"/>
      <c r="CM6409" s="336"/>
    </row>
    <row r="6410" spans="84:91" s="51" customFormat="1">
      <c r="CF6410" s="239"/>
      <c r="CM6410" s="336"/>
    </row>
    <row r="6411" spans="84:91" s="51" customFormat="1">
      <c r="CF6411" s="239"/>
      <c r="CM6411" s="336"/>
    </row>
    <row r="6412" spans="84:91" s="51" customFormat="1">
      <c r="CF6412" s="239"/>
      <c r="CM6412" s="336"/>
    </row>
    <row r="6413" spans="84:91" s="51" customFormat="1">
      <c r="CF6413" s="239"/>
      <c r="CM6413" s="336"/>
    </row>
    <row r="6414" spans="84:91" s="51" customFormat="1">
      <c r="CF6414" s="239"/>
      <c r="CM6414" s="336"/>
    </row>
    <row r="6415" spans="84:91" s="51" customFormat="1">
      <c r="CF6415" s="239"/>
      <c r="CM6415" s="336"/>
    </row>
    <row r="6416" spans="84:91" s="51" customFormat="1">
      <c r="CF6416" s="239"/>
      <c r="CM6416" s="336"/>
    </row>
    <row r="6417" spans="84:91" s="51" customFormat="1">
      <c r="CF6417" s="239"/>
      <c r="CM6417" s="336"/>
    </row>
    <row r="6418" spans="84:91" s="51" customFormat="1">
      <c r="CF6418" s="239"/>
      <c r="CM6418" s="336"/>
    </row>
    <row r="6419" spans="84:91" s="51" customFormat="1">
      <c r="CF6419" s="239"/>
      <c r="CM6419" s="336"/>
    </row>
    <row r="6420" spans="84:91" s="51" customFormat="1">
      <c r="CF6420" s="239"/>
      <c r="CM6420" s="336"/>
    </row>
    <row r="6421" spans="84:91" s="51" customFormat="1">
      <c r="CF6421" s="239"/>
      <c r="CM6421" s="336"/>
    </row>
    <row r="6422" spans="84:91" s="51" customFormat="1">
      <c r="CF6422" s="239"/>
      <c r="CM6422" s="336"/>
    </row>
    <row r="6423" spans="84:91" s="51" customFormat="1">
      <c r="CF6423" s="239"/>
      <c r="CM6423" s="336"/>
    </row>
    <row r="6424" spans="84:91" s="51" customFormat="1">
      <c r="CF6424" s="239"/>
      <c r="CM6424" s="336"/>
    </row>
    <row r="6425" spans="84:91" s="51" customFormat="1">
      <c r="CF6425" s="239"/>
      <c r="CM6425" s="336"/>
    </row>
    <row r="6426" spans="84:91" s="51" customFormat="1">
      <c r="CF6426" s="239"/>
      <c r="CM6426" s="336"/>
    </row>
    <row r="6427" spans="84:91" s="51" customFormat="1">
      <c r="CF6427" s="239"/>
      <c r="CM6427" s="336"/>
    </row>
    <row r="6428" spans="84:91" s="51" customFormat="1">
      <c r="CF6428" s="239"/>
      <c r="CM6428" s="336"/>
    </row>
    <row r="6429" spans="84:91" s="51" customFormat="1">
      <c r="CF6429" s="239"/>
      <c r="CM6429" s="336"/>
    </row>
    <row r="6430" spans="84:91" s="51" customFormat="1">
      <c r="CF6430" s="239"/>
      <c r="CM6430" s="336"/>
    </row>
    <row r="6431" spans="84:91" s="51" customFormat="1">
      <c r="CF6431" s="239"/>
      <c r="CM6431" s="336"/>
    </row>
    <row r="6432" spans="84:91" s="51" customFormat="1">
      <c r="CF6432" s="239"/>
      <c r="CM6432" s="336"/>
    </row>
    <row r="6433" spans="84:91" s="51" customFormat="1">
      <c r="CF6433" s="239"/>
      <c r="CM6433" s="336"/>
    </row>
    <row r="6434" spans="84:91" s="51" customFormat="1">
      <c r="CF6434" s="239"/>
      <c r="CM6434" s="336"/>
    </row>
    <row r="6435" spans="84:91" s="51" customFormat="1">
      <c r="CF6435" s="239"/>
      <c r="CM6435" s="336"/>
    </row>
    <row r="6436" spans="84:91" s="51" customFormat="1">
      <c r="CF6436" s="239"/>
      <c r="CM6436" s="336"/>
    </row>
    <row r="6437" spans="84:91" s="51" customFormat="1">
      <c r="CF6437" s="239"/>
      <c r="CM6437" s="336"/>
    </row>
    <row r="6438" spans="84:91" s="51" customFormat="1">
      <c r="CF6438" s="239"/>
      <c r="CM6438" s="336"/>
    </row>
    <row r="6439" spans="84:91" s="51" customFormat="1">
      <c r="CF6439" s="239"/>
      <c r="CM6439" s="336"/>
    </row>
    <row r="6440" spans="84:91" s="51" customFormat="1">
      <c r="CF6440" s="239"/>
      <c r="CM6440" s="336"/>
    </row>
    <row r="6441" spans="84:91" s="51" customFormat="1">
      <c r="CF6441" s="239"/>
      <c r="CM6441" s="336"/>
    </row>
    <row r="6442" spans="84:91" s="51" customFormat="1">
      <c r="CF6442" s="239"/>
      <c r="CM6442" s="336"/>
    </row>
    <row r="6443" spans="84:91" s="51" customFormat="1">
      <c r="CF6443" s="239"/>
      <c r="CM6443" s="336"/>
    </row>
    <row r="6444" spans="84:91" s="51" customFormat="1">
      <c r="CF6444" s="239"/>
      <c r="CM6444" s="336"/>
    </row>
    <row r="6445" spans="84:91" s="51" customFormat="1">
      <c r="CF6445" s="239"/>
      <c r="CM6445" s="336"/>
    </row>
    <row r="6446" spans="84:91" s="51" customFormat="1">
      <c r="CF6446" s="239"/>
      <c r="CM6446" s="336"/>
    </row>
    <row r="6447" spans="84:91" s="51" customFormat="1">
      <c r="CF6447" s="239"/>
      <c r="CM6447" s="336"/>
    </row>
    <row r="6448" spans="84:91" s="51" customFormat="1">
      <c r="CF6448" s="239"/>
      <c r="CM6448" s="336"/>
    </row>
    <row r="6449" spans="84:91" s="51" customFormat="1">
      <c r="CF6449" s="239"/>
      <c r="CM6449" s="336"/>
    </row>
    <row r="6450" spans="84:91" s="51" customFormat="1">
      <c r="CF6450" s="239"/>
      <c r="CM6450" s="336"/>
    </row>
    <row r="6451" spans="84:91" s="51" customFormat="1">
      <c r="CF6451" s="239"/>
      <c r="CM6451" s="336"/>
    </row>
    <row r="6452" spans="84:91" s="51" customFormat="1">
      <c r="CF6452" s="239"/>
      <c r="CM6452" s="336"/>
    </row>
    <row r="6453" spans="84:91" s="51" customFormat="1">
      <c r="CF6453" s="239"/>
      <c r="CM6453" s="336"/>
    </row>
    <row r="6454" spans="84:91" s="51" customFormat="1">
      <c r="CF6454" s="239"/>
      <c r="CM6454" s="336"/>
    </row>
    <row r="6455" spans="84:91" s="51" customFormat="1">
      <c r="CF6455" s="239"/>
      <c r="CM6455" s="336"/>
    </row>
    <row r="6456" spans="84:91" s="51" customFormat="1">
      <c r="CF6456" s="239"/>
      <c r="CM6456" s="336"/>
    </row>
    <row r="6457" spans="84:91" s="51" customFormat="1">
      <c r="CF6457" s="239"/>
      <c r="CM6457" s="336"/>
    </row>
    <row r="6458" spans="84:91" s="51" customFormat="1">
      <c r="CF6458" s="239"/>
      <c r="CM6458" s="336"/>
    </row>
    <row r="6459" spans="84:91" s="51" customFormat="1">
      <c r="CF6459" s="239"/>
      <c r="CM6459" s="336"/>
    </row>
    <row r="6460" spans="84:91" s="51" customFormat="1">
      <c r="CF6460" s="239"/>
      <c r="CM6460" s="336"/>
    </row>
    <row r="6461" spans="84:91" s="51" customFormat="1">
      <c r="CF6461" s="239"/>
      <c r="CM6461" s="336"/>
    </row>
    <row r="6462" spans="84:91" s="51" customFormat="1">
      <c r="CF6462" s="239"/>
      <c r="CM6462" s="336"/>
    </row>
    <row r="6463" spans="84:91" s="51" customFormat="1">
      <c r="CF6463" s="239"/>
      <c r="CM6463" s="336"/>
    </row>
    <row r="6464" spans="84:91" s="51" customFormat="1">
      <c r="CF6464" s="239"/>
      <c r="CM6464" s="336"/>
    </row>
    <row r="6465" spans="84:91" s="51" customFormat="1">
      <c r="CF6465" s="239"/>
      <c r="CM6465" s="336"/>
    </row>
    <row r="6466" spans="84:91" s="51" customFormat="1">
      <c r="CF6466" s="239"/>
      <c r="CM6466" s="336"/>
    </row>
    <row r="6467" spans="84:91" s="51" customFormat="1">
      <c r="CF6467" s="239"/>
      <c r="CM6467" s="336"/>
    </row>
    <row r="6468" spans="84:91" s="51" customFormat="1">
      <c r="CF6468" s="239"/>
      <c r="CM6468" s="336"/>
    </row>
    <row r="6469" spans="84:91" s="51" customFormat="1">
      <c r="CF6469" s="239"/>
      <c r="CM6469" s="336"/>
    </row>
    <row r="6470" spans="84:91" s="51" customFormat="1">
      <c r="CF6470" s="239"/>
      <c r="CM6470" s="336"/>
    </row>
    <row r="6471" spans="84:91" s="51" customFormat="1">
      <c r="CF6471" s="239"/>
      <c r="CM6471" s="336"/>
    </row>
    <row r="6472" spans="84:91" s="51" customFormat="1">
      <c r="CF6472" s="239"/>
      <c r="CM6472" s="336"/>
    </row>
    <row r="6473" spans="84:91" s="51" customFormat="1">
      <c r="CF6473" s="239"/>
      <c r="CM6473" s="336"/>
    </row>
    <row r="6474" spans="84:91" s="51" customFormat="1">
      <c r="CF6474" s="239"/>
      <c r="CM6474" s="336"/>
    </row>
    <row r="6475" spans="84:91" s="51" customFormat="1">
      <c r="CF6475" s="239"/>
      <c r="CM6475" s="336"/>
    </row>
    <row r="6476" spans="84:91" s="51" customFormat="1">
      <c r="CF6476" s="239"/>
      <c r="CM6476" s="336"/>
    </row>
    <row r="6477" spans="84:91" s="51" customFormat="1">
      <c r="CF6477" s="239"/>
      <c r="CM6477" s="336"/>
    </row>
    <row r="6478" spans="84:91" s="51" customFormat="1">
      <c r="CF6478" s="239"/>
      <c r="CM6478" s="336"/>
    </row>
    <row r="6479" spans="84:91" s="51" customFormat="1">
      <c r="CF6479" s="239"/>
      <c r="CM6479" s="336"/>
    </row>
    <row r="6480" spans="84:91" s="51" customFormat="1">
      <c r="CF6480" s="239"/>
      <c r="CM6480" s="336"/>
    </row>
    <row r="6481" spans="84:91" s="51" customFormat="1">
      <c r="CF6481" s="239"/>
      <c r="CM6481" s="336"/>
    </row>
    <row r="6482" spans="84:91" s="51" customFormat="1">
      <c r="CF6482" s="239"/>
      <c r="CM6482" s="336"/>
    </row>
    <row r="6483" spans="84:91" s="51" customFormat="1">
      <c r="CF6483" s="239"/>
      <c r="CM6483" s="336"/>
    </row>
    <row r="6484" spans="84:91" s="51" customFormat="1">
      <c r="CF6484" s="239"/>
      <c r="CM6484" s="336"/>
    </row>
    <row r="6485" spans="84:91" s="51" customFormat="1">
      <c r="CF6485" s="239"/>
      <c r="CM6485" s="336"/>
    </row>
    <row r="6486" spans="84:91" s="51" customFormat="1">
      <c r="CF6486" s="239"/>
      <c r="CM6486" s="336"/>
    </row>
    <row r="6487" spans="84:91" s="51" customFormat="1">
      <c r="CF6487" s="239"/>
      <c r="CM6487" s="336"/>
    </row>
    <row r="6488" spans="84:91" s="51" customFormat="1">
      <c r="CF6488" s="239"/>
      <c r="CM6488" s="336"/>
    </row>
    <row r="6489" spans="84:91" s="51" customFormat="1">
      <c r="CF6489" s="239"/>
      <c r="CM6489" s="336"/>
    </row>
    <row r="6490" spans="84:91" s="51" customFormat="1">
      <c r="CF6490" s="239"/>
      <c r="CM6490" s="336"/>
    </row>
    <row r="6491" spans="84:91" s="51" customFormat="1">
      <c r="CF6491" s="239"/>
      <c r="CM6491" s="336"/>
    </row>
    <row r="6492" spans="84:91" s="51" customFormat="1">
      <c r="CF6492" s="239"/>
      <c r="CM6492" s="336"/>
    </row>
    <row r="6493" spans="84:91" s="51" customFormat="1">
      <c r="CF6493" s="239"/>
      <c r="CM6493" s="336"/>
    </row>
    <row r="6494" spans="84:91" s="51" customFormat="1">
      <c r="CF6494" s="239"/>
      <c r="CM6494" s="336"/>
    </row>
    <row r="6495" spans="84:91" s="51" customFormat="1">
      <c r="CF6495" s="239"/>
      <c r="CM6495" s="336"/>
    </row>
    <row r="6496" spans="84:91" s="51" customFormat="1">
      <c r="CF6496" s="239"/>
      <c r="CM6496" s="336"/>
    </row>
    <row r="6497" spans="84:91" s="51" customFormat="1">
      <c r="CF6497" s="239"/>
      <c r="CM6497" s="336"/>
    </row>
    <row r="6498" spans="84:91" s="51" customFormat="1">
      <c r="CF6498" s="239"/>
      <c r="CM6498" s="336"/>
    </row>
    <row r="6499" spans="84:91" s="51" customFormat="1">
      <c r="CF6499" s="239"/>
      <c r="CM6499" s="336"/>
    </row>
    <row r="6500" spans="84:91" s="51" customFormat="1">
      <c r="CF6500" s="239"/>
      <c r="CM6500" s="336"/>
    </row>
    <row r="6501" spans="84:91" s="51" customFormat="1">
      <c r="CF6501" s="239"/>
      <c r="CM6501" s="336"/>
    </row>
    <row r="6502" spans="84:91" s="51" customFormat="1">
      <c r="CF6502" s="239"/>
      <c r="CM6502" s="336"/>
    </row>
    <row r="6503" spans="84:91" s="51" customFormat="1">
      <c r="CF6503" s="239"/>
      <c r="CM6503" s="336"/>
    </row>
    <row r="6504" spans="84:91" s="51" customFormat="1">
      <c r="CF6504" s="239"/>
      <c r="CM6504" s="336"/>
    </row>
    <row r="6505" spans="84:91" s="51" customFormat="1">
      <c r="CF6505" s="239"/>
      <c r="CM6505" s="336"/>
    </row>
    <row r="6506" spans="84:91" s="51" customFormat="1">
      <c r="CF6506" s="239"/>
      <c r="CM6506" s="336"/>
    </row>
    <row r="6507" spans="84:91" s="51" customFormat="1">
      <c r="CF6507" s="239"/>
      <c r="CM6507" s="336"/>
    </row>
    <row r="6508" spans="84:91" s="51" customFormat="1">
      <c r="CF6508" s="239"/>
      <c r="CM6508" s="336"/>
    </row>
    <row r="6509" spans="84:91" s="51" customFormat="1">
      <c r="CF6509" s="239"/>
      <c r="CM6509" s="336"/>
    </row>
    <row r="6510" spans="84:91" s="51" customFormat="1">
      <c r="CF6510" s="239"/>
      <c r="CM6510" s="336"/>
    </row>
    <row r="6511" spans="84:91" s="51" customFormat="1">
      <c r="CF6511" s="239"/>
      <c r="CM6511" s="336"/>
    </row>
    <row r="6512" spans="84:91" s="51" customFormat="1">
      <c r="CF6512" s="239"/>
      <c r="CM6512" s="336"/>
    </row>
    <row r="6513" spans="84:91" s="51" customFormat="1">
      <c r="CF6513" s="239"/>
      <c r="CM6513" s="336"/>
    </row>
    <row r="6514" spans="84:91" s="51" customFormat="1">
      <c r="CF6514" s="239"/>
      <c r="CM6514" s="336"/>
    </row>
    <row r="6515" spans="84:91" s="51" customFormat="1">
      <c r="CF6515" s="239"/>
      <c r="CM6515" s="336"/>
    </row>
    <row r="6516" spans="84:91" s="51" customFormat="1">
      <c r="CF6516" s="239"/>
      <c r="CM6516" s="336"/>
    </row>
    <row r="6517" spans="84:91" s="51" customFormat="1">
      <c r="CF6517" s="239"/>
      <c r="CM6517" s="336"/>
    </row>
    <row r="6518" spans="84:91" s="51" customFormat="1">
      <c r="CF6518" s="239"/>
      <c r="CM6518" s="336"/>
    </row>
    <row r="6519" spans="84:91" s="51" customFormat="1">
      <c r="CF6519" s="239"/>
      <c r="CM6519" s="336"/>
    </row>
    <row r="6520" spans="84:91" s="51" customFormat="1">
      <c r="CF6520" s="239"/>
      <c r="CM6520" s="336"/>
    </row>
    <row r="6521" spans="84:91" s="51" customFormat="1">
      <c r="CF6521" s="239"/>
      <c r="CM6521" s="336"/>
    </row>
    <row r="6522" spans="84:91" s="51" customFormat="1">
      <c r="CF6522" s="239"/>
      <c r="CM6522" s="336"/>
    </row>
    <row r="6523" spans="84:91" s="51" customFormat="1">
      <c r="CF6523" s="239"/>
      <c r="CM6523" s="336"/>
    </row>
    <row r="6524" spans="84:91" s="51" customFormat="1">
      <c r="CF6524" s="239"/>
      <c r="CM6524" s="336"/>
    </row>
    <row r="6525" spans="84:91" s="51" customFormat="1">
      <c r="CF6525" s="239"/>
      <c r="CM6525" s="336"/>
    </row>
    <row r="6526" spans="84:91" s="51" customFormat="1">
      <c r="CF6526" s="239"/>
      <c r="CM6526" s="336"/>
    </row>
    <row r="6527" spans="84:91" s="51" customFormat="1">
      <c r="CF6527" s="239"/>
      <c r="CM6527" s="336"/>
    </row>
    <row r="6528" spans="84:91" s="51" customFormat="1">
      <c r="CF6528" s="239"/>
      <c r="CM6528" s="336"/>
    </row>
    <row r="6529" spans="84:91" s="51" customFormat="1">
      <c r="CF6529" s="239"/>
      <c r="CM6529" s="336"/>
    </row>
    <row r="6530" spans="84:91" s="51" customFormat="1">
      <c r="CF6530" s="239"/>
      <c r="CM6530" s="336"/>
    </row>
    <row r="6531" spans="84:91" s="51" customFormat="1">
      <c r="CF6531" s="239"/>
      <c r="CM6531" s="336"/>
    </row>
    <row r="6532" spans="84:91" s="51" customFormat="1">
      <c r="CF6532" s="239"/>
      <c r="CM6532" s="336"/>
    </row>
    <row r="6533" spans="84:91" s="51" customFormat="1">
      <c r="CF6533" s="239"/>
      <c r="CM6533" s="336"/>
    </row>
    <row r="6534" spans="84:91" s="51" customFormat="1">
      <c r="CF6534" s="239"/>
      <c r="CM6534" s="336"/>
    </row>
    <row r="6535" spans="84:91" s="51" customFormat="1">
      <c r="CF6535" s="239"/>
      <c r="CM6535" s="336"/>
    </row>
    <row r="6536" spans="84:91" s="51" customFormat="1">
      <c r="CF6536" s="239"/>
      <c r="CM6536" s="336"/>
    </row>
    <row r="6537" spans="84:91" s="51" customFormat="1">
      <c r="CF6537" s="239"/>
      <c r="CM6537" s="336"/>
    </row>
    <row r="6538" spans="84:91" s="51" customFormat="1">
      <c r="CF6538" s="239"/>
      <c r="CM6538" s="336"/>
    </row>
    <row r="6539" spans="84:91" s="51" customFormat="1">
      <c r="CF6539" s="239"/>
      <c r="CM6539" s="336"/>
    </row>
    <row r="6540" spans="84:91" s="51" customFormat="1">
      <c r="CF6540" s="239"/>
      <c r="CM6540" s="336"/>
    </row>
    <row r="6541" spans="84:91" s="51" customFormat="1">
      <c r="CF6541" s="239"/>
      <c r="CM6541" s="336"/>
    </row>
    <row r="6542" spans="84:91" s="51" customFormat="1">
      <c r="CF6542" s="239"/>
      <c r="CM6542" s="336"/>
    </row>
    <row r="6543" spans="84:91" s="51" customFormat="1">
      <c r="CF6543" s="239"/>
      <c r="CM6543" s="336"/>
    </row>
    <row r="6544" spans="84:91" s="51" customFormat="1">
      <c r="CF6544" s="239"/>
      <c r="CM6544" s="336"/>
    </row>
    <row r="6545" spans="84:91" s="51" customFormat="1">
      <c r="CF6545" s="239"/>
      <c r="CM6545" s="336"/>
    </row>
    <row r="6546" spans="84:91" s="51" customFormat="1">
      <c r="CF6546" s="239"/>
      <c r="CM6546" s="336"/>
    </row>
    <row r="6547" spans="84:91" s="51" customFormat="1">
      <c r="CF6547" s="239"/>
      <c r="CM6547" s="336"/>
    </row>
    <row r="6548" spans="84:91" s="51" customFormat="1">
      <c r="CF6548" s="239"/>
      <c r="CM6548" s="336"/>
    </row>
    <row r="6549" spans="84:91" s="51" customFormat="1">
      <c r="CF6549" s="239"/>
      <c r="CM6549" s="336"/>
    </row>
    <row r="6550" spans="84:91" s="51" customFormat="1">
      <c r="CF6550" s="239"/>
      <c r="CM6550" s="336"/>
    </row>
    <row r="6551" spans="84:91" s="51" customFormat="1">
      <c r="CF6551" s="239"/>
      <c r="CM6551" s="336"/>
    </row>
    <row r="6552" spans="84:91" s="51" customFormat="1">
      <c r="CF6552" s="239"/>
      <c r="CM6552" s="336"/>
    </row>
    <row r="6553" spans="84:91" s="51" customFormat="1">
      <c r="CF6553" s="239"/>
      <c r="CM6553" s="336"/>
    </row>
    <row r="6554" spans="84:91" s="51" customFormat="1">
      <c r="CF6554" s="239"/>
      <c r="CM6554" s="336"/>
    </row>
    <row r="6555" spans="84:91" s="51" customFormat="1">
      <c r="CF6555" s="239"/>
      <c r="CM6555" s="336"/>
    </row>
    <row r="6556" spans="84:91" s="51" customFormat="1">
      <c r="CF6556" s="239"/>
      <c r="CM6556" s="336"/>
    </row>
    <row r="6557" spans="84:91" s="51" customFormat="1">
      <c r="CF6557" s="239"/>
      <c r="CM6557" s="336"/>
    </row>
    <row r="6558" spans="84:91" s="51" customFormat="1">
      <c r="CF6558" s="239"/>
      <c r="CM6558" s="336"/>
    </row>
    <row r="6559" spans="84:91" s="51" customFormat="1">
      <c r="CF6559" s="239"/>
      <c r="CM6559" s="336"/>
    </row>
    <row r="6560" spans="84:91" s="51" customFormat="1">
      <c r="CF6560" s="239"/>
      <c r="CM6560" s="336"/>
    </row>
    <row r="6561" spans="84:91" s="51" customFormat="1">
      <c r="CF6561" s="239"/>
      <c r="CM6561" s="336"/>
    </row>
    <row r="6562" spans="84:91" s="51" customFormat="1">
      <c r="CF6562" s="239"/>
      <c r="CM6562" s="336"/>
    </row>
    <row r="6563" spans="84:91" s="51" customFormat="1">
      <c r="CF6563" s="239"/>
      <c r="CM6563" s="336"/>
    </row>
    <row r="6564" spans="84:91" s="51" customFormat="1">
      <c r="CF6564" s="239"/>
      <c r="CM6564" s="336"/>
    </row>
    <row r="6565" spans="84:91" s="51" customFormat="1">
      <c r="CF6565" s="239"/>
      <c r="CM6565" s="336"/>
    </row>
    <row r="6566" spans="84:91" s="51" customFormat="1">
      <c r="CF6566" s="239"/>
      <c r="CM6566" s="336"/>
    </row>
    <row r="6567" spans="84:91" s="51" customFormat="1">
      <c r="CF6567" s="239"/>
      <c r="CM6567" s="336"/>
    </row>
    <row r="6568" spans="84:91" s="51" customFormat="1">
      <c r="CF6568" s="239"/>
      <c r="CM6568" s="336"/>
    </row>
    <row r="6569" spans="84:91" s="51" customFormat="1">
      <c r="CF6569" s="239"/>
      <c r="CM6569" s="336"/>
    </row>
    <row r="6570" spans="84:91" s="51" customFormat="1">
      <c r="CF6570" s="239"/>
      <c r="CM6570" s="336"/>
    </row>
    <row r="6571" spans="84:91" s="51" customFormat="1">
      <c r="CF6571" s="239"/>
      <c r="CM6571" s="336"/>
    </row>
    <row r="6572" spans="84:91" s="51" customFormat="1">
      <c r="CF6572" s="239"/>
      <c r="CM6572" s="336"/>
    </row>
    <row r="6573" spans="84:91" s="51" customFormat="1">
      <c r="CF6573" s="239"/>
      <c r="CM6573" s="336"/>
    </row>
    <row r="6574" spans="84:91" s="51" customFormat="1">
      <c r="CF6574" s="239"/>
      <c r="CM6574" s="336"/>
    </row>
    <row r="6575" spans="84:91" s="51" customFormat="1">
      <c r="CF6575" s="239"/>
      <c r="CM6575" s="336"/>
    </row>
    <row r="6576" spans="84:91" s="51" customFormat="1">
      <c r="CF6576" s="239"/>
      <c r="CM6576" s="336"/>
    </row>
    <row r="6577" spans="84:91" s="51" customFormat="1">
      <c r="CF6577" s="239"/>
      <c r="CM6577" s="336"/>
    </row>
    <row r="6578" spans="84:91" s="51" customFormat="1">
      <c r="CF6578" s="239"/>
      <c r="CM6578" s="336"/>
    </row>
    <row r="6579" spans="84:91" s="51" customFormat="1">
      <c r="CF6579" s="239"/>
      <c r="CM6579" s="336"/>
    </row>
    <row r="6580" spans="84:91" s="51" customFormat="1">
      <c r="CF6580" s="239"/>
      <c r="CM6580" s="336"/>
    </row>
    <row r="6581" spans="84:91" s="51" customFormat="1">
      <c r="CF6581" s="239"/>
      <c r="CM6581" s="336"/>
    </row>
    <row r="6582" spans="84:91" s="51" customFormat="1">
      <c r="CF6582" s="239"/>
      <c r="CM6582" s="336"/>
    </row>
    <row r="6583" spans="84:91" s="51" customFormat="1">
      <c r="CF6583" s="239"/>
      <c r="CM6583" s="336"/>
    </row>
    <row r="6584" spans="84:91" s="51" customFormat="1">
      <c r="CF6584" s="239"/>
      <c r="CM6584" s="336"/>
    </row>
    <row r="6585" spans="84:91" s="51" customFormat="1">
      <c r="CF6585" s="239"/>
      <c r="CM6585" s="336"/>
    </row>
    <row r="6586" spans="84:91" s="51" customFormat="1">
      <c r="CF6586" s="239"/>
      <c r="CM6586" s="336"/>
    </row>
    <row r="6587" spans="84:91" s="51" customFormat="1">
      <c r="CF6587" s="239"/>
      <c r="CM6587" s="336"/>
    </row>
    <row r="6588" spans="84:91" s="51" customFormat="1">
      <c r="CF6588" s="239"/>
      <c r="CM6588" s="336"/>
    </row>
    <row r="6589" spans="84:91" s="51" customFormat="1">
      <c r="CF6589" s="239"/>
      <c r="CM6589" s="336"/>
    </row>
    <row r="6590" spans="84:91" s="51" customFormat="1">
      <c r="CF6590" s="239"/>
      <c r="CM6590" s="336"/>
    </row>
    <row r="6591" spans="84:91" s="51" customFormat="1">
      <c r="CF6591" s="239"/>
      <c r="CM6591" s="336"/>
    </row>
    <row r="6592" spans="84:91" s="51" customFormat="1">
      <c r="CF6592" s="239"/>
      <c r="CM6592" s="336"/>
    </row>
    <row r="6593" spans="84:91" s="51" customFormat="1">
      <c r="CF6593" s="239"/>
      <c r="CM6593" s="336"/>
    </row>
    <row r="6594" spans="84:91" s="51" customFormat="1">
      <c r="CF6594" s="239"/>
      <c r="CM6594" s="336"/>
    </row>
    <row r="6595" spans="84:91" s="51" customFormat="1">
      <c r="CF6595" s="239"/>
      <c r="CM6595" s="336"/>
    </row>
    <row r="6596" spans="84:91" s="51" customFormat="1">
      <c r="CF6596" s="239"/>
      <c r="CM6596" s="336"/>
    </row>
    <row r="6597" spans="84:91" s="51" customFormat="1">
      <c r="CF6597" s="239"/>
      <c r="CM6597" s="336"/>
    </row>
    <row r="6598" spans="84:91" s="51" customFormat="1">
      <c r="CF6598" s="239"/>
      <c r="CM6598" s="336"/>
    </row>
    <row r="6599" spans="84:91" s="51" customFormat="1">
      <c r="CF6599" s="239"/>
      <c r="CM6599" s="336"/>
    </row>
    <row r="6600" spans="84:91" s="51" customFormat="1">
      <c r="CF6600" s="239"/>
      <c r="CM6600" s="336"/>
    </row>
    <row r="6601" spans="84:91" s="51" customFormat="1">
      <c r="CF6601" s="239"/>
      <c r="CM6601" s="336"/>
    </row>
    <row r="6602" spans="84:91" s="51" customFormat="1">
      <c r="CF6602" s="239"/>
      <c r="CM6602" s="336"/>
    </row>
    <row r="6603" spans="84:91" s="51" customFormat="1">
      <c r="CF6603" s="239"/>
      <c r="CM6603" s="336"/>
    </row>
    <row r="6604" spans="84:91" s="51" customFormat="1">
      <c r="CF6604" s="239"/>
      <c r="CM6604" s="336"/>
    </row>
    <row r="6605" spans="84:91" s="51" customFormat="1">
      <c r="CF6605" s="239"/>
      <c r="CM6605" s="336"/>
    </row>
    <row r="6606" spans="84:91" s="51" customFormat="1">
      <c r="CF6606" s="239"/>
      <c r="CM6606" s="336"/>
    </row>
    <row r="6607" spans="84:91" s="51" customFormat="1">
      <c r="CF6607" s="239"/>
      <c r="CM6607" s="336"/>
    </row>
    <row r="6608" spans="84:91" s="51" customFormat="1">
      <c r="CF6608" s="239"/>
      <c r="CM6608" s="336"/>
    </row>
    <row r="6609" spans="84:91" s="51" customFormat="1">
      <c r="CF6609" s="239"/>
      <c r="CM6609" s="336"/>
    </row>
    <row r="6610" spans="84:91" s="51" customFormat="1">
      <c r="CF6610" s="239"/>
      <c r="CM6610" s="336"/>
    </row>
    <row r="6611" spans="84:91" s="51" customFormat="1">
      <c r="CF6611" s="239"/>
      <c r="CM6611" s="336"/>
    </row>
    <row r="6612" spans="84:91" s="51" customFormat="1">
      <c r="CF6612" s="239"/>
      <c r="CM6612" s="336"/>
    </row>
    <row r="6613" spans="84:91" s="51" customFormat="1">
      <c r="CF6613" s="239"/>
      <c r="CM6613" s="336"/>
    </row>
    <row r="6614" spans="84:91" s="51" customFormat="1">
      <c r="CF6614" s="239"/>
      <c r="CM6614" s="336"/>
    </row>
    <row r="6615" spans="84:91" s="51" customFormat="1">
      <c r="CF6615" s="239"/>
      <c r="CM6615" s="336"/>
    </row>
    <row r="6616" spans="84:91" s="51" customFormat="1">
      <c r="CF6616" s="239"/>
      <c r="CM6616" s="336"/>
    </row>
    <row r="6617" spans="84:91" s="51" customFormat="1">
      <c r="CF6617" s="239"/>
      <c r="CM6617" s="336"/>
    </row>
    <row r="6618" spans="84:91" s="51" customFormat="1">
      <c r="CF6618" s="239"/>
      <c r="CM6618" s="336"/>
    </row>
    <row r="6619" spans="84:91" s="51" customFormat="1">
      <c r="CF6619" s="239"/>
      <c r="CM6619" s="336"/>
    </row>
    <row r="6620" spans="84:91" s="51" customFormat="1">
      <c r="CF6620" s="239"/>
      <c r="CM6620" s="336"/>
    </row>
    <row r="6621" spans="84:91" s="51" customFormat="1">
      <c r="CF6621" s="239"/>
      <c r="CM6621" s="336"/>
    </row>
    <row r="6622" spans="84:91" s="51" customFormat="1">
      <c r="CF6622" s="239"/>
      <c r="CM6622" s="336"/>
    </row>
    <row r="6623" spans="84:91" s="51" customFormat="1">
      <c r="CF6623" s="239"/>
      <c r="CM6623" s="336"/>
    </row>
    <row r="6624" spans="84:91" s="51" customFormat="1">
      <c r="CF6624" s="239"/>
      <c r="CM6624" s="336"/>
    </row>
    <row r="6625" spans="84:91" s="51" customFormat="1">
      <c r="CF6625" s="239"/>
      <c r="CM6625" s="336"/>
    </row>
    <row r="6626" spans="84:91" s="51" customFormat="1">
      <c r="CF6626" s="239"/>
      <c r="CM6626" s="336"/>
    </row>
    <row r="6627" spans="84:91" s="51" customFormat="1">
      <c r="CF6627" s="239"/>
      <c r="CM6627" s="336"/>
    </row>
    <row r="6628" spans="84:91" s="51" customFormat="1">
      <c r="CF6628" s="239"/>
      <c r="CM6628" s="336"/>
    </row>
    <row r="6629" spans="84:91" s="51" customFormat="1">
      <c r="CF6629" s="239"/>
      <c r="CM6629" s="336"/>
    </row>
    <row r="6630" spans="84:91" s="51" customFormat="1">
      <c r="CF6630" s="239"/>
      <c r="CM6630" s="336"/>
    </row>
    <row r="6631" spans="84:91" s="51" customFormat="1">
      <c r="CF6631" s="239"/>
      <c r="CM6631" s="336"/>
    </row>
    <row r="6632" spans="84:91" s="51" customFormat="1">
      <c r="CF6632" s="239"/>
      <c r="CM6632" s="336"/>
    </row>
    <row r="6633" spans="84:91" s="51" customFormat="1">
      <c r="CF6633" s="239"/>
      <c r="CM6633" s="336"/>
    </row>
    <row r="6634" spans="84:91" s="51" customFormat="1">
      <c r="CF6634" s="239"/>
      <c r="CM6634" s="336"/>
    </row>
    <row r="6635" spans="84:91" s="51" customFormat="1">
      <c r="CF6635" s="239"/>
      <c r="CM6635" s="336"/>
    </row>
    <row r="6636" spans="84:91" s="51" customFormat="1">
      <c r="CF6636" s="239"/>
      <c r="CM6636" s="336"/>
    </row>
    <row r="6637" spans="84:91" s="51" customFormat="1">
      <c r="CF6637" s="239"/>
      <c r="CM6637" s="336"/>
    </row>
    <row r="6638" spans="84:91" s="51" customFormat="1">
      <c r="CF6638" s="239"/>
      <c r="CM6638" s="336"/>
    </row>
    <row r="6639" spans="84:91" s="51" customFormat="1">
      <c r="CF6639" s="239"/>
      <c r="CM6639" s="336"/>
    </row>
    <row r="6640" spans="84:91" s="51" customFormat="1">
      <c r="CF6640" s="239"/>
      <c r="CM6640" s="336"/>
    </row>
    <row r="6641" spans="84:91" s="51" customFormat="1">
      <c r="CF6641" s="239"/>
      <c r="CM6641" s="336"/>
    </row>
    <row r="6642" spans="84:91" s="51" customFormat="1">
      <c r="CF6642" s="239"/>
      <c r="CM6642" s="336"/>
    </row>
    <row r="6643" spans="84:91" s="51" customFormat="1">
      <c r="CF6643" s="239"/>
      <c r="CM6643" s="336"/>
    </row>
    <row r="6644" spans="84:91" s="51" customFormat="1">
      <c r="CF6644" s="239"/>
      <c r="CM6644" s="336"/>
    </row>
    <row r="6645" spans="84:91" s="51" customFormat="1">
      <c r="CF6645" s="239"/>
      <c r="CM6645" s="336"/>
    </row>
    <row r="6646" spans="84:91" s="51" customFormat="1">
      <c r="CF6646" s="239"/>
      <c r="CM6646" s="336"/>
    </row>
    <row r="6647" spans="84:91" s="51" customFormat="1">
      <c r="CF6647" s="239"/>
      <c r="CM6647" s="336"/>
    </row>
    <row r="6648" spans="84:91" s="51" customFormat="1">
      <c r="CF6648" s="239"/>
      <c r="CM6648" s="336"/>
    </row>
    <row r="6649" spans="84:91" s="51" customFormat="1">
      <c r="CF6649" s="239"/>
      <c r="CM6649" s="336"/>
    </row>
    <row r="6650" spans="84:91" s="51" customFormat="1">
      <c r="CF6650" s="239"/>
      <c r="CM6650" s="336"/>
    </row>
    <row r="6651" spans="84:91" s="51" customFormat="1">
      <c r="CF6651" s="239"/>
      <c r="CM6651" s="336"/>
    </row>
    <row r="6652" spans="84:91" s="51" customFormat="1">
      <c r="CF6652" s="239"/>
      <c r="CM6652" s="336"/>
    </row>
    <row r="6653" spans="84:91" s="51" customFormat="1">
      <c r="CF6653" s="239"/>
      <c r="CM6653" s="336"/>
    </row>
    <row r="6654" spans="84:91" s="51" customFormat="1">
      <c r="CF6654" s="239"/>
      <c r="CM6654" s="336"/>
    </row>
    <row r="6655" spans="84:91" s="51" customFormat="1">
      <c r="CF6655" s="239"/>
      <c r="CM6655" s="336"/>
    </row>
    <row r="6656" spans="84:91" s="51" customFormat="1">
      <c r="CF6656" s="239"/>
      <c r="CM6656" s="336"/>
    </row>
    <row r="6657" spans="84:91" s="51" customFormat="1">
      <c r="CF6657" s="239"/>
      <c r="CM6657" s="336"/>
    </row>
    <row r="6658" spans="84:91" s="51" customFormat="1">
      <c r="CF6658" s="239"/>
      <c r="CM6658" s="336"/>
    </row>
    <row r="6659" spans="84:91" s="51" customFormat="1">
      <c r="CF6659" s="239"/>
      <c r="CM6659" s="336"/>
    </row>
    <row r="6660" spans="84:91" s="51" customFormat="1">
      <c r="CF6660" s="239"/>
      <c r="CM6660" s="336"/>
    </row>
    <row r="6661" spans="84:91" s="51" customFormat="1">
      <c r="CF6661" s="239"/>
      <c r="CM6661" s="336"/>
    </row>
    <row r="6662" spans="84:91" s="51" customFormat="1">
      <c r="CF6662" s="239"/>
      <c r="CM6662" s="336"/>
    </row>
    <row r="6663" spans="84:91" s="51" customFormat="1">
      <c r="CF6663" s="239"/>
      <c r="CM6663" s="336"/>
    </row>
    <row r="6664" spans="84:91" s="51" customFormat="1">
      <c r="CF6664" s="239"/>
      <c r="CM6664" s="336"/>
    </row>
    <row r="6665" spans="84:91" s="51" customFormat="1">
      <c r="CF6665" s="239"/>
      <c r="CM6665" s="336"/>
    </row>
    <row r="6666" spans="84:91" s="51" customFormat="1">
      <c r="CF6666" s="239"/>
      <c r="CM6666" s="336"/>
    </row>
    <row r="6667" spans="84:91" s="51" customFormat="1">
      <c r="CF6667" s="239"/>
      <c r="CM6667" s="336"/>
    </row>
    <row r="6668" spans="84:91" s="51" customFormat="1">
      <c r="CF6668" s="239"/>
      <c r="CM6668" s="336"/>
    </row>
    <row r="6669" spans="84:91" s="51" customFormat="1">
      <c r="CF6669" s="239"/>
      <c r="CM6669" s="336"/>
    </row>
    <row r="6670" spans="84:91" s="51" customFormat="1">
      <c r="CF6670" s="239"/>
      <c r="CM6670" s="336"/>
    </row>
    <row r="6671" spans="84:91" s="51" customFormat="1">
      <c r="CF6671" s="239"/>
      <c r="CM6671" s="336"/>
    </row>
    <row r="6672" spans="84:91" s="51" customFormat="1">
      <c r="CF6672" s="239"/>
      <c r="CM6672" s="336"/>
    </row>
    <row r="6673" spans="84:91" s="51" customFormat="1">
      <c r="CF6673" s="239"/>
      <c r="CM6673" s="336"/>
    </row>
    <row r="6674" spans="84:91" s="51" customFormat="1">
      <c r="CF6674" s="239"/>
      <c r="CM6674" s="336"/>
    </row>
    <row r="6675" spans="84:91" s="51" customFormat="1">
      <c r="CF6675" s="239"/>
      <c r="CM6675" s="336"/>
    </row>
    <row r="6676" spans="84:91" s="51" customFormat="1">
      <c r="CF6676" s="239"/>
      <c r="CM6676" s="336"/>
    </row>
    <row r="6677" spans="84:91" s="51" customFormat="1">
      <c r="CF6677" s="239"/>
      <c r="CM6677" s="336"/>
    </row>
    <row r="6678" spans="84:91" s="51" customFormat="1">
      <c r="CF6678" s="239"/>
      <c r="CM6678" s="336"/>
    </row>
    <row r="6679" spans="84:91" s="51" customFormat="1">
      <c r="CF6679" s="239"/>
      <c r="CM6679" s="336"/>
    </row>
    <row r="6680" spans="84:91" s="51" customFormat="1">
      <c r="CF6680" s="239"/>
      <c r="CM6680" s="336"/>
    </row>
    <row r="6681" spans="84:91" s="51" customFormat="1">
      <c r="CF6681" s="239"/>
      <c r="CM6681" s="336"/>
    </row>
    <row r="6682" spans="84:91" s="51" customFormat="1">
      <c r="CF6682" s="239"/>
      <c r="CM6682" s="336"/>
    </row>
    <row r="6683" spans="84:91" s="51" customFormat="1">
      <c r="CF6683" s="239"/>
      <c r="CM6683" s="336"/>
    </row>
    <row r="6684" spans="84:91" s="51" customFormat="1">
      <c r="CF6684" s="239"/>
      <c r="CM6684" s="336"/>
    </row>
    <row r="6685" spans="84:91" s="51" customFormat="1">
      <c r="CF6685" s="239"/>
      <c r="CM6685" s="336"/>
    </row>
    <row r="6686" spans="84:91" s="51" customFormat="1">
      <c r="CF6686" s="239"/>
      <c r="CM6686" s="336"/>
    </row>
    <row r="6687" spans="84:91" s="51" customFormat="1">
      <c r="CF6687" s="239"/>
      <c r="CM6687" s="336"/>
    </row>
    <row r="6688" spans="84:91" s="51" customFormat="1">
      <c r="CF6688" s="239"/>
      <c r="CM6688" s="336"/>
    </row>
    <row r="6689" spans="84:91" s="51" customFormat="1">
      <c r="CF6689" s="239"/>
      <c r="CM6689" s="336"/>
    </row>
    <row r="6690" spans="84:91" s="51" customFormat="1">
      <c r="CF6690" s="239"/>
      <c r="CM6690" s="336"/>
    </row>
    <row r="6691" spans="84:91" s="51" customFormat="1">
      <c r="CF6691" s="239"/>
      <c r="CM6691" s="336"/>
    </row>
    <row r="6692" spans="84:91" s="51" customFormat="1">
      <c r="CF6692" s="239"/>
      <c r="CM6692" s="336"/>
    </row>
    <row r="6693" spans="84:91" s="51" customFormat="1">
      <c r="CF6693" s="239"/>
      <c r="CM6693" s="336"/>
    </row>
    <row r="6694" spans="84:91" s="51" customFormat="1">
      <c r="CF6694" s="239"/>
      <c r="CM6694" s="336"/>
    </row>
    <row r="6695" spans="84:91" s="51" customFormat="1">
      <c r="CF6695" s="239"/>
      <c r="CM6695" s="336"/>
    </row>
    <row r="6696" spans="84:91" s="51" customFormat="1">
      <c r="CF6696" s="239"/>
      <c r="CM6696" s="336"/>
    </row>
    <row r="6697" spans="84:91" s="51" customFormat="1">
      <c r="CF6697" s="239"/>
      <c r="CM6697" s="336"/>
    </row>
    <row r="6698" spans="84:91" s="51" customFormat="1">
      <c r="CF6698" s="239"/>
      <c r="CM6698" s="336"/>
    </row>
    <row r="6699" spans="84:91" s="51" customFormat="1">
      <c r="CF6699" s="239"/>
      <c r="CM6699" s="336"/>
    </row>
    <row r="6700" spans="84:91" s="51" customFormat="1">
      <c r="CF6700" s="239"/>
      <c r="CM6700" s="336"/>
    </row>
    <row r="6701" spans="84:91" s="51" customFormat="1">
      <c r="CF6701" s="239"/>
      <c r="CM6701" s="336"/>
    </row>
    <row r="6702" spans="84:91" s="51" customFormat="1">
      <c r="CF6702" s="239"/>
      <c r="CM6702" s="336"/>
    </row>
    <row r="6703" spans="84:91" s="51" customFormat="1">
      <c r="CF6703" s="239"/>
      <c r="CM6703" s="336"/>
    </row>
    <row r="6704" spans="84:91" s="51" customFormat="1">
      <c r="CF6704" s="239"/>
      <c r="CM6704" s="336"/>
    </row>
    <row r="6705" spans="84:91" s="51" customFormat="1">
      <c r="CF6705" s="239"/>
      <c r="CM6705" s="336"/>
    </row>
    <row r="6706" spans="84:91" s="51" customFormat="1">
      <c r="CF6706" s="239"/>
      <c r="CM6706" s="336"/>
    </row>
    <row r="6707" spans="84:91" s="51" customFormat="1">
      <c r="CF6707" s="239"/>
      <c r="CM6707" s="336"/>
    </row>
    <row r="6708" spans="84:91" s="51" customFormat="1">
      <c r="CF6708" s="239"/>
      <c r="CM6708" s="336"/>
    </row>
    <row r="6709" spans="84:91" s="51" customFormat="1">
      <c r="CF6709" s="239"/>
      <c r="CM6709" s="336"/>
    </row>
    <row r="6710" spans="84:91" s="51" customFormat="1">
      <c r="CF6710" s="239"/>
      <c r="CM6710" s="336"/>
    </row>
    <row r="6711" spans="84:91" s="51" customFormat="1">
      <c r="CF6711" s="239"/>
      <c r="CM6711" s="336"/>
    </row>
    <row r="6712" spans="84:91" s="51" customFormat="1">
      <c r="CF6712" s="239"/>
      <c r="CM6712" s="336"/>
    </row>
    <row r="6713" spans="84:91" s="51" customFormat="1">
      <c r="CF6713" s="239"/>
      <c r="CM6713" s="336"/>
    </row>
    <row r="6714" spans="84:91" s="51" customFormat="1">
      <c r="CF6714" s="239"/>
      <c r="CM6714" s="336"/>
    </row>
    <row r="6715" spans="84:91" s="51" customFormat="1">
      <c r="CF6715" s="239"/>
      <c r="CM6715" s="336"/>
    </row>
    <row r="6716" spans="84:91" s="51" customFormat="1">
      <c r="CF6716" s="239"/>
      <c r="CM6716" s="336"/>
    </row>
    <row r="6717" spans="84:91" s="51" customFormat="1">
      <c r="CF6717" s="239"/>
      <c r="CM6717" s="336"/>
    </row>
    <row r="6718" spans="84:91" s="51" customFormat="1">
      <c r="CF6718" s="239"/>
      <c r="CM6718" s="336"/>
    </row>
    <row r="6719" spans="84:91" s="51" customFormat="1">
      <c r="CF6719" s="239"/>
      <c r="CM6719" s="336"/>
    </row>
    <row r="6720" spans="84:91" s="51" customFormat="1">
      <c r="CF6720" s="239"/>
      <c r="CM6720" s="336"/>
    </row>
    <row r="6721" spans="84:91" s="51" customFormat="1">
      <c r="CF6721" s="239"/>
      <c r="CM6721" s="336"/>
    </row>
    <row r="6722" spans="84:91" s="51" customFormat="1">
      <c r="CF6722" s="239"/>
      <c r="CM6722" s="336"/>
    </row>
    <row r="6723" spans="84:91" s="51" customFormat="1">
      <c r="CF6723" s="239"/>
      <c r="CM6723" s="336"/>
    </row>
    <row r="6724" spans="84:91" s="51" customFormat="1">
      <c r="CF6724" s="239"/>
      <c r="CM6724" s="336"/>
    </row>
    <row r="6725" spans="84:91" s="51" customFormat="1">
      <c r="CF6725" s="239"/>
      <c r="CM6725" s="336"/>
    </row>
    <row r="6726" spans="84:91" s="51" customFormat="1">
      <c r="CF6726" s="239"/>
      <c r="CM6726" s="336"/>
    </row>
    <row r="6727" spans="84:91" s="51" customFormat="1">
      <c r="CF6727" s="239"/>
      <c r="CM6727" s="336"/>
    </row>
    <row r="6728" spans="84:91" s="51" customFormat="1">
      <c r="CF6728" s="239"/>
      <c r="CM6728" s="336"/>
    </row>
    <row r="6729" spans="84:91" s="51" customFormat="1">
      <c r="CF6729" s="239"/>
      <c r="CM6729" s="336"/>
    </row>
    <row r="6730" spans="84:91" s="51" customFormat="1">
      <c r="CF6730" s="239"/>
      <c r="CM6730" s="336"/>
    </row>
    <row r="6731" spans="84:91" s="51" customFormat="1">
      <c r="CF6731" s="239"/>
      <c r="CM6731" s="336"/>
    </row>
    <row r="6732" spans="84:91" s="51" customFormat="1">
      <c r="CF6732" s="239"/>
      <c r="CM6732" s="336"/>
    </row>
    <row r="6733" spans="84:91" s="51" customFormat="1">
      <c r="CF6733" s="239"/>
      <c r="CM6733" s="336"/>
    </row>
    <row r="6734" spans="84:91" s="51" customFormat="1">
      <c r="CF6734" s="239"/>
      <c r="CM6734" s="336"/>
    </row>
    <row r="6735" spans="84:91" s="51" customFormat="1">
      <c r="CF6735" s="239"/>
      <c r="CM6735" s="336"/>
    </row>
    <row r="6736" spans="84:91" s="51" customFormat="1">
      <c r="CF6736" s="239"/>
      <c r="CM6736" s="336"/>
    </row>
    <row r="6737" spans="84:91" s="51" customFormat="1">
      <c r="CF6737" s="239"/>
      <c r="CM6737" s="336"/>
    </row>
    <row r="6738" spans="84:91" s="51" customFormat="1">
      <c r="CF6738" s="239"/>
      <c r="CM6738" s="336"/>
    </row>
    <row r="6739" spans="84:91" s="51" customFormat="1">
      <c r="CF6739" s="239"/>
      <c r="CM6739" s="336"/>
    </row>
    <row r="6740" spans="84:91" s="51" customFormat="1">
      <c r="CF6740" s="239"/>
      <c r="CM6740" s="336"/>
    </row>
    <row r="6741" spans="84:91" s="51" customFormat="1">
      <c r="CF6741" s="239"/>
      <c r="CM6741" s="336"/>
    </row>
    <row r="6742" spans="84:91" s="51" customFormat="1">
      <c r="CF6742" s="239"/>
      <c r="CM6742" s="336"/>
    </row>
    <row r="6743" spans="84:91" s="51" customFormat="1">
      <c r="CF6743" s="239"/>
      <c r="CM6743" s="336"/>
    </row>
    <row r="6744" spans="84:91" s="51" customFormat="1">
      <c r="CF6744" s="239"/>
      <c r="CM6744" s="336"/>
    </row>
    <row r="6745" spans="84:91" s="51" customFormat="1">
      <c r="CF6745" s="239"/>
      <c r="CM6745" s="336"/>
    </row>
    <row r="6746" spans="84:91" s="51" customFormat="1">
      <c r="CF6746" s="239"/>
      <c r="CM6746" s="336"/>
    </row>
    <row r="6747" spans="84:91" s="51" customFormat="1">
      <c r="CF6747" s="239"/>
      <c r="CM6747" s="336"/>
    </row>
    <row r="6748" spans="84:91" s="51" customFormat="1">
      <c r="CF6748" s="239"/>
      <c r="CM6748" s="336"/>
    </row>
    <row r="6749" spans="84:91" s="51" customFormat="1">
      <c r="CF6749" s="239"/>
      <c r="CM6749" s="336"/>
    </row>
    <row r="6750" spans="84:91" s="51" customFormat="1">
      <c r="CF6750" s="239"/>
      <c r="CM6750" s="336"/>
    </row>
    <row r="6751" spans="84:91" s="51" customFormat="1">
      <c r="CF6751" s="239"/>
      <c r="CM6751" s="336"/>
    </row>
    <row r="6752" spans="84:91" s="51" customFormat="1">
      <c r="CF6752" s="239"/>
      <c r="CM6752" s="336"/>
    </row>
    <row r="6753" spans="84:91" s="51" customFormat="1">
      <c r="CF6753" s="239"/>
      <c r="CM6753" s="336"/>
    </row>
    <row r="6754" spans="84:91" s="51" customFormat="1">
      <c r="CF6754" s="239"/>
      <c r="CM6754" s="336"/>
    </row>
    <row r="6755" spans="84:91" s="51" customFormat="1">
      <c r="CF6755" s="239"/>
      <c r="CM6755" s="336"/>
    </row>
    <row r="6756" spans="84:91" s="51" customFormat="1">
      <c r="CF6756" s="239"/>
      <c r="CM6756" s="336"/>
    </row>
    <row r="6757" spans="84:91" s="51" customFormat="1">
      <c r="CF6757" s="239"/>
      <c r="CM6757" s="336"/>
    </row>
    <row r="6758" spans="84:91" s="51" customFormat="1">
      <c r="CF6758" s="239"/>
      <c r="CM6758" s="336"/>
    </row>
    <row r="6759" spans="84:91" s="51" customFormat="1">
      <c r="CF6759" s="239"/>
      <c r="CM6759" s="336"/>
    </row>
    <row r="6760" spans="84:91" s="51" customFormat="1">
      <c r="CF6760" s="239"/>
      <c r="CM6760" s="336"/>
    </row>
    <row r="6761" spans="84:91" s="51" customFormat="1">
      <c r="CF6761" s="239"/>
      <c r="CM6761" s="336"/>
    </row>
    <row r="6762" spans="84:91" s="51" customFormat="1">
      <c r="CF6762" s="239"/>
      <c r="CM6762" s="336"/>
    </row>
    <row r="6763" spans="84:91" s="51" customFormat="1">
      <c r="CF6763" s="239"/>
      <c r="CM6763" s="336"/>
    </row>
    <row r="6764" spans="84:91" s="51" customFormat="1">
      <c r="CF6764" s="239"/>
      <c r="CM6764" s="336"/>
    </row>
    <row r="6765" spans="84:91" s="51" customFormat="1">
      <c r="CF6765" s="239"/>
      <c r="CM6765" s="336"/>
    </row>
    <row r="6766" spans="84:91" s="51" customFormat="1">
      <c r="CF6766" s="239"/>
      <c r="CM6766" s="336"/>
    </row>
    <row r="6767" spans="84:91" s="51" customFormat="1">
      <c r="CF6767" s="239"/>
      <c r="CM6767" s="336"/>
    </row>
    <row r="6768" spans="84:91" s="51" customFormat="1">
      <c r="CF6768" s="239"/>
      <c r="CM6768" s="336"/>
    </row>
    <row r="6769" spans="84:91" s="51" customFormat="1">
      <c r="CF6769" s="239"/>
      <c r="CM6769" s="336"/>
    </row>
    <row r="6770" spans="84:91" s="51" customFormat="1">
      <c r="CF6770" s="239"/>
      <c r="CM6770" s="336"/>
    </row>
    <row r="6771" spans="84:91" s="51" customFormat="1">
      <c r="CF6771" s="239"/>
      <c r="CM6771" s="336"/>
    </row>
    <row r="6772" spans="84:91" s="51" customFormat="1">
      <c r="CF6772" s="239"/>
      <c r="CM6772" s="336"/>
    </row>
    <row r="6773" spans="84:91" s="51" customFormat="1">
      <c r="CF6773" s="239"/>
      <c r="CM6773" s="336"/>
    </row>
    <row r="6774" spans="84:91" s="51" customFormat="1">
      <c r="CF6774" s="239"/>
      <c r="CM6774" s="336"/>
    </row>
    <row r="6775" spans="84:91" s="51" customFormat="1">
      <c r="CF6775" s="239"/>
      <c r="CM6775" s="336"/>
    </row>
    <row r="6776" spans="84:91" s="51" customFormat="1">
      <c r="CF6776" s="239"/>
      <c r="CM6776" s="336"/>
    </row>
    <row r="6777" spans="84:91" s="51" customFormat="1">
      <c r="CF6777" s="239"/>
      <c r="CM6777" s="336"/>
    </row>
    <row r="6778" spans="84:91" s="51" customFormat="1">
      <c r="CF6778" s="239"/>
      <c r="CM6778" s="336"/>
    </row>
    <row r="6779" spans="84:91" s="51" customFormat="1">
      <c r="CF6779" s="239"/>
      <c r="CM6779" s="336"/>
    </row>
    <row r="6780" spans="84:91" s="51" customFormat="1">
      <c r="CF6780" s="239"/>
      <c r="CM6780" s="336"/>
    </row>
    <row r="6781" spans="84:91" s="51" customFormat="1">
      <c r="CF6781" s="239"/>
      <c r="CM6781" s="336"/>
    </row>
    <row r="6782" spans="84:91" s="51" customFormat="1">
      <c r="CF6782" s="239"/>
      <c r="CM6782" s="336"/>
    </row>
    <row r="6783" spans="84:91" s="51" customFormat="1">
      <c r="CF6783" s="239"/>
      <c r="CM6783" s="336"/>
    </row>
    <row r="6784" spans="84:91" s="51" customFormat="1">
      <c r="CF6784" s="239"/>
      <c r="CM6784" s="336"/>
    </row>
    <row r="6785" spans="84:91" s="51" customFormat="1">
      <c r="CF6785" s="239"/>
      <c r="CM6785" s="336"/>
    </row>
    <row r="6786" spans="84:91" s="51" customFormat="1">
      <c r="CF6786" s="239"/>
      <c r="CM6786" s="336"/>
    </row>
    <row r="6787" spans="84:91" s="51" customFormat="1">
      <c r="CF6787" s="239"/>
      <c r="CM6787" s="336"/>
    </row>
    <row r="6788" spans="84:91" s="51" customFormat="1">
      <c r="CF6788" s="239"/>
      <c r="CM6788" s="336"/>
    </row>
    <row r="6789" spans="84:91" s="51" customFormat="1">
      <c r="CF6789" s="239"/>
      <c r="CM6789" s="336"/>
    </row>
    <row r="6790" spans="84:91" s="51" customFormat="1">
      <c r="CF6790" s="239"/>
      <c r="CM6790" s="336"/>
    </row>
    <row r="6791" spans="84:91" s="51" customFormat="1">
      <c r="CF6791" s="239"/>
      <c r="CM6791" s="336"/>
    </row>
    <row r="6792" spans="84:91" s="51" customFormat="1">
      <c r="CF6792" s="239"/>
      <c r="CM6792" s="336"/>
    </row>
    <row r="6793" spans="84:91" s="51" customFormat="1">
      <c r="CF6793" s="239"/>
      <c r="CM6793" s="336"/>
    </row>
    <row r="6794" spans="84:91" s="51" customFormat="1">
      <c r="CF6794" s="239"/>
      <c r="CM6794" s="336"/>
    </row>
    <row r="6795" spans="84:91" s="51" customFormat="1">
      <c r="CF6795" s="239"/>
      <c r="CM6795" s="336"/>
    </row>
    <row r="6796" spans="84:91" s="51" customFormat="1">
      <c r="CF6796" s="239"/>
      <c r="CM6796" s="336"/>
    </row>
    <row r="6797" spans="84:91" s="51" customFormat="1">
      <c r="CF6797" s="239"/>
      <c r="CM6797" s="336"/>
    </row>
    <row r="6798" spans="84:91" s="51" customFormat="1">
      <c r="CF6798" s="239"/>
      <c r="CM6798" s="336"/>
    </row>
    <row r="6799" spans="84:91" s="51" customFormat="1">
      <c r="CF6799" s="239"/>
      <c r="CM6799" s="336"/>
    </row>
    <row r="6800" spans="84:91" s="51" customFormat="1">
      <c r="CF6800" s="239"/>
      <c r="CM6800" s="336"/>
    </row>
    <row r="6801" spans="84:91" s="51" customFormat="1">
      <c r="CF6801" s="239"/>
      <c r="CM6801" s="336"/>
    </row>
    <row r="6802" spans="84:91" s="51" customFormat="1">
      <c r="CF6802" s="239"/>
      <c r="CM6802" s="336"/>
    </row>
    <row r="6803" spans="84:91" s="51" customFormat="1">
      <c r="CF6803" s="239"/>
      <c r="CM6803" s="336"/>
    </row>
    <row r="6804" spans="84:91" s="51" customFormat="1">
      <c r="CF6804" s="239"/>
      <c r="CM6804" s="336"/>
    </row>
    <row r="6805" spans="84:91" s="51" customFormat="1">
      <c r="CF6805" s="239"/>
      <c r="CM6805" s="336"/>
    </row>
    <row r="6806" spans="84:91" s="51" customFormat="1">
      <c r="CF6806" s="239"/>
      <c r="CM6806" s="336"/>
    </row>
    <row r="6807" spans="84:91" s="51" customFormat="1">
      <c r="CF6807" s="239"/>
      <c r="CM6807" s="336"/>
    </row>
    <row r="6808" spans="84:91" s="51" customFormat="1">
      <c r="CF6808" s="239"/>
      <c r="CM6808" s="336"/>
    </row>
    <row r="6809" spans="84:91" s="51" customFormat="1">
      <c r="CF6809" s="239"/>
      <c r="CM6809" s="336"/>
    </row>
    <row r="6810" spans="84:91" s="51" customFormat="1">
      <c r="CF6810" s="239"/>
      <c r="CM6810" s="336"/>
    </row>
    <row r="6811" spans="84:91" s="51" customFormat="1">
      <c r="CF6811" s="239"/>
      <c r="CM6811" s="336"/>
    </row>
    <row r="6812" spans="84:91" s="51" customFormat="1">
      <c r="CF6812" s="239"/>
      <c r="CM6812" s="336"/>
    </row>
    <row r="6813" spans="84:91" s="51" customFormat="1">
      <c r="CF6813" s="239"/>
      <c r="CM6813" s="336"/>
    </row>
    <row r="6814" spans="84:91" s="51" customFormat="1">
      <c r="CF6814" s="239"/>
      <c r="CM6814" s="336"/>
    </row>
    <row r="6815" spans="84:91" s="51" customFormat="1">
      <c r="CF6815" s="239"/>
      <c r="CM6815" s="336"/>
    </row>
    <row r="6816" spans="84:91" s="51" customFormat="1">
      <c r="CF6816" s="239"/>
      <c r="CM6816" s="336"/>
    </row>
    <row r="6817" spans="84:91" s="51" customFormat="1">
      <c r="CF6817" s="239"/>
      <c r="CM6817" s="336"/>
    </row>
    <row r="6818" spans="84:91" s="51" customFormat="1">
      <c r="CF6818" s="239"/>
      <c r="CM6818" s="336"/>
    </row>
    <row r="6819" spans="84:91" s="51" customFormat="1">
      <c r="CF6819" s="239"/>
      <c r="CM6819" s="336"/>
    </row>
    <row r="6820" spans="84:91" s="51" customFormat="1">
      <c r="CF6820" s="239"/>
      <c r="CM6820" s="336"/>
    </row>
    <row r="6821" spans="84:91" s="51" customFormat="1">
      <c r="CF6821" s="239"/>
      <c r="CM6821" s="336"/>
    </row>
    <row r="6822" spans="84:91" s="51" customFormat="1">
      <c r="CF6822" s="239"/>
      <c r="CM6822" s="336"/>
    </row>
    <row r="6823" spans="84:91" s="51" customFormat="1">
      <c r="CF6823" s="239"/>
      <c r="CM6823" s="336"/>
    </row>
    <row r="6824" spans="84:91" s="51" customFormat="1">
      <c r="CF6824" s="239"/>
      <c r="CM6824" s="336"/>
    </row>
    <row r="6825" spans="84:91" s="51" customFormat="1">
      <c r="CF6825" s="239"/>
      <c r="CM6825" s="336"/>
    </row>
    <row r="6826" spans="84:91" s="51" customFormat="1">
      <c r="CF6826" s="239"/>
      <c r="CM6826" s="336"/>
    </row>
    <row r="6827" spans="84:91" s="51" customFormat="1">
      <c r="CF6827" s="239"/>
      <c r="CM6827" s="336"/>
    </row>
    <row r="6828" spans="84:91" s="51" customFormat="1">
      <c r="CF6828" s="239"/>
      <c r="CM6828" s="336"/>
    </row>
    <row r="6829" spans="84:91" s="51" customFormat="1">
      <c r="CF6829" s="239"/>
      <c r="CM6829" s="336"/>
    </row>
    <row r="6830" spans="84:91" s="51" customFormat="1">
      <c r="CF6830" s="239"/>
      <c r="CM6830" s="336"/>
    </row>
    <row r="6831" spans="84:91" s="51" customFormat="1">
      <c r="CF6831" s="239"/>
      <c r="CM6831" s="336"/>
    </row>
    <row r="6832" spans="84:91" s="51" customFormat="1">
      <c r="CF6832" s="239"/>
      <c r="CM6832" s="336"/>
    </row>
    <row r="6833" spans="84:91" s="51" customFormat="1">
      <c r="CF6833" s="239"/>
      <c r="CM6833" s="336"/>
    </row>
    <row r="6834" spans="84:91" s="51" customFormat="1">
      <c r="CF6834" s="239"/>
      <c r="CM6834" s="336"/>
    </row>
    <row r="6835" spans="84:91" s="51" customFormat="1">
      <c r="CF6835" s="239"/>
      <c r="CM6835" s="336"/>
    </row>
    <row r="6836" spans="84:91" s="51" customFormat="1">
      <c r="CF6836" s="239"/>
      <c r="CM6836" s="336"/>
    </row>
    <row r="6837" spans="84:91" s="51" customFormat="1">
      <c r="CF6837" s="239"/>
      <c r="CM6837" s="336"/>
    </row>
    <row r="6838" spans="84:91" s="51" customFormat="1">
      <c r="CF6838" s="239"/>
      <c r="CM6838" s="336"/>
    </row>
    <row r="6839" spans="84:91" s="51" customFormat="1">
      <c r="CF6839" s="239"/>
      <c r="CM6839" s="336"/>
    </row>
    <row r="6840" spans="84:91" s="51" customFormat="1">
      <c r="CF6840" s="239"/>
      <c r="CM6840" s="336"/>
    </row>
    <row r="6841" spans="84:91" s="51" customFormat="1">
      <c r="CF6841" s="239"/>
      <c r="CM6841" s="336"/>
    </row>
    <row r="6842" spans="84:91" s="51" customFormat="1">
      <c r="CF6842" s="239"/>
      <c r="CM6842" s="336"/>
    </row>
    <row r="6843" spans="84:91" s="51" customFormat="1">
      <c r="CF6843" s="239"/>
      <c r="CM6843" s="336"/>
    </row>
    <row r="6844" spans="84:91" s="51" customFormat="1">
      <c r="CF6844" s="239"/>
      <c r="CM6844" s="336"/>
    </row>
    <row r="6845" spans="84:91" s="51" customFormat="1">
      <c r="CF6845" s="239"/>
      <c r="CM6845" s="336"/>
    </row>
    <row r="6846" spans="84:91" s="51" customFormat="1">
      <c r="CF6846" s="239"/>
      <c r="CM6846" s="336"/>
    </row>
    <row r="6847" spans="84:91" s="51" customFormat="1">
      <c r="CF6847" s="239"/>
      <c r="CM6847" s="336"/>
    </row>
    <row r="6848" spans="84:91" s="51" customFormat="1">
      <c r="CF6848" s="239"/>
      <c r="CM6848" s="336"/>
    </row>
    <row r="6849" spans="84:91" s="51" customFormat="1">
      <c r="CF6849" s="239"/>
      <c r="CM6849" s="336"/>
    </row>
    <row r="6850" spans="84:91" s="51" customFormat="1">
      <c r="CF6850" s="239"/>
      <c r="CM6850" s="336"/>
    </row>
    <row r="6851" spans="84:91" s="51" customFormat="1">
      <c r="CF6851" s="239"/>
      <c r="CM6851" s="336"/>
    </row>
    <row r="6852" spans="84:91" s="51" customFormat="1">
      <c r="CF6852" s="239"/>
      <c r="CM6852" s="336"/>
    </row>
    <row r="6853" spans="84:91" s="51" customFormat="1">
      <c r="CF6853" s="239"/>
      <c r="CM6853" s="336"/>
    </row>
    <row r="6854" spans="84:91" s="51" customFormat="1">
      <c r="CF6854" s="239"/>
      <c r="CM6854" s="336"/>
    </row>
    <row r="6855" spans="84:91" s="51" customFormat="1">
      <c r="CF6855" s="239"/>
      <c r="CM6855" s="336"/>
    </row>
    <row r="6856" spans="84:91" s="51" customFormat="1">
      <c r="CF6856" s="239"/>
      <c r="CM6856" s="336"/>
    </row>
    <row r="6857" spans="84:91" s="51" customFormat="1">
      <c r="CF6857" s="239"/>
      <c r="CM6857" s="336"/>
    </row>
    <row r="6858" spans="84:91" s="51" customFormat="1">
      <c r="CF6858" s="239"/>
      <c r="CM6858" s="336"/>
    </row>
    <row r="6859" spans="84:91" s="51" customFormat="1">
      <c r="CF6859" s="239"/>
      <c r="CM6859" s="336"/>
    </row>
    <row r="6860" spans="84:91" s="51" customFormat="1">
      <c r="CF6860" s="239"/>
      <c r="CM6860" s="336"/>
    </row>
    <row r="6861" spans="84:91" s="51" customFormat="1">
      <c r="CF6861" s="239"/>
      <c r="CM6861" s="336"/>
    </row>
    <row r="6862" spans="84:91" s="51" customFormat="1">
      <c r="CF6862" s="239"/>
      <c r="CM6862" s="336"/>
    </row>
    <row r="6863" spans="84:91" s="51" customFormat="1">
      <c r="CF6863" s="239"/>
      <c r="CM6863" s="336"/>
    </row>
    <row r="6864" spans="84:91" s="51" customFormat="1">
      <c r="CF6864" s="239"/>
      <c r="CM6864" s="336"/>
    </row>
    <row r="6865" spans="84:91" s="51" customFormat="1">
      <c r="CF6865" s="239"/>
      <c r="CM6865" s="336"/>
    </row>
    <row r="6866" spans="84:91" s="51" customFormat="1">
      <c r="CF6866" s="239"/>
      <c r="CM6866" s="336"/>
    </row>
    <row r="6867" spans="84:91" s="51" customFormat="1">
      <c r="CF6867" s="239"/>
      <c r="CM6867" s="336"/>
    </row>
    <row r="6868" spans="84:91" s="51" customFormat="1">
      <c r="CF6868" s="239"/>
      <c r="CM6868" s="336"/>
    </row>
    <row r="6869" spans="84:91" s="51" customFormat="1">
      <c r="CF6869" s="239"/>
      <c r="CM6869" s="336"/>
    </row>
    <row r="6870" spans="84:91" s="51" customFormat="1">
      <c r="CF6870" s="239"/>
      <c r="CM6870" s="336"/>
    </row>
    <row r="6871" spans="84:91" s="51" customFormat="1">
      <c r="CF6871" s="239"/>
      <c r="CM6871" s="336"/>
    </row>
    <row r="6872" spans="84:91" s="51" customFormat="1">
      <c r="CF6872" s="239"/>
      <c r="CM6872" s="336"/>
    </row>
    <row r="6873" spans="84:91" s="51" customFormat="1">
      <c r="CF6873" s="239"/>
      <c r="CM6873" s="336"/>
    </row>
    <row r="6874" spans="84:91" s="51" customFormat="1">
      <c r="CF6874" s="239"/>
      <c r="CM6874" s="336"/>
    </row>
    <row r="6875" spans="84:91" s="51" customFormat="1">
      <c r="CF6875" s="239"/>
      <c r="CM6875" s="336"/>
    </row>
    <row r="6876" spans="84:91" s="51" customFormat="1">
      <c r="CF6876" s="239"/>
      <c r="CM6876" s="336"/>
    </row>
    <row r="6877" spans="84:91" s="51" customFormat="1">
      <c r="CF6877" s="239"/>
      <c r="CM6877" s="336"/>
    </row>
    <row r="6878" spans="84:91" s="51" customFormat="1">
      <c r="CF6878" s="239"/>
      <c r="CM6878" s="336"/>
    </row>
    <row r="6879" spans="84:91" s="51" customFormat="1">
      <c r="CF6879" s="239"/>
      <c r="CM6879" s="336"/>
    </row>
    <row r="6880" spans="84:91" s="51" customFormat="1">
      <c r="CF6880" s="239"/>
      <c r="CM6880" s="336"/>
    </row>
    <row r="6881" spans="84:91" s="51" customFormat="1">
      <c r="CF6881" s="239"/>
      <c r="CM6881" s="336"/>
    </row>
    <row r="6882" spans="84:91" s="51" customFormat="1">
      <c r="CF6882" s="239"/>
      <c r="CM6882" s="336"/>
    </row>
    <row r="6883" spans="84:91" s="51" customFormat="1">
      <c r="CF6883" s="239"/>
      <c r="CM6883" s="336"/>
    </row>
    <row r="6884" spans="84:91" s="51" customFormat="1">
      <c r="CF6884" s="239"/>
      <c r="CM6884" s="336"/>
    </row>
    <row r="6885" spans="84:91" s="51" customFormat="1">
      <c r="CF6885" s="239"/>
      <c r="CM6885" s="336"/>
    </row>
    <row r="6886" spans="84:91" s="51" customFormat="1">
      <c r="CF6886" s="239"/>
      <c r="CM6886" s="336"/>
    </row>
    <row r="6887" spans="84:91" s="51" customFormat="1">
      <c r="CF6887" s="239"/>
      <c r="CM6887" s="336"/>
    </row>
    <row r="6888" spans="84:91" s="51" customFormat="1">
      <c r="CF6888" s="239"/>
      <c r="CM6888" s="336"/>
    </row>
    <row r="6889" spans="84:91" s="51" customFormat="1">
      <c r="CF6889" s="239"/>
      <c r="CM6889" s="336"/>
    </row>
    <row r="6890" spans="84:91" s="51" customFormat="1">
      <c r="CF6890" s="239"/>
      <c r="CM6890" s="336"/>
    </row>
    <row r="6891" spans="84:91" s="51" customFormat="1">
      <c r="CF6891" s="239"/>
      <c r="CM6891" s="336"/>
    </row>
    <row r="6892" spans="84:91" s="51" customFormat="1">
      <c r="CF6892" s="239"/>
      <c r="CM6892" s="336"/>
    </row>
    <row r="6893" spans="84:91" s="51" customFormat="1">
      <c r="CF6893" s="239"/>
      <c r="CM6893" s="336"/>
    </row>
    <row r="6894" spans="84:91" s="51" customFormat="1">
      <c r="CF6894" s="239"/>
      <c r="CM6894" s="336"/>
    </row>
    <row r="6895" spans="84:91" s="51" customFormat="1">
      <c r="CF6895" s="239"/>
      <c r="CM6895" s="336"/>
    </row>
    <row r="6896" spans="84:91" s="51" customFormat="1">
      <c r="CF6896" s="239"/>
      <c r="CM6896" s="336"/>
    </row>
    <row r="6897" spans="84:91" s="51" customFormat="1">
      <c r="CF6897" s="239"/>
      <c r="CM6897" s="336"/>
    </row>
    <row r="6898" spans="84:91" s="51" customFormat="1">
      <c r="CF6898" s="239"/>
      <c r="CM6898" s="336"/>
    </row>
    <row r="6899" spans="84:91" s="51" customFormat="1">
      <c r="CF6899" s="239"/>
      <c r="CM6899" s="336"/>
    </row>
    <row r="6900" spans="84:91" s="51" customFormat="1">
      <c r="CF6900" s="239"/>
      <c r="CM6900" s="336"/>
    </row>
    <row r="6901" spans="84:91" s="51" customFormat="1">
      <c r="CF6901" s="239"/>
      <c r="CM6901" s="336"/>
    </row>
    <row r="6902" spans="84:91" s="51" customFormat="1">
      <c r="CF6902" s="239"/>
      <c r="CM6902" s="336"/>
    </row>
    <row r="6903" spans="84:91" s="51" customFormat="1">
      <c r="CF6903" s="239"/>
      <c r="CM6903" s="336"/>
    </row>
    <row r="6904" spans="84:91" s="51" customFormat="1">
      <c r="CF6904" s="239"/>
      <c r="CM6904" s="336"/>
    </row>
    <row r="6905" spans="84:91" s="51" customFormat="1">
      <c r="CF6905" s="239"/>
      <c r="CM6905" s="336"/>
    </row>
    <row r="6906" spans="84:91" s="51" customFormat="1">
      <c r="CF6906" s="239"/>
      <c r="CM6906" s="336"/>
    </row>
    <row r="6907" spans="84:91" s="51" customFormat="1">
      <c r="CF6907" s="239"/>
      <c r="CM6907" s="336"/>
    </row>
    <row r="6908" spans="84:91" s="51" customFormat="1">
      <c r="CF6908" s="239"/>
      <c r="CM6908" s="336"/>
    </row>
    <row r="6909" spans="84:91" s="51" customFormat="1">
      <c r="CF6909" s="239"/>
      <c r="CM6909" s="336"/>
    </row>
    <row r="6910" spans="84:91" s="51" customFormat="1">
      <c r="CF6910" s="239"/>
      <c r="CM6910" s="336"/>
    </row>
    <row r="6911" spans="84:91" s="51" customFormat="1">
      <c r="CF6911" s="239"/>
      <c r="CM6911" s="336"/>
    </row>
    <row r="6912" spans="84:91" s="51" customFormat="1">
      <c r="CF6912" s="239"/>
      <c r="CM6912" s="336"/>
    </row>
    <row r="6913" spans="84:91" s="51" customFormat="1">
      <c r="CF6913" s="239"/>
      <c r="CM6913" s="336"/>
    </row>
    <row r="6914" spans="84:91" s="51" customFormat="1">
      <c r="CF6914" s="239"/>
      <c r="CM6914" s="336"/>
    </row>
    <row r="6915" spans="84:91" s="51" customFormat="1">
      <c r="CF6915" s="239"/>
      <c r="CM6915" s="336"/>
    </row>
    <row r="6916" spans="84:91" s="51" customFormat="1">
      <c r="CF6916" s="239"/>
      <c r="CM6916" s="336"/>
    </row>
    <row r="6917" spans="84:91" s="51" customFormat="1">
      <c r="CF6917" s="239"/>
      <c r="CM6917" s="336"/>
    </row>
    <row r="6918" spans="84:91" s="51" customFormat="1">
      <c r="CF6918" s="239"/>
      <c r="CM6918" s="336"/>
    </row>
    <row r="6919" spans="84:91" s="51" customFormat="1">
      <c r="CF6919" s="239"/>
      <c r="CM6919" s="336"/>
    </row>
    <row r="6920" spans="84:91" s="51" customFormat="1">
      <c r="CF6920" s="239"/>
      <c r="CM6920" s="336"/>
    </row>
    <row r="6921" spans="84:91" s="51" customFormat="1">
      <c r="CF6921" s="239"/>
      <c r="CM6921" s="336"/>
    </row>
    <row r="6922" spans="84:91" s="51" customFormat="1">
      <c r="CF6922" s="239"/>
      <c r="CM6922" s="336"/>
    </row>
    <row r="6923" spans="84:91" s="51" customFormat="1">
      <c r="CF6923" s="239"/>
      <c r="CM6923" s="336"/>
    </row>
    <row r="6924" spans="84:91" s="51" customFormat="1">
      <c r="CF6924" s="239"/>
      <c r="CM6924" s="336"/>
    </row>
    <row r="6925" spans="84:91" s="51" customFormat="1">
      <c r="CF6925" s="239"/>
      <c r="CM6925" s="336"/>
    </row>
    <row r="6926" spans="84:91" s="51" customFormat="1">
      <c r="CF6926" s="239"/>
      <c r="CM6926" s="336"/>
    </row>
    <row r="6927" spans="84:91" s="51" customFormat="1">
      <c r="CF6927" s="239"/>
      <c r="CM6927" s="336"/>
    </row>
    <row r="6928" spans="84:91" s="51" customFormat="1">
      <c r="CF6928" s="239"/>
      <c r="CM6928" s="336"/>
    </row>
    <row r="6929" spans="84:91" s="51" customFormat="1">
      <c r="CF6929" s="239"/>
      <c r="CM6929" s="336"/>
    </row>
    <row r="6930" spans="84:91" s="51" customFormat="1">
      <c r="CF6930" s="239"/>
      <c r="CM6930" s="336"/>
    </row>
    <row r="6931" spans="84:91" s="51" customFormat="1">
      <c r="CF6931" s="239"/>
      <c r="CM6931" s="336"/>
    </row>
    <row r="6932" spans="84:91" s="51" customFormat="1">
      <c r="CF6932" s="239"/>
      <c r="CM6932" s="336"/>
    </row>
    <row r="6933" spans="84:91" s="51" customFormat="1">
      <c r="CF6933" s="239"/>
      <c r="CM6933" s="336"/>
    </row>
    <row r="6934" spans="84:91" s="51" customFormat="1">
      <c r="CF6934" s="239"/>
      <c r="CM6934" s="336"/>
    </row>
    <row r="6935" spans="84:91" s="51" customFormat="1">
      <c r="CF6935" s="239"/>
      <c r="CM6935" s="336"/>
    </row>
    <row r="6936" spans="84:91" s="51" customFormat="1">
      <c r="CF6936" s="239"/>
      <c r="CM6936" s="336"/>
    </row>
    <row r="6937" spans="84:91" s="51" customFormat="1">
      <c r="CF6937" s="239"/>
      <c r="CM6937" s="336"/>
    </row>
    <row r="6938" spans="84:91" s="51" customFormat="1">
      <c r="CF6938" s="239"/>
      <c r="CM6938" s="336"/>
    </row>
    <row r="6939" spans="84:91" s="51" customFormat="1">
      <c r="CF6939" s="239"/>
      <c r="CM6939" s="336"/>
    </row>
    <row r="6940" spans="84:91" s="51" customFormat="1">
      <c r="CF6940" s="239"/>
      <c r="CM6940" s="336"/>
    </row>
    <row r="6941" spans="84:91" s="51" customFormat="1">
      <c r="CF6941" s="239"/>
      <c r="CM6941" s="336"/>
    </row>
    <row r="6942" spans="84:91" s="51" customFormat="1">
      <c r="CF6942" s="239"/>
      <c r="CM6942" s="336"/>
    </row>
    <row r="6943" spans="84:91" s="51" customFormat="1">
      <c r="CF6943" s="239"/>
      <c r="CM6943" s="336"/>
    </row>
    <row r="6944" spans="84:91" s="51" customFormat="1">
      <c r="CF6944" s="239"/>
      <c r="CM6944" s="336"/>
    </row>
    <row r="6945" spans="84:91" s="51" customFormat="1">
      <c r="CF6945" s="239"/>
      <c r="CM6945" s="336"/>
    </row>
    <row r="6946" spans="84:91" s="51" customFormat="1">
      <c r="CF6946" s="239"/>
      <c r="CM6946" s="336"/>
    </row>
    <row r="6947" spans="84:91" s="51" customFormat="1">
      <c r="CF6947" s="239"/>
      <c r="CM6947" s="336"/>
    </row>
    <row r="6948" spans="84:91" s="51" customFormat="1">
      <c r="CF6948" s="239"/>
      <c r="CM6948" s="336"/>
    </row>
    <row r="6949" spans="84:91" s="51" customFormat="1">
      <c r="CF6949" s="239"/>
      <c r="CM6949" s="336"/>
    </row>
    <row r="6950" spans="84:91" s="51" customFormat="1">
      <c r="CF6950" s="239"/>
      <c r="CM6950" s="336"/>
    </row>
    <row r="6951" spans="84:91" s="51" customFormat="1">
      <c r="CF6951" s="239"/>
      <c r="CM6951" s="336"/>
    </row>
    <row r="6952" spans="84:91" s="51" customFormat="1">
      <c r="CF6952" s="239"/>
      <c r="CM6952" s="336"/>
    </row>
    <row r="6953" spans="84:91" s="51" customFormat="1">
      <c r="CF6953" s="239"/>
      <c r="CM6953" s="336"/>
    </row>
    <row r="6954" spans="84:91" s="51" customFormat="1">
      <c r="CF6954" s="239"/>
      <c r="CM6954" s="336"/>
    </row>
    <row r="6955" spans="84:91" s="51" customFormat="1">
      <c r="CF6955" s="239"/>
      <c r="CM6955" s="336"/>
    </row>
    <row r="6956" spans="84:91" s="51" customFormat="1">
      <c r="CF6956" s="239"/>
      <c r="CM6956" s="336"/>
    </row>
    <row r="6957" spans="84:91" s="51" customFormat="1">
      <c r="CF6957" s="239"/>
      <c r="CM6957" s="336"/>
    </row>
    <row r="6958" spans="84:91" s="51" customFormat="1">
      <c r="CF6958" s="239"/>
      <c r="CM6958" s="336"/>
    </row>
    <row r="6959" spans="84:91" s="51" customFormat="1">
      <c r="CF6959" s="239"/>
      <c r="CM6959" s="336"/>
    </row>
    <row r="6960" spans="84:91" s="51" customFormat="1">
      <c r="CF6960" s="239"/>
      <c r="CM6960" s="336"/>
    </row>
    <row r="6961" spans="84:91" s="51" customFormat="1">
      <c r="CF6961" s="239"/>
      <c r="CM6961" s="336"/>
    </row>
    <row r="6962" spans="84:91" s="51" customFormat="1">
      <c r="CF6962" s="239"/>
      <c r="CM6962" s="336"/>
    </row>
    <row r="6963" spans="84:91" s="51" customFormat="1">
      <c r="CF6963" s="239"/>
      <c r="CM6963" s="336"/>
    </row>
    <row r="6964" spans="84:91" s="51" customFormat="1">
      <c r="CF6964" s="239"/>
      <c r="CM6964" s="336"/>
    </row>
    <row r="6965" spans="84:91" s="51" customFormat="1">
      <c r="CF6965" s="239"/>
      <c r="CM6965" s="336"/>
    </row>
    <row r="6966" spans="84:91" s="51" customFormat="1">
      <c r="CF6966" s="239"/>
      <c r="CM6966" s="336"/>
    </row>
    <row r="6967" spans="84:91" s="51" customFormat="1">
      <c r="CF6967" s="239"/>
      <c r="CM6967" s="336"/>
    </row>
    <row r="6968" spans="84:91" s="51" customFormat="1">
      <c r="CF6968" s="239"/>
      <c r="CM6968" s="336"/>
    </row>
    <row r="6969" spans="84:91" s="51" customFormat="1">
      <c r="CF6969" s="239"/>
      <c r="CM6969" s="336"/>
    </row>
    <row r="6970" spans="84:91" s="51" customFormat="1">
      <c r="CF6970" s="239"/>
      <c r="CM6970" s="336"/>
    </row>
    <row r="6971" spans="84:91" s="51" customFormat="1">
      <c r="CF6971" s="239"/>
      <c r="CM6971" s="336"/>
    </row>
    <row r="6972" spans="84:91" s="51" customFormat="1">
      <c r="CF6972" s="239"/>
      <c r="CM6972" s="336"/>
    </row>
    <row r="6973" spans="84:91" s="51" customFormat="1">
      <c r="CF6973" s="239"/>
      <c r="CM6973" s="336"/>
    </row>
    <row r="6974" spans="84:91" s="51" customFormat="1">
      <c r="CF6974" s="239"/>
      <c r="CM6974" s="336"/>
    </row>
    <row r="6975" spans="84:91" s="51" customFormat="1">
      <c r="CF6975" s="239"/>
      <c r="CM6975" s="336"/>
    </row>
    <row r="6976" spans="84:91" s="51" customFormat="1">
      <c r="CF6976" s="239"/>
      <c r="CM6976" s="336"/>
    </row>
    <row r="6977" spans="84:91" s="51" customFormat="1">
      <c r="CF6977" s="239"/>
      <c r="CM6977" s="336"/>
    </row>
    <row r="6978" spans="84:91" s="51" customFormat="1">
      <c r="CF6978" s="239"/>
      <c r="CM6978" s="336"/>
    </row>
    <row r="6979" spans="84:91" s="51" customFormat="1">
      <c r="CF6979" s="239"/>
      <c r="CM6979" s="336"/>
    </row>
    <row r="6980" spans="84:91" s="51" customFormat="1">
      <c r="CF6980" s="239"/>
      <c r="CM6980" s="336"/>
    </row>
    <row r="6981" spans="84:91" s="51" customFormat="1">
      <c r="CF6981" s="239"/>
      <c r="CM6981" s="336"/>
    </row>
    <row r="6982" spans="84:91" s="51" customFormat="1">
      <c r="CF6982" s="239"/>
      <c r="CM6982" s="336"/>
    </row>
    <row r="6983" spans="84:91" s="51" customFormat="1">
      <c r="CF6983" s="239"/>
      <c r="CM6983" s="336"/>
    </row>
    <row r="6984" spans="84:91" s="51" customFormat="1">
      <c r="CF6984" s="239"/>
      <c r="CM6984" s="336"/>
    </row>
    <row r="6985" spans="84:91" s="51" customFormat="1">
      <c r="CF6985" s="239"/>
      <c r="CM6985" s="336"/>
    </row>
    <row r="6986" spans="84:91" s="51" customFormat="1">
      <c r="CF6986" s="239"/>
      <c r="CM6986" s="336"/>
    </row>
    <row r="6987" spans="84:91" s="51" customFormat="1">
      <c r="CF6987" s="239"/>
      <c r="CM6987" s="336"/>
    </row>
    <row r="6988" spans="84:91" s="51" customFormat="1">
      <c r="CF6988" s="239"/>
      <c r="CM6988" s="336"/>
    </row>
    <row r="6989" spans="84:91" s="51" customFormat="1">
      <c r="CF6989" s="239"/>
      <c r="CM6989" s="336"/>
    </row>
    <row r="6990" spans="84:91" s="51" customFormat="1">
      <c r="CF6990" s="239"/>
      <c r="CM6990" s="336"/>
    </row>
    <row r="6991" spans="84:91" s="51" customFormat="1">
      <c r="CF6991" s="239"/>
      <c r="CM6991" s="336"/>
    </row>
    <row r="6992" spans="84:91" s="51" customFormat="1">
      <c r="CF6992" s="239"/>
      <c r="CM6992" s="336"/>
    </row>
    <row r="6993" spans="84:91" s="51" customFormat="1">
      <c r="CF6993" s="239"/>
      <c r="CM6993" s="336"/>
    </row>
    <row r="6994" spans="84:91" s="51" customFormat="1">
      <c r="CF6994" s="239"/>
      <c r="CM6994" s="336"/>
    </row>
    <row r="6995" spans="84:91" s="51" customFormat="1">
      <c r="CF6995" s="239"/>
      <c r="CM6995" s="336"/>
    </row>
    <row r="6996" spans="84:91" s="51" customFormat="1">
      <c r="CF6996" s="239"/>
      <c r="CM6996" s="336"/>
    </row>
    <row r="6997" spans="84:91" s="51" customFormat="1">
      <c r="CF6997" s="239"/>
      <c r="CM6997" s="336"/>
    </row>
    <row r="6998" spans="84:91" s="51" customFormat="1">
      <c r="CF6998" s="239"/>
      <c r="CM6998" s="336"/>
    </row>
    <row r="6999" spans="84:91" s="51" customFormat="1">
      <c r="CF6999" s="239"/>
      <c r="CM6999" s="336"/>
    </row>
    <row r="7000" spans="84:91" s="51" customFormat="1">
      <c r="CF7000" s="239"/>
      <c r="CM7000" s="336"/>
    </row>
    <row r="7001" spans="84:91" s="51" customFormat="1">
      <c r="CF7001" s="239"/>
      <c r="CM7001" s="336"/>
    </row>
    <row r="7002" spans="84:91" s="51" customFormat="1">
      <c r="CF7002" s="239"/>
      <c r="CM7002" s="336"/>
    </row>
    <row r="7003" spans="84:91" s="51" customFormat="1">
      <c r="CF7003" s="239"/>
      <c r="CM7003" s="336"/>
    </row>
    <row r="7004" spans="84:91" s="51" customFormat="1">
      <c r="CF7004" s="239"/>
      <c r="CM7004" s="336"/>
    </row>
    <row r="7005" spans="84:91" s="51" customFormat="1">
      <c r="CF7005" s="239"/>
      <c r="CM7005" s="336"/>
    </row>
    <row r="7006" spans="84:91" s="51" customFormat="1">
      <c r="CF7006" s="239"/>
      <c r="CM7006" s="336"/>
    </row>
    <row r="7007" spans="84:91" s="51" customFormat="1">
      <c r="CF7007" s="239"/>
      <c r="CM7007" s="336"/>
    </row>
    <row r="7008" spans="84:91" s="51" customFormat="1">
      <c r="CF7008" s="239"/>
      <c r="CM7008" s="336"/>
    </row>
    <row r="7009" spans="84:91" s="51" customFormat="1">
      <c r="CF7009" s="239"/>
      <c r="CM7009" s="336"/>
    </row>
    <row r="7010" spans="84:91" s="51" customFormat="1">
      <c r="CF7010" s="239"/>
      <c r="CM7010" s="336"/>
    </row>
    <row r="7011" spans="84:91" s="51" customFormat="1">
      <c r="CF7011" s="239"/>
      <c r="CM7011" s="336"/>
    </row>
    <row r="7012" spans="84:91" s="51" customFormat="1">
      <c r="CF7012" s="239"/>
      <c r="CM7012" s="336"/>
    </row>
    <row r="7013" spans="84:91" s="51" customFormat="1">
      <c r="CF7013" s="239"/>
      <c r="CM7013" s="336"/>
    </row>
    <row r="7014" spans="84:91" s="51" customFormat="1">
      <c r="CF7014" s="239"/>
      <c r="CM7014" s="336"/>
    </row>
    <row r="7015" spans="84:91" s="51" customFormat="1">
      <c r="CF7015" s="239"/>
      <c r="CM7015" s="336"/>
    </row>
    <row r="7016" spans="84:91" s="51" customFormat="1">
      <c r="CF7016" s="239"/>
      <c r="CM7016" s="336"/>
    </row>
    <row r="7017" spans="84:91" s="51" customFormat="1">
      <c r="CF7017" s="239"/>
      <c r="CM7017" s="336"/>
    </row>
    <row r="7018" spans="84:91" s="51" customFormat="1">
      <c r="CF7018" s="239"/>
      <c r="CM7018" s="336"/>
    </row>
    <row r="7019" spans="84:91" s="51" customFormat="1">
      <c r="CF7019" s="239"/>
      <c r="CM7019" s="336"/>
    </row>
    <row r="7020" spans="84:91" s="51" customFormat="1">
      <c r="CF7020" s="239"/>
      <c r="CM7020" s="336"/>
    </row>
    <row r="7021" spans="84:91" s="51" customFormat="1">
      <c r="CF7021" s="239"/>
      <c r="CM7021" s="336"/>
    </row>
    <row r="7022" spans="84:91" s="51" customFormat="1">
      <c r="CF7022" s="239"/>
      <c r="CM7022" s="336"/>
    </row>
    <row r="7023" spans="84:91" s="51" customFormat="1">
      <c r="CF7023" s="239"/>
      <c r="CM7023" s="336"/>
    </row>
    <row r="7024" spans="84:91" s="51" customFormat="1">
      <c r="CF7024" s="239"/>
      <c r="CM7024" s="336"/>
    </row>
    <row r="7025" spans="84:91" s="51" customFormat="1">
      <c r="CF7025" s="239"/>
      <c r="CM7025" s="336"/>
    </row>
    <row r="7026" spans="84:91" s="51" customFormat="1">
      <c r="CF7026" s="239"/>
      <c r="CM7026" s="336"/>
    </row>
    <row r="7027" spans="84:91" s="51" customFormat="1">
      <c r="CF7027" s="239"/>
      <c r="CM7027" s="336"/>
    </row>
    <row r="7028" spans="84:91" s="51" customFormat="1">
      <c r="CF7028" s="239"/>
      <c r="CM7028" s="336"/>
    </row>
    <row r="7029" spans="84:91" s="51" customFormat="1">
      <c r="CF7029" s="239"/>
      <c r="CM7029" s="336"/>
    </row>
    <row r="7030" spans="84:91" s="51" customFormat="1">
      <c r="CF7030" s="239"/>
      <c r="CM7030" s="336"/>
    </row>
    <row r="7031" spans="84:91" s="51" customFormat="1">
      <c r="CF7031" s="239"/>
      <c r="CM7031" s="336"/>
    </row>
    <row r="7032" spans="84:91" s="51" customFormat="1">
      <c r="CF7032" s="239"/>
      <c r="CM7032" s="336"/>
    </row>
    <row r="7033" spans="84:91" s="51" customFormat="1">
      <c r="CF7033" s="239"/>
      <c r="CM7033" s="336"/>
    </row>
    <row r="7034" spans="84:91" s="51" customFormat="1">
      <c r="CF7034" s="239"/>
      <c r="CM7034" s="336"/>
    </row>
    <row r="7035" spans="84:91" s="51" customFormat="1">
      <c r="CF7035" s="239"/>
      <c r="CM7035" s="336"/>
    </row>
    <row r="7036" spans="84:91" s="51" customFormat="1">
      <c r="CF7036" s="239"/>
      <c r="CM7036" s="336"/>
    </row>
    <row r="7037" spans="84:91" s="51" customFormat="1">
      <c r="CF7037" s="239"/>
      <c r="CM7037" s="336"/>
    </row>
    <row r="7038" spans="84:91" s="51" customFormat="1">
      <c r="CF7038" s="239"/>
      <c r="CM7038" s="336"/>
    </row>
    <row r="7039" spans="84:91" s="51" customFormat="1">
      <c r="CF7039" s="239"/>
      <c r="CM7039" s="336"/>
    </row>
    <row r="7040" spans="84:91" s="51" customFormat="1">
      <c r="CF7040" s="239"/>
      <c r="CM7040" s="336"/>
    </row>
    <row r="7041" spans="84:91" s="51" customFormat="1">
      <c r="CF7041" s="239"/>
      <c r="CM7041" s="336"/>
    </row>
    <row r="7042" spans="84:91" s="51" customFormat="1">
      <c r="CF7042" s="239"/>
      <c r="CM7042" s="336"/>
    </row>
    <row r="7043" spans="84:91" s="51" customFormat="1">
      <c r="CF7043" s="239"/>
      <c r="CM7043" s="336"/>
    </row>
    <row r="7044" spans="84:91" s="51" customFormat="1">
      <c r="CF7044" s="239"/>
      <c r="CM7044" s="336"/>
    </row>
    <row r="7045" spans="84:91" s="51" customFormat="1">
      <c r="CF7045" s="239"/>
      <c r="CM7045" s="336"/>
    </row>
    <row r="7046" spans="84:91" s="51" customFormat="1">
      <c r="CF7046" s="239"/>
      <c r="CM7046" s="336"/>
    </row>
    <row r="7047" spans="84:91" s="51" customFormat="1">
      <c r="CF7047" s="239"/>
      <c r="CM7047" s="336"/>
    </row>
    <row r="7048" spans="84:91" s="51" customFormat="1">
      <c r="CF7048" s="239"/>
      <c r="CM7048" s="336"/>
    </row>
    <row r="7049" spans="84:91" s="51" customFormat="1">
      <c r="CF7049" s="239"/>
      <c r="CM7049" s="336"/>
    </row>
    <row r="7050" spans="84:91" s="51" customFormat="1">
      <c r="CF7050" s="239"/>
      <c r="CM7050" s="336"/>
    </row>
    <row r="7051" spans="84:91" s="51" customFormat="1">
      <c r="CF7051" s="239"/>
      <c r="CM7051" s="336"/>
    </row>
    <row r="7052" spans="84:91" s="51" customFormat="1">
      <c r="CF7052" s="239"/>
      <c r="CM7052" s="336"/>
    </row>
    <row r="7053" spans="84:91" s="51" customFormat="1">
      <c r="CF7053" s="239"/>
      <c r="CM7053" s="336"/>
    </row>
    <row r="7054" spans="84:91" s="51" customFormat="1">
      <c r="CF7054" s="239"/>
      <c r="CM7054" s="336"/>
    </row>
    <row r="7055" spans="84:91" s="51" customFormat="1">
      <c r="CF7055" s="239"/>
      <c r="CM7055" s="336"/>
    </row>
    <row r="7056" spans="84:91" s="51" customFormat="1">
      <c r="CF7056" s="239"/>
      <c r="CM7056" s="336"/>
    </row>
    <row r="7057" spans="84:91" s="51" customFormat="1">
      <c r="CF7057" s="239"/>
      <c r="CM7057" s="336"/>
    </row>
    <row r="7058" spans="84:91" s="51" customFormat="1">
      <c r="CF7058" s="239"/>
      <c r="CM7058" s="336"/>
    </row>
    <row r="7059" spans="84:91" s="51" customFormat="1">
      <c r="CF7059" s="239"/>
      <c r="CM7059" s="336"/>
    </row>
    <row r="7060" spans="84:91" s="51" customFormat="1">
      <c r="CF7060" s="239"/>
      <c r="CM7060" s="336"/>
    </row>
    <row r="7061" spans="84:91" s="51" customFormat="1">
      <c r="CF7061" s="239"/>
      <c r="CM7061" s="336"/>
    </row>
    <row r="7062" spans="84:91" s="51" customFormat="1">
      <c r="CF7062" s="239"/>
      <c r="CM7062" s="336"/>
    </row>
    <row r="7063" spans="84:91" s="51" customFormat="1">
      <c r="CF7063" s="239"/>
      <c r="CM7063" s="336"/>
    </row>
    <row r="7064" spans="84:91" s="51" customFormat="1">
      <c r="CF7064" s="239"/>
      <c r="CM7064" s="336"/>
    </row>
    <row r="7065" spans="84:91" s="51" customFormat="1">
      <c r="CF7065" s="239"/>
      <c r="CM7065" s="336"/>
    </row>
    <row r="7066" spans="84:91" s="51" customFormat="1">
      <c r="CF7066" s="239"/>
      <c r="CM7066" s="336"/>
    </row>
    <row r="7067" spans="84:91" s="51" customFormat="1">
      <c r="CF7067" s="239"/>
      <c r="CM7067" s="336"/>
    </row>
    <row r="7068" spans="84:91" s="51" customFormat="1">
      <c r="CF7068" s="239"/>
      <c r="CM7068" s="336"/>
    </row>
    <row r="7069" spans="84:91" s="51" customFormat="1">
      <c r="CF7069" s="239"/>
      <c r="CM7069" s="336"/>
    </row>
    <row r="7070" spans="84:91" s="51" customFormat="1">
      <c r="CF7070" s="239"/>
      <c r="CM7070" s="336"/>
    </row>
    <row r="7071" spans="84:91" s="51" customFormat="1">
      <c r="CF7071" s="239"/>
      <c r="CM7071" s="336"/>
    </row>
    <row r="7072" spans="84:91" s="51" customFormat="1">
      <c r="CF7072" s="239"/>
      <c r="CM7072" s="336"/>
    </row>
    <row r="7073" spans="84:91" s="51" customFormat="1">
      <c r="CF7073" s="239"/>
      <c r="CM7073" s="336"/>
    </row>
    <row r="7074" spans="84:91" s="51" customFormat="1">
      <c r="CF7074" s="239"/>
      <c r="CM7074" s="336"/>
    </row>
    <row r="7075" spans="84:91" s="51" customFormat="1">
      <c r="CF7075" s="239"/>
      <c r="CM7075" s="336"/>
    </row>
    <row r="7076" spans="84:91" s="51" customFormat="1">
      <c r="CF7076" s="239"/>
      <c r="CM7076" s="336"/>
    </row>
    <row r="7077" spans="84:91" s="51" customFormat="1">
      <c r="CF7077" s="239"/>
      <c r="CM7077" s="336"/>
    </row>
    <row r="7078" spans="84:91" s="51" customFormat="1">
      <c r="CF7078" s="239"/>
      <c r="CM7078" s="336"/>
    </row>
    <row r="7079" spans="84:91" s="51" customFormat="1">
      <c r="CF7079" s="239"/>
      <c r="CM7079" s="336"/>
    </row>
    <row r="7080" spans="84:91" s="51" customFormat="1">
      <c r="CF7080" s="239"/>
      <c r="CM7080" s="336"/>
    </row>
    <row r="7081" spans="84:91" s="51" customFormat="1">
      <c r="CF7081" s="239"/>
      <c r="CM7081" s="336"/>
    </row>
    <row r="7082" spans="84:91" s="51" customFormat="1">
      <c r="CF7082" s="239"/>
      <c r="CM7082" s="336"/>
    </row>
    <row r="7083" spans="84:91" s="51" customFormat="1">
      <c r="CF7083" s="239"/>
      <c r="CM7083" s="336"/>
    </row>
    <row r="7084" spans="84:91" s="51" customFormat="1">
      <c r="CF7084" s="239"/>
      <c r="CM7084" s="336"/>
    </row>
    <row r="7085" spans="84:91" s="51" customFormat="1">
      <c r="CF7085" s="239"/>
      <c r="CM7085" s="336"/>
    </row>
    <row r="7086" spans="84:91" s="51" customFormat="1">
      <c r="CF7086" s="239"/>
      <c r="CM7086" s="336"/>
    </row>
    <row r="7087" spans="84:91" s="51" customFormat="1">
      <c r="CF7087" s="239"/>
      <c r="CM7087" s="336"/>
    </row>
    <row r="7088" spans="84:91" s="51" customFormat="1">
      <c r="CF7088" s="239"/>
      <c r="CM7088" s="336"/>
    </row>
    <row r="7089" spans="84:91" s="51" customFormat="1">
      <c r="CF7089" s="239"/>
      <c r="CM7089" s="336"/>
    </row>
    <row r="7090" spans="84:91" s="51" customFormat="1">
      <c r="CF7090" s="239"/>
      <c r="CM7090" s="336"/>
    </row>
    <row r="7091" spans="84:91" s="51" customFormat="1">
      <c r="CF7091" s="239"/>
      <c r="CM7091" s="336"/>
    </row>
    <row r="7092" spans="84:91" s="51" customFormat="1">
      <c r="CF7092" s="239"/>
      <c r="CM7092" s="336"/>
    </row>
    <row r="7093" spans="84:91" s="51" customFormat="1">
      <c r="CF7093" s="239"/>
      <c r="CM7093" s="336"/>
    </row>
    <row r="7094" spans="84:91" s="51" customFormat="1">
      <c r="CF7094" s="239"/>
      <c r="CM7094" s="336"/>
    </row>
    <row r="7095" spans="84:91" s="51" customFormat="1">
      <c r="CF7095" s="239"/>
      <c r="CM7095" s="336"/>
    </row>
    <row r="7096" spans="84:91" s="51" customFormat="1">
      <c r="CF7096" s="239"/>
      <c r="CM7096" s="336"/>
    </row>
    <row r="7097" spans="84:91" s="51" customFormat="1">
      <c r="CF7097" s="239"/>
      <c r="CM7097" s="336"/>
    </row>
    <row r="7098" spans="84:91" s="51" customFormat="1">
      <c r="CF7098" s="239"/>
      <c r="CM7098" s="336"/>
    </row>
    <row r="7099" spans="84:91" s="51" customFormat="1">
      <c r="CF7099" s="239"/>
      <c r="CM7099" s="336"/>
    </row>
    <row r="7100" spans="84:91" s="51" customFormat="1">
      <c r="CF7100" s="239"/>
      <c r="CM7100" s="336"/>
    </row>
    <row r="7101" spans="84:91" s="51" customFormat="1">
      <c r="CF7101" s="239"/>
      <c r="CM7101" s="336"/>
    </row>
    <row r="7102" spans="84:91" s="51" customFormat="1">
      <c r="CF7102" s="239"/>
      <c r="CM7102" s="336"/>
    </row>
    <row r="7103" spans="84:91" s="51" customFormat="1">
      <c r="CF7103" s="239"/>
      <c r="CM7103" s="336"/>
    </row>
    <row r="7104" spans="84:91" s="51" customFormat="1">
      <c r="CF7104" s="239"/>
      <c r="CM7104" s="336"/>
    </row>
    <row r="7105" spans="84:91" s="51" customFormat="1">
      <c r="CF7105" s="239"/>
      <c r="CM7105" s="336"/>
    </row>
    <row r="7106" spans="84:91" s="51" customFormat="1">
      <c r="CF7106" s="239"/>
      <c r="CM7106" s="336"/>
    </row>
    <row r="7107" spans="84:91" s="51" customFormat="1">
      <c r="CF7107" s="239"/>
      <c r="CM7107" s="336"/>
    </row>
    <row r="7108" spans="84:91" s="51" customFormat="1">
      <c r="CF7108" s="239"/>
      <c r="CM7108" s="336"/>
    </row>
    <row r="7109" spans="84:91" s="51" customFormat="1">
      <c r="CF7109" s="239"/>
      <c r="CM7109" s="336"/>
    </row>
    <row r="7110" spans="84:91" s="51" customFormat="1">
      <c r="CF7110" s="239"/>
      <c r="CM7110" s="336"/>
    </row>
    <row r="7111" spans="84:91" s="51" customFormat="1">
      <c r="CF7111" s="239"/>
      <c r="CM7111" s="336"/>
    </row>
    <row r="7112" spans="84:91" s="51" customFormat="1">
      <c r="CF7112" s="239"/>
      <c r="CM7112" s="336"/>
    </row>
    <row r="7113" spans="84:91" s="51" customFormat="1">
      <c r="CF7113" s="239"/>
      <c r="CM7113" s="336"/>
    </row>
    <row r="7114" spans="84:91" s="51" customFormat="1">
      <c r="CF7114" s="239"/>
      <c r="CM7114" s="336"/>
    </row>
    <row r="7115" spans="84:91" s="51" customFormat="1">
      <c r="CF7115" s="239"/>
      <c r="CM7115" s="336"/>
    </row>
    <row r="7116" spans="84:91" s="51" customFormat="1">
      <c r="CF7116" s="239"/>
      <c r="CM7116" s="336"/>
    </row>
    <row r="7117" spans="84:91" s="51" customFormat="1">
      <c r="CF7117" s="239"/>
      <c r="CM7117" s="336"/>
    </row>
    <row r="7118" spans="84:91" s="51" customFormat="1">
      <c r="CF7118" s="239"/>
      <c r="CM7118" s="336"/>
    </row>
    <row r="7119" spans="84:91" s="51" customFormat="1">
      <c r="CF7119" s="239"/>
      <c r="CM7119" s="336"/>
    </row>
    <row r="7120" spans="84:91" s="51" customFormat="1">
      <c r="CF7120" s="239"/>
      <c r="CM7120" s="336"/>
    </row>
    <row r="7121" spans="84:91" s="51" customFormat="1">
      <c r="CF7121" s="239"/>
      <c r="CM7121" s="336"/>
    </row>
    <row r="7122" spans="84:91" s="51" customFormat="1">
      <c r="CF7122" s="239"/>
      <c r="CM7122" s="336"/>
    </row>
    <row r="7123" spans="84:91" s="51" customFormat="1">
      <c r="CF7123" s="239"/>
      <c r="CM7123" s="336"/>
    </row>
    <row r="7124" spans="84:91" s="51" customFormat="1">
      <c r="CF7124" s="239"/>
      <c r="CM7124" s="336"/>
    </row>
    <row r="7125" spans="84:91" s="51" customFormat="1">
      <c r="CF7125" s="239"/>
      <c r="CM7125" s="336"/>
    </row>
    <row r="7126" spans="84:91" s="51" customFormat="1">
      <c r="CF7126" s="239"/>
      <c r="CM7126" s="336"/>
    </row>
    <row r="7127" spans="84:91" s="51" customFormat="1">
      <c r="CF7127" s="239"/>
      <c r="CM7127" s="336"/>
    </row>
    <row r="7128" spans="84:91" s="51" customFormat="1">
      <c r="CF7128" s="239"/>
      <c r="CM7128" s="336"/>
    </row>
    <row r="7129" spans="84:91" s="51" customFormat="1">
      <c r="CF7129" s="239"/>
      <c r="CM7129" s="336"/>
    </row>
    <row r="7130" spans="84:91" s="51" customFormat="1">
      <c r="CF7130" s="239"/>
      <c r="CM7130" s="336"/>
    </row>
    <row r="7131" spans="84:91" s="51" customFormat="1">
      <c r="CF7131" s="239"/>
      <c r="CM7131" s="336"/>
    </row>
    <row r="7132" spans="84:91" s="51" customFormat="1">
      <c r="CF7132" s="239"/>
      <c r="CM7132" s="336"/>
    </row>
    <row r="7133" spans="84:91" s="51" customFormat="1">
      <c r="CF7133" s="239"/>
      <c r="CM7133" s="336"/>
    </row>
    <row r="7134" spans="84:91" s="51" customFormat="1">
      <c r="CF7134" s="239"/>
      <c r="CM7134" s="336"/>
    </row>
    <row r="7135" spans="84:91" s="51" customFormat="1">
      <c r="CF7135" s="239"/>
      <c r="CM7135" s="336"/>
    </row>
    <row r="7136" spans="84:91" s="51" customFormat="1">
      <c r="CF7136" s="239"/>
      <c r="CM7136" s="336"/>
    </row>
    <row r="7137" spans="84:91" s="51" customFormat="1">
      <c r="CF7137" s="239"/>
      <c r="CM7137" s="336"/>
    </row>
    <row r="7138" spans="84:91" s="51" customFormat="1">
      <c r="CF7138" s="239"/>
      <c r="CM7138" s="336"/>
    </row>
    <row r="7139" spans="84:91" s="51" customFormat="1">
      <c r="CF7139" s="239"/>
      <c r="CM7139" s="336"/>
    </row>
    <row r="7140" spans="84:91" s="51" customFormat="1">
      <c r="CF7140" s="239"/>
      <c r="CM7140" s="336"/>
    </row>
    <row r="7141" spans="84:91" s="51" customFormat="1">
      <c r="CF7141" s="239"/>
      <c r="CM7141" s="336"/>
    </row>
    <row r="7142" spans="84:91" s="51" customFormat="1">
      <c r="CF7142" s="239"/>
      <c r="CM7142" s="336"/>
    </row>
    <row r="7143" spans="84:91" s="51" customFormat="1">
      <c r="CF7143" s="239"/>
      <c r="CM7143" s="336"/>
    </row>
    <row r="7144" spans="84:91" s="51" customFormat="1">
      <c r="CF7144" s="239"/>
      <c r="CM7144" s="336"/>
    </row>
    <row r="7145" spans="84:91" s="51" customFormat="1">
      <c r="CF7145" s="239"/>
      <c r="CM7145" s="336"/>
    </row>
    <row r="7146" spans="84:91" s="51" customFormat="1">
      <c r="CF7146" s="239"/>
      <c r="CM7146" s="336"/>
    </row>
    <row r="7147" spans="84:91" s="51" customFormat="1">
      <c r="CF7147" s="239"/>
      <c r="CM7147" s="336"/>
    </row>
    <row r="7148" spans="84:91" s="51" customFormat="1">
      <c r="CF7148" s="239"/>
      <c r="CM7148" s="336"/>
    </row>
    <row r="7149" spans="84:91" s="51" customFormat="1">
      <c r="CF7149" s="239"/>
      <c r="CM7149" s="336"/>
    </row>
    <row r="7150" spans="84:91" s="51" customFormat="1">
      <c r="CF7150" s="239"/>
      <c r="CM7150" s="336"/>
    </row>
    <row r="7151" spans="84:91" s="51" customFormat="1">
      <c r="CF7151" s="239"/>
      <c r="CM7151" s="336"/>
    </row>
    <row r="7152" spans="84:91" s="51" customFormat="1">
      <c r="CF7152" s="239"/>
      <c r="CM7152" s="336"/>
    </row>
    <row r="7153" spans="84:91" s="51" customFormat="1">
      <c r="CF7153" s="239"/>
      <c r="CM7153" s="336"/>
    </row>
    <row r="7154" spans="84:91" s="51" customFormat="1">
      <c r="CF7154" s="239"/>
      <c r="CM7154" s="336"/>
    </row>
    <row r="7155" spans="84:91" s="51" customFormat="1">
      <c r="CF7155" s="239"/>
      <c r="CM7155" s="336"/>
    </row>
    <row r="7156" spans="84:91" s="51" customFormat="1">
      <c r="CF7156" s="239"/>
      <c r="CM7156" s="336"/>
    </row>
    <row r="7157" spans="84:91" s="51" customFormat="1">
      <c r="CF7157" s="239"/>
      <c r="CM7157" s="336"/>
    </row>
    <row r="7158" spans="84:91" s="51" customFormat="1">
      <c r="CF7158" s="239"/>
      <c r="CM7158" s="336"/>
    </row>
    <row r="7159" spans="84:91" s="51" customFormat="1">
      <c r="CF7159" s="239"/>
      <c r="CM7159" s="336"/>
    </row>
    <row r="7160" spans="84:91" s="51" customFormat="1">
      <c r="CF7160" s="239"/>
      <c r="CM7160" s="336"/>
    </row>
    <row r="7161" spans="84:91" s="51" customFormat="1">
      <c r="CF7161" s="239"/>
      <c r="CM7161" s="336"/>
    </row>
    <row r="7162" spans="84:91" s="51" customFormat="1">
      <c r="CF7162" s="239"/>
      <c r="CM7162" s="336"/>
    </row>
    <row r="7163" spans="84:91" s="51" customFormat="1">
      <c r="CF7163" s="239"/>
      <c r="CM7163" s="336"/>
    </row>
    <row r="7164" spans="84:91" s="51" customFormat="1">
      <c r="CF7164" s="239"/>
      <c r="CM7164" s="336"/>
    </row>
    <row r="7165" spans="84:91" s="51" customFormat="1">
      <c r="CF7165" s="239"/>
      <c r="CM7165" s="336"/>
    </row>
    <row r="7166" spans="84:91" s="51" customFormat="1">
      <c r="CF7166" s="239"/>
      <c r="CM7166" s="336"/>
    </row>
    <row r="7167" spans="84:91" s="51" customFormat="1">
      <c r="CF7167" s="239"/>
      <c r="CM7167" s="336"/>
    </row>
    <row r="7168" spans="84:91" s="51" customFormat="1">
      <c r="CF7168" s="239"/>
      <c r="CM7168" s="336"/>
    </row>
    <row r="7169" spans="84:91" s="51" customFormat="1">
      <c r="CF7169" s="239"/>
      <c r="CM7169" s="336"/>
    </row>
    <row r="7170" spans="84:91" s="51" customFormat="1">
      <c r="CF7170" s="239"/>
      <c r="CM7170" s="336"/>
    </row>
    <row r="7171" spans="84:91" s="51" customFormat="1">
      <c r="CF7171" s="239"/>
      <c r="CM7171" s="336"/>
    </row>
    <row r="7172" spans="84:91" s="51" customFormat="1">
      <c r="CF7172" s="239"/>
      <c r="CM7172" s="336"/>
    </row>
    <row r="7173" spans="84:91" s="51" customFormat="1">
      <c r="CF7173" s="239"/>
      <c r="CM7173" s="336"/>
    </row>
    <row r="7174" spans="84:91" s="51" customFormat="1">
      <c r="CF7174" s="239"/>
      <c r="CM7174" s="336"/>
    </row>
    <row r="7175" spans="84:91" s="51" customFormat="1">
      <c r="CF7175" s="239"/>
      <c r="CM7175" s="336"/>
    </row>
    <row r="7176" spans="84:91" s="51" customFormat="1">
      <c r="CF7176" s="239"/>
      <c r="CM7176" s="336"/>
    </row>
    <row r="7177" spans="84:91" s="51" customFormat="1">
      <c r="CF7177" s="239"/>
      <c r="CM7177" s="336"/>
    </row>
    <row r="7178" spans="84:91" s="51" customFormat="1">
      <c r="CF7178" s="239"/>
      <c r="CM7178" s="336"/>
    </row>
    <row r="7179" spans="84:91" s="51" customFormat="1">
      <c r="CF7179" s="239"/>
      <c r="CM7179" s="336"/>
    </row>
    <row r="7180" spans="84:91" s="51" customFormat="1">
      <c r="CF7180" s="239"/>
      <c r="CM7180" s="336"/>
    </row>
    <row r="7181" spans="84:91" s="51" customFormat="1">
      <c r="CF7181" s="239"/>
      <c r="CM7181" s="336"/>
    </row>
    <row r="7182" spans="84:91" s="51" customFormat="1">
      <c r="CF7182" s="239"/>
      <c r="CM7182" s="336"/>
    </row>
    <row r="7183" spans="84:91" s="51" customFormat="1">
      <c r="CF7183" s="239"/>
      <c r="CM7183" s="336"/>
    </row>
    <row r="7184" spans="84:91" s="51" customFormat="1">
      <c r="CF7184" s="239"/>
      <c r="CM7184" s="336"/>
    </row>
    <row r="7185" spans="84:91" s="51" customFormat="1">
      <c r="CF7185" s="239"/>
      <c r="CM7185" s="336"/>
    </row>
    <row r="7186" spans="84:91" s="51" customFormat="1">
      <c r="CF7186" s="239"/>
      <c r="CM7186" s="336"/>
    </row>
    <row r="7187" spans="84:91" s="51" customFormat="1">
      <c r="CF7187" s="239"/>
      <c r="CM7187" s="336"/>
    </row>
    <row r="7188" spans="84:91" s="51" customFormat="1">
      <c r="CF7188" s="239"/>
      <c r="CM7188" s="336"/>
    </row>
    <row r="7189" spans="84:91" s="51" customFormat="1">
      <c r="CF7189" s="239"/>
      <c r="CM7189" s="336"/>
    </row>
    <row r="7190" spans="84:91" s="51" customFormat="1">
      <c r="CF7190" s="239"/>
      <c r="CM7190" s="336"/>
    </row>
    <row r="7191" spans="84:91" s="51" customFormat="1">
      <c r="CF7191" s="239"/>
      <c r="CM7191" s="336"/>
    </row>
    <row r="7192" spans="84:91" s="51" customFormat="1">
      <c r="CF7192" s="239"/>
      <c r="CM7192" s="336"/>
    </row>
    <row r="7193" spans="84:91" s="51" customFormat="1">
      <c r="CF7193" s="239"/>
      <c r="CM7193" s="336"/>
    </row>
    <row r="7194" spans="84:91" s="51" customFormat="1">
      <c r="CF7194" s="239"/>
      <c r="CM7194" s="336"/>
    </row>
    <row r="7195" spans="84:91" s="51" customFormat="1">
      <c r="CF7195" s="239"/>
      <c r="CM7195" s="336"/>
    </row>
    <row r="7196" spans="84:91" s="51" customFormat="1">
      <c r="CF7196" s="239"/>
      <c r="CM7196" s="336"/>
    </row>
    <row r="7197" spans="84:91" s="51" customFormat="1">
      <c r="CF7197" s="239"/>
      <c r="CM7197" s="336"/>
    </row>
    <row r="7198" spans="84:91" s="51" customFormat="1">
      <c r="CF7198" s="239"/>
      <c r="CM7198" s="336"/>
    </row>
    <row r="7199" spans="84:91" s="51" customFormat="1">
      <c r="CF7199" s="239"/>
      <c r="CM7199" s="336"/>
    </row>
    <row r="7200" spans="84:91" s="51" customFormat="1">
      <c r="CF7200" s="239"/>
      <c r="CM7200" s="336"/>
    </row>
    <row r="7201" spans="84:91" s="51" customFormat="1">
      <c r="CF7201" s="239"/>
      <c r="CM7201" s="336"/>
    </row>
    <row r="7202" spans="84:91" s="51" customFormat="1">
      <c r="CF7202" s="239"/>
      <c r="CM7202" s="336"/>
    </row>
    <row r="7203" spans="84:91" s="51" customFormat="1">
      <c r="CF7203" s="239"/>
      <c r="CM7203" s="336"/>
    </row>
    <row r="7204" spans="84:91" s="51" customFormat="1">
      <c r="CF7204" s="239"/>
      <c r="CM7204" s="336"/>
    </row>
    <row r="7205" spans="84:91" s="51" customFormat="1">
      <c r="CF7205" s="239"/>
      <c r="CM7205" s="336"/>
    </row>
    <row r="7206" spans="84:91" s="51" customFormat="1">
      <c r="CF7206" s="239"/>
      <c r="CM7206" s="336"/>
    </row>
    <row r="7207" spans="84:91" s="51" customFormat="1">
      <c r="CF7207" s="239"/>
      <c r="CM7207" s="336"/>
    </row>
    <row r="7208" spans="84:91" s="51" customFormat="1">
      <c r="CF7208" s="239"/>
      <c r="CM7208" s="336"/>
    </row>
    <row r="7209" spans="84:91" s="51" customFormat="1">
      <c r="CF7209" s="239"/>
      <c r="CM7209" s="336"/>
    </row>
    <row r="7210" spans="84:91" s="51" customFormat="1">
      <c r="CF7210" s="239"/>
      <c r="CM7210" s="336"/>
    </row>
    <row r="7211" spans="84:91" s="51" customFormat="1">
      <c r="CF7211" s="239"/>
      <c r="CM7211" s="336"/>
    </row>
    <row r="7212" spans="84:91" s="51" customFormat="1">
      <c r="CF7212" s="239"/>
      <c r="CM7212" s="336"/>
    </row>
    <row r="7213" spans="84:91" s="51" customFormat="1">
      <c r="CF7213" s="239"/>
      <c r="CM7213" s="336"/>
    </row>
    <row r="7214" spans="84:91" s="51" customFormat="1">
      <c r="CF7214" s="239"/>
      <c r="CM7214" s="336"/>
    </row>
    <row r="7215" spans="84:91" s="51" customFormat="1">
      <c r="CF7215" s="239"/>
      <c r="CM7215" s="336"/>
    </row>
    <row r="7216" spans="84:91" s="51" customFormat="1">
      <c r="CF7216" s="239"/>
      <c r="CM7216" s="336"/>
    </row>
    <row r="7217" spans="84:91" s="51" customFormat="1">
      <c r="CF7217" s="239"/>
      <c r="CM7217" s="336"/>
    </row>
    <row r="7218" spans="84:91" s="51" customFormat="1">
      <c r="CF7218" s="239"/>
      <c r="CM7218" s="336"/>
    </row>
    <row r="7219" spans="84:91" s="51" customFormat="1">
      <c r="CF7219" s="239"/>
      <c r="CM7219" s="336"/>
    </row>
    <row r="7220" spans="84:91" s="51" customFormat="1">
      <c r="CF7220" s="239"/>
      <c r="CM7220" s="336"/>
    </row>
    <row r="7221" spans="84:91" s="51" customFormat="1">
      <c r="CF7221" s="239"/>
      <c r="CM7221" s="336"/>
    </row>
    <row r="7222" spans="84:91" s="51" customFormat="1">
      <c r="CF7222" s="239"/>
      <c r="CM7222" s="336"/>
    </row>
    <row r="7223" spans="84:91" s="51" customFormat="1">
      <c r="CF7223" s="239"/>
      <c r="CM7223" s="336"/>
    </row>
    <row r="7224" spans="84:91" s="51" customFormat="1">
      <c r="CF7224" s="239"/>
      <c r="CM7224" s="336"/>
    </row>
    <row r="7225" spans="84:91" s="51" customFormat="1">
      <c r="CF7225" s="239"/>
      <c r="CM7225" s="336"/>
    </row>
    <row r="7226" spans="84:91" s="51" customFormat="1">
      <c r="CF7226" s="239"/>
      <c r="CM7226" s="336"/>
    </row>
    <row r="7227" spans="84:91" s="51" customFormat="1">
      <c r="CF7227" s="239"/>
      <c r="CM7227" s="336"/>
    </row>
    <row r="7228" spans="84:91" s="51" customFormat="1">
      <c r="CF7228" s="239"/>
      <c r="CM7228" s="336"/>
    </row>
    <row r="7229" spans="84:91" s="51" customFormat="1">
      <c r="CF7229" s="239"/>
      <c r="CM7229" s="336"/>
    </row>
    <row r="7230" spans="84:91" s="51" customFormat="1">
      <c r="CF7230" s="239"/>
      <c r="CM7230" s="336"/>
    </row>
    <row r="7231" spans="84:91" s="51" customFormat="1">
      <c r="CF7231" s="239"/>
      <c r="CM7231" s="336"/>
    </row>
    <row r="7232" spans="84:91" s="51" customFormat="1">
      <c r="CF7232" s="239"/>
      <c r="CM7232" s="336"/>
    </row>
    <row r="7233" spans="84:91" s="51" customFormat="1">
      <c r="CF7233" s="239"/>
      <c r="CM7233" s="336"/>
    </row>
    <row r="7234" spans="84:91" s="51" customFormat="1">
      <c r="CF7234" s="239"/>
      <c r="CM7234" s="336"/>
    </row>
    <row r="7235" spans="84:91" s="51" customFormat="1">
      <c r="CF7235" s="239"/>
      <c r="CM7235" s="336"/>
    </row>
    <row r="7236" spans="84:91" s="51" customFormat="1">
      <c r="CF7236" s="239"/>
      <c r="CM7236" s="336"/>
    </row>
    <row r="7237" spans="84:91" s="51" customFormat="1">
      <c r="CF7237" s="239"/>
      <c r="CM7237" s="336"/>
    </row>
    <row r="7238" spans="84:91" s="51" customFormat="1">
      <c r="CF7238" s="239"/>
      <c r="CM7238" s="336"/>
    </row>
    <row r="7239" spans="84:91" s="51" customFormat="1">
      <c r="CF7239" s="239"/>
      <c r="CM7239" s="336"/>
    </row>
    <row r="7240" spans="84:91" s="51" customFormat="1">
      <c r="CF7240" s="239"/>
      <c r="CM7240" s="336"/>
    </row>
    <row r="7241" spans="84:91" s="51" customFormat="1">
      <c r="CF7241" s="239"/>
      <c r="CM7241" s="336"/>
    </row>
    <row r="7242" spans="84:91" s="51" customFormat="1">
      <c r="CF7242" s="239"/>
      <c r="CM7242" s="336"/>
    </row>
    <row r="7243" spans="84:91" s="51" customFormat="1">
      <c r="CF7243" s="239"/>
      <c r="CM7243" s="336"/>
    </row>
    <row r="7244" spans="84:91" s="51" customFormat="1">
      <c r="CF7244" s="239"/>
      <c r="CM7244" s="336"/>
    </row>
    <row r="7245" spans="84:91" s="51" customFormat="1">
      <c r="CF7245" s="239"/>
      <c r="CM7245" s="336"/>
    </row>
    <row r="7246" spans="84:91" s="51" customFormat="1">
      <c r="CF7246" s="239"/>
      <c r="CM7246" s="336"/>
    </row>
    <row r="7247" spans="84:91" s="51" customFormat="1">
      <c r="CF7247" s="239"/>
      <c r="CM7247" s="336"/>
    </row>
    <row r="7248" spans="84:91" s="51" customFormat="1">
      <c r="CF7248" s="239"/>
      <c r="CM7248" s="336"/>
    </row>
    <row r="7249" spans="84:91" s="51" customFormat="1">
      <c r="CF7249" s="239"/>
      <c r="CM7249" s="336"/>
    </row>
    <row r="7250" spans="84:91" s="51" customFormat="1">
      <c r="CF7250" s="239"/>
      <c r="CM7250" s="336"/>
    </row>
    <row r="7251" spans="84:91" s="51" customFormat="1">
      <c r="CF7251" s="239"/>
      <c r="CM7251" s="336"/>
    </row>
    <row r="7252" spans="84:91" s="51" customFormat="1">
      <c r="CF7252" s="239"/>
      <c r="CM7252" s="336"/>
    </row>
    <row r="7253" spans="84:91" s="51" customFormat="1">
      <c r="CF7253" s="239"/>
      <c r="CM7253" s="336"/>
    </row>
    <row r="7254" spans="84:91" s="51" customFormat="1">
      <c r="CF7254" s="239"/>
      <c r="CM7254" s="336"/>
    </row>
    <row r="7255" spans="84:91" s="51" customFormat="1">
      <c r="CF7255" s="239"/>
      <c r="CM7255" s="336"/>
    </row>
    <row r="7256" spans="84:91" s="51" customFormat="1">
      <c r="CF7256" s="239"/>
      <c r="CM7256" s="336"/>
    </row>
    <row r="7257" spans="84:91" s="51" customFormat="1">
      <c r="CF7257" s="239"/>
      <c r="CM7257" s="336"/>
    </row>
    <row r="7258" spans="84:91" s="51" customFormat="1">
      <c r="CF7258" s="239"/>
      <c r="CM7258" s="336"/>
    </row>
    <row r="7259" spans="84:91" s="51" customFormat="1">
      <c r="CF7259" s="239"/>
      <c r="CM7259" s="336"/>
    </row>
    <row r="7260" spans="84:91" s="51" customFormat="1">
      <c r="CF7260" s="239"/>
      <c r="CM7260" s="336"/>
    </row>
    <row r="7261" spans="84:91" s="51" customFormat="1">
      <c r="CF7261" s="239"/>
      <c r="CM7261" s="336"/>
    </row>
    <row r="7262" spans="84:91" s="51" customFormat="1">
      <c r="CF7262" s="239"/>
      <c r="CM7262" s="336"/>
    </row>
    <row r="7263" spans="84:91" s="51" customFormat="1">
      <c r="CF7263" s="239"/>
      <c r="CM7263" s="336"/>
    </row>
    <row r="7264" spans="84:91" s="51" customFormat="1">
      <c r="CF7264" s="239"/>
      <c r="CM7264" s="336"/>
    </row>
    <row r="7265" spans="84:91" s="51" customFormat="1">
      <c r="CF7265" s="239"/>
      <c r="CM7265" s="336"/>
    </row>
    <row r="7266" spans="84:91" s="51" customFormat="1">
      <c r="CF7266" s="239"/>
      <c r="CM7266" s="336"/>
    </row>
    <row r="7267" spans="84:91" s="51" customFormat="1">
      <c r="CF7267" s="239"/>
      <c r="CM7267" s="336"/>
    </row>
    <row r="7268" spans="84:91" s="51" customFormat="1">
      <c r="CF7268" s="239"/>
      <c r="CM7268" s="336"/>
    </row>
    <row r="7269" spans="84:91" s="51" customFormat="1">
      <c r="CF7269" s="239"/>
      <c r="CM7269" s="336"/>
    </row>
    <row r="7270" spans="84:91" s="51" customFormat="1">
      <c r="CF7270" s="239"/>
      <c r="CM7270" s="336"/>
    </row>
    <row r="7271" spans="84:91" s="51" customFormat="1">
      <c r="CF7271" s="239"/>
      <c r="CM7271" s="336"/>
    </row>
    <row r="7272" spans="84:91" s="51" customFormat="1">
      <c r="CF7272" s="239"/>
      <c r="CM7272" s="336"/>
    </row>
    <row r="7273" spans="84:91" s="51" customFormat="1">
      <c r="CF7273" s="239"/>
      <c r="CM7273" s="336"/>
    </row>
    <row r="7274" spans="84:91" s="51" customFormat="1">
      <c r="CF7274" s="239"/>
      <c r="CM7274" s="336"/>
    </row>
    <row r="7275" spans="84:91" s="51" customFormat="1">
      <c r="CF7275" s="239"/>
      <c r="CM7275" s="336"/>
    </row>
    <row r="7276" spans="84:91" s="51" customFormat="1">
      <c r="CF7276" s="239"/>
      <c r="CM7276" s="336"/>
    </row>
    <row r="7277" spans="84:91" s="51" customFormat="1">
      <c r="CF7277" s="239"/>
      <c r="CM7277" s="336"/>
    </row>
    <row r="7278" spans="84:91" s="51" customFormat="1">
      <c r="CF7278" s="239"/>
      <c r="CM7278" s="336"/>
    </row>
    <row r="7279" spans="84:91" s="51" customFormat="1">
      <c r="CF7279" s="239"/>
      <c r="CM7279" s="336"/>
    </row>
    <row r="7280" spans="84:91" s="51" customFormat="1">
      <c r="CF7280" s="239"/>
      <c r="CM7280" s="336"/>
    </row>
    <row r="7281" spans="84:91" s="51" customFormat="1">
      <c r="CF7281" s="239"/>
      <c r="CM7281" s="336"/>
    </row>
    <row r="7282" spans="84:91" s="51" customFormat="1">
      <c r="CF7282" s="239"/>
      <c r="CM7282" s="336"/>
    </row>
    <row r="7283" spans="84:91" s="51" customFormat="1">
      <c r="CF7283" s="239"/>
      <c r="CM7283" s="336"/>
    </row>
    <row r="7284" spans="84:91" s="51" customFormat="1">
      <c r="CF7284" s="239"/>
      <c r="CM7284" s="336"/>
    </row>
    <row r="7285" spans="84:91" s="51" customFormat="1">
      <c r="CF7285" s="239"/>
      <c r="CM7285" s="336"/>
    </row>
    <row r="7286" spans="84:91" s="51" customFormat="1">
      <c r="CF7286" s="239"/>
      <c r="CM7286" s="336"/>
    </row>
    <row r="7287" spans="84:91" s="51" customFormat="1">
      <c r="CF7287" s="239"/>
      <c r="CM7287" s="336"/>
    </row>
    <row r="7288" spans="84:91" s="51" customFormat="1">
      <c r="CF7288" s="239"/>
      <c r="CM7288" s="336"/>
    </row>
    <row r="7289" spans="84:91" s="51" customFormat="1">
      <c r="CF7289" s="239"/>
      <c r="CM7289" s="336"/>
    </row>
    <row r="7290" spans="84:91" s="51" customFormat="1">
      <c r="CF7290" s="239"/>
      <c r="CM7290" s="336"/>
    </row>
    <row r="7291" spans="84:91" s="51" customFormat="1">
      <c r="CF7291" s="239"/>
      <c r="CM7291" s="336"/>
    </row>
    <row r="7292" spans="84:91" s="51" customFormat="1">
      <c r="CF7292" s="239"/>
      <c r="CM7292" s="336"/>
    </row>
    <row r="7293" spans="84:91" s="51" customFormat="1">
      <c r="CF7293" s="239"/>
      <c r="CM7293" s="336"/>
    </row>
    <row r="7294" spans="84:91" s="51" customFormat="1">
      <c r="CF7294" s="239"/>
      <c r="CM7294" s="336"/>
    </row>
    <row r="7295" spans="84:91" s="51" customFormat="1">
      <c r="CF7295" s="239"/>
      <c r="CM7295" s="336"/>
    </row>
    <row r="7296" spans="84:91" s="51" customFormat="1">
      <c r="CF7296" s="239"/>
      <c r="CM7296" s="336"/>
    </row>
    <row r="7297" spans="84:91" s="51" customFormat="1">
      <c r="CF7297" s="239"/>
      <c r="CM7297" s="336"/>
    </row>
    <row r="7298" spans="84:91" s="51" customFormat="1">
      <c r="CF7298" s="239"/>
      <c r="CM7298" s="336"/>
    </row>
    <row r="7299" spans="84:91" s="51" customFormat="1">
      <c r="CF7299" s="239"/>
      <c r="CM7299" s="336"/>
    </row>
    <row r="7300" spans="84:91" s="51" customFormat="1">
      <c r="CF7300" s="239"/>
      <c r="CM7300" s="336"/>
    </row>
    <row r="7301" spans="84:91" s="51" customFormat="1">
      <c r="CF7301" s="239"/>
      <c r="CM7301" s="336"/>
    </row>
    <row r="7302" spans="84:91" s="51" customFormat="1">
      <c r="CF7302" s="239"/>
      <c r="CM7302" s="336"/>
    </row>
    <row r="7303" spans="84:91" s="51" customFormat="1">
      <c r="CF7303" s="239"/>
      <c r="CM7303" s="336"/>
    </row>
    <row r="7304" spans="84:91" s="51" customFormat="1">
      <c r="CF7304" s="239"/>
      <c r="CM7304" s="336"/>
    </row>
    <row r="7305" spans="84:91" s="51" customFormat="1">
      <c r="CF7305" s="239"/>
      <c r="CM7305" s="336"/>
    </row>
    <row r="7306" spans="84:91" s="51" customFormat="1">
      <c r="CF7306" s="239"/>
      <c r="CM7306" s="336"/>
    </row>
    <row r="7307" spans="84:91" s="51" customFormat="1">
      <c r="CF7307" s="239"/>
      <c r="CM7307" s="336"/>
    </row>
    <row r="7308" spans="84:91" s="51" customFormat="1">
      <c r="CF7308" s="239"/>
      <c r="CM7308" s="336"/>
    </row>
    <row r="7309" spans="84:91" s="51" customFormat="1">
      <c r="CF7309" s="239"/>
      <c r="CM7309" s="336"/>
    </row>
    <row r="7310" spans="84:91" s="51" customFormat="1">
      <c r="CF7310" s="239"/>
      <c r="CM7310" s="336"/>
    </row>
    <row r="7311" spans="84:91" s="51" customFormat="1">
      <c r="CF7311" s="239"/>
      <c r="CM7311" s="336"/>
    </row>
    <row r="7312" spans="84:91" s="51" customFormat="1">
      <c r="CF7312" s="239"/>
      <c r="CM7312" s="336"/>
    </row>
    <row r="7313" spans="84:91" s="51" customFormat="1">
      <c r="CF7313" s="239"/>
      <c r="CM7313" s="336"/>
    </row>
    <row r="7314" spans="84:91" s="51" customFormat="1">
      <c r="CF7314" s="239"/>
      <c r="CM7314" s="336"/>
    </row>
    <row r="7315" spans="84:91" s="51" customFormat="1">
      <c r="CF7315" s="239"/>
      <c r="CM7315" s="336"/>
    </row>
    <row r="7316" spans="84:91" s="51" customFormat="1">
      <c r="CF7316" s="239"/>
      <c r="CM7316" s="336"/>
    </row>
    <row r="7317" spans="84:91" s="51" customFormat="1">
      <c r="CF7317" s="239"/>
      <c r="CM7317" s="336"/>
    </row>
    <row r="7318" spans="84:91" s="51" customFormat="1">
      <c r="CF7318" s="239"/>
      <c r="CM7318" s="336"/>
    </row>
    <row r="7319" spans="84:91" s="51" customFormat="1">
      <c r="CF7319" s="239"/>
      <c r="CM7319" s="336"/>
    </row>
    <row r="7320" spans="84:91" s="51" customFormat="1">
      <c r="CF7320" s="239"/>
      <c r="CM7320" s="336"/>
    </row>
    <row r="7321" spans="84:91" s="51" customFormat="1">
      <c r="CF7321" s="239"/>
      <c r="CM7321" s="336"/>
    </row>
    <row r="7322" spans="84:91" s="51" customFormat="1">
      <c r="CF7322" s="239"/>
      <c r="CM7322" s="336"/>
    </row>
    <row r="7323" spans="84:91" s="51" customFormat="1">
      <c r="CF7323" s="239"/>
      <c r="CM7323" s="336"/>
    </row>
    <row r="7324" spans="84:91" s="51" customFormat="1">
      <c r="CF7324" s="239"/>
      <c r="CM7324" s="336"/>
    </row>
    <row r="7325" spans="84:91" s="51" customFormat="1">
      <c r="CF7325" s="239"/>
      <c r="CM7325" s="336"/>
    </row>
    <row r="7326" spans="84:91" s="51" customFormat="1">
      <c r="CF7326" s="239"/>
      <c r="CM7326" s="336"/>
    </row>
    <row r="7327" spans="84:91" s="51" customFormat="1">
      <c r="CF7327" s="239"/>
      <c r="CM7327" s="336"/>
    </row>
    <row r="7328" spans="84:91" s="51" customFormat="1">
      <c r="CF7328" s="239"/>
      <c r="CM7328" s="336"/>
    </row>
    <row r="7329" spans="84:91" s="51" customFormat="1">
      <c r="CF7329" s="239"/>
      <c r="CM7329" s="336"/>
    </row>
    <row r="7330" spans="84:91" s="51" customFormat="1">
      <c r="CF7330" s="239"/>
      <c r="CM7330" s="336"/>
    </row>
    <row r="7331" spans="84:91" s="51" customFormat="1">
      <c r="CF7331" s="239"/>
      <c r="CM7331" s="336"/>
    </row>
    <row r="7332" spans="84:91" s="51" customFormat="1">
      <c r="CF7332" s="239"/>
      <c r="CM7332" s="336"/>
    </row>
    <row r="7333" spans="84:91" s="51" customFormat="1">
      <c r="CF7333" s="239"/>
      <c r="CM7333" s="336"/>
    </row>
    <row r="7334" spans="84:91" s="51" customFormat="1">
      <c r="CF7334" s="239"/>
      <c r="CM7334" s="336"/>
    </row>
    <row r="7335" spans="84:91" s="51" customFormat="1">
      <c r="CF7335" s="239"/>
      <c r="CM7335" s="336"/>
    </row>
    <row r="7336" spans="84:91" s="51" customFormat="1">
      <c r="CF7336" s="239"/>
      <c r="CM7336" s="336"/>
    </row>
    <row r="7337" spans="84:91" s="51" customFormat="1">
      <c r="CF7337" s="239"/>
      <c r="CM7337" s="336"/>
    </row>
    <row r="7338" spans="84:91" s="51" customFormat="1">
      <c r="CF7338" s="239"/>
      <c r="CM7338" s="336"/>
    </row>
    <row r="7339" spans="84:91" s="51" customFormat="1">
      <c r="CF7339" s="239"/>
      <c r="CM7339" s="336"/>
    </row>
    <row r="7340" spans="84:91" s="51" customFormat="1">
      <c r="CF7340" s="239"/>
      <c r="CM7340" s="336"/>
    </row>
    <row r="7341" spans="84:91" s="51" customFormat="1">
      <c r="CF7341" s="239"/>
      <c r="CM7341" s="336"/>
    </row>
    <row r="7342" spans="84:91" s="51" customFormat="1">
      <c r="CF7342" s="239"/>
      <c r="CM7342" s="336"/>
    </row>
    <row r="7343" spans="84:91" s="51" customFormat="1">
      <c r="CF7343" s="239"/>
      <c r="CM7343" s="336"/>
    </row>
    <row r="7344" spans="84:91" s="51" customFormat="1">
      <c r="CF7344" s="239"/>
      <c r="CM7344" s="336"/>
    </row>
    <row r="7345" spans="84:91" s="51" customFormat="1">
      <c r="CF7345" s="239"/>
      <c r="CM7345" s="336"/>
    </row>
    <row r="7346" spans="84:91" s="51" customFormat="1">
      <c r="CF7346" s="239"/>
      <c r="CM7346" s="336"/>
    </row>
    <row r="7347" spans="84:91" s="51" customFormat="1">
      <c r="CF7347" s="239"/>
      <c r="CM7347" s="336"/>
    </row>
    <row r="7348" spans="84:91" s="51" customFormat="1">
      <c r="CF7348" s="239"/>
      <c r="CM7348" s="336"/>
    </row>
    <row r="7349" spans="84:91" s="51" customFormat="1">
      <c r="CF7349" s="239"/>
      <c r="CM7349" s="336"/>
    </row>
    <row r="7350" spans="84:91" s="51" customFormat="1">
      <c r="CF7350" s="239"/>
      <c r="CM7350" s="336"/>
    </row>
    <row r="7351" spans="84:91" s="51" customFormat="1">
      <c r="CF7351" s="239"/>
      <c r="CM7351" s="336"/>
    </row>
    <row r="7352" spans="84:91" s="51" customFormat="1">
      <c r="CF7352" s="239"/>
      <c r="CM7352" s="336"/>
    </row>
    <row r="7353" spans="84:91" s="51" customFormat="1">
      <c r="CF7353" s="239"/>
      <c r="CM7353" s="336"/>
    </row>
    <row r="7354" spans="84:91" s="51" customFormat="1">
      <c r="CF7354" s="239"/>
      <c r="CM7354" s="336"/>
    </row>
    <row r="7355" spans="84:91" s="51" customFormat="1">
      <c r="CF7355" s="239"/>
      <c r="CM7355" s="336"/>
    </row>
    <row r="7356" spans="84:91" s="51" customFormat="1">
      <c r="CF7356" s="239"/>
      <c r="CM7356" s="336"/>
    </row>
    <row r="7357" spans="84:91" s="51" customFormat="1">
      <c r="CF7357" s="239"/>
      <c r="CM7357" s="336"/>
    </row>
    <row r="7358" spans="84:91" s="51" customFormat="1">
      <c r="CF7358" s="239"/>
      <c r="CM7358" s="336"/>
    </row>
    <row r="7359" spans="84:91" s="51" customFormat="1">
      <c r="CF7359" s="239"/>
      <c r="CM7359" s="336"/>
    </row>
    <row r="7360" spans="84:91" s="51" customFormat="1">
      <c r="CF7360" s="239"/>
      <c r="CM7360" s="336"/>
    </row>
    <row r="7361" spans="84:91" s="51" customFormat="1">
      <c r="CF7361" s="239"/>
      <c r="CM7361" s="336"/>
    </row>
    <row r="7362" spans="84:91" s="51" customFormat="1">
      <c r="CF7362" s="239"/>
      <c r="CM7362" s="336"/>
    </row>
    <row r="7363" spans="84:91" s="51" customFormat="1">
      <c r="CF7363" s="239"/>
      <c r="CM7363" s="336"/>
    </row>
    <row r="7364" spans="84:91" s="51" customFormat="1">
      <c r="CF7364" s="239"/>
      <c r="CM7364" s="336"/>
    </row>
    <row r="7365" spans="84:91" s="51" customFormat="1">
      <c r="CF7365" s="239"/>
      <c r="CM7365" s="336"/>
    </row>
    <row r="7366" spans="84:91" s="51" customFormat="1">
      <c r="CF7366" s="239"/>
      <c r="CM7366" s="336"/>
    </row>
    <row r="7367" spans="84:91" s="51" customFormat="1">
      <c r="CF7367" s="239"/>
      <c r="CM7367" s="336"/>
    </row>
    <row r="7368" spans="84:91" s="51" customFormat="1">
      <c r="CF7368" s="239"/>
      <c r="CM7368" s="336"/>
    </row>
    <row r="7369" spans="84:91" s="51" customFormat="1">
      <c r="CF7369" s="239"/>
      <c r="CM7369" s="336"/>
    </row>
    <row r="7370" spans="84:91" s="51" customFormat="1">
      <c r="CF7370" s="239"/>
      <c r="CM7370" s="336"/>
    </row>
    <row r="7371" spans="84:91" s="51" customFormat="1">
      <c r="CF7371" s="239"/>
      <c r="CM7371" s="336"/>
    </row>
    <row r="7372" spans="84:91" s="51" customFormat="1">
      <c r="CF7372" s="239"/>
      <c r="CM7372" s="336"/>
    </row>
    <row r="7373" spans="84:91" s="51" customFormat="1">
      <c r="CF7373" s="239"/>
      <c r="CM7373" s="336"/>
    </row>
    <row r="7374" spans="84:91" s="51" customFormat="1">
      <c r="CF7374" s="239"/>
      <c r="CM7374" s="336"/>
    </row>
    <row r="7375" spans="84:91" s="51" customFormat="1">
      <c r="CF7375" s="239"/>
      <c r="CM7375" s="336"/>
    </row>
    <row r="7376" spans="84:91" s="51" customFormat="1">
      <c r="CF7376" s="239"/>
      <c r="CM7376" s="336"/>
    </row>
    <row r="7377" spans="84:91" s="51" customFormat="1">
      <c r="CF7377" s="239"/>
      <c r="CM7377" s="336"/>
    </row>
    <row r="7378" spans="84:91" s="51" customFormat="1">
      <c r="CF7378" s="239"/>
      <c r="CM7378" s="336"/>
    </row>
    <row r="7379" spans="84:91" s="51" customFormat="1">
      <c r="CF7379" s="239"/>
      <c r="CM7379" s="336"/>
    </row>
    <row r="7380" spans="84:91" s="51" customFormat="1">
      <c r="CF7380" s="239"/>
      <c r="CM7380" s="336"/>
    </row>
    <row r="7381" spans="84:91" s="51" customFormat="1">
      <c r="CF7381" s="239"/>
      <c r="CM7381" s="336"/>
    </row>
    <row r="7382" spans="84:91" s="51" customFormat="1">
      <c r="CF7382" s="239"/>
      <c r="CM7382" s="336"/>
    </row>
    <row r="7383" spans="84:91" s="51" customFormat="1">
      <c r="CF7383" s="239"/>
      <c r="CM7383" s="336"/>
    </row>
    <row r="7384" spans="84:91" s="51" customFormat="1">
      <c r="CF7384" s="239"/>
      <c r="CM7384" s="336"/>
    </row>
    <row r="7385" spans="84:91" s="51" customFormat="1">
      <c r="CF7385" s="239"/>
      <c r="CM7385" s="336"/>
    </row>
    <row r="7386" spans="84:91" s="51" customFormat="1">
      <c r="CF7386" s="239"/>
      <c r="CM7386" s="336"/>
    </row>
    <row r="7387" spans="84:91" s="51" customFormat="1">
      <c r="CF7387" s="239"/>
      <c r="CM7387" s="336"/>
    </row>
    <row r="7388" spans="84:91" s="51" customFormat="1">
      <c r="CF7388" s="239"/>
      <c r="CM7388" s="336"/>
    </row>
    <row r="7389" spans="84:91" s="51" customFormat="1">
      <c r="CF7389" s="239"/>
      <c r="CM7389" s="336"/>
    </row>
    <row r="7390" spans="84:91" s="51" customFormat="1">
      <c r="CF7390" s="239"/>
      <c r="CM7390" s="336"/>
    </row>
    <row r="7391" spans="84:91" s="51" customFormat="1">
      <c r="CF7391" s="239"/>
      <c r="CM7391" s="336"/>
    </row>
    <row r="7392" spans="84:91" s="51" customFormat="1">
      <c r="CF7392" s="239"/>
      <c r="CM7392" s="336"/>
    </row>
    <row r="7393" spans="84:91" s="51" customFormat="1">
      <c r="CF7393" s="239"/>
      <c r="CM7393" s="336"/>
    </row>
    <row r="7394" spans="84:91" s="51" customFormat="1">
      <c r="CF7394" s="239"/>
      <c r="CM7394" s="336"/>
    </row>
    <row r="7395" spans="84:91" s="51" customFormat="1">
      <c r="CF7395" s="239"/>
      <c r="CM7395" s="336"/>
    </row>
    <row r="7396" spans="84:91" s="51" customFormat="1">
      <c r="CF7396" s="239"/>
      <c r="CM7396" s="336"/>
    </row>
    <row r="7397" spans="84:91" s="51" customFormat="1">
      <c r="CF7397" s="239"/>
      <c r="CM7397" s="336"/>
    </row>
    <row r="7398" spans="84:91" s="51" customFormat="1">
      <c r="CF7398" s="239"/>
      <c r="CM7398" s="336"/>
    </row>
    <row r="7399" spans="84:91" s="51" customFormat="1">
      <c r="CF7399" s="239"/>
      <c r="CM7399" s="336"/>
    </row>
    <row r="7400" spans="84:91" s="51" customFormat="1">
      <c r="CF7400" s="239"/>
      <c r="CM7400" s="336"/>
    </row>
    <row r="7401" spans="84:91" s="51" customFormat="1">
      <c r="CF7401" s="239"/>
      <c r="CM7401" s="336"/>
    </row>
    <row r="7402" spans="84:91" s="51" customFormat="1">
      <c r="CF7402" s="239"/>
      <c r="CM7402" s="336"/>
    </row>
    <row r="7403" spans="84:91" s="51" customFormat="1">
      <c r="CF7403" s="239"/>
      <c r="CM7403" s="336"/>
    </row>
    <row r="7404" spans="84:91" s="51" customFormat="1">
      <c r="CF7404" s="239"/>
      <c r="CM7404" s="336"/>
    </row>
    <row r="7405" spans="84:91" s="51" customFormat="1">
      <c r="CF7405" s="239"/>
      <c r="CM7405" s="336"/>
    </row>
    <row r="7406" spans="84:91" s="51" customFormat="1">
      <c r="CF7406" s="239"/>
      <c r="CM7406" s="336"/>
    </row>
    <row r="7407" spans="84:91" s="51" customFormat="1">
      <c r="CF7407" s="239"/>
      <c r="CM7407" s="336"/>
    </row>
    <row r="7408" spans="84:91" s="51" customFormat="1">
      <c r="CF7408" s="239"/>
      <c r="CM7408" s="336"/>
    </row>
    <row r="7409" spans="84:91" s="51" customFormat="1">
      <c r="CF7409" s="239"/>
      <c r="CM7409" s="336"/>
    </row>
    <row r="7410" spans="84:91" s="51" customFormat="1">
      <c r="CF7410" s="239"/>
      <c r="CM7410" s="336"/>
    </row>
    <row r="7411" spans="84:91" s="51" customFormat="1">
      <c r="CF7411" s="239"/>
      <c r="CM7411" s="336"/>
    </row>
    <row r="7412" spans="84:91" s="51" customFormat="1">
      <c r="CF7412" s="239"/>
      <c r="CM7412" s="336"/>
    </row>
    <row r="7413" spans="84:91" s="51" customFormat="1">
      <c r="CF7413" s="239"/>
      <c r="CM7413" s="336"/>
    </row>
    <row r="7414" spans="84:91" s="51" customFormat="1">
      <c r="CF7414" s="239"/>
      <c r="CM7414" s="336"/>
    </row>
    <row r="7415" spans="84:91" s="51" customFormat="1">
      <c r="CF7415" s="239"/>
      <c r="CM7415" s="336"/>
    </row>
    <row r="7416" spans="84:91" s="51" customFormat="1">
      <c r="CF7416" s="239"/>
      <c r="CM7416" s="336"/>
    </row>
    <row r="7417" spans="84:91" s="51" customFormat="1">
      <c r="CF7417" s="239"/>
      <c r="CM7417" s="336"/>
    </row>
    <row r="7418" spans="84:91" s="51" customFormat="1">
      <c r="CF7418" s="239"/>
      <c r="CM7418" s="336"/>
    </row>
    <row r="7419" spans="84:91" s="51" customFormat="1">
      <c r="CF7419" s="239"/>
      <c r="CM7419" s="336"/>
    </row>
    <row r="7420" spans="84:91" s="51" customFormat="1">
      <c r="CF7420" s="239"/>
      <c r="CM7420" s="336"/>
    </row>
    <row r="7421" spans="84:91" s="51" customFormat="1">
      <c r="CF7421" s="239"/>
      <c r="CM7421" s="336"/>
    </row>
    <row r="7422" spans="84:91" s="51" customFormat="1">
      <c r="CF7422" s="239"/>
      <c r="CM7422" s="336"/>
    </row>
    <row r="7423" spans="84:91" s="51" customFormat="1">
      <c r="CF7423" s="239"/>
      <c r="CM7423" s="336"/>
    </row>
    <row r="7424" spans="84:91" s="51" customFormat="1">
      <c r="CF7424" s="239"/>
      <c r="CM7424" s="336"/>
    </row>
    <row r="7425" spans="84:91" s="51" customFormat="1">
      <c r="CF7425" s="239"/>
      <c r="CM7425" s="336"/>
    </row>
    <row r="7426" spans="84:91" s="51" customFormat="1">
      <c r="CF7426" s="239"/>
      <c r="CM7426" s="336"/>
    </row>
    <row r="7427" spans="84:91" s="51" customFormat="1">
      <c r="CF7427" s="239"/>
      <c r="CM7427" s="336"/>
    </row>
    <row r="7428" spans="84:91" s="51" customFormat="1">
      <c r="CF7428" s="239"/>
      <c r="CM7428" s="336"/>
    </row>
    <row r="7429" spans="84:91" s="51" customFormat="1">
      <c r="CF7429" s="239"/>
      <c r="CM7429" s="336"/>
    </row>
    <row r="7430" spans="84:91" s="51" customFormat="1">
      <c r="CF7430" s="239"/>
      <c r="CM7430" s="336"/>
    </row>
    <row r="7431" spans="84:91" s="51" customFormat="1">
      <c r="CF7431" s="239"/>
      <c r="CM7431" s="336"/>
    </row>
    <row r="7432" spans="84:91" s="51" customFormat="1">
      <c r="CF7432" s="239"/>
      <c r="CM7432" s="336"/>
    </row>
    <row r="7433" spans="84:91" s="51" customFormat="1">
      <c r="CF7433" s="239"/>
      <c r="CM7433" s="336"/>
    </row>
    <row r="7434" spans="84:91" s="51" customFormat="1">
      <c r="CF7434" s="239"/>
      <c r="CM7434" s="336"/>
    </row>
    <row r="7435" spans="84:91" s="51" customFormat="1">
      <c r="CF7435" s="239"/>
      <c r="CM7435" s="336"/>
    </row>
    <row r="7436" spans="84:91" s="51" customFormat="1">
      <c r="CF7436" s="239"/>
      <c r="CM7436" s="336"/>
    </row>
    <row r="7437" spans="84:91" s="51" customFormat="1">
      <c r="CF7437" s="239"/>
      <c r="CM7437" s="336"/>
    </row>
    <row r="7438" spans="84:91" s="51" customFormat="1">
      <c r="CF7438" s="239"/>
      <c r="CM7438" s="336"/>
    </row>
    <row r="7439" spans="84:91" s="51" customFormat="1">
      <c r="CF7439" s="239"/>
      <c r="CM7439" s="336"/>
    </row>
    <row r="7440" spans="84:91" s="51" customFormat="1">
      <c r="CF7440" s="239"/>
      <c r="CM7440" s="336"/>
    </row>
    <row r="7441" spans="84:91" s="51" customFormat="1">
      <c r="CF7441" s="239"/>
      <c r="CM7441" s="336"/>
    </row>
    <row r="7442" spans="84:91" s="51" customFormat="1">
      <c r="CF7442" s="239"/>
      <c r="CM7442" s="336"/>
    </row>
    <row r="7443" spans="84:91" s="51" customFormat="1">
      <c r="CF7443" s="239"/>
      <c r="CM7443" s="336"/>
    </row>
    <row r="7444" spans="84:91" s="51" customFormat="1">
      <c r="CF7444" s="239"/>
      <c r="CM7444" s="336"/>
    </row>
    <row r="7445" spans="84:91" s="51" customFormat="1">
      <c r="CF7445" s="239"/>
      <c r="CM7445" s="336"/>
    </row>
    <row r="7446" spans="84:91" s="51" customFormat="1">
      <c r="CF7446" s="239"/>
      <c r="CM7446" s="336"/>
    </row>
    <row r="7447" spans="84:91" s="51" customFormat="1">
      <c r="CF7447" s="239"/>
      <c r="CM7447" s="336"/>
    </row>
    <row r="7448" spans="84:91" s="51" customFormat="1">
      <c r="CF7448" s="239"/>
      <c r="CM7448" s="336"/>
    </row>
    <row r="7449" spans="84:91" s="51" customFormat="1">
      <c r="CF7449" s="239"/>
      <c r="CM7449" s="336"/>
    </row>
    <row r="7450" spans="84:91" s="51" customFormat="1">
      <c r="CF7450" s="239"/>
      <c r="CM7450" s="336"/>
    </row>
    <row r="7451" spans="84:91" s="51" customFormat="1">
      <c r="CF7451" s="239"/>
      <c r="CM7451" s="336"/>
    </row>
    <row r="7452" spans="84:91" s="51" customFormat="1">
      <c r="CF7452" s="239"/>
      <c r="CM7452" s="336"/>
    </row>
    <row r="7453" spans="84:91" s="51" customFormat="1">
      <c r="CF7453" s="239"/>
      <c r="CM7453" s="336"/>
    </row>
    <row r="7454" spans="84:91" s="51" customFormat="1">
      <c r="CF7454" s="239"/>
      <c r="CM7454" s="336"/>
    </row>
    <row r="7455" spans="84:91" s="51" customFormat="1">
      <c r="CF7455" s="239"/>
      <c r="CM7455" s="336"/>
    </row>
    <row r="7456" spans="84:91" s="51" customFormat="1">
      <c r="CF7456" s="239"/>
      <c r="CM7456" s="336"/>
    </row>
    <row r="7457" spans="84:91" s="51" customFormat="1">
      <c r="CF7457" s="239"/>
      <c r="CM7457" s="336"/>
    </row>
    <row r="7458" spans="84:91" s="51" customFormat="1">
      <c r="CF7458" s="239"/>
      <c r="CM7458" s="336"/>
    </row>
    <row r="7459" spans="84:91" s="51" customFormat="1">
      <c r="CF7459" s="239"/>
      <c r="CM7459" s="336"/>
    </row>
    <row r="7460" spans="84:91" s="51" customFormat="1">
      <c r="CF7460" s="239"/>
      <c r="CM7460" s="336"/>
    </row>
    <row r="7461" spans="84:91" s="51" customFormat="1">
      <c r="CF7461" s="239"/>
      <c r="CM7461" s="336"/>
    </row>
    <row r="7462" spans="84:91" s="51" customFormat="1">
      <c r="CF7462" s="239"/>
      <c r="CM7462" s="336"/>
    </row>
    <row r="7463" spans="84:91" s="51" customFormat="1">
      <c r="CF7463" s="239"/>
      <c r="CM7463" s="336"/>
    </row>
    <row r="7464" spans="84:91" s="51" customFormat="1">
      <c r="CF7464" s="239"/>
      <c r="CM7464" s="336"/>
    </row>
    <row r="7465" spans="84:91" s="51" customFormat="1">
      <c r="CF7465" s="239"/>
      <c r="CM7465" s="336"/>
    </row>
    <row r="7466" spans="84:91" s="51" customFormat="1">
      <c r="CF7466" s="239"/>
      <c r="CM7466" s="336"/>
    </row>
    <row r="7467" spans="84:91" s="51" customFormat="1">
      <c r="CF7467" s="239"/>
      <c r="CM7467" s="336"/>
    </row>
    <row r="7468" spans="84:91" s="51" customFormat="1">
      <c r="CF7468" s="239"/>
      <c r="CM7468" s="336"/>
    </row>
    <row r="7469" spans="84:91" s="51" customFormat="1">
      <c r="CF7469" s="239"/>
      <c r="CM7469" s="336"/>
    </row>
    <row r="7470" spans="84:91" s="51" customFormat="1">
      <c r="CF7470" s="239"/>
      <c r="CM7470" s="336"/>
    </row>
    <row r="7471" spans="84:91" s="51" customFormat="1">
      <c r="CF7471" s="239"/>
      <c r="CM7471" s="336"/>
    </row>
    <row r="7472" spans="84:91" s="51" customFormat="1">
      <c r="CF7472" s="239"/>
      <c r="CM7472" s="336"/>
    </row>
    <row r="7473" spans="84:91" s="51" customFormat="1">
      <c r="CF7473" s="239"/>
      <c r="CM7473" s="336"/>
    </row>
    <row r="7474" spans="84:91" s="51" customFormat="1">
      <c r="CF7474" s="239"/>
      <c r="CM7474" s="336"/>
    </row>
    <row r="7475" spans="84:91" s="51" customFormat="1">
      <c r="CF7475" s="239"/>
      <c r="CM7475" s="336"/>
    </row>
    <row r="7476" spans="84:91" s="51" customFormat="1">
      <c r="CF7476" s="239"/>
      <c r="CM7476" s="336"/>
    </row>
    <row r="7477" spans="84:91" s="51" customFormat="1">
      <c r="CF7477" s="239"/>
      <c r="CM7477" s="336"/>
    </row>
    <row r="7478" spans="84:91" s="51" customFormat="1">
      <c r="CF7478" s="239"/>
      <c r="CM7478" s="336"/>
    </row>
    <row r="7479" spans="84:91" s="51" customFormat="1">
      <c r="CF7479" s="239"/>
      <c r="CM7479" s="336"/>
    </row>
    <row r="7480" spans="84:91" s="51" customFormat="1">
      <c r="CF7480" s="239"/>
      <c r="CM7480" s="336"/>
    </row>
    <row r="7481" spans="84:91" s="51" customFormat="1">
      <c r="CF7481" s="239"/>
      <c r="CM7481" s="336"/>
    </row>
    <row r="7482" spans="84:91" s="51" customFormat="1">
      <c r="CF7482" s="239"/>
      <c r="CM7482" s="336"/>
    </row>
    <row r="7483" spans="84:91" s="51" customFormat="1">
      <c r="CF7483" s="239"/>
      <c r="CM7483" s="336"/>
    </row>
    <row r="7484" spans="84:91" s="51" customFormat="1">
      <c r="CF7484" s="239"/>
      <c r="CM7484" s="336"/>
    </row>
    <row r="7485" spans="84:91" s="51" customFormat="1">
      <c r="CF7485" s="239"/>
      <c r="CM7485" s="336"/>
    </row>
    <row r="7486" spans="84:91" s="51" customFormat="1">
      <c r="CF7486" s="239"/>
      <c r="CM7486" s="336"/>
    </row>
    <row r="7487" spans="84:91" s="51" customFormat="1">
      <c r="CF7487" s="239"/>
      <c r="CM7487" s="336"/>
    </row>
    <row r="7488" spans="84:91" s="51" customFormat="1">
      <c r="CF7488" s="239"/>
      <c r="CM7488" s="336"/>
    </row>
    <row r="7489" spans="84:91" s="51" customFormat="1">
      <c r="CF7489" s="239"/>
      <c r="CM7489" s="336"/>
    </row>
    <row r="7490" spans="84:91" s="51" customFormat="1">
      <c r="CF7490" s="239"/>
      <c r="CM7490" s="336"/>
    </row>
    <row r="7491" spans="84:91" s="51" customFormat="1">
      <c r="CF7491" s="239"/>
      <c r="CM7491" s="336"/>
    </row>
    <row r="7492" spans="84:91" s="51" customFormat="1">
      <c r="CF7492" s="239"/>
      <c r="CM7492" s="336"/>
    </row>
    <row r="7493" spans="84:91" s="51" customFormat="1">
      <c r="CF7493" s="239"/>
      <c r="CM7493" s="336"/>
    </row>
    <row r="7494" spans="84:91" s="51" customFormat="1">
      <c r="CF7494" s="239"/>
      <c r="CM7494" s="336"/>
    </row>
    <row r="7495" spans="84:91" s="51" customFormat="1">
      <c r="CF7495" s="239"/>
      <c r="CM7495" s="336"/>
    </row>
    <row r="7496" spans="84:91" s="51" customFormat="1">
      <c r="CF7496" s="239"/>
      <c r="CM7496" s="336"/>
    </row>
    <row r="7497" spans="84:91" s="51" customFormat="1">
      <c r="CF7497" s="239"/>
      <c r="CM7497" s="336"/>
    </row>
    <row r="7498" spans="84:91" s="51" customFormat="1">
      <c r="CF7498" s="239"/>
      <c r="CM7498" s="336"/>
    </row>
    <row r="7499" spans="84:91" s="51" customFormat="1">
      <c r="CF7499" s="239"/>
      <c r="CM7499" s="336"/>
    </row>
    <row r="7500" spans="84:91" s="51" customFormat="1">
      <c r="CF7500" s="239"/>
      <c r="CM7500" s="336"/>
    </row>
    <row r="7501" spans="84:91" s="51" customFormat="1">
      <c r="CF7501" s="239"/>
      <c r="CM7501" s="336"/>
    </row>
    <row r="7502" spans="84:91" s="51" customFormat="1">
      <c r="CF7502" s="239"/>
      <c r="CM7502" s="336"/>
    </row>
    <row r="7503" spans="84:91" s="51" customFormat="1">
      <c r="CF7503" s="239"/>
      <c r="CM7503" s="336"/>
    </row>
    <row r="7504" spans="84:91" s="51" customFormat="1">
      <c r="CF7504" s="239"/>
      <c r="CM7504" s="336"/>
    </row>
    <row r="7505" spans="84:91" s="51" customFormat="1">
      <c r="CF7505" s="239"/>
      <c r="CM7505" s="336"/>
    </row>
    <row r="7506" spans="84:91" s="51" customFormat="1">
      <c r="CF7506" s="239"/>
      <c r="CM7506" s="336"/>
    </row>
    <row r="7507" spans="84:91" s="51" customFormat="1">
      <c r="CF7507" s="239"/>
      <c r="CM7507" s="336"/>
    </row>
    <row r="7508" spans="84:91" s="51" customFormat="1">
      <c r="CF7508" s="239"/>
      <c r="CM7508" s="336"/>
    </row>
    <row r="7509" spans="84:91" s="51" customFormat="1">
      <c r="CF7509" s="239"/>
      <c r="CM7509" s="336"/>
    </row>
    <row r="7510" spans="84:91" s="51" customFormat="1">
      <c r="CF7510" s="239"/>
      <c r="CM7510" s="336"/>
    </row>
    <row r="7511" spans="84:91" s="51" customFormat="1">
      <c r="CF7511" s="239"/>
      <c r="CM7511" s="336"/>
    </row>
    <row r="7512" spans="84:91" s="51" customFormat="1">
      <c r="CF7512" s="239"/>
      <c r="CM7512" s="336"/>
    </row>
    <row r="7513" spans="84:91" s="51" customFormat="1">
      <c r="CF7513" s="239"/>
      <c r="CM7513" s="336"/>
    </row>
    <row r="7514" spans="84:91" s="51" customFormat="1">
      <c r="CF7514" s="239"/>
      <c r="CM7514" s="336"/>
    </row>
    <row r="7515" spans="84:91" s="51" customFormat="1">
      <c r="CF7515" s="239"/>
      <c r="CM7515" s="336"/>
    </row>
    <row r="7516" spans="84:91" s="51" customFormat="1">
      <c r="CF7516" s="239"/>
      <c r="CM7516" s="336"/>
    </row>
    <row r="7517" spans="84:91" s="51" customFormat="1">
      <c r="CF7517" s="239"/>
      <c r="CM7517" s="336"/>
    </row>
    <row r="7518" spans="84:91" s="51" customFormat="1">
      <c r="CF7518" s="239"/>
      <c r="CM7518" s="336"/>
    </row>
    <row r="7519" spans="84:91" s="51" customFormat="1">
      <c r="CF7519" s="239"/>
      <c r="CM7519" s="336"/>
    </row>
    <row r="7520" spans="84:91" s="51" customFormat="1">
      <c r="CF7520" s="239"/>
      <c r="CM7520" s="336"/>
    </row>
    <row r="7521" spans="84:91" s="51" customFormat="1">
      <c r="CF7521" s="239"/>
      <c r="CM7521" s="336"/>
    </row>
    <row r="7522" spans="84:91" s="51" customFormat="1">
      <c r="CF7522" s="239"/>
      <c r="CM7522" s="336"/>
    </row>
    <row r="7523" spans="84:91" s="51" customFormat="1">
      <c r="CF7523" s="239"/>
      <c r="CM7523" s="336"/>
    </row>
    <row r="7524" spans="84:91" s="51" customFormat="1">
      <c r="CF7524" s="239"/>
      <c r="CM7524" s="336"/>
    </row>
    <row r="7525" spans="84:91" s="51" customFormat="1">
      <c r="CF7525" s="239"/>
      <c r="CM7525" s="336"/>
    </row>
    <row r="7526" spans="84:91" s="51" customFormat="1">
      <c r="CF7526" s="239"/>
      <c r="CM7526" s="336"/>
    </row>
    <row r="7527" spans="84:91" s="51" customFormat="1">
      <c r="CF7527" s="239"/>
      <c r="CM7527" s="336"/>
    </row>
    <row r="7528" spans="84:91" s="51" customFormat="1">
      <c r="CF7528" s="239"/>
      <c r="CM7528" s="336"/>
    </row>
    <row r="7529" spans="84:91" s="51" customFormat="1">
      <c r="CF7529" s="239"/>
      <c r="CM7529" s="336"/>
    </row>
    <row r="7530" spans="84:91" s="51" customFormat="1">
      <c r="CF7530" s="239"/>
      <c r="CM7530" s="336"/>
    </row>
    <row r="7531" spans="84:91" s="51" customFormat="1">
      <c r="CF7531" s="239"/>
      <c r="CM7531" s="336"/>
    </row>
    <row r="7532" spans="84:91" s="51" customFormat="1">
      <c r="CF7532" s="239"/>
      <c r="CM7532" s="336"/>
    </row>
    <row r="7533" spans="84:91" s="51" customFormat="1">
      <c r="CF7533" s="239"/>
      <c r="CM7533" s="336"/>
    </row>
    <row r="7534" spans="84:91" s="51" customFormat="1">
      <c r="CF7534" s="239"/>
      <c r="CM7534" s="336"/>
    </row>
    <row r="7535" spans="84:91" s="51" customFormat="1">
      <c r="CF7535" s="239"/>
      <c r="CM7535" s="336"/>
    </row>
    <row r="7536" spans="84:91" s="51" customFormat="1">
      <c r="CF7536" s="239"/>
      <c r="CM7536" s="336"/>
    </row>
    <row r="7537" spans="84:91" s="51" customFormat="1">
      <c r="CF7537" s="239"/>
      <c r="CM7537" s="336"/>
    </row>
    <row r="7538" spans="84:91" s="51" customFormat="1">
      <c r="CF7538" s="239"/>
      <c r="CM7538" s="336"/>
    </row>
    <row r="7539" spans="84:91" s="51" customFormat="1">
      <c r="CF7539" s="239"/>
      <c r="CM7539" s="336"/>
    </row>
    <row r="7540" spans="84:91" s="51" customFormat="1">
      <c r="CF7540" s="239"/>
      <c r="CM7540" s="336"/>
    </row>
    <row r="7541" spans="84:91" s="51" customFormat="1">
      <c r="CF7541" s="239"/>
      <c r="CM7541" s="336"/>
    </row>
    <row r="7542" spans="84:91" s="51" customFormat="1">
      <c r="CF7542" s="239"/>
      <c r="CM7542" s="336"/>
    </row>
    <row r="7543" spans="84:91" s="51" customFormat="1">
      <c r="CF7543" s="239"/>
      <c r="CM7543" s="336"/>
    </row>
    <row r="7544" spans="84:91" s="51" customFormat="1">
      <c r="CF7544" s="239"/>
      <c r="CM7544" s="336"/>
    </row>
    <row r="7545" spans="84:91" s="51" customFormat="1">
      <c r="CF7545" s="239"/>
      <c r="CM7545" s="336"/>
    </row>
    <row r="7546" spans="84:91" s="51" customFormat="1">
      <c r="CF7546" s="239"/>
      <c r="CM7546" s="336"/>
    </row>
    <row r="7547" spans="84:91" s="51" customFormat="1">
      <c r="CF7547" s="239"/>
      <c r="CM7547" s="336"/>
    </row>
    <row r="7548" spans="84:91" s="51" customFormat="1">
      <c r="CF7548" s="239"/>
      <c r="CM7548" s="336"/>
    </row>
    <row r="7549" spans="84:91" s="51" customFormat="1">
      <c r="CF7549" s="239"/>
      <c r="CM7549" s="336"/>
    </row>
    <row r="7550" spans="84:91" s="51" customFormat="1">
      <c r="CF7550" s="239"/>
      <c r="CM7550" s="336"/>
    </row>
    <row r="7551" spans="84:91" s="51" customFormat="1">
      <c r="CF7551" s="239"/>
      <c r="CM7551" s="336"/>
    </row>
    <row r="7552" spans="84:91" s="51" customFormat="1">
      <c r="CF7552" s="239"/>
      <c r="CM7552" s="336"/>
    </row>
    <row r="7553" spans="84:91" s="51" customFormat="1">
      <c r="CF7553" s="239"/>
      <c r="CM7553" s="336"/>
    </row>
    <row r="7554" spans="84:91" s="51" customFormat="1">
      <c r="CF7554" s="239"/>
      <c r="CM7554" s="336"/>
    </row>
    <row r="7555" spans="84:91" s="51" customFormat="1">
      <c r="CF7555" s="239"/>
      <c r="CM7555" s="336"/>
    </row>
    <row r="7556" spans="84:91" s="51" customFormat="1">
      <c r="CF7556" s="239"/>
      <c r="CM7556" s="336"/>
    </row>
    <row r="7557" spans="84:91" s="51" customFormat="1">
      <c r="CF7557" s="239"/>
      <c r="CM7557" s="336"/>
    </row>
    <row r="7558" spans="84:91" s="51" customFormat="1">
      <c r="CF7558" s="239"/>
      <c r="CM7558" s="336"/>
    </row>
    <row r="7559" spans="84:91" s="51" customFormat="1">
      <c r="CF7559" s="239"/>
      <c r="CM7559" s="336"/>
    </row>
    <row r="7560" spans="84:91" s="51" customFormat="1">
      <c r="CF7560" s="239"/>
      <c r="CM7560" s="336"/>
    </row>
    <row r="7561" spans="84:91" s="51" customFormat="1">
      <c r="CF7561" s="239"/>
      <c r="CM7561" s="336"/>
    </row>
    <row r="7562" spans="84:91" s="51" customFormat="1">
      <c r="CF7562" s="239"/>
      <c r="CM7562" s="336"/>
    </row>
    <row r="7563" spans="84:91" s="51" customFormat="1">
      <c r="CF7563" s="239"/>
      <c r="CM7563" s="336"/>
    </row>
    <row r="7564" spans="84:91" s="51" customFormat="1">
      <c r="CF7564" s="239"/>
      <c r="CM7564" s="336"/>
    </row>
    <row r="7565" spans="84:91" s="51" customFormat="1">
      <c r="CF7565" s="239"/>
      <c r="CM7565" s="336"/>
    </row>
    <row r="7566" spans="84:91" s="51" customFormat="1">
      <c r="CF7566" s="239"/>
      <c r="CM7566" s="336"/>
    </row>
    <row r="7567" spans="84:91" s="51" customFormat="1">
      <c r="CF7567" s="239"/>
      <c r="CM7567" s="336"/>
    </row>
    <row r="7568" spans="84:91" s="51" customFormat="1">
      <c r="CF7568" s="239"/>
      <c r="CM7568" s="336"/>
    </row>
    <row r="7569" spans="84:91" s="51" customFormat="1">
      <c r="CF7569" s="239"/>
      <c r="CM7569" s="336"/>
    </row>
    <row r="7570" spans="84:91" s="51" customFormat="1">
      <c r="CF7570" s="239"/>
      <c r="CM7570" s="336"/>
    </row>
    <row r="7571" spans="84:91" s="51" customFormat="1">
      <c r="CF7571" s="239"/>
      <c r="CM7571" s="336"/>
    </row>
    <row r="7572" spans="84:91" s="51" customFormat="1">
      <c r="CF7572" s="239"/>
      <c r="CM7572" s="336"/>
    </row>
    <row r="7573" spans="84:91" s="51" customFormat="1">
      <c r="CF7573" s="239"/>
      <c r="CM7573" s="336"/>
    </row>
    <row r="7574" spans="84:91" s="51" customFormat="1">
      <c r="CF7574" s="239"/>
      <c r="CM7574" s="336"/>
    </row>
    <row r="7575" spans="84:91" s="51" customFormat="1">
      <c r="CF7575" s="239"/>
      <c r="CM7575" s="336"/>
    </row>
    <row r="7576" spans="84:91" s="51" customFormat="1">
      <c r="CF7576" s="239"/>
      <c r="CM7576" s="336"/>
    </row>
    <row r="7577" spans="84:91" s="51" customFormat="1">
      <c r="CF7577" s="239"/>
      <c r="CM7577" s="336"/>
    </row>
    <row r="7578" spans="84:91" s="51" customFormat="1">
      <c r="CF7578" s="239"/>
      <c r="CM7578" s="336"/>
    </row>
    <row r="7579" spans="84:91" s="51" customFormat="1">
      <c r="CF7579" s="239"/>
      <c r="CM7579" s="336"/>
    </row>
    <row r="7580" spans="84:91" s="51" customFormat="1">
      <c r="CF7580" s="239"/>
      <c r="CM7580" s="336"/>
    </row>
    <row r="7581" spans="84:91" s="51" customFormat="1">
      <c r="CF7581" s="239"/>
      <c r="CM7581" s="336"/>
    </row>
    <row r="7582" spans="84:91" s="51" customFormat="1">
      <c r="CF7582" s="239"/>
      <c r="CM7582" s="336"/>
    </row>
    <row r="7583" spans="84:91" s="51" customFormat="1">
      <c r="CF7583" s="239"/>
      <c r="CM7583" s="336"/>
    </row>
    <row r="7584" spans="84:91" s="51" customFormat="1">
      <c r="CF7584" s="239"/>
      <c r="CM7584" s="336"/>
    </row>
    <row r="7585" spans="84:91" s="51" customFormat="1">
      <c r="CF7585" s="239"/>
      <c r="CM7585" s="336"/>
    </row>
    <row r="7586" spans="84:91" s="51" customFormat="1">
      <c r="CF7586" s="239"/>
      <c r="CM7586" s="336"/>
    </row>
    <row r="7587" spans="84:91" s="51" customFormat="1">
      <c r="CF7587" s="239"/>
      <c r="CM7587" s="336"/>
    </row>
    <row r="7588" spans="84:91" s="51" customFormat="1">
      <c r="CF7588" s="239"/>
      <c r="CM7588" s="336"/>
    </row>
    <row r="7589" spans="84:91" s="51" customFormat="1">
      <c r="CF7589" s="239"/>
      <c r="CM7589" s="336"/>
    </row>
    <row r="7590" spans="84:91" s="51" customFormat="1">
      <c r="CF7590" s="239"/>
      <c r="CM7590" s="336"/>
    </row>
    <row r="7591" spans="84:91" s="51" customFormat="1">
      <c r="CF7591" s="239"/>
      <c r="CM7591" s="336"/>
    </row>
    <row r="7592" spans="84:91" s="51" customFormat="1">
      <c r="CF7592" s="239"/>
      <c r="CM7592" s="336"/>
    </row>
    <row r="7593" spans="84:91" s="51" customFormat="1">
      <c r="CF7593" s="239"/>
      <c r="CM7593" s="336"/>
    </row>
    <row r="7594" spans="84:91" s="51" customFormat="1">
      <c r="CF7594" s="239"/>
      <c r="CM7594" s="336"/>
    </row>
    <row r="7595" spans="84:91" s="51" customFormat="1">
      <c r="CF7595" s="239"/>
      <c r="CM7595" s="336"/>
    </row>
    <row r="7596" spans="84:91" s="51" customFormat="1">
      <c r="CF7596" s="239"/>
      <c r="CM7596" s="336"/>
    </row>
    <row r="7597" spans="84:91" s="51" customFormat="1">
      <c r="CF7597" s="239"/>
      <c r="CM7597" s="336"/>
    </row>
    <row r="7598" spans="84:91" s="51" customFormat="1">
      <c r="CF7598" s="239"/>
      <c r="CM7598" s="336"/>
    </row>
    <row r="7599" spans="84:91" s="51" customFormat="1">
      <c r="CF7599" s="239"/>
      <c r="CM7599" s="336"/>
    </row>
    <row r="7600" spans="84:91" s="51" customFormat="1">
      <c r="CF7600" s="239"/>
      <c r="CM7600" s="336"/>
    </row>
    <row r="7601" spans="84:91" s="51" customFormat="1">
      <c r="CF7601" s="239"/>
      <c r="CM7601" s="336"/>
    </row>
    <row r="7602" spans="84:91" s="51" customFormat="1">
      <c r="CF7602" s="239"/>
      <c r="CM7602" s="336"/>
    </row>
    <row r="7603" spans="84:91" s="51" customFormat="1">
      <c r="CF7603" s="239"/>
      <c r="CM7603" s="336"/>
    </row>
    <row r="7604" spans="84:91" s="51" customFormat="1">
      <c r="CF7604" s="239"/>
      <c r="CM7604" s="336"/>
    </row>
    <row r="7605" spans="84:91" s="51" customFormat="1">
      <c r="CF7605" s="239"/>
      <c r="CM7605" s="336"/>
    </row>
    <row r="7606" spans="84:91" s="51" customFormat="1">
      <c r="CF7606" s="239"/>
      <c r="CM7606" s="336"/>
    </row>
    <row r="7607" spans="84:91" s="51" customFormat="1">
      <c r="CF7607" s="239"/>
      <c r="CM7607" s="336"/>
    </row>
    <row r="7608" spans="84:91" s="51" customFormat="1">
      <c r="CF7608" s="239"/>
      <c r="CM7608" s="336"/>
    </row>
    <row r="7609" spans="84:91" s="51" customFormat="1">
      <c r="CF7609" s="239"/>
      <c r="CM7609" s="336"/>
    </row>
    <row r="7610" spans="84:91" s="51" customFormat="1">
      <c r="CF7610" s="239"/>
      <c r="CM7610" s="336"/>
    </row>
    <row r="7611" spans="84:91" s="51" customFormat="1">
      <c r="CF7611" s="239"/>
      <c r="CM7611" s="336"/>
    </row>
    <row r="7612" spans="84:91" s="51" customFormat="1">
      <c r="CF7612" s="239"/>
      <c r="CM7612" s="336"/>
    </row>
    <row r="7613" spans="84:91" s="51" customFormat="1">
      <c r="CF7613" s="239"/>
      <c r="CM7613" s="336"/>
    </row>
    <row r="7614" spans="84:91" s="51" customFormat="1">
      <c r="CF7614" s="239"/>
      <c r="CM7614" s="336"/>
    </row>
    <row r="7615" spans="84:91" s="51" customFormat="1">
      <c r="CF7615" s="239"/>
      <c r="CM7615" s="336"/>
    </row>
    <row r="7616" spans="84:91" s="51" customFormat="1">
      <c r="CF7616" s="239"/>
      <c r="CM7616" s="336"/>
    </row>
    <row r="7617" spans="84:91" s="51" customFormat="1">
      <c r="CF7617" s="239"/>
      <c r="CM7617" s="336"/>
    </row>
    <row r="7618" spans="84:91" s="51" customFormat="1">
      <c r="CF7618" s="239"/>
      <c r="CM7618" s="336"/>
    </row>
    <row r="7619" spans="84:91" s="51" customFormat="1">
      <c r="CF7619" s="239"/>
      <c r="CM7619" s="336"/>
    </row>
    <row r="7620" spans="84:91" s="51" customFormat="1">
      <c r="CF7620" s="239"/>
      <c r="CM7620" s="336"/>
    </row>
    <row r="7621" spans="84:91" s="51" customFormat="1">
      <c r="CF7621" s="239"/>
      <c r="CM7621" s="336"/>
    </row>
    <row r="7622" spans="84:91" s="51" customFormat="1">
      <c r="CF7622" s="239"/>
      <c r="CM7622" s="336"/>
    </row>
    <row r="7623" spans="84:91" s="51" customFormat="1">
      <c r="CF7623" s="239"/>
      <c r="CM7623" s="336"/>
    </row>
    <row r="7624" spans="84:91" s="51" customFormat="1">
      <c r="CF7624" s="239"/>
      <c r="CM7624" s="336"/>
    </row>
    <row r="7625" spans="84:91" s="51" customFormat="1">
      <c r="CF7625" s="239"/>
      <c r="CM7625" s="336"/>
    </row>
    <row r="7626" spans="84:91" s="51" customFormat="1">
      <c r="CF7626" s="239"/>
      <c r="CM7626" s="336"/>
    </row>
    <row r="7627" spans="84:91" s="51" customFormat="1">
      <c r="CF7627" s="239"/>
      <c r="CM7627" s="336"/>
    </row>
    <row r="7628" spans="84:91" s="51" customFormat="1">
      <c r="CF7628" s="239"/>
      <c r="CM7628" s="336"/>
    </row>
    <row r="7629" spans="84:91" s="51" customFormat="1">
      <c r="CF7629" s="239"/>
      <c r="CM7629" s="336"/>
    </row>
    <row r="7630" spans="84:91" s="51" customFormat="1">
      <c r="CF7630" s="239"/>
      <c r="CM7630" s="336"/>
    </row>
    <row r="7631" spans="84:91" s="51" customFormat="1">
      <c r="CF7631" s="239"/>
      <c r="CM7631" s="336"/>
    </row>
    <row r="7632" spans="84:91" s="51" customFormat="1">
      <c r="CF7632" s="239"/>
      <c r="CM7632" s="336"/>
    </row>
    <row r="7633" spans="84:91" s="51" customFormat="1">
      <c r="CF7633" s="239"/>
      <c r="CM7633" s="336"/>
    </row>
    <row r="7634" spans="84:91" s="51" customFormat="1">
      <c r="CF7634" s="239"/>
      <c r="CM7634" s="336"/>
    </row>
    <row r="7635" spans="84:91" s="51" customFormat="1">
      <c r="CF7635" s="239"/>
      <c r="CM7635" s="336"/>
    </row>
    <row r="7636" spans="84:91" s="51" customFormat="1">
      <c r="CF7636" s="239"/>
      <c r="CM7636" s="336"/>
    </row>
    <row r="7637" spans="84:91" s="51" customFormat="1">
      <c r="CF7637" s="239"/>
      <c r="CM7637" s="336"/>
    </row>
    <row r="7638" spans="84:91" s="51" customFormat="1">
      <c r="CF7638" s="239"/>
      <c r="CM7638" s="336"/>
    </row>
    <row r="7639" spans="84:91" s="51" customFormat="1">
      <c r="CF7639" s="239"/>
      <c r="CM7639" s="336"/>
    </row>
    <row r="7640" spans="84:91" s="51" customFormat="1">
      <c r="CF7640" s="239"/>
      <c r="CM7640" s="336"/>
    </row>
    <row r="7641" spans="84:91" s="51" customFormat="1">
      <c r="CF7641" s="239"/>
      <c r="CM7641" s="336"/>
    </row>
    <row r="7642" spans="84:91" s="51" customFormat="1">
      <c r="CF7642" s="239"/>
      <c r="CM7642" s="336"/>
    </row>
    <row r="7643" spans="84:91" s="51" customFormat="1">
      <c r="CF7643" s="239"/>
      <c r="CM7643" s="336"/>
    </row>
    <row r="7644" spans="84:91" s="51" customFormat="1">
      <c r="CF7644" s="239"/>
      <c r="CM7644" s="336"/>
    </row>
    <row r="7645" spans="84:91" s="51" customFormat="1">
      <c r="CF7645" s="239"/>
      <c r="CM7645" s="336"/>
    </row>
    <row r="7646" spans="84:91" s="51" customFormat="1">
      <c r="CF7646" s="239"/>
      <c r="CM7646" s="336"/>
    </row>
    <row r="7647" spans="84:91" s="51" customFormat="1">
      <c r="CF7647" s="239"/>
      <c r="CM7647" s="336"/>
    </row>
    <row r="7648" spans="84:91" s="51" customFormat="1">
      <c r="CF7648" s="239"/>
      <c r="CM7648" s="336"/>
    </row>
    <row r="7649" spans="84:91" s="51" customFormat="1">
      <c r="CF7649" s="239"/>
      <c r="CM7649" s="336"/>
    </row>
    <row r="7650" spans="84:91" s="51" customFormat="1">
      <c r="CF7650" s="239"/>
      <c r="CM7650" s="336"/>
    </row>
    <row r="7651" spans="84:91" s="51" customFormat="1">
      <c r="CF7651" s="239"/>
      <c r="CM7651" s="336"/>
    </row>
    <row r="7652" spans="84:91" s="51" customFormat="1">
      <c r="CF7652" s="239"/>
      <c r="CM7652" s="336"/>
    </row>
    <row r="7653" spans="84:91" s="51" customFormat="1">
      <c r="CF7653" s="239"/>
      <c r="CM7653" s="336"/>
    </row>
    <row r="7654" spans="84:91" s="51" customFormat="1">
      <c r="CF7654" s="239"/>
      <c r="CM7654" s="336"/>
    </row>
    <row r="7655" spans="84:91" s="51" customFormat="1">
      <c r="CF7655" s="239"/>
      <c r="CM7655" s="336"/>
    </row>
    <row r="7656" spans="84:91" s="51" customFormat="1">
      <c r="CF7656" s="239"/>
      <c r="CM7656" s="336"/>
    </row>
    <row r="7657" spans="84:91" s="51" customFormat="1">
      <c r="CF7657" s="239"/>
      <c r="CM7657" s="336"/>
    </row>
    <row r="7658" spans="84:91" s="51" customFormat="1">
      <c r="CF7658" s="239"/>
      <c r="CM7658" s="336"/>
    </row>
    <row r="7659" spans="84:91" s="51" customFormat="1">
      <c r="CF7659" s="239"/>
      <c r="CM7659" s="336"/>
    </row>
    <row r="7660" spans="84:91" s="51" customFormat="1">
      <c r="CF7660" s="239"/>
      <c r="CM7660" s="336"/>
    </row>
    <row r="7661" spans="84:91" s="51" customFormat="1">
      <c r="CF7661" s="239"/>
      <c r="CM7661" s="336"/>
    </row>
    <row r="7662" spans="84:91" s="51" customFormat="1">
      <c r="CF7662" s="239"/>
      <c r="CM7662" s="336"/>
    </row>
    <row r="7663" spans="84:91" s="51" customFormat="1">
      <c r="CF7663" s="239"/>
      <c r="CM7663" s="336"/>
    </row>
    <row r="7664" spans="84:91" s="51" customFormat="1">
      <c r="CF7664" s="239"/>
      <c r="CM7664" s="336"/>
    </row>
    <row r="7665" spans="84:91" s="51" customFormat="1">
      <c r="CF7665" s="239"/>
      <c r="CM7665" s="336"/>
    </row>
    <row r="7666" spans="84:91" s="51" customFormat="1">
      <c r="CF7666" s="239"/>
      <c r="CM7666" s="336"/>
    </row>
    <row r="7667" spans="84:91" s="51" customFormat="1">
      <c r="CF7667" s="239"/>
      <c r="CM7667" s="336"/>
    </row>
    <row r="7668" spans="84:91" s="51" customFormat="1">
      <c r="CF7668" s="239"/>
      <c r="CM7668" s="336"/>
    </row>
    <row r="7669" spans="84:91" s="51" customFormat="1">
      <c r="CF7669" s="239"/>
      <c r="CM7669" s="336"/>
    </row>
    <row r="7670" spans="84:91" s="51" customFormat="1">
      <c r="CF7670" s="239"/>
      <c r="CM7670" s="336"/>
    </row>
    <row r="7671" spans="84:91" s="51" customFormat="1">
      <c r="CF7671" s="239"/>
      <c r="CM7671" s="336"/>
    </row>
    <row r="7672" spans="84:91" s="51" customFormat="1">
      <c r="CF7672" s="239"/>
      <c r="CM7672" s="336"/>
    </row>
    <row r="7673" spans="84:91" s="51" customFormat="1">
      <c r="CF7673" s="239"/>
      <c r="CM7673" s="336"/>
    </row>
    <row r="7674" spans="84:91" s="51" customFormat="1">
      <c r="CF7674" s="239"/>
      <c r="CM7674" s="336"/>
    </row>
    <row r="7675" spans="84:91" s="51" customFormat="1">
      <c r="CF7675" s="239"/>
      <c r="CM7675" s="336"/>
    </row>
    <row r="7676" spans="84:91" s="51" customFormat="1">
      <c r="CF7676" s="239"/>
      <c r="CM7676" s="336"/>
    </row>
    <row r="7677" spans="84:91" s="51" customFormat="1">
      <c r="CF7677" s="239"/>
      <c r="CM7677" s="336"/>
    </row>
    <row r="7678" spans="84:91" s="51" customFormat="1">
      <c r="CF7678" s="239"/>
      <c r="CM7678" s="336"/>
    </row>
    <row r="7679" spans="84:91" s="51" customFormat="1">
      <c r="CF7679" s="239"/>
      <c r="CM7679" s="336"/>
    </row>
    <row r="7680" spans="84:91" s="51" customFormat="1">
      <c r="CF7680" s="239"/>
      <c r="CM7680" s="336"/>
    </row>
    <row r="7681" spans="84:91" s="51" customFormat="1">
      <c r="CF7681" s="239"/>
      <c r="CM7681" s="336"/>
    </row>
    <row r="7682" spans="84:91" s="51" customFormat="1">
      <c r="CF7682" s="239"/>
      <c r="CM7682" s="336"/>
    </row>
    <row r="7683" spans="84:91" s="51" customFormat="1">
      <c r="CF7683" s="239"/>
      <c r="CM7683" s="336"/>
    </row>
    <row r="7684" spans="84:91" s="51" customFormat="1">
      <c r="CF7684" s="239"/>
      <c r="CM7684" s="336"/>
    </row>
    <row r="7685" spans="84:91" s="51" customFormat="1">
      <c r="CF7685" s="239"/>
      <c r="CM7685" s="336"/>
    </row>
    <row r="7686" spans="84:91" s="51" customFormat="1">
      <c r="CF7686" s="239"/>
      <c r="CM7686" s="336"/>
    </row>
    <row r="7687" spans="84:91" s="51" customFormat="1">
      <c r="CF7687" s="239"/>
      <c r="CM7687" s="336"/>
    </row>
    <row r="7688" spans="84:91" s="51" customFormat="1">
      <c r="CF7688" s="239"/>
      <c r="CM7688" s="336"/>
    </row>
    <row r="7689" spans="84:91" s="51" customFormat="1">
      <c r="CF7689" s="239"/>
      <c r="CM7689" s="336"/>
    </row>
    <row r="7690" spans="84:91" s="51" customFormat="1">
      <c r="CF7690" s="239"/>
      <c r="CM7690" s="336"/>
    </row>
    <row r="7691" spans="84:91" s="51" customFormat="1">
      <c r="CF7691" s="239"/>
      <c r="CM7691" s="336"/>
    </row>
    <row r="7692" spans="84:91" s="51" customFormat="1">
      <c r="CF7692" s="239"/>
      <c r="CM7692" s="336"/>
    </row>
    <row r="7693" spans="84:91" s="51" customFormat="1">
      <c r="CF7693" s="239"/>
      <c r="CM7693" s="336"/>
    </row>
    <row r="7694" spans="84:91" s="51" customFormat="1">
      <c r="CF7694" s="239"/>
      <c r="CM7694" s="336"/>
    </row>
    <row r="7695" spans="84:91" s="51" customFormat="1">
      <c r="CF7695" s="239"/>
      <c r="CM7695" s="336"/>
    </row>
    <row r="7696" spans="84:91" s="51" customFormat="1">
      <c r="CF7696" s="239"/>
      <c r="CM7696" s="336"/>
    </row>
    <row r="7697" spans="84:91" s="51" customFormat="1">
      <c r="CF7697" s="239"/>
      <c r="CM7697" s="336"/>
    </row>
    <row r="7698" spans="84:91" s="51" customFormat="1">
      <c r="CF7698" s="239"/>
      <c r="CM7698" s="336"/>
    </row>
    <row r="7699" spans="84:91" s="51" customFormat="1">
      <c r="CF7699" s="239"/>
      <c r="CM7699" s="336"/>
    </row>
    <row r="7700" spans="84:91" s="51" customFormat="1">
      <c r="CF7700" s="239"/>
      <c r="CM7700" s="336"/>
    </row>
    <row r="7701" spans="84:91" s="51" customFormat="1">
      <c r="CF7701" s="239"/>
      <c r="CM7701" s="336"/>
    </row>
    <row r="7702" spans="84:91" s="51" customFormat="1">
      <c r="CF7702" s="239"/>
      <c r="CM7702" s="336"/>
    </row>
    <row r="7703" spans="84:91" s="51" customFormat="1">
      <c r="CF7703" s="239"/>
      <c r="CM7703" s="336"/>
    </row>
    <row r="7704" spans="84:91" s="51" customFormat="1">
      <c r="CF7704" s="239"/>
      <c r="CM7704" s="336"/>
    </row>
    <row r="7705" spans="84:91" s="51" customFormat="1">
      <c r="CF7705" s="239"/>
      <c r="CM7705" s="336"/>
    </row>
    <row r="7706" spans="84:91" s="51" customFormat="1">
      <c r="CF7706" s="239"/>
      <c r="CM7706" s="336"/>
    </row>
    <row r="7707" spans="84:91" s="51" customFormat="1">
      <c r="CF7707" s="239"/>
      <c r="CM7707" s="336"/>
    </row>
    <row r="7708" spans="84:91" s="51" customFormat="1">
      <c r="CF7708" s="239"/>
      <c r="CM7708" s="336"/>
    </row>
    <row r="7709" spans="84:91" s="51" customFormat="1">
      <c r="CF7709" s="239"/>
      <c r="CM7709" s="336"/>
    </row>
    <row r="7710" spans="84:91" s="51" customFormat="1">
      <c r="CF7710" s="239"/>
      <c r="CM7710" s="336"/>
    </row>
    <row r="7711" spans="84:91" s="51" customFormat="1">
      <c r="CF7711" s="239"/>
      <c r="CM7711" s="336"/>
    </row>
    <row r="7712" spans="84:91" s="51" customFormat="1">
      <c r="CF7712" s="239"/>
      <c r="CM7712" s="336"/>
    </row>
    <row r="7713" spans="84:91" s="51" customFormat="1">
      <c r="CF7713" s="239"/>
      <c r="CM7713" s="336"/>
    </row>
    <row r="7714" spans="84:91" s="51" customFormat="1">
      <c r="CF7714" s="239"/>
      <c r="CM7714" s="336"/>
    </row>
    <row r="7715" spans="84:91" s="51" customFormat="1">
      <c r="CF7715" s="239"/>
      <c r="CM7715" s="336"/>
    </row>
    <row r="7716" spans="84:91" s="51" customFormat="1">
      <c r="CF7716" s="239"/>
      <c r="CM7716" s="336"/>
    </row>
    <row r="7717" spans="84:91" s="51" customFormat="1">
      <c r="CF7717" s="239"/>
      <c r="CM7717" s="336"/>
    </row>
    <row r="7718" spans="84:91" s="51" customFormat="1">
      <c r="CF7718" s="239"/>
      <c r="CM7718" s="336"/>
    </row>
    <row r="7719" spans="84:91" s="51" customFormat="1">
      <c r="CF7719" s="239"/>
      <c r="CM7719" s="336"/>
    </row>
    <row r="7720" spans="84:91" s="51" customFormat="1">
      <c r="CF7720" s="239"/>
      <c r="CM7720" s="336"/>
    </row>
    <row r="7721" spans="84:91" s="51" customFormat="1">
      <c r="CF7721" s="239"/>
      <c r="CM7721" s="336"/>
    </row>
    <row r="7722" spans="84:91" s="51" customFormat="1">
      <c r="CF7722" s="239"/>
      <c r="CM7722" s="336"/>
    </row>
    <row r="7723" spans="84:91" s="51" customFormat="1">
      <c r="CF7723" s="239"/>
      <c r="CM7723" s="336"/>
    </row>
    <row r="7724" spans="84:91" s="51" customFormat="1">
      <c r="CF7724" s="239"/>
      <c r="CM7724" s="336"/>
    </row>
    <row r="7725" spans="84:91" s="51" customFormat="1">
      <c r="CF7725" s="239"/>
      <c r="CM7725" s="336"/>
    </row>
    <row r="7726" spans="84:91" s="51" customFormat="1">
      <c r="CF7726" s="239"/>
      <c r="CM7726" s="336"/>
    </row>
    <row r="7727" spans="84:91" s="51" customFormat="1">
      <c r="CF7727" s="239"/>
      <c r="CM7727" s="336"/>
    </row>
    <row r="7728" spans="84:91" s="51" customFormat="1">
      <c r="CF7728" s="239"/>
      <c r="CM7728" s="336"/>
    </row>
    <row r="7729" spans="84:91" s="51" customFormat="1">
      <c r="CF7729" s="239"/>
      <c r="CM7729" s="336"/>
    </row>
    <row r="7730" spans="84:91" s="51" customFormat="1">
      <c r="CF7730" s="239"/>
      <c r="CM7730" s="336"/>
    </row>
    <row r="7731" spans="84:91" s="51" customFormat="1">
      <c r="CF7731" s="239"/>
      <c r="CM7731" s="336"/>
    </row>
    <row r="7732" spans="84:91" s="51" customFormat="1">
      <c r="CF7732" s="239"/>
      <c r="CM7732" s="336"/>
    </row>
    <row r="7733" spans="84:91" s="51" customFormat="1">
      <c r="CF7733" s="239"/>
      <c r="CM7733" s="336"/>
    </row>
    <row r="7734" spans="84:91" s="51" customFormat="1">
      <c r="CF7734" s="239"/>
      <c r="CM7734" s="336"/>
    </row>
    <row r="7735" spans="84:91" s="51" customFormat="1">
      <c r="CF7735" s="239"/>
      <c r="CM7735" s="336"/>
    </row>
    <row r="7736" spans="84:91" s="51" customFormat="1">
      <c r="CF7736" s="239"/>
      <c r="CM7736" s="336"/>
    </row>
    <row r="7737" spans="84:91" s="51" customFormat="1">
      <c r="CF7737" s="239"/>
      <c r="CM7737" s="336"/>
    </row>
    <row r="7738" spans="84:91" s="51" customFormat="1">
      <c r="CF7738" s="239"/>
      <c r="CM7738" s="336"/>
    </row>
    <row r="7739" spans="84:91" s="51" customFormat="1">
      <c r="CF7739" s="239"/>
      <c r="CM7739" s="336"/>
    </row>
    <row r="7740" spans="84:91" s="51" customFormat="1">
      <c r="CF7740" s="239"/>
      <c r="CM7740" s="336"/>
    </row>
    <row r="7741" spans="84:91" s="51" customFormat="1">
      <c r="CF7741" s="239"/>
      <c r="CM7741" s="336"/>
    </row>
    <row r="7742" spans="84:91" s="51" customFormat="1">
      <c r="CF7742" s="239"/>
      <c r="CM7742" s="336"/>
    </row>
    <row r="7743" spans="84:91" s="51" customFormat="1">
      <c r="CF7743" s="239"/>
      <c r="CM7743" s="336"/>
    </row>
    <row r="7744" spans="84:91" s="51" customFormat="1">
      <c r="CF7744" s="239"/>
      <c r="CM7744" s="336"/>
    </row>
    <row r="7745" spans="84:91" s="51" customFormat="1">
      <c r="CF7745" s="239"/>
      <c r="CM7745" s="336"/>
    </row>
    <row r="7746" spans="84:91" s="51" customFormat="1">
      <c r="CF7746" s="239"/>
      <c r="CM7746" s="336"/>
    </row>
    <row r="7747" spans="84:91" s="51" customFormat="1">
      <c r="CF7747" s="239"/>
      <c r="CM7747" s="336"/>
    </row>
    <row r="7748" spans="84:91" s="51" customFormat="1">
      <c r="CF7748" s="239"/>
      <c r="CM7748" s="336"/>
    </row>
    <row r="7749" spans="84:91" s="51" customFormat="1">
      <c r="CF7749" s="239"/>
      <c r="CM7749" s="336"/>
    </row>
    <row r="7750" spans="84:91" s="51" customFormat="1">
      <c r="CF7750" s="239"/>
      <c r="CM7750" s="336"/>
    </row>
    <row r="7751" spans="84:91" s="51" customFormat="1">
      <c r="CF7751" s="239"/>
      <c r="CM7751" s="336"/>
    </row>
    <row r="7752" spans="84:91" s="51" customFormat="1">
      <c r="CF7752" s="239"/>
      <c r="CM7752" s="336"/>
    </row>
    <row r="7753" spans="84:91" s="51" customFormat="1">
      <c r="CF7753" s="239"/>
      <c r="CM7753" s="336"/>
    </row>
    <row r="7754" spans="84:91" s="51" customFormat="1">
      <c r="CF7754" s="239"/>
      <c r="CM7754" s="336"/>
    </row>
    <row r="7755" spans="84:91" s="51" customFormat="1">
      <c r="CF7755" s="239"/>
      <c r="CM7755" s="336"/>
    </row>
    <row r="7756" spans="84:91" s="51" customFormat="1">
      <c r="CF7756" s="239"/>
      <c r="CM7756" s="336"/>
    </row>
    <row r="7757" spans="84:91" s="51" customFormat="1">
      <c r="CF7757" s="239"/>
      <c r="CM7757" s="336"/>
    </row>
    <row r="7758" spans="84:91" s="51" customFormat="1">
      <c r="CF7758" s="239"/>
      <c r="CM7758" s="336"/>
    </row>
    <row r="7759" spans="84:91" s="51" customFormat="1">
      <c r="CF7759" s="239"/>
      <c r="CM7759" s="336"/>
    </row>
    <row r="7760" spans="84:91" s="51" customFormat="1">
      <c r="CF7760" s="239"/>
      <c r="CM7760" s="336"/>
    </row>
    <row r="7761" spans="84:91" s="51" customFormat="1">
      <c r="CF7761" s="239"/>
      <c r="CM7761" s="336"/>
    </row>
    <row r="7762" spans="84:91" s="51" customFormat="1">
      <c r="CF7762" s="239"/>
      <c r="CM7762" s="336"/>
    </row>
    <row r="7763" spans="84:91" s="51" customFormat="1">
      <c r="CF7763" s="239"/>
      <c r="CM7763" s="336"/>
    </row>
    <row r="7764" spans="84:91" s="51" customFormat="1">
      <c r="CF7764" s="239"/>
      <c r="CM7764" s="336"/>
    </row>
    <row r="7765" spans="84:91" s="51" customFormat="1">
      <c r="CF7765" s="239"/>
      <c r="CM7765" s="336"/>
    </row>
    <row r="7766" spans="84:91" s="51" customFormat="1">
      <c r="CF7766" s="239"/>
      <c r="CM7766" s="336"/>
    </row>
    <row r="7767" spans="84:91" s="51" customFormat="1">
      <c r="CF7767" s="239"/>
      <c r="CM7767" s="336"/>
    </row>
    <row r="7768" spans="84:91" s="51" customFormat="1">
      <c r="CF7768" s="239"/>
      <c r="CM7768" s="336"/>
    </row>
    <row r="7769" spans="84:91" s="51" customFormat="1">
      <c r="CF7769" s="239"/>
      <c r="CM7769" s="336"/>
    </row>
    <row r="7770" spans="84:91" s="51" customFormat="1">
      <c r="CF7770" s="239"/>
      <c r="CM7770" s="336"/>
    </row>
    <row r="7771" spans="84:91" s="51" customFormat="1">
      <c r="CF7771" s="239"/>
      <c r="CM7771" s="336"/>
    </row>
    <row r="7772" spans="84:91" s="51" customFormat="1">
      <c r="CF7772" s="239"/>
      <c r="CM7772" s="336"/>
    </row>
    <row r="7773" spans="84:91" s="51" customFormat="1">
      <c r="CF7773" s="239"/>
      <c r="CM7773" s="336"/>
    </row>
    <row r="7774" spans="84:91" s="51" customFormat="1">
      <c r="CF7774" s="239"/>
      <c r="CM7774" s="336"/>
    </row>
    <row r="7775" spans="84:91" s="51" customFormat="1">
      <c r="CF7775" s="239"/>
      <c r="CM7775" s="336"/>
    </row>
    <row r="7776" spans="84:91" s="51" customFormat="1">
      <c r="CF7776" s="239"/>
      <c r="CM7776" s="336"/>
    </row>
    <row r="7777" spans="84:91" s="51" customFormat="1">
      <c r="CF7777" s="239"/>
      <c r="CM7777" s="336"/>
    </row>
    <row r="7778" spans="84:91" s="51" customFormat="1">
      <c r="CF7778" s="239"/>
      <c r="CM7778" s="336"/>
    </row>
    <row r="7779" spans="84:91" s="51" customFormat="1">
      <c r="CF7779" s="239"/>
      <c r="CM7779" s="336"/>
    </row>
    <row r="7780" spans="84:91" s="51" customFormat="1">
      <c r="CF7780" s="239"/>
      <c r="CM7780" s="336"/>
    </row>
    <row r="7781" spans="84:91" s="51" customFormat="1">
      <c r="CF7781" s="239"/>
      <c r="CM7781" s="336"/>
    </row>
    <row r="7782" spans="84:91" s="51" customFormat="1">
      <c r="CF7782" s="239"/>
      <c r="CM7782" s="336"/>
    </row>
    <row r="7783" spans="84:91" s="51" customFormat="1">
      <c r="CF7783" s="239"/>
      <c r="CM7783" s="336"/>
    </row>
    <row r="7784" spans="84:91" s="51" customFormat="1">
      <c r="CF7784" s="239"/>
      <c r="CM7784" s="336"/>
    </row>
    <row r="7785" spans="84:91" s="51" customFormat="1">
      <c r="CF7785" s="239"/>
      <c r="CM7785" s="336"/>
    </row>
    <row r="7786" spans="84:91" s="51" customFormat="1">
      <c r="CF7786" s="239"/>
      <c r="CM7786" s="336"/>
    </row>
    <row r="7787" spans="84:91" s="51" customFormat="1">
      <c r="CF7787" s="239"/>
      <c r="CM7787" s="336"/>
    </row>
    <row r="7788" spans="84:91" s="51" customFormat="1">
      <c r="CF7788" s="239"/>
      <c r="CM7788" s="336"/>
    </row>
    <row r="7789" spans="84:91" s="51" customFormat="1">
      <c r="CF7789" s="239"/>
      <c r="CM7789" s="336"/>
    </row>
    <row r="7790" spans="84:91" s="51" customFormat="1">
      <c r="CF7790" s="239"/>
      <c r="CM7790" s="336"/>
    </row>
    <row r="7791" spans="84:91" s="51" customFormat="1">
      <c r="CF7791" s="239"/>
      <c r="CM7791" s="336"/>
    </row>
    <row r="7792" spans="84:91" s="51" customFormat="1">
      <c r="CF7792" s="239"/>
      <c r="CM7792" s="336"/>
    </row>
    <row r="7793" spans="84:91" s="51" customFormat="1">
      <c r="CF7793" s="239"/>
      <c r="CM7793" s="336"/>
    </row>
    <row r="7794" spans="84:91" s="51" customFormat="1">
      <c r="CF7794" s="239"/>
      <c r="CM7794" s="336"/>
    </row>
    <row r="7795" spans="84:91" s="51" customFormat="1">
      <c r="CF7795" s="239"/>
      <c r="CM7795" s="336"/>
    </row>
    <row r="7796" spans="84:91" s="51" customFormat="1">
      <c r="CF7796" s="239"/>
      <c r="CM7796" s="336"/>
    </row>
    <row r="7797" spans="84:91" s="51" customFormat="1">
      <c r="CF7797" s="239"/>
      <c r="CM7797" s="336"/>
    </row>
    <row r="7798" spans="84:91" s="51" customFormat="1">
      <c r="CF7798" s="239"/>
      <c r="CM7798" s="336"/>
    </row>
    <row r="7799" spans="84:91" s="51" customFormat="1">
      <c r="CF7799" s="239"/>
      <c r="CM7799" s="336"/>
    </row>
    <row r="7800" spans="84:91" s="51" customFormat="1">
      <c r="CF7800" s="239"/>
      <c r="CM7800" s="336"/>
    </row>
    <row r="7801" spans="84:91" s="51" customFormat="1">
      <c r="CF7801" s="239"/>
      <c r="CM7801" s="336"/>
    </row>
    <row r="7802" spans="84:91" s="51" customFormat="1">
      <c r="CF7802" s="239"/>
      <c r="CM7802" s="336"/>
    </row>
    <row r="7803" spans="84:91" s="51" customFormat="1">
      <c r="CF7803" s="239"/>
      <c r="CM7803" s="336"/>
    </row>
    <row r="7804" spans="84:91" s="51" customFormat="1">
      <c r="CF7804" s="239"/>
      <c r="CM7804" s="336"/>
    </row>
    <row r="7805" spans="84:91" s="51" customFormat="1">
      <c r="CF7805" s="239"/>
      <c r="CM7805" s="336"/>
    </row>
    <row r="7806" spans="84:91" s="51" customFormat="1">
      <c r="CF7806" s="239"/>
      <c r="CM7806" s="336"/>
    </row>
    <row r="7807" spans="84:91" s="51" customFormat="1">
      <c r="CF7807" s="239"/>
      <c r="CM7807" s="336"/>
    </row>
    <row r="7808" spans="84:91" s="51" customFormat="1">
      <c r="CF7808" s="239"/>
      <c r="CM7808" s="336"/>
    </row>
    <row r="7809" spans="84:91" s="51" customFormat="1">
      <c r="CF7809" s="239"/>
      <c r="CM7809" s="336"/>
    </row>
    <row r="7810" spans="84:91" s="51" customFormat="1">
      <c r="CF7810" s="239"/>
      <c r="CM7810" s="336"/>
    </row>
    <row r="7811" spans="84:91" s="51" customFormat="1">
      <c r="CF7811" s="239"/>
      <c r="CM7811" s="336"/>
    </row>
    <row r="7812" spans="84:91" s="51" customFormat="1">
      <c r="CF7812" s="239"/>
      <c r="CM7812" s="336"/>
    </row>
    <row r="7813" spans="84:91" s="51" customFormat="1">
      <c r="CF7813" s="239"/>
      <c r="CM7813" s="336"/>
    </row>
    <row r="7814" spans="84:91" s="51" customFormat="1">
      <c r="CF7814" s="239"/>
      <c r="CM7814" s="336"/>
    </row>
    <row r="7815" spans="84:91" s="51" customFormat="1">
      <c r="CF7815" s="239"/>
      <c r="CM7815" s="336"/>
    </row>
    <row r="7816" spans="84:91" s="51" customFormat="1">
      <c r="CF7816" s="239"/>
      <c r="CM7816" s="336"/>
    </row>
    <row r="7817" spans="84:91" s="51" customFormat="1">
      <c r="CF7817" s="239"/>
      <c r="CM7817" s="336"/>
    </row>
    <row r="7818" spans="84:91" s="51" customFormat="1">
      <c r="CF7818" s="239"/>
      <c r="CM7818" s="336"/>
    </row>
    <row r="7819" spans="84:91" s="51" customFormat="1">
      <c r="CF7819" s="239"/>
      <c r="CM7819" s="336"/>
    </row>
    <row r="7820" spans="84:91" s="51" customFormat="1">
      <c r="CF7820" s="239"/>
      <c r="CM7820" s="336"/>
    </row>
    <row r="7821" spans="84:91" s="51" customFormat="1">
      <c r="CF7821" s="239"/>
      <c r="CM7821" s="336"/>
    </row>
    <row r="7822" spans="84:91" s="51" customFormat="1">
      <c r="CF7822" s="239"/>
      <c r="CM7822" s="336"/>
    </row>
    <row r="7823" spans="84:91" s="51" customFormat="1">
      <c r="CF7823" s="239"/>
      <c r="CM7823" s="336"/>
    </row>
    <row r="7824" spans="84:91" s="51" customFormat="1">
      <c r="CF7824" s="239"/>
      <c r="CM7824" s="336"/>
    </row>
    <row r="7825" spans="84:91" s="51" customFormat="1">
      <c r="CF7825" s="239"/>
      <c r="CM7825" s="336"/>
    </row>
    <row r="7826" spans="84:91" s="51" customFormat="1">
      <c r="CF7826" s="239"/>
      <c r="CM7826" s="336"/>
    </row>
    <row r="7827" spans="84:91" s="51" customFormat="1">
      <c r="CF7827" s="239"/>
      <c r="CM7827" s="336"/>
    </row>
    <row r="7828" spans="84:91" s="51" customFormat="1">
      <c r="CF7828" s="239"/>
      <c r="CM7828" s="336"/>
    </row>
    <row r="7829" spans="84:91" s="51" customFormat="1">
      <c r="CF7829" s="239"/>
      <c r="CM7829" s="336"/>
    </row>
    <row r="7830" spans="84:91" s="51" customFormat="1">
      <c r="CF7830" s="239"/>
      <c r="CM7830" s="336"/>
    </row>
    <row r="7831" spans="84:91" s="51" customFormat="1">
      <c r="CF7831" s="239"/>
      <c r="CM7831" s="336"/>
    </row>
    <row r="7832" spans="84:91" s="51" customFormat="1">
      <c r="CF7832" s="239"/>
      <c r="CM7832" s="336"/>
    </row>
    <row r="7833" spans="84:91" s="51" customFormat="1">
      <c r="CF7833" s="239"/>
      <c r="CM7833" s="336"/>
    </row>
    <row r="7834" spans="84:91" s="51" customFormat="1">
      <c r="CF7834" s="239"/>
      <c r="CM7834" s="336"/>
    </row>
    <row r="7835" spans="84:91" s="51" customFormat="1">
      <c r="CF7835" s="239"/>
      <c r="CM7835" s="336"/>
    </row>
    <row r="7836" spans="84:91" s="51" customFormat="1">
      <c r="CF7836" s="239"/>
      <c r="CM7836" s="336"/>
    </row>
    <row r="7837" spans="84:91" s="51" customFormat="1">
      <c r="CF7837" s="239"/>
      <c r="CM7837" s="336"/>
    </row>
    <row r="7838" spans="84:91" s="51" customFormat="1">
      <c r="CF7838" s="239"/>
      <c r="CM7838" s="336"/>
    </row>
    <row r="7839" spans="84:91" s="51" customFormat="1">
      <c r="CF7839" s="239"/>
      <c r="CM7839" s="336"/>
    </row>
    <row r="7840" spans="84:91" s="51" customFormat="1">
      <c r="CF7840" s="239"/>
      <c r="CM7840" s="336"/>
    </row>
    <row r="7841" spans="84:91" s="51" customFormat="1">
      <c r="CF7841" s="239"/>
      <c r="CM7841" s="336"/>
    </row>
    <row r="7842" spans="84:91" s="51" customFormat="1">
      <c r="CF7842" s="239"/>
      <c r="CM7842" s="336"/>
    </row>
    <row r="7843" spans="84:91" s="51" customFormat="1">
      <c r="CF7843" s="239"/>
      <c r="CM7843" s="336"/>
    </row>
    <row r="7844" spans="84:91" s="51" customFormat="1">
      <c r="CF7844" s="239"/>
      <c r="CM7844" s="336"/>
    </row>
    <row r="7845" spans="84:91" s="51" customFormat="1">
      <c r="CF7845" s="239"/>
      <c r="CM7845" s="336"/>
    </row>
    <row r="7846" spans="84:91" s="51" customFormat="1">
      <c r="CF7846" s="239"/>
      <c r="CM7846" s="336"/>
    </row>
    <row r="7847" spans="84:91" s="51" customFormat="1">
      <c r="CF7847" s="239"/>
      <c r="CM7847" s="336"/>
    </row>
    <row r="7848" spans="84:91" s="51" customFormat="1">
      <c r="CF7848" s="239"/>
      <c r="CM7848" s="336"/>
    </row>
    <row r="7849" spans="84:91" s="51" customFormat="1">
      <c r="CF7849" s="239"/>
      <c r="CM7849" s="336"/>
    </row>
    <row r="7850" spans="84:91" s="51" customFormat="1">
      <c r="CF7850" s="239"/>
      <c r="CM7850" s="336"/>
    </row>
    <row r="7851" spans="84:91" s="51" customFormat="1">
      <c r="CF7851" s="239"/>
      <c r="CM7851" s="336"/>
    </row>
    <row r="7852" spans="84:91" s="51" customFormat="1">
      <c r="CF7852" s="239"/>
      <c r="CM7852" s="336"/>
    </row>
    <row r="7853" spans="84:91" s="51" customFormat="1">
      <c r="CF7853" s="239"/>
      <c r="CM7853" s="336"/>
    </row>
    <row r="7854" spans="84:91" s="51" customFormat="1">
      <c r="CF7854" s="239"/>
      <c r="CM7854" s="336"/>
    </row>
    <row r="7855" spans="84:91" s="51" customFormat="1">
      <c r="CF7855" s="239"/>
      <c r="CM7855" s="336"/>
    </row>
    <row r="7856" spans="84:91" s="51" customFormat="1">
      <c r="CF7856" s="239"/>
      <c r="CM7856" s="336"/>
    </row>
    <row r="7857" spans="84:91" s="51" customFormat="1">
      <c r="CF7857" s="239"/>
      <c r="CM7857" s="336"/>
    </row>
    <row r="7858" spans="84:91" s="51" customFormat="1">
      <c r="CF7858" s="239"/>
      <c r="CM7858" s="336"/>
    </row>
    <row r="7859" spans="84:91" s="51" customFormat="1">
      <c r="CF7859" s="239"/>
      <c r="CM7859" s="336"/>
    </row>
    <row r="7860" spans="84:91" s="51" customFormat="1">
      <c r="CF7860" s="239"/>
      <c r="CM7860" s="336"/>
    </row>
    <row r="7861" spans="84:91" s="51" customFormat="1">
      <c r="CF7861" s="239"/>
      <c r="CM7861" s="336"/>
    </row>
    <row r="7862" spans="84:91" s="51" customFormat="1">
      <c r="CF7862" s="239"/>
      <c r="CM7862" s="336"/>
    </row>
    <row r="7863" spans="84:91" s="51" customFormat="1">
      <c r="CF7863" s="239"/>
      <c r="CM7863" s="336"/>
    </row>
    <row r="7864" spans="84:91" s="51" customFormat="1">
      <c r="CF7864" s="239"/>
      <c r="CM7864" s="336"/>
    </row>
    <row r="7865" spans="84:91" s="51" customFormat="1">
      <c r="CF7865" s="239"/>
      <c r="CM7865" s="336"/>
    </row>
    <row r="7866" spans="84:91" s="51" customFormat="1">
      <c r="CF7866" s="239"/>
      <c r="CM7866" s="336"/>
    </row>
    <row r="7867" spans="84:91" s="51" customFormat="1">
      <c r="CF7867" s="239"/>
      <c r="CM7867" s="336"/>
    </row>
    <row r="7868" spans="84:91" s="51" customFormat="1">
      <c r="CF7868" s="239"/>
      <c r="CM7868" s="336"/>
    </row>
    <row r="7869" spans="84:91" s="51" customFormat="1">
      <c r="CF7869" s="239"/>
      <c r="CM7869" s="336"/>
    </row>
    <row r="7870" spans="84:91" s="51" customFormat="1">
      <c r="CF7870" s="239"/>
      <c r="CM7870" s="336"/>
    </row>
    <row r="7871" spans="84:91" s="51" customFormat="1">
      <c r="CF7871" s="239"/>
      <c r="CM7871" s="336"/>
    </row>
    <row r="7872" spans="84:91" s="51" customFormat="1">
      <c r="CF7872" s="239"/>
      <c r="CM7872" s="336"/>
    </row>
    <row r="7873" spans="84:91" s="51" customFormat="1">
      <c r="CF7873" s="239"/>
      <c r="CM7873" s="336"/>
    </row>
    <row r="7874" spans="84:91" s="51" customFormat="1">
      <c r="CF7874" s="239"/>
      <c r="CM7874" s="336"/>
    </row>
    <row r="7875" spans="84:91" s="51" customFormat="1">
      <c r="CF7875" s="239"/>
      <c r="CM7875" s="336"/>
    </row>
    <row r="7876" spans="84:91" s="51" customFormat="1">
      <c r="CF7876" s="239"/>
      <c r="CM7876" s="336"/>
    </row>
    <row r="7877" spans="84:91" s="51" customFormat="1">
      <c r="CF7877" s="239"/>
      <c r="CM7877" s="336"/>
    </row>
    <row r="7878" spans="84:91" s="51" customFormat="1">
      <c r="CF7878" s="239"/>
      <c r="CM7878" s="336"/>
    </row>
    <row r="7879" spans="84:91" s="51" customFormat="1">
      <c r="CF7879" s="239"/>
      <c r="CM7879" s="336"/>
    </row>
    <row r="7880" spans="84:91" s="51" customFormat="1">
      <c r="CF7880" s="239"/>
      <c r="CM7880" s="336"/>
    </row>
    <row r="7881" spans="84:91" s="51" customFormat="1">
      <c r="CF7881" s="239"/>
      <c r="CM7881" s="336"/>
    </row>
    <row r="7882" spans="84:91" s="51" customFormat="1">
      <c r="CF7882" s="239"/>
      <c r="CM7882" s="336"/>
    </row>
    <row r="7883" spans="84:91" s="51" customFormat="1">
      <c r="CF7883" s="239"/>
      <c r="CM7883" s="336"/>
    </row>
    <row r="7884" spans="84:91" s="51" customFormat="1">
      <c r="CF7884" s="239"/>
      <c r="CM7884" s="336"/>
    </row>
    <row r="7885" spans="84:91" s="51" customFormat="1">
      <c r="CF7885" s="239"/>
      <c r="CM7885" s="336"/>
    </row>
    <row r="7886" spans="84:91" s="51" customFormat="1">
      <c r="CF7886" s="239"/>
      <c r="CM7886" s="336"/>
    </row>
    <row r="7887" spans="84:91" s="51" customFormat="1">
      <c r="CF7887" s="239"/>
      <c r="CM7887" s="336"/>
    </row>
    <row r="7888" spans="84:91" s="51" customFormat="1">
      <c r="CF7888" s="239"/>
      <c r="CM7888" s="336"/>
    </row>
    <row r="7889" spans="84:91" s="51" customFormat="1">
      <c r="CF7889" s="239"/>
      <c r="CM7889" s="336"/>
    </row>
    <row r="7890" spans="84:91" s="51" customFormat="1">
      <c r="CF7890" s="239"/>
      <c r="CM7890" s="336"/>
    </row>
    <row r="7891" spans="84:91" s="51" customFormat="1">
      <c r="CF7891" s="239"/>
      <c r="CM7891" s="336"/>
    </row>
    <row r="7892" spans="84:91" s="51" customFormat="1">
      <c r="CF7892" s="239"/>
      <c r="CM7892" s="336"/>
    </row>
    <row r="7893" spans="84:91" s="51" customFormat="1">
      <c r="CF7893" s="239"/>
      <c r="CM7893" s="336"/>
    </row>
    <row r="7894" spans="84:91" s="51" customFormat="1">
      <c r="CF7894" s="239"/>
      <c r="CM7894" s="336"/>
    </row>
    <row r="7895" spans="84:91" s="51" customFormat="1">
      <c r="CF7895" s="239"/>
      <c r="CM7895" s="336"/>
    </row>
    <row r="7896" spans="84:91" s="51" customFormat="1">
      <c r="CF7896" s="239"/>
      <c r="CM7896" s="336"/>
    </row>
    <row r="7897" spans="84:91" s="51" customFormat="1">
      <c r="CF7897" s="239"/>
      <c r="CM7897" s="336"/>
    </row>
    <row r="7898" spans="84:91" s="51" customFormat="1">
      <c r="CF7898" s="239"/>
      <c r="CM7898" s="336"/>
    </row>
    <row r="7899" spans="84:91" s="51" customFormat="1">
      <c r="CF7899" s="239"/>
      <c r="CM7899" s="336"/>
    </row>
    <row r="7900" spans="84:91" s="51" customFormat="1">
      <c r="CF7900" s="239"/>
      <c r="CM7900" s="336"/>
    </row>
    <row r="7901" spans="84:91" s="51" customFormat="1">
      <c r="CF7901" s="239"/>
      <c r="CM7901" s="336"/>
    </row>
    <row r="7902" spans="84:91" s="51" customFormat="1">
      <c r="CF7902" s="239"/>
      <c r="CM7902" s="336"/>
    </row>
    <row r="7903" spans="84:91" s="51" customFormat="1">
      <c r="CF7903" s="239"/>
      <c r="CM7903" s="336"/>
    </row>
    <row r="7904" spans="84:91" s="51" customFormat="1">
      <c r="CF7904" s="239"/>
      <c r="CM7904" s="336"/>
    </row>
    <row r="7905" spans="84:91" s="51" customFormat="1">
      <c r="CF7905" s="239"/>
      <c r="CM7905" s="336"/>
    </row>
    <row r="7906" spans="84:91" s="51" customFormat="1">
      <c r="CF7906" s="239"/>
      <c r="CM7906" s="336"/>
    </row>
    <row r="7907" spans="84:91" s="51" customFormat="1">
      <c r="CF7907" s="239"/>
      <c r="CM7907" s="336"/>
    </row>
    <row r="7908" spans="84:91" s="51" customFormat="1">
      <c r="CF7908" s="239"/>
      <c r="CM7908" s="336"/>
    </row>
    <row r="7909" spans="84:91" s="51" customFormat="1">
      <c r="CF7909" s="239"/>
      <c r="CM7909" s="336"/>
    </row>
    <row r="7910" spans="84:91" s="51" customFormat="1">
      <c r="CF7910" s="239"/>
      <c r="CM7910" s="336"/>
    </row>
    <row r="7911" spans="84:91" s="51" customFormat="1">
      <c r="CF7911" s="239"/>
      <c r="CM7911" s="336"/>
    </row>
    <row r="7912" spans="84:91" s="51" customFormat="1">
      <c r="CF7912" s="239"/>
      <c r="CM7912" s="336"/>
    </row>
    <row r="7913" spans="84:91" s="51" customFormat="1">
      <c r="CF7913" s="239"/>
      <c r="CM7913" s="336"/>
    </row>
    <row r="7914" spans="84:91" s="51" customFormat="1">
      <c r="CF7914" s="239"/>
      <c r="CM7914" s="336"/>
    </row>
    <row r="7915" spans="84:91" s="51" customFormat="1">
      <c r="CF7915" s="239"/>
      <c r="CM7915" s="336"/>
    </row>
    <row r="7916" spans="84:91" s="51" customFormat="1">
      <c r="CF7916" s="239"/>
      <c r="CM7916" s="336"/>
    </row>
    <row r="7917" spans="84:91" s="51" customFormat="1">
      <c r="CF7917" s="239"/>
      <c r="CM7917" s="336"/>
    </row>
    <row r="7918" spans="84:91" s="51" customFormat="1">
      <c r="CF7918" s="239"/>
      <c r="CM7918" s="336"/>
    </row>
    <row r="7919" spans="84:91" s="51" customFormat="1">
      <c r="CF7919" s="239"/>
      <c r="CM7919" s="336"/>
    </row>
    <row r="7920" spans="84:91" s="51" customFormat="1">
      <c r="CF7920" s="239"/>
      <c r="CM7920" s="336"/>
    </row>
    <row r="7921" spans="84:91" s="51" customFormat="1">
      <c r="CF7921" s="239"/>
      <c r="CM7921" s="336"/>
    </row>
    <row r="7922" spans="84:91" s="51" customFormat="1">
      <c r="CF7922" s="239"/>
      <c r="CM7922" s="336"/>
    </row>
    <row r="7923" spans="84:91" s="51" customFormat="1">
      <c r="CF7923" s="239"/>
      <c r="CM7923" s="336"/>
    </row>
    <row r="7924" spans="84:91" s="51" customFormat="1">
      <c r="CF7924" s="239"/>
      <c r="CM7924" s="336"/>
    </row>
    <row r="7925" spans="84:91" s="51" customFormat="1">
      <c r="CF7925" s="239"/>
      <c r="CM7925" s="336"/>
    </row>
    <row r="7926" spans="84:91" s="51" customFormat="1">
      <c r="CF7926" s="239"/>
      <c r="CM7926" s="336"/>
    </row>
    <row r="7927" spans="84:91" s="51" customFormat="1">
      <c r="CF7927" s="239"/>
      <c r="CM7927" s="336"/>
    </row>
    <row r="7928" spans="84:91" s="51" customFormat="1">
      <c r="CF7928" s="239"/>
      <c r="CM7928" s="336"/>
    </row>
    <row r="7929" spans="84:91" s="51" customFormat="1">
      <c r="CF7929" s="239"/>
      <c r="CM7929" s="336"/>
    </row>
    <row r="7930" spans="84:91" s="51" customFormat="1">
      <c r="CF7930" s="239"/>
      <c r="CM7930" s="336"/>
    </row>
    <row r="7931" spans="84:91" s="51" customFormat="1">
      <c r="CF7931" s="239"/>
      <c r="CM7931" s="336"/>
    </row>
    <row r="7932" spans="84:91" s="51" customFormat="1">
      <c r="CF7932" s="239"/>
      <c r="CM7932" s="336"/>
    </row>
    <row r="7933" spans="84:91" s="51" customFormat="1">
      <c r="CF7933" s="239"/>
      <c r="CM7933" s="336"/>
    </row>
    <row r="7934" spans="84:91" s="51" customFormat="1">
      <c r="CF7934" s="239"/>
      <c r="CM7934" s="336"/>
    </row>
    <row r="7935" spans="84:91" s="51" customFormat="1">
      <c r="CF7935" s="239"/>
      <c r="CM7935" s="336"/>
    </row>
    <row r="7936" spans="84:91" s="51" customFormat="1">
      <c r="CF7936" s="239"/>
      <c r="CM7936" s="336"/>
    </row>
    <row r="7937" spans="84:91" s="51" customFormat="1">
      <c r="CF7937" s="239"/>
      <c r="CM7937" s="336"/>
    </row>
    <row r="7938" spans="84:91" s="51" customFormat="1">
      <c r="CF7938" s="239"/>
      <c r="CM7938" s="336"/>
    </row>
    <row r="7939" spans="84:91" s="51" customFormat="1">
      <c r="CF7939" s="239"/>
      <c r="CM7939" s="336"/>
    </row>
    <row r="7940" spans="84:91" s="51" customFormat="1">
      <c r="CF7940" s="239"/>
      <c r="CM7940" s="336"/>
    </row>
    <row r="7941" spans="84:91" s="51" customFormat="1">
      <c r="CF7941" s="239"/>
      <c r="CM7941" s="336"/>
    </row>
    <row r="7942" spans="84:91" s="51" customFormat="1">
      <c r="CF7942" s="239"/>
      <c r="CM7942" s="336"/>
    </row>
    <row r="7943" spans="84:91" s="51" customFormat="1">
      <c r="CF7943" s="239"/>
      <c r="CM7943" s="336"/>
    </row>
    <row r="7944" spans="84:91" s="51" customFormat="1">
      <c r="CF7944" s="239"/>
      <c r="CM7944" s="336"/>
    </row>
    <row r="7945" spans="84:91" s="51" customFormat="1">
      <c r="CF7945" s="239"/>
      <c r="CM7945" s="336"/>
    </row>
    <row r="7946" spans="84:91" s="51" customFormat="1">
      <c r="CF7946" s="239"/>
      <c r="CM7946" s="336"/>
    </row>
    <row r="7947" spans="84:91" s="51" customFormat="1">
      <c r="CF7947" s="239"/>
      <c r="CM7947" s="336"/>
    </row>
    <row r="7948" spans="84:91" s="51" customFormat="1">
      <c r="CF7948" s="239"/>
      <c r="CM7948" s="336"/>
    </row>
    <row r="7949" spans="84:91" s="51" customFormat="1">
      <c r="CF7949" s="239"/>
      <c r="CM7949" s="336"/>
    </row>
    <row r="7950" spans="84:91" s="51" customFormat="1">
      <c r="CF7950" s="239"/>
      <c r="CM7950" s="336"/>
    </row>
    <row r="7951" spans="84:91" s="51" customFormat="1">
      <c r="CF7951" s="239"/>
      <c r="CM7951" s="336"/>
    </row>
    <row r="7952" spans="84:91" s="51" customFormat="1">
      <c r="CF7952" s="239"/>
      <c r="CM7952" s="336"/>
    </row>
    <row r="7953" spans="84:91" s="51" customFormat="1">
      <c r="CF7953" s="239"/>
      <c r="CM7953" s="336"/>
    </row>
    <row r="7954" spans="84:91" s="51" customFormat="1">
      <c r="CF7954" s="239"/>
      <c r="CM7954" s="336"/>
    </row>
    <row r="7955" spans="84:91" s="51" customFormat="1">
      <c r="CF7955" s="239"/>
      <c r="CM7955" s="336"/>
    </row>
    <row r="7956" spans="84:91" s="51" customFormat="1">
      <c r="CF7956" s="239"/>
      <c r="CM7956" s="336"/>
    </row>
    <row r="7957" spans="84:91" s="51" customFormat="1">
      <c r="CF7957" s="239"/>
      <c r="CM7957" s="336"/>
    </row>
    <row r="7958" spans="84:91" s="51" customFormat="1">
      <c r="CF7958" s="239"/>
      <c r="CM7958" s="336"/>
    </row>
    <row r="7959" spans="84:91" s="51" customFormat="1">
      <c r="CF7959" s="239"/>
      <c r="CM7959" s="336"/>
    </row>
    <row r="7960" spans="84:91" s="51" customFormat="1">
      <c r="CF7960" s="239"/>
      <c r="CM7960" s="336"/>
    </row>
    <row r="7961" spans="84:91" s="51" customFormat="1">
      <c r="CF7961" s="239"/>
      <c r="CM7961" s="336"/>
    </row>
    <row r="7962" spans="84:91" s="51" customFormat="1">
      <c r="CF7962" s="239"/>
      <c r="CM7962" s="336"/>
    </row>
    <row r="7963" spans="84:91" s="51" customFormat="1">
      <c r="CF7963" s="239"/>
      <c r="CM7963" s="336"/>
    </row>
    <row r="7964" spans="84:91" s="51" customFormat="1">
      <c r="CF7964" s="239"/>
      <c r="CM7964" s="336"/>
    </row>
    <row r="7965" spans="84:91" s="51" customFormat="1">
      <c r="CF7965" s="239"/>
      <c r="CM7965" s="336"/>
    </row>
    <row r="7966" spans="84:91" s="51" customFormat="1">
      <c r="CF7966" s="239"/>
      <c r="CM7966" s="336"/>
    </row>
    <row r="7967" spans="84:91" s="51" customFormat="1">
      <c r="CF7967" s="239"/>
      <c r="CM7967" s="336"/>
    </row>
    <row r="7968" spans="84:91" s="51" customFormat="1">
      <c r="CF7968" s="239"/>
      <c r="CM7968" s="336"/>
    </row>
    <row r="7969" spans="84:91" s="51" customFormat="1">
      <c r="CF7969" s="239"/>
      <c r="CM7969" s="336"/>
    </row>
    <row r="7970" spans="84:91" s="51" customFormat="1">
      <c r="CF7970" s="239"/>
      <c r="CM7970" s="336"/>
    </row>
    <row r="7971" spans="84:91" s="51" customFormat="1">
      <c r="CF7971" s="239"/>
      <c r="CM7971" s="336"/>
    </row>
    <row r="7972" spans="84:91" s="51" customFormat="1">
      <c r="CF7972" s="239"/>
      <c r="CM7972" s="336"/>
    </row>
    <row r="7973" spans="84:91" s="51" customFormat="1">
      <c r="CF7973" s="239"/>
      <c r="CM7973" s="336"/>
    </row>
    <row r="7974" spans="84:91" s="51" customFormat="1">
      <c r="CF7974" s="239"/>
      <c r="CM7974" s="336"/>
    </row>
    <row r="7975" spans="84:91" s="51" customFormat="1">
      <c r="CF7975" s="239"/>
      <c r="CM7975" s="336"/>
    </row>
    <row r="7976" spans="84:91" s="51" customFormat="1">
      <c r="CF7976" s="239"/>
      <c r="CM7976" s="336"/>
    </row>
    <row r="7977" spans="84:91" s="51" customFormat="1">
      <c r="CF7977" s="239"/>
      <c r="CM7977" s="336"/>
    </row>
    <row r="7978" spans="84:91" s="51" customFormat="1">
      <c r="CF7978" s="239"/>
      <c r="CM7978" s="336"/>
    </row>
    <row r="7979" spans="84:91" s="51" customFormat="1">
      <c r="CF7979" s="239"/>
      <c r="CM7979" s="336"/>
    </row>
    <row r="7980" spans="84:91" s="51" customFormat="1">
      <c r="CF7980" s="239"/>
      <c r="CM7980" s="336"/>
    </row>
    <row r="7981" spans="84:91" s="51" customFormat="1">
      <c r="CF7981" s="239"/>
      <c r="CM7981" s="336"/>
    </row>
    <row r="7982" spans="84:91" s="51" customFormat="1">
      <c r="CF7982" s="239"/>
      <c r="CM7982" s="336"/>
    </row>
    <row r="7983" spans="84:91" s="51" customFormat="1">
      <c r="CF7983" s="239"/>
      <c r="CM7983" s="336"/>
    </row>
    <row r="7984" spans="84:91" s="51" customFormat="1">
      <c r="CF7984" s="239"/>
      <c r="CM7984" s="336"/>
    </row>
    <row r="7985" spans="84:91" s="51" customFormat="1">
      <c r="CF7985" s="239"/>
      <c r="CM7985" s="336"/>
    </row>
    <row r="7986" spans="84:91" s="51" customFormat="1">
      <c r="CF7986" s="239"/>
      <c r="CM7986" s="336"/>
    </row>
    <row r="7987" spans="84:91" s="51" customFormat="1">
      <c r="CF7987" s="239"/>
      <c r="CM7987" s="336"/>
    </row>
    <row r="7988" spans="84:91" s="51" customFormat="1">
      <c r="CF7988" s="239"/>
      <c r="CM7988" s="336"/>
    </row>
    <row r="7989" spans="84:91" s="51" customFormat="1">
      <c r="CF7989" s="239"/>
      <c r="CM7989" s="336"/>
    </row>
    <row r="7990" spans="84:91" s="51" customFormat="1">
      <c r="CF7990" s="239"/>
      <c r="CM7990" s="336"/>
    </row>
    <row r="7991" spans="84:91" s="51" customFormat="1">
      <c r="CF7991" s="239"/>
      <c r="CM7991" s="336"/>
    </row>
    <row r="7992" spans="84:91" s="51" customFormat="1">
      <c r="CF7992" s="239"/>
      <c r="CM7992" s="336"/>
    </row>
    <row r="7993" spans="84:91" s="51" customFormat="1">
      <c r="CF7993" s="239"/>
      <c r="CM7993" s="336"/>
    </row>
    <row r="7994" spans="84:91" s="51" customFormat="1">
      <c r="CF7994" s="239"/>
      <c r="CM7994" s="336"/>
    </row>
    <row r="7995" spans="84:91" s="51" customFormat="1">
      <c r="CF7995" s="239"/>
      <c r="CM7995" s="336"/>
    </row>
    <row r="7996" spans="84:91" s="51" customFormat="1">
      <c r="CF7996" s="239"/>
      <c r="CM7996" s="336"/>
    </row>
    <row r="7997" spans="84:91" s="51" customFormat="1">
      <c r="CF7997" s="239"/>
      <c r="CM7997" s="336"/>
    </row>
    <row r="7998" spans="84:91" s="51" customFormat="1">
      <c r="CF7998" s="239"/>
      <c r="CM7998" s="336"/>
    </row>
    <row r="7999" spans="84:91" s="51" customFormat="1">
      <c r="CF7999" s="239"/>
      <c r="CM7999" s="336"/>
    </row>
    <row r="8000" spans="84:91" s="51" customFormat="1">
      <c r="CF8000" s="239"/>
      <c r="CM8000" s="336"/>
    </row>
    <row r="8001" spans="84:91" s="51" customFormat="1">
      <c r="CF8001" s="239"/>
      <c r="CM8001" s="336"/>
    </row>
    <row r="8002" spans="84:91" s="51" customFormat="1">
      <c r="CF8002" s="239"/>
      <c r="CM8002" s="336"/>
    </row>
    <row r="8003" spans="84:91" s="51" customFormat="1">
      <c r="CF8003" s="239"/>
      <c r="CM8003" s="336"/>
    </row>
    <row r="8004" spans="84:91" s="51" customFormat="1">
      <c r="CF8004" s="239"/>
      <c r="CM8004" s="336"/>
    </row>
    <row r="8005" spans="84:91" s="51" customFormat="1">
      <c r="CF8005" s="239"/>
      <c r="CM8005" s="336"/>
    </row>
    <row r="8006" spans="84:91" s="51" customFormat="1">
      <c r="CF8006" s="239"/>
      <c r="CM8006" s="336"/>
    </row>
    <row r="8007" spans="84:91" s="51" customFormat="1">
      <c r="CF8007" s="239"/>
      <c r="CM8007" s="336"/>
    </row>
    <row r="8008" spans="84:91" s="51" customFormat="1">
      <c r="CF8008" s="239"/>
      <c r="CM8008" s="336"/>
    </row>
    <row r="8009" spans="84:91" s="51" customFormat="1">
      <c r="CF8009" s="239"/>
      <c r="CM8009" s="336"/>
    </row>
    <row r="8010" spans="84:91" s="51" customFormat="1">
      <c r="CF8010" s="239"/>
      <c r="CM8010" s="336"/>
    </row>
    <row r="8011" spans="84:91" s="51" customFormat="1">
      <c r="CF8011" s="239"/>
      <c r="CM8011" s="336"/>
    </row>
    <row r="8012" spans="84:91" s="51" customFormat="1">
      <c r="CF8012" s="239"/>
      <c r="CM8012" s="336"/>
    </row>
    <row r="8013" spans="84:91" s="51" customFormat="1">
      <c r="CF8013" s="239"/>
      <c r="CM8013" s="336"/>
    </row>
    <row r="8014" spans="84:91" s="51" customFormat="1">
      <c r="CF8014" s="239"/>
      <c r="CM8014" s="336"/>
    </row>
    <row r="8015" spans="84:91" s="51" customFormat="1">
      <c r="CF8015" s="239"/>
      <c r="CM8015" s="336"/>
    </row>
    <row r="8016" spans="84:91" s="51" customFormat="1">
      <c r="CF8016" s="239"/>
      <c r="CM8016" s="336"/>
    </row>
    <row r="8017" spans="84:91" s="51" customFormat="1">
      <c r="CF8017" s="239"/>
      <c r="CM8017" s="336"/>
    </row>
    <row r="8018" spans="84:91" s="51" customFormat="1">
      <c r="CF8018" s="239"/>
      <c r="CM8018" s="336"/>
    </row>
    <row r="8019" spans="84:91" s="51" customFormat="1">
      <c r="CF8019" s="239"/>
      <c r="CM8019" s="336"/>
    </row>
    <row r="8020" spans="84:91" s="51" customFormat="1">
      <c r="CF8020" s="239"/>
      <c r="CM8020" s="336"/>
    </row>
    <row r="8021" spans="84:91" s="51" customFormat="1">
      <c r="CF8021" s="239"/>
      <c r="CM8021" s="336"/>
    </row>
    <row r="8022" spans="84:91" s="51" customFormat="1">
      <c r="CF8022" s="239"/>
      <c r="CM8022" s="336"/>
    </row>
    <row r="8023" spans="84:91" s="51" customFormat="1">
      <c r="CF8023" s="239"/>
      <c r="CM8023" s="336"/>
    </row>
    <row r="8024" spans="84:91" s="51" customFormat="1">
      <c r="CF8024" s="239"/>
      <c r="CM8024" s="336"/>
    </row>
    <row r="8025" spans="84:91" s="51" customFormat="1">
      <c r="CF8025" s="239"/>
      <c r="CM8025" s="336"/>
    </row>
    <row r="8026" spans="84:91" s="51" customFormat="1">
      <c r="CF8026" s="239"/>
      <c r="CM8026" s="336"/>
    </row>
    <row r="8027" spans="84:91" s="51" customFormat="1">
      <c r="CF8027" s="239"/>
      <c r="CM8027" s="336"/>
    </row>
    <row r="8028" spans="84:91" s="51" customFormat="1">
      <c r="CF8028" s="239"/>
      <c r="CM8028" s="336"/>
    </row>
    <row r="8029" spans="84:91" s="51" customFormat="1">
      <c r="CF8029" s="239"/>
      <c r="CM8029" s="336"/>
    </row>
    <row r="8030" spans="84:91" s="51" customFormat="1">
      <c r="CF8030" s="239"/>
      <c r="CM8030" s="336"/>
    </row>
    <row r="8031" spans="84:91" s="51" customFormat="1">
      <c r="CF8031" s="239"/>
      <c r="CM8031" s="336"/>
    </row>
    <row r="8032" spans="84:91" s="51" customFormat="1">
      <c r="CF8032" s="239"/>
      <c r="CM8032" s="336"/>
    </row>
    <row r="8033" spans="84:91" s="51" customFormat="1">
      <c r="CF8033" s="239"/>
      <c r="CM8033" s="336"/>
    </row>
    <row r="8034" spans="84:91" s="51" customFormat="1">
      <c r="CF8034" s="239"/>
      <c r="CM8034" s="336"/>
    </row>
    <row r="8035" spans="84:91" s="51" customFormat="1">
      <c r="CF8035" s="239"/>
      <c r="CM8035" s="336"/>
    </row>
    <row r="8036" spans="84:91" s="51" customFormat="1">
      <c r="CF8036" s="239"/>
      <c r="CM8036" s="336"/>
    </row>
    <row r="8037" spans="84:91" s="51" customFormat="1">
      <c r="CF8037" s="239"/>
      <c r="CM8037" s="336"/>
    </row>
    <row r="8038" spans="84:91" s="51" customFormat="1">
      <c r="CF8038" s="239"/>
      <c r="CM8038" s="336"/>
    </row>
    <row r="8039" spans="84:91" s="51" customFormat="1">
      <c r="CF8039" s="239"/>
      <c r="CM8039" s="336"/>
    </row>
    <row r="8040" spans="84:91" s="51" customFormat="1">
      <c r="CF8040" s="239"/>
      <c r="CM8040" s="336"/>
    </row>
    <row r="8041" spans="84:91" s="51" customFormat="1">
      <c r="CF8041" s="239"/>
      <c r="CM8041" s="336"/>
    </row>
    <row r="8042" spans="84:91" s="51" customFormat="1">
      <c r="CF8042" s="239"/>
      <c r="CM8042" s="336"/>
    </row>
    <row r="8043" spans="84:91" s="51" customFormat="1">
      <c r="CF8043" s="239"/>
      <c r="CM8043" s="336"/>
    </row>
    <row r="8044" spans="84:91" s="51" customFormat="1">
      <c r="CF8044" s="239"/>
      <c r="CM8044" s="336"/>
    </row>
    <row r="8045" spans="84:91" s="51" customFormat="1">
      <c r="CF8045" s="239"/>
      <c r="CM8045" s="336"/>
    </row>
    <row r="8046" spans="84:91" s="51" customFormat="1">
      <c r="CF8046" s="239"/>
      <c r="CM8046" s="336"/>
    </row>
    <row r="8047" spans="84:91" s="51" customFormat="1">
      <c r="CF8047" s="239"/>
      <c r="CM8047" s="336"/>
    </row>
    <row r="8048" spans="84:91" s="51" customFormat="1">
      <c r="CF8048" s="239"/>
      <c r="CM8048" s="336"/>
    </row>
    <row r="8049" spans="84:91" s="51" customFormat="1">
      <c r="CF8049" s="239"/>
      <c r="CM8049" s="336"/>
    </row>
    <row r="8050" spans="84:91" s="51" customFormat="1">
      <c r="CF8050" s="239"/>
      <c r="CM8050" s="336"/>
    </row>
    <row r="8051" spans="84:91" s="51" customFormat="1">
      <c r="CF8051" s="239"/>
      <c r="CM8051" s="336"/>
    </row>
    <row r="8052" spans="84:91" s="51" customFormat="1">
      <c r="CF8052" s="239"/>
      <c r="CM8052" s="336"/>
    </row>
    <row r="8053" spans="84:91" s="51" customFormat="1">
      <c r="CF8053" s="239"/>
      <c r="CM8053" s="336"/>
    </row>
    <row r="8054" spans="84:91" s="51" customFormat="1">
      <c r="CF8054" s="239"/>
      <c r="CM8054" s="336"/>
    </row>
    <row r="8055" spans="84:91" s="51" customFormat="1">
      <c r="CF8055" s="239"/>
      <c r="CM8055" s="336"/>
    </row>
    <row r="8056" spans="84:91" s="51" customFormat="1">
      <c r="CF8056" s="239"/>
      <c r="CM8056" s="336"/>
    </row>
    <row r="8057" spans="84:91" s="51" customFormat="1">
      <c r="CF8057" s="239"/>
      <c r="CM8057" s="336"/>
    </row>
    <row r="8058" spans="84:91" s="51" customFormat="1">
      <c r="CF8058" s="239"/>
      <c r="CM8058" s="336"/>
    </row>
    <row r="8059" spans="84:91" s="51" customFormat="1">
      <c r="CF8059" s="239"/>
      <c r="CM8059" s="336"/>
    </row>
    <row r="8060" spans="84:91" s="51" customFormat="1">
      <c r="CF8060" s="239"/>
      <c r="CM8060" s="336"/>
    </row>
    <row r="8061" spans="84:91" s="51" customFormat="1">
      <c r="CF8061" s="239"/>
      <c r="CM8061" s="336"/>
    </row>
    <row r="8062" spans="84:91" s="51" customFormat="1">
      <c r="CF8062" s="239"/>
      <c r="CM8062" s="336"/>
    </row>
    <row r="8063" spans="84:91" s="51" customFormat="1">
      <c r="CF8063" s="239"/>
      <c r="CM8063" s="336"/>
    </row>
    <row r="8064" spans="84:91" s="51" customFormat="1">
      <c r="CF8064" s="239"/>
      <c r="CM8064" s="336"/>
    </row>
    <row r="8065" spans="84:91" s="51" customFormat="1">
      <c r="CF8065" s="239"/>
      <c r="CM8065" s="336"/>
    </row>
    <row r="8066" spans="84:91" s="51" customFormat="1">
      <c r="CF8066" s="239"/>
      <c r="CM8066" s="336"/>
    </row>
    <row r="8067" spans="84:91" s="51" customFormat="1">
      <c r="CF8067" s="239"/>
      <c r="CM8067" s="336"/>
    </row>
    <row r="8068" spans="84:91" s="51" customFormat="1">
      <c r="CF8068" s="239"/>
      <c r="CM8068" s="336"/>
    </row>
    <row r="8069" spans="84:91" s="51" customFormat="1">
      <c r="CF8069" s="239"/>
      <c r="CM8069" s="336"/>
    </row>
    <row r="8070" spans="84:91" s="51" customFormat="1">
      <c r="CF8070" s="239"/>
      <c r="CM8070" s="336"/>
    </row>
    <row r="8071" spans="84:91" s="51" customFormat="1">
      <c r="CF8071" s="239"/>
      <c r="CM8071" s="336"/>
    </row>
    <row r="8072" spans="84:91" s="51" customFormat="1">
      <c r="CF8072" s="239"/>
      <c r="CM8072" s="336"/>
    </row>
    <row r="8073" spans="84:91" s="51" customFormat="1">
      <c r="CF8073" s="239"/>
      <c r="CM8073" s="336"/>
    </row>
    <row r="8074" spans="84:91" s="51" customFormat="1">
      <c r="CF8074" s="239"/>
      <c r="CM8074" s="336"/>
    </row>
    <row r="8075" spans="84:91" s="51" customFormat="1">
      <c r="CF8075" s="239"/>
      <c r="CM8075" s="336"/>
    </row>
    <row r="8076" spans="84:91" s="51" customFormat="1">
      <c r="CF8076" s="239"/>
      <c r="CM8076" s="336"/>
    </row>
    <row r="8077" spans="84:91" s="51" customFormat="1">
      <c r="CF8077" s="239"/>
      <c r="CM8077" s="336"/>
    </row>
    <row r="8078" spans="84:91" s="51" customFormat="1">
      <c r="CF8078" s="239"/>
      <c r="CM8078" s="336"/>
    </row>
    <row r="8079" spans="84:91" s="51" customFormat="1">
      <c r="CF8079" s="239"/>
      <c r="CM8079" s="336"/>
    </row>
    <row r="8080" spans="84:91" s="51" customFormat="1">
      <c r="CF8080" s="239"/>
      <c r="CM8080" s="336"/>
    </row>
    <row r="8081" spans="84:91" s="51" customFormat="1">
      <c r="CF8081" s="239"/>
      <c r="CM8081" s="336"/>
    </row>
    <row r="8082" spans="84:91" s="51" customFormat="1">
      <c r="CF8082" s="239"/>
      <c r="CM8082" s="336"/>
    </row>
    <row r="8083" spans="84:91" s="51" customFormat="1">
      <c r="CF8083" s="239"/>
      <c r="CM8083" s="336"/>
    </row>
    <row r="8084" spans="84:91" s="51" customFormat="1">
      <c r="CF8084" s="239"/>
      <c r="CM8084" s="336"/>
    </row>
    <row r="8085" spans="84:91" s="51" customFormat="1">
      <c r="CF8085" s="239"/>
      <c r="CM8085" s="336"/>
    </row>
    <row r="8086" spans="84:91" s="51" customFormat="1">
      <c r="CF8086" s="239"/>
      <c r="CM8086" s="336"/>
    </row>
    <row r="8087" spans="84:91" s="51" customFormat="1">
      <c r="CF8087" s="239"/>
      <c r="CM8087" s="336"/>
    </row>
    <row r="8088" spans="84:91" s="51" customFormat="1">
      <c r="CF8088" s="239"/>
      <c r="CM8088" s="336"/>
    </row>
    <row r="8089" spans="84:91" s="51" customFormat="1">
      <c r="CF8089" s="239"/>
      <c r="CM8089" s="336"/>
    </row>
    <row r="8090" spans="84:91" s="51" customFormat="1">
      <c r="CF8090" s="239"/>
      <c r="CM8090" s="336"/>
    </row>
    <row r="8091" spans="84:91" s="51" customFormat="1">
      <c r="CF8091" s="239"/>
      <c r="CM8091" s="336"/>
    </row>
    <row r="8092" spans="84:91" s="51" customFormat="1">
      <c r="CF8092" s="239"/>
      <c r="CM8092" s="336"/>
    </row>
    <row r="8093" spans="84:91" s="51" customFormat="1">
      <c r="CF8093" s="239"/>
      <c r="CM8093" s="336"/>
    </row>
    <row r="8094" spans="84:91" s="51" customFormat="1">
      <c r="CF8094" s="239"/>
      <c r="CM8094" s="336"/>
    </row>
    <row r="8095" spans="84:91" s="51" customFormat="1">
      <c r="CF8095" s="239"/>
      <c r="CM8095" s="336"/>
    </row>
    <row r="8096" spans="84:91" s="51" customFormat="1">
      <c r="CF8096" s="239"/>
      <c r="CM8096" s="336"/>
    </row>
    <row r="8097" spans="84:91" s="51" customFormat="1">
      <c r="CF8097" s="239"/>
      <c r="CM8097" s="336"/>
    </row>
    <row r="8098" spans="84:91" s="51" customFormat="1">
      <c r="CF8098" s="239"/>
      <c r="CM8098" s="336"/>
    </row>
    <row r="8099" spans="84:91" s="51" customFormat="1">
      <c r="CF8099" s="239"/>
      <c r="CM8099" s="336"/>
    </row>
    <row r="8100" spans="84:91" s="51" customFormat="1">
      <c r="CF8100" s="239"/>
      <c r="CM8100" s="336"/>
    </row>
    <row r="8101" spans="84:91" s="51" customFormat="1">
      <c r="CF8101" s="239"/>
      <c r="CM8101" s="336"/>
    </row>
    <row r="8102" spans="84:91" s="51" customFormat="1">
      <c r="CF8102" s="239"/>
      <c r="CM8102" s="336"/>
    </row>
    <row r="8103" spans="84:91" s="51" customFormat="1">
      <c r="CF8103" s="239"/>
      <c r="CM8103" s="336"/>
    </row>
    <row r="8104" spans="84:91" s="51" customFormat="1">
      <c r="CF8104" s="239"/>
      <c r="CM8104" s="336"/>
    </row>
    <row r="8105" spans="84:91" s="51" customFormat="1">
      <c r="CF8105" s="239"/>
      <c r="CM8105" s="336"/>
    </row>
    <row r="8106" spans="84:91" s="51" customFormat="1">
      <c r="CF8106" s="239"/>
      <c r="CM8106" s="336"/>
    </row>
    <row r="8107" spans="84:91" s="51" customFormat="1">
      <c r="CF8107" s="239"/>
      <c r="CM8107" s="336"/>
    </row>
    <row r="8108" spans="84:91" s="51" customFormat="1">
      <c r="CF8108" s="239"/>
      <c r="CM8108" s="336"/>
    </row>
    <row r="8109" spans="84:91" s="51" customFormat="1">
      <c r="CF8109" s="239"/>
      <c r="CM8109" s="336"/>
    </row>
    <row r="8110" spans="84:91" s="51" customFormat="1">
      <c r="CF8110" s="239"/>
      <c r="CM8110" s="336"/>
    </row>
    <row r="8111" spans="84:91" s="51" customFormat="1">
      <c r="CF8111" s="239"/>
      <c r="CM8111" s="336"/>
    </row>
    <row r="8112" spans="84:91" s="51" customFormat="1">
      <c r="CF8112" s="239"/>
      <c r="CM8112" s="336"/>
    </row>
    <row r="8113" spans="84:91" s="51" customFormat="1">
      <c r="CF8113" s="239"/>
      <c r="CM8113" s="336"/>
    </row>
    <row r="8114" spans="84:91" s="51" customFormat="1">
      <c r="CF8114" s="239"/>
      <c r="CM8114" s="336"/>
    </row>
    <row r="8115" spans="84:91" s="51" customFormat="1">
      <c r="CF8115" s="239"/>
      <c r="CM8115" s="336"/>
    </row>
    <row r="8116" spans="84:91" s="51" customFormat="1">
      <c r="CF8116" s="239"/>
      <c r="CM8116" s="336"/>
    </row>
    <row r="8117" spans="84:91" s="51" customFormat="1">
      <c r="CF8117" s="239"/>
      <c r="CM8117" s="336"/>
    </row>
    <row r="8118" spans="84:91" s="51" customFormat="1">
      <c r="CF8118" s="239"/>
      <c r="CM8118" s="336"/>
    </row>
    <row r="8119" spans="84:91" s="51" customFormat="1">
      <c r="CF8119" s="239"/>
      <c r="CM8119" s="336"/>
    </row>
    <row r="8120" spans="84:91" s="51" customFormat="1">
      <c r="CF8120" s="239"/>
      <c r="CM8120" s="336"/>
    </row>
    <row r="8121" spans="84:91" s="51" customFormat="1">
      <c r="CF8121" s="239"/>
      <c r="CM8121" s="336"/>
    </row>
    <row r="8122" spans="84:91" s="51" customFormat="1">
      <c r="CF8122" s="239"/>
      <c r="CM8122" s="336"/>
    </row>
    <row r="8123" spans="84:91" s="51" customFormat="1">
      <c r="CF8123" s="239"/>
      <c r="CM8123" s="336"/>
    </row>
    <row r="8124" spans="84:91" s="51" customFormat="1">
      <c r="CF8124" s="239"/>
      <c r="CM8124" s="336"/>
    </row>
    <row r="8125" spans="84:91" s="51" customFormat="1">
      <c r="CF8125" s="239"/>
      <c r="CM8125" s="336"/>
    </row>
    <row r="8126" spans="84:91" s="51" customFormat="1">
      <c r="CF8126" s="239"/>
      <c r="CM8126" s="336"/>
    </row>
    <row r="8127" spans="84:91" s="51" customFormat="1">
      <c r="CF8127" s="239"/>
      <c r="CM8127" s="336"/>
    </row>
    <row r="8128" spans="84:91" s="51" customFormat="1">
      <c r="CF8128" s="239"/>
      <c r="CM8128" s="336"/>
    </row>
    <row r="8129" spans="84:91" s="51" customFormat="1">
      <c r="CF8129" s="239"/>
      <c r="CM8129" s="336"/>
    </row>
    <row r="8130" spans="84:91" s="51" customFormat="1">
      <c r="CF8130" s="239"/>
      <c r="CM8130" s="336"/>
    </row>
    <row r="8131" spans="84:91" s="51" customFormat="1">
      <c r="CF8131" s="239"/>
      <c r="CM8131" s="336"/>
    </row>
    <row r="8132" spans="84:91" s="51" customFormat="1">
      <c r="CF8132" s="239"/>
      <c r="CM8132" s="336"/>
    </row>
    <row r="8133" spans="84:91" s="51" customFormat="1">
      <c r="CF8133" s="239"/>
      <c r="CM8133" s="336"/>
    </row>
    <row r="8134" spans="84:91" s="51" customFormat="1">
      <c r="CF8134" s="239"/>
      <c r="CM8134" s="336"/>
    </row>
    <row r="8135" spans="84:91" s="51" customFormat="1">
      <c r="CF8135" s="239"/>
      <c r="CM8135" s="336"/>
    </row>
    <row r="8136" spans="84:91" s="51" customFormat="1">
      <c r="CF8136" s="239"/>
      <c r="CM8136" s="336"/>
    </row>
    <row r="8137" spans="84:91" s="51" customFormat="1">
      <c r="CF8137" s="239"/>
      <c r="CM8137" s="336"/>
    </row>
    <row r="8138" spans="84:91" s="51" customFormat="1">
      <c r="CF8138" s="239"/>
      <c r="CM8138" s="336"/>
    </row>
    <row r="8139" spans="84:91" s="51" customFormat="1">
      <c r="CF8139" s="239"/>
      <c r="CM8139" s="336"/>
    </row>
    <row r="8140" spans="84:91" s="51" customFormat="1">
      <c r="CF8140" s="239"/>
      <c r="CM8140" s="336"/>
    </row>
    <row r="8141" spans="84:91" s="51" customFormat="1">
      <c r="CF8141" s="239"/>
      <c r="CM8141" s="336"/>
    </row>
    <row r="8142" spans="84:91" s="51" customFormat="1">
      <c r="CF8142" s="239"/>
      <c r="CM8142" s="336"/>
    </row>
    <row r="8143" spans="84:91" s="51" customFormat="1">
      <c r="CF8143" s="239"/>
      <c r="CM8143" s="336"/>
    </row>
    <row r="8144" spans="84:91" s="51" customFormat="1">
      <c r="CF8144" s="239"/>
      <c r="CM8144" s="336"/>
    </row>
    <row r="8145" spans="84:91" s="51" customFormat="1">
      <c r="CF8145" s="239"/>
      <c r="CM8145" s="336"/>
    </row>
    <row r="8146" spans="84:91" s="51" customFormat="1">
      <c r="CF8146" s="239"/>
      <c r="CM8146" s="336"/>
    </row>
    <row r="8147" spans="84:91" s="51" customFormat="1">
      <c r="CF8147" s="239"/>
      <c r="CM8147" s="336"/>
    </row>
    <row r="8148" spans="84:91" s="51" customFormat="1">
      <c r="CF8148" s="239"/>
      <c r="CM8148" s="336"/>
    </row>
    <row r="8149" spans="84:91" s="51" customFormat="1">
      <c r="CF8149" s="239"/>
      <c r="CM8149" s="336"/>
    </row>
    <row r="8150" spans="84:91" s="51" customFormat="1">
      <c r="CF8150" s="239"/>
      <c r="CM8150" s="336"/>
    </row>
    <row r="8151" spans="84:91" s="51" customFormat="1">
      <c r="CF8151" s="239"/>
      <c r="CM8151" s="336"/>
    </row>
    <row r="8152" spans="84:91" s="51" customFormat="1">
      <c r="CF8152" s="239"/>
      <c r="CM8152" s="336"/>
    </row>
    <row r="8153" spans="84:91" s="51" customFormat="1">
      <c r="CF8153" s="239"/>
      <c r="CM8153" s="336"/>
    </row>
    <row r="8154" spans="84:91" s="51" customFormat="1">
      <c r="CF8154" s="239"/>
      <c r="CM8154" s="336"/>
    </row>
    <row r="8155" spans="84:91" s="51" customFormat="1">
      <c r="CF8155" s="239"/>
      <c r="CM8155" s="336"/>
    </row>
    <row r="8156" spans="84:91" s="51" customFormat="1">
      <c r="CF8156" s="239"/>
      <c r="CM8156" s="336"/>
    </row>
    <row r="8157" spans="84:91" s="51" customFormat="1">
      <c r="CF8157" s="239"/>
      <c r="CM8157" s="336"/>
    </row>
    <row r="8158" spans="84:91" s="51" customFormat="1">
      <c r="CF8158" s="239"/>
      <c r="CM8158" s="336"/>
    </row>
    <row r="8159" spans="84:91" s="51" customFormat="1">
      <c r="CF8159" s="239"/>
      <c r="CM8159" s="336"/>
    </row>
    <row r="8160" spans="84:91" s="51" customFormat="1">
      <c r="CF8160" s="239"/>
      <c r="CM8160" s="336"/>
    </row>
    <row r="8161" spans="84:91" s="51" customFormat="1">
      <c r="CF8161" s="239"/>
      <c r="CM8161" s="336"/>
    </row>
    <row r="8162" spans="84:91" s="51" customFormat="1">
      <c r="CF8162" s="239"/>
      <c r="CM8162" s="336"/>
    </row>
    <row r="8163" spans="84:91" s="51" customFormat="1">
      <c r="CF8163" s="239"/>
      <c r="CM8163" s="336"/>
    </row>
    <row r="8164" spans="84:91" s="51" customFormat="1">
      <c r="CF8164" s="239"/>
      <c r="CM8164" s="336"/>
    </row>
    <row r="8165" spans="84:91" s="51" customFormat="1">
      <c r="CF8165" s="239"/>
      <c r="CM8165" s="336"/>
    </row>
    <row r="8166" spans="84:91" s="51" customFormat="1">
      <c r="CF8166" s="239"/>
      <c r="CM8166" s="336"/>
    </row>
    <row r="8167" spans="84:91" s="51" customFormat="1">
      <c r="CF8167" s="239"/>
      <c r="CM8167" s="336"/>
    </row>
    <row r="8168" spans="84:91" s="51" customFormat="1">
      <c r="CF8168" s="239"/>
      <c r="CM8168" s="336"/>
    </row>
    <row r="8169" spans="84:91" s="51" customFormat="1">
      <c r="CF8169" s="239"/>
      <c r="CM8169" s="336"/>
    </row>
    <row r="8170" spans="84:91" s="51" customFormat="1">
      <c r="CF8170" s="239"/>
      <c r="CM8170" s="336"/>
    </row>
    <row r="8171" spans="84:91" s="51" customFormat="1">
      <c r="CF8171" s="239"/>
      <c r="CM8171" s="336"/>
    </row>
    <row r="8172" spans="84:91" s="51" customFormat="1">
      <c r="CF8172" s="239"/>
      <c r="CM8172" s="336"/>
    </row>
    <row r="8173" spans="84:91" s="51" customFormat="1">
      <c r="CF8173" s="239"/>
      <c r="CM8173" s="336"/>
    </row>
    <row r="8174" spans="84:91" s="51" customFormat="1">
      <c r="CF8174" s="239"/>
      <c r="CM8174" s="336"/>
    </row>
    <row r="8175" spans="84:91" s="51" customFormat="1">
      <c r="CF8175" s="239"/>
      <c r="CM8175" s="336"/>
    </row>
    <row r="8176" spans="84:91" s="51" customFormat="1">
      <c r="CF8176" s="239"/>
      <c r="CM8176" s="336"/>
    </row>
    <row r="8177" spans="84:91" s="51" customFormat="1">
      <c r="CF8177" s="239"/>
      <c r="CM8177" s="336"/>
    </row>
    <row r="8178" spans="84:91" s="51" customFormat="1">
      <c r="CF8178" s="239"/>
      <c r="CM8178" s="336"/>
    </row>
    <row r="8179" spans="84:91" s="51" customFormat="1">
      <c r="CF8179" s="239"/>
      <c r="CM8179" s="336"/>
    </row>
    <row r="8180" spans="84:91" s="51" customFormat="1">
      <c r="CF8180" s="239"/>
      <c r="CM8180" s="336"/>
    </row>
    <row r="8181" spans="84:91" s="51" customFormat="1">
      <c r="CF8181" s="239"/>
      <c r="CM8181" s="336"/>
    </row>
    <row r="8182" spans="84:91" s="51" customFormat="1">
      <c r="CF8182" s="239"/>
      <c r="CM8182" s="336"/>
    </row>
    <row r="8183" spans="84:91" s="51" customFormat="1">
      <c r="CF8183" s="239"/>
      <c r="CM8183" s="336"/>
    </row>
    <row r="8184" spans="84:91" s="51" customFormat="1">
      <c r="CF8184" s="239"/>
      <c r="CM8184" s="336"/>
    </row>
    <row r="8185" spans="84:91" s="51" customFormat="1">
      <c r="CF8185" s="239"/>
      <c r="CM8185" s="336"/>
    </row>
    <row r="8186" spans="84:91" s="51" customFormat="1">
      <c r="CF8186" s="239"/>
      <c r="CM8186" s="336"/>
    </row>
    <row r="8187" spans="84:91" s="51" customFormat="1">
      <c r="CF8187" s="239"/>
      <c r="CM8187" s="336"/>
    </row>
    <row r="8188" spans="84:91" s="51" customFormat="1">
      <c r="CF8188" s="239"/>
      <c r="CM8188" s="336"/>
    </row>
    <row r="8189" spans="84:91" s="51" customFormat="1">
      <c r="CF8189" s="239"/>
      <c r="CM8189" s="336"/>
    </row>
    <row r="8190" spans="84:91" s="51" customFormat="1">
      <c r="CF8190" s="239"/>
      <c r="CM8190" s="336"/>
    </row>
    <row r="8191" spans="84:91" s="51" customFormat="1">
      <c r="CF8191" s="239"/>
      <c r="CM8191" s="336"/>
    </row>
    <row r="8192" spans="84:91" s="51" customFormat="1">
      <c r="CF8192" s="239"/>
      <c r="CM8192" s="336"/>
    </row>
    <row r="8193" spans="84:91" s="51" customFormat="1">
      <c r="CF8193" s="239"/>
      <c r="CM8193" s="336"/>
    </row>
    <row r="8194" spans="84:91" s="51" customFormat="1">
      <c r="CF8194" s="239"/>
      <c r="CM8194" s="336"/>
    </row>
    <row r="8195" spans="84:91" s="51" customFormat="1">
      <c r="CF8195" s="239"/>
      <c r="CM8195" s="336"/>
    </row>
    <row r="8196" spans="84:91" s="51" customFormat="1">
      <c r="CF8196" s="239"/>
      <c r="CM8196" s="336"/>
    </row>
    <row r="8197" spans="84:91" s="51" customFormat="1">
      <c r="CF8197" s="239"/>
      <c r="CM8197" s="336"/>
    </row>
    <row r="8198" spans="84:91" s="51" customFormat="1">
      <c r="CF8198" s="239"/>
      <c r="CM8198" s="336"/>
    </row>
    <row r="8199" spans="84:91" s="51" customFormat="1">
      <c r="CF8199" s="239"/>
      <c r="CM8199" s="336"/>
    </row>
    <row r="8200" spans="84:91" s="51" customFormat="1">
      <c r="CF8200" s="239"/>
      <c r="CM8200" s="336"/>
    </row>
    <row r="8201" spans="84:91" s="51" customFormat="1">
      <c r="CF8201" s="239"/>
      <c r="CM8201" s="336"/>
    </row>
    <row r="8202" spans="84:91" s="51" customFormat="1">
      <c r="CF8202" s="239"/>
      <c r="CM8202" s="336"/>
    </row>
    <row r="8203" spans="84:91" s="51" customFormat="1">
      <c r="CF8203" s="239"/>
      <c r="CM8203" s="336"/>
    </row>
    <row r="8204" spans="84:91" s="51" customFormat="1">
      <c r="CF8204" s="239"/>
      <c r="CM8204" s="336"/>
    </row>
    <row r="8205" spans="84:91" s="51" customFormat="1">
      <c r="CF8205" s="239"/>
      <c r="CM8205" s="336"/>
    </row>
    <row r="8206" spans="84:91" s="51" customFormat="1">
      <c r="CF8206" s="239"/>
      <c r="CM8206" s="336"/>
    </row>
    <row r="8207" spans="84:91" s="51" customFormat="1">
      <c r="CF8207" s="239"/>
      <c r="CM8207" s="336"/>
    </row>
    <row r="8208" spans="84:91" s="51" customFormat="1">
      <c r="CF8208" s="239"/>
      <c r="CM8208" s="336"/>
    </row>
    <row r="8209" spans="84:91" s="51" customFormat="1">
      <c r="CF8209" s="239"/>
      <c r="CM8209" s="336"/>
    </row>
    <row r="8210" spans="84:91" s="51" customFormat="1">
      <c r="CF8210" s="239"/>
      <c r="CM8210" s="336"/>
    </row>
    <row r="8211" spans="84:91" s="51" customFormat="1">
      <c r="CF8211" s="239"/>
      <c r="CM8211" s="336"/>
    </row>
    <row r="8212" spans="84:91" s="51" customFormat="1">
      <c r="CF8212" s="239"/>
      <c r="CM8212" s="336"/>
    </row>
    <row r="8213" spans="84:91" s="51" customFormat="1">
      <c r="CF8213" s="239"/>
      <c r="CM8213" s="336"/>
    </row>
    <row r="8214" spans="84:91" s="51" customFormat="1">
      <c r="CF8214" s="239"/>
      <c r="CM8214" s="336"/>
    </row>
    <row r="8215" spans="84:91" s="51" customFormat="1">
      <c r="CF8215" s="239"/>
      <c r="CM8215" s="336"/>
    </row>
    <row r="8216" spans="84:91" s="51" customFormat="1">
      <c r="CF8216" s="239"/>
      <c r="CM8216" s="336"/>
    </row>
    <row r="8217" spans="84:91" s="51" customFormat="1">
      <c r="CF8217" s="239"/>
      <c r="CM8217" s="336"/>
    </row>
    <row r="8218" spans="84:91" s="51" customFormat="1">
      <c r="CF8218" s="239"/>
      <c r="CM8218" s="336"/>
    </row>
    <row r="8219" spans="84:91" s="51" customFormat="1">
      <c r="CF8219" s="239"/>
      <c r="CM8219" s="336"/>
    </row>
    <row r="8220" spans="84:91" s="51" customFormat="1">
      <c r="CF8220" s="239"/>
      <c r="CM8220" s="336"/>
    </row>
    <row r="8221" spans="84:91" s="51" customFormat="1">
      <c r="CF8221" s="239"/>
      <c r="CM8221" s="336"/>
    </row>
    <row r="8222" spans="84:91" s="51" customFormat="1">
      <c r="CF8222" s="239"/>
      <c r="CM8222" s="336"/>
    </row>
    <row r="8223" spans="84:91" s="51" customFormat="1">
      <c r="CF8223" s="239"/>
      <c r="CM8223" s="336"/>
    </row>
    <row r="8224" spans="84:91" s="51" customFormat="1">
      <c r="CF8224" s="239"/>
      <c r="CM8224" s="336"/>
    </row>
    <row r="8225" spans="84:91" s="51" customFormat="1">
      <c r="CF8225" s="239"/>
      <c r="CM8225" s="336"/>
    </row>
    <row r="8226" spans="84:91" s="51" customFormat="1">
      <c r="CF8226" s="239"/>
      <c r="CM8226" s="336"/>
    </row>
    <row r="8227" spans="84:91" s="51" customFormat="1">
      <c r="CF8227" s="239"/>
      <c r="CM8227" s="336"/>
    </row>
    <row r="8228" spans="84:91" s="51" customFormat="1">
      <c r="CF8228" s="239"/>
      <c r="CM8228" s="336"/>
    </row>
    <row r="8229" spans="84:91" s="51" customFormat="1">
      <c r="CF8229" s="239"/>
      <c r="CM8229" s="336"/>
    </row>
    <row r="8230" spans="84:91" s="51" customFormat="1">
      <c r="CF8230" s="239"/>
      <c r="CM8230" s="336"/>
    </row>
    <row r="8231" spans="84:91" s="51" customFormat="1">
      <c r="CF8231" s="239"/>
      <c r="CM8231" s="336"/>
    </row>
    <row r="8232" spans="84:91" s="51" customFormat="1">
      <c r="CF8232" s="239"/>
      <c r="CM8232" s="336"/>
    </row>
    <row r="8233" spans="84:91" s="51" customFormat="1">
      <c r="CF8233" s="239"/>
      <c r="CM8233" s="336"/>
    </row>
    <row r="8234" spans="84:91" s="51" customFormat="1">
      <c r="CF8234" s="239"/>
      <c r="CM8234" s="336"/>
    </row>
    <row r="8235" spans="84:91" s="51" customFormat="1">
      <c r="CF8235" s="239"/>
      <c r="CM8235" s="336"/>
    </row>
    <row r="8236" spans="84:91" s="51" customFormat="1">
      <c r="CF8236" s="239"/>
      <c r="CM8236" s="336"/>
    </row>
    <row r="8237" spans="84:91" s="51" customFormat="1">
      <c r="CF8237" s="239"/>
      <c r="CM8237" s="336"/>
    </row>
    <row r="8238" spans="84:91" s="51" customFormat="1">
      <c r="CF8238" s="239"/>
      <c r="CM8238" s="336"/>
    </row>
    <row r="8239" spans="84:91" s="51" customFormat="1">
      <c r="CF8239" s="239"/>
      <c r="CM8239" s="336"/>
    </row>
    <row r="8240" spans="84:91" s="51" customFormat="1">
      <c r="CF8240" s="239"/>
      <c r="CM8240" s="336"/>
    </row>
    <row r="8241" spans="84:91" s="51" customFormat="1">
      <c r="CF8241" s="239"/>
      <c r="CM8241" s="336"/>
    </row>
    <row r="8242" spans="84:91" s="51" customFormat="1">
      <c r="CF8242" s="239"/>
      <c r="CM8242" s="336"/>
    </row>
    <row r="8243" spans="84:91" s="51" customFormat="1">
      <c r="CF8243" s="239"/>
      <c r="CM8243" s="336"/>
    </row>
    <row r="8244" spans="84:91" s="51" customFormat="1">
      <c r="CF8244" s="239"/>
      <c r="CM8244" s="336"/>
    </row>
    <row r="8245" spans="84:91" s="51" customFormat="1">
      <c r="CF8245" s="239"/>
      <c r="CM8245" s="336"/>
    </row>
    <row r="8246" spans="84:91" s="51" customFormat="1">
      <c r="CF8246" s="239"/>
      <c r="CM8246" s="336"/>
    </row>
    <row r="8247" spans="84:91" s="51" customFormat="1">
      <c r="CF8247" s="239"/>
      <c r="CM8247" s="336"/>
    </row>
    <row r="8248" spans="84:91" s="51" customFormat="1">
      <c r="CF8248" s="239"/>
      <c r="CM8248" s="336"/>
    </row>
    <row r="8249" spans="84:91" s="51" customFormat="1">
      <c r="CF8249" s="239"/>
      <c r="CM8249" s="336"/>
    </row>
    <row r="8250" spans="84:91" s="51" customFormat="1">
      <c r="CF8250" s="239"/>
      <c r="CM8250" s="336"/>
    </row>
    <row r="8251" spans="84:91" s="51" customFormat="1">
      <c r="CF8251" s="239"/>
      <c r="CM8251" s="336"/>
    </row>
    <row r="8252" spans="84:91" s="51" customFormat="1">
      <c r="CF8252" s="239"/>
      <c r="CM8252" s="336"/>
    </row>
    <row r="8253" spans="84:91" s="51" customFormat="1">
      <c r="CF8253" s="239"/>
      <c r="CM8253" s="336"/>
    </row>
    <row r="8254" spans="84:91" s="51" customFormat="1">
      <c r="CF8254" s="239"/>
      <c r="CM8254" s="336"/>
    </row>
    <row r="8255" spans="84:91" s="51" customFormat="1">
      <c r="CF8255" s="239"/>
      <c r="CM8255" s="336"/>
    </row>
    <row r="8256" spans="84:91" s="51" customFormat="1">
      <c r="CF8256" s="239"/>
      <c r="CM8256" s="336"/>
    </row>
    <row r="8257" spans="84:91" s="51" customFormat="1">
      <c r="CF8257" s="239"/>
      <c r="CM8257" s="336"/>
    </row>
    <row r="8258" spans="84:91" s="51" customFormat="1">
      <c r="CF8258" s="239"/>
      <c r="CM8258" s="336"/>
    </row>
    <row r="8259" spans="84:91" s="51" customFormat="1">
      <c r="CF8259" s="239"/>
      <c r="CM8259" s="336"/>
    </row>
    <row r="8260" spans="84:91" s="51" customFormat="1">
      <c r="CF8260" s="239"/>
      <c r="CM8260" s="336"/>
    </row>
    <row r="8261" spans="84:91" s="51" customFormat="1">
      <c r="CF8261" s="239"/>
      <c r="CM8261" s="336"/>
    </row>
    <row r="8262" spans="84:91" s="51" customFormat="1">
      <c r="CF8262" s="239"/>
      <c r="CM8262" s="336"/>
    </row>
    <row r="8263" spans="84:91" s="51" customFormat="1">
      <c r="CF8263" s="239"/>
      <c r="CM8263" s="336"/>
    </row>
    <row r="8264" spans="84:91" s="51" customFormat="1">
      <c r="CF8264" s="239"/>
      <c r="CM8264" s="336"/>
    </row>
    <row r="8265" spans="84:91" s="51" customFormat="1">
      <c r="CF8265" s="239"/>
      <c r="CM8265" s="336"/>
    </row>
    <row r="8266" spans="84:91" s="51" customFormat="1">
      <c r="CF8266" s="239"/>
      <c r="CM8266" s="336"/>
    </row>
    <row r="8267" spans="84:91" s="51" customFormat="1">
      <c r="CF8267" s="239"/>
      <c r="CM8267" s="336"/>
    </row>
    <row r="8268" spans="84:91" s="51" customFormat="1">
      <c r="CF8268" s="239"/>
      <c r="CM8268" s="336"/>
    </row>
    <row r="8269" spans="84:91" s="51" customFormat="1">
      <c r="CF8269" s="239"/>
      <c r="CM8269" s="336"/>
    </row>
    <row r="8270" spans="84:91" s="51" customFormat="1">
      <c r="CF8270" s="239"/>
      <c r="CM8270" s="336"/>
    </row>
    <row r="8271" spans="84:91" s="51" customFormat="1">
      <c r="CF8271" s="239"/>
      <c r="CM8271" s="336"/>
    </row>
    <row r="8272" spans="84:91" s="51" customFormat="1">
      <c r="CF8272" s="239"/>
      <c r="CM8272" s="336"/>
    </row>
    <row r="8273" spans="84:91" s="51" customFormat="1">
      <c r="CF8273" s="239"/>
      <c r="CM8273" s="336"/>
    </row>
    <row r="8274" spans="84:91" s="51" customFormat="1">
      <c r="CF8274" s="239"/>
      <c r="CM8274" s="336"/>
    </row>
    <row r="8275" spans="84:91" s="51" customFormat="1">
      <c r="CF8275" s="239"/>
      <c r="CM8275" s="336"/>
    </row>
    <row r="8276" spans="84:91" s="51" customFormat="1">
      <c r="CF8276" s="239"/>
      <c r="CM8276" s="336"/>
    </row>
    <row r="8277" spans="84:91" s="51" customFormat="1">
      <c r="CF8277" s="239"/>
      <c r="CM8277" s="336"/>
    </row>
    <row r="8278" spans="84:91" s="51" customFormat="1">
      <c r="CF8278" s="239"/>
      <c r="CM8278" s="336"/>
    </row>
    <row r="8279" spans="84:91" s="51" customFormat="1">
      <c r="CF8279" s="239"/>
      <c r="CM8279" s="336"/>
    </row>
    <row r="8280" spans="84:91" s="51" customFormat="1">
      <c r="CF8280" s="239"/>
      <c r="CM8280" s="336"/>
    </row>
    <row r="8281" spans="84:91" s="51" customFormat="1">
      <c r="CF8281" s="239"/>
      <c r="CM8281" s="336"/>
    </row>
    <row r="8282" spans="84:91" s="51" customFormat="1">
      <c r="CF8282" s="239"/>
      <c r="CM8282" s="336"/>
    </row>
    <row r="8283" spans="84:91" s="51" customFormat="1">
      <c r="CF8283" s="239"/>
      <c r="CM8283" s="336"/>
    </row>
    <row r="8284" spans="84:91" s="51" customFormat="1">
      <c r="CF8284" s="239"/>
      <c r="CM8284" s="336"/>
    </row>
    <row r="8285" spans="84:91" s="51" customFormat="1">
      <c r="CF8285" s="239"/>
      <c r="CM8285" s="336"/>
    </row>
    <row r="8286" spans="84:91" s="51" customFormat="1">
      <c r="CF8286" s="239"/>
      <c r="CM8286" s="336"/>
    </row>
    <row r="8287" spans="84:91" s="51" customFormat="1">
      <c r="CF8287" s="239"/>
      <c r="CM8287" s="336"/>
    </row>
    <row r="8288" spans="84:91" s="51" customFormat="1">
      <c r="CF8288" s="239"/>
      <c r="CM8288" s="336"/>
    </row>
    <row r="8289" spans="84:91" s="51" customFormat="1">
      <c r="CF8289" s="239"/>
      <c r="CM8289" s="336"/>
    </row>
    <row r="8290" spans="84:91" s="51" customFormat="1">
      <c r="CF8290" s="239"/>
      <c r="CM8290" s="336"/>
    </row>
    <row r="8291" spans="84:91" s="51" customFormat="1">
      <c r="CF8291" s="239"/>
      <c r="CM8291" s="336"/>
    </row>
    <row r="8292" spans="84:91" s="51" customFormat="1">
      <c r="CF8292" s="239"/>
      <c r="CM8292" s="336"/>
    </row>
    <row r="8293" spans="84:91" s="51" customFormat="1">
      <c r="CF8293" s="239"/>
      <c r="CM8293" s="336"/>
    </row>
    <row r="8294" spans="84:91" s="51" customFormat="1">
      <c r="CF8294" s="239"/>
      <c r="CM8294" s="336"/>
    </row>
    <row r="8295" spans="84:91" s="51" customFormat="1">
      <c r="CF8295" s="239"/>
      <c r="CM8295" s="336"/>
    </row>
    <row r="8296" spans="84:91" s="51" customFormat="1">
      <c r="CF8296" s="239"/>
      <c r="CM8296" s="336"/>
    </row>
    <row r="8297" spans="84:91" s="51" customFormat="1">
      <c r="CF8297" s="239"/>
      <c r="CM8297" s="336"/>
    </row>
    <row r="8298" spans="84:91" s="51" customFormat="1">
      <c r="CF8298" s="239"/>
      <c r="CM8298" s="336"/>
    </row>
    <row r="8299" spans="84:91" s="51" customFormat="1">
      <c r="CF8299" s="239"/>
      <c r="CM8299" s="336"/>
    </row>
    <row r="8300" spans="84:91" s="51" customFormat="1">
      <c r="CF8300" s="239"/>
      <c r="CM8300" s="336"/>
    </row>
    <row r="8301" spans="84:91" s="51" customFormat="1">
      <c r="CF8301" s="239"/>
      <c r="CM8301" s="336"/>
    </row>
    <row r="8302" spans="84:91" s="51" customFormat="1">
      <c r="CF8302" s="239"/>
      <c r="CM8302" s="336"/>
    </row>
    <row r="8303" spans="84:91" s="51" customFormat="1">
      <c r="CF8303" s="239"/>
      <c r="CM8303" s="336"/>
    </row>
    <row r="8304" spans="84:91" s="51" customFormat="1">
      <c r="CF8304" s="239"/>
      <c r="CM8304" s="336"/>
    </row>
    <row r="8305" spans="84:91" s="51" customFormat="1">
      <c r="CF8305" s="239"/>
      <c r="CM8305" s="336"/>
    </row>
    <row r="8306" spans="84:91" s="51" customFormat="1">
      <c r="CF8306" s="239"/>
      <c r="CM8306" s="336"/>
    </row>
    <row r="8307" spans="84:91" s="51" customFormat="1">
      <c r="CF8307" s="239"/>
      <c r="CM8307" s="336"/>
    </row>
    <row r="8308" spans="84:91" s="51" customFormat="1">
      <c r="CF8308" s="239"/>
      <c r="CM8308" s="336"/>
    </row>
    <row r="8309" spans="84:91" s="51" customFormat="1">
      <c r="CF8309" s="239"/>
      <c r="CM8309" s="336"/>
    </row>
    <row r="8310" spans="84:91" s="51" customFormat="1">
      <c r="CF8310" s="239"/>
      <c r="CM8310" s="336"/>
    </row>
    <row r="8311" spans="84:91" s="51" customFormat="1">
      <c r="CF8311" s="239"/>
      <c r="CM8311" s="336"/>
    </row>
    <row r="8312" spans="84:91" s="51" customFormat="1">
      <c r="CF8312" s="239"/>
      <c r="CM8312" s="336"/>
    </row>
    <row r="8313" spans="84:91" s="51" customFormat="1">
      <c r="CF8313" s="239"/>
      <c r="CM8313" s="336"/>
    </row>
    <row r="8314" spans="84:91" s="51" customFormat="1">
      <c r="CF8314" s="239"/>
      <c r="CM8314" s="336"/>
    </row>
    <row r="8315" spans="84:91" s="51" customFormat="1">
      <c r="CF8315" s="239"/>
      <c r="CM8315" s="336"/>
    </row>
    <row r="8316" spans="84:91" s="51" customFormat="1">
      <c r="CF8316" s="239"/>
      <c r="CM8316" s="336"/>
    </row>
    <row r="8317" spans="84:91" s="51" customFormat="1">
      <c r="CF8317" s="239"/>
      <c r="CM8317" s="336"/>
    </row>
    <row r="8318" spans="84:91" s="51" customFormat="1">
      <c r="CF8318" s="239"/>
      <c r="CM8318" s="336"/>
    </row>
    <row r="8319" spans="84:91" s="51" customFormat="1">
      <c r="CF8319" s="239"/>
      <c r="CM8319" s="336"/>
    </row>
    <row r="8320" spans="84:91" s="51" customFormat="1">
      <c r="CF8320" s="239"/>
      <c r="CM8320" s="336"/>
    </row>
    <row r="8321" spans="84:91" s="51" customFormat="1">
      <c r="CF8321" s="239"/>
      <c r="CM8321" s="336"/>
    </row>
    <row r="8322" spans="84:91" s="51" customFormat="1">
      <c r="CF8322" s="239"/>
      <c r="CM8322" s="336"/>
    </row>
    <row r="8323" spans="84:91" s="51" customFormat="1">
      <c r="CF8323" s="239"/>
      <c r="CM8323" s="336"/>
    </row>
    <row r="8324" spans="84:91" s="51" customFormat="1">
      <c r="CF8324" s="239"/>
      <c r="CM8324" s="336"/>
    </row>
    <row r="8325" spans="84:91" s="51" customFormat="1">
      <c r="CF8325" s="239"/>
      <c r="CM8325" s="336"/>
    </row>
    <row r="8326" spans="84:91" s="51" customFormat="1">
      <c r="CF8326" s="239"/>
      <c r="CM8326" s="336"/>
    </row>
    <row r="8327" spans="84:91" s="51" customFormat="1">
      <c r="CF8327" s="239"/>
      <c r="CM8327" s="336"/>
    </row>
    <row r="8328" spans="84:91" s="51" customFormat="1">
      <c r="CF8328" s="239"/>
      <c r="CM8328" s="336"/>
    </row>
    <row r="8329" spans="84:91" s="51" customFormat="1">
      <c r="CF8329" s="239"/>
      <c r="CM8329" s="336"/>
    </row>
    <row r="8330" spans="84:91" s="51" customFormat="1">
      <c r="CF8330" s="239"/>
      <c r="CM8330" s="336"/>
    </row>
    <row r="8331" spans="84:91" s="51" customFormat="1">
      <c r="CF8331" s="239"/>
      <c r="CM8331" s="336"/>
    </row>
    <row r="8332" spans="84:91" s="51" customFormat="1">
      <c r="CF8332" s="239"/>
      <c r="CM8332" s="336"/>
    </row>
    <row r="8333" spans="84:91" s="51" customFormat="1">
      <c r="CF8333" s="239"/>
      <c r="CM8333" s="336"/>
    </row>
    <row r="8334" spans="84:91" s="51" customFormat="1">
      <c r="CF8334" s="239"/>
      <c r="CM8334" s="336"/>
    </row>
    <row r="8335" spans="84:91" s="51" customFormat="1">
      <c r="CF8335" s="239"/>
      <c r="CM8335" s="336"/>
    </row>
    <row r="8336" spans="84:91" s="51" customFormat="1">
      <c r="CF8336" s="239"/>
      <c r="CM8336" s="336"/>
    </row>
    <row r="8337" spans="84:91" s="51" customFormat="1">
      <c r="CF8337" s="239"/>
      <c r="CM8337" s="336"/>
    </row>
    <row r="8338" spans="84:91" s="51" customFormat="1">
      <c r="CF8338" s="239"/>
      <c r="CM8338" s="336"/>
    </row>
    <row r="8339" spans="84:91" s="51" customFormat="1">
      <c r="CF8339" s="239"/>
      <c r="CM8339" s="336"/>
    </row>
    <row r="8340" spans="84:91" s="51" customFormat="1">
      <c r="CF8340" s="239"/>
      <c r="CM8340" s="336"/>
    </row>
    <row r="8341" spans="84:91" s="51" customFormat="1">
      <c r="CF8341" s="239"/>
      <c r="CM8341" s="336"/>
    </row>
    <row r="8342" spans="84:91" s="51" customFormat="1">
      <c r="CF8342" s="239"/>
      <c r="CM8342" s="336"/>
    </row>
    <row r="8343" spans="84:91" s="51" customFormat="1">
      <c r="CF8343" s="239"/>
      <c r="CM8343" s="336"/>
    </row>
    <row r="8344" spans="84:91" s="51" customFormat="1">
      <c r="CF8344" s="239"/>
      <c r="CM8344" s="336"/>
    </row>
    <row r="8345" spans="84:91" s="51" customFormat="1">
      <c r="CF8345" s="239"/>
      <c r="CM8345" s="336"/>
    </row>
    <row r="8346" spans="84:91" s="51" customFormat="1">
      <c r="CF8346" s="239"/>
      <c r="CM8346" s="336"/>
    </row>
    <row r="8347" spans="84:91" s="51" customFormat="1">
      <c r="CF8347" s="239"/>
      <c r="CM8347" s="336"/>
    </row>
    <row r="8348" spans="84:91" s="51" customFormat="1">
      <c r="CF8348" s="239"/>
      <c r="CM8348" s="336"/>
    </row>
    <row r="8349" spans="84:91" s="51" customFormat="1">
      <c r="CF8349" s="239"/>
      <c r="CM8349" s="336"/>
    </row>
    <row r="8350" spans="84:91" s="51" customFormat="1">
      <c r="CF8350" s="239"/>
      <c r="CM8350" s="336"/>
    </row>
    <row r="8351" spans="84:91" s="51" customFormat="1">
      <c r="CF8351" s="239"/>
      <c r="CM8351" s="336"/>
    </row>
    <row r="8352" spans="84:91" s="51" customFormat="1">
      <c r="CF8352" s="239"/>
      <c r="CM8352" s="336"/>
    </row>
    <row r="8353" spans="84:91" s="51" customFormat="1">
      <c r="CF8353" s="239"/>
      <c r="CM8353" s="336"/>
    </row>
    <row r="8354" spans="84:91" s="51" customFormat="1">
      <c r="CF8354" s="239"/>
      <c r="CM8354" s="336"/>
    </row>
    <row r="8355" spans="84:91" s="51" customFormat="1">
      <c r="CF8355" s="239"/>
      <c r="CM8355" s="336"/>
    </row>
    <row r="8356" spans="84:91" s="51" customFormat="1">
      <c r="CF8356" s="239"/>
      <c r="CM8356" s="336"/>
    </row>
    <row r="8357" spans="84:91" s="51" customFormat="1">
      <c r="CF8357" s="239"/>
      <c r="CM8357" s="336"/>
    </row>
    <row r="8358" spans="84:91" s="51" customFormat="1">
      <c r="CF8358" s="239"/>
      <c r="CM8358" s="336"/>
    </row>
    <row r="8359" spans="84:91" s="51" customFormat="1">
      <c r="CF8359" s="239"/>
      <c r="CM8359" s="336"/>
    </row>
    <row r="8360" spans="84:91" s="51" customFormat="1">
      <c r="CF8360" s="239"/>
      <c r="CM8360" s="336"/>
    </row>
    <row r="8361" spans="84:91" s="51" customFormat="1">
      <c r="CF8361" s="239"/>
      <c r="CM8361" s="336"/>
    </row>
    <row r="8362" spans="84:91" s="51" customFormat="1">
      <c r="CF8362" s="239"/>
      <c r="CM8362" s="336"/>
    </row>
    <row r="8363" spans="84:91" s="51" customFormat="1">
      <c r="CF8363" s="239"/>
      <c r="CM8363" s="336"/>
    </row>
    <row r="8364" spans="84:91" s="51" customFormat="1">
      <c r="CF8364" s="239"/>
      <c r="CM8364" s="336"/>
    </row>
    <row r="8365" spans="84:91" s="51" customFormat="1">
      <c r="CF8365" s="239"/>
      <c r="CM8365" s="336"/>
    </row>
    <row r="8366" spans="84:91" s="51" customFormat="1">
      <c r="CF8366" s="239"/>
      <c r="CM8366" s="336"/>
    </row>
    <row r="8367" spans="84:91" s="51" customFormat="1">
      <c r="CF8367" s="239"/>
      <c r="CM8367" s="336"/>
    </row>
    <row r="8368" spans="84:91" s="51" customFormat="1">
      <c r="CF8368" s="239"/>
      <c r="CM8368" s="336"/>
    </row>
    <row r="8369" spans="84:91" s="51" customFormat="1">
      <c r="CF8369" s="239"/>
      <c r="CM8369" s="336"/>
    </row>
    <row r="8370" spans="84:91" s="51" customFormat="1">
      <c r="CF8370" s="239"/>
      <c r="CM8370" s="336"/>
    </row>
    <row r="8371" spans="84:91" s="51" customFormat="1">
      <c r="CF8371" s="239"/>
      <c r="CM8371" s="336"/>
    </row>
    <row r="8372" spans="84:91" s="51" customFormat="1">
      <c r="CF8372" s="239"/>
      <c r="CM8372" s="336"/>
    </row>
    <row r="8373" spans="84:91" s="51" customFormat="1">
      <c r="CF8373" s="239"/>
      <c r="CM8373" s="336"/>
    </row>
    <row r="8374" spans="84:91" s="51" customFormat="1">
      <c r="CF8374" s="239"/>
      <c r="CM8374" s="336"/>
    </row>
    <row r="8375" spans="84:91" s="51" customFormat="1">
      <c r="CF8375" s="239"/>
      <c r="CM8375" s="336"/>
    </row>
    <row r="8376" spans="84:91" s="51" customFormat="1">
      <c r="CF8376" s="239"/>
      <c r="CM8376" s="336"/>
    </row>
    <row r="8377" spans="84:91" s="51" customFormat="1">
      <c r="CF8377" s="239"/>
      <c r="CM8377" s="336"/>
    </row>
    <row r="8378" spans="84:91" s="51" customFormat="1">
      <c r="CF8378" s="239"/>
      <c r="CM8378" s="336"/>
    </row>
    <row r="8379" spans="84:91" s="51" customFormat="1">
      <c r="CF8379" s="239"/>
      <c r="CM8379" s="336"/>
    </row>
    <row r="8380" spans="84:91" s="51" customFormat="1">
      <c r="CF8380" s="239"/>
      <c r="CM8380" s="336"/>
    </row>
    <row r="8381" spans="84:91" s="51" customFormat="1">
      <c r="CF8381" s="239"/>
      <c r="CM8381" s="336"/>
    </row>
    <row r="8382" spans="84:91" s="51" customFormat="1">
      <c r="CF8382" s="239"/>
      <c r="CM8382" s="336"/>
    </row>
    <row r="8383" spans="84:91" s="51" customFormat="1">
      <c r="CF8383" s="239"/>
      <c r="CM8383" s="336"/>
    </row>
    <row r="8384" spans="84:91" s="51" customFormat="1">
      <c r="CF8384" s="239"/>
      <c r="CM8384" s="336"/>
    </row>
    <row r="8385" spans="84:91" s="51" customFormat="1">
      <c r="CF8385" s="239"/>
      <c r="CM8385" s="336"/>
    </row>
    <row r="8386" spans="84:91" s="51" customFormat="1">
      <c r="CF8386" s="239"/>
      <c r="CM8386" s="336"/>
    </row>
    <row r="8387" spans="84:91" s="51" customFormat="1">
      <c r="CF8387" s="239"/>
      <c r="CM8387" s="336"/>
    </row>
    <row r="8388" spans="84:91" s="51" customFormat="1">
      <c r="CF8388" s="239"/>
      <c r="CM8388" s="336"/>
    </row>
    <row r="8389" spans="84:91" s="51" customFormat="1">
      <c r="CF8389" s="239"/>
      <c r="CM8389" s="336"/>
    </row>
    <row r="8390" spans="84:91" s="51" customFormat="1">
      <c r="CF8390" s="239"/>
      <c r="CM8390" s="336"/>
    </row>
    <row r="8391" spans="84:91" s="51" customFormat="1">
      <c r="CF8391" s="239"/>
      <c r="CM8391" s="336"/>
    </row>
    <row r="8392" spans="84:91" s="51" customFormat="1">
      <c r="CF8392" s="239"/>
      <c r="CM8392" s="336"/>
    </row>
    <row r="8393" spans="84:91" s="51" customFormat="1">
      <c r="CF8393" s="239"/>
      <c r="CM8393" s="336"/>
    </row>
    <row r="8394" spans="84:91" s="51" customFormat="1">
      <c r="CF8394" s="239"/>
      <c r="CM8394" s="336"/>
    </row>
    <row r="8395" spans="84:91" s="51" customFormat="1">
      <c r="CF8395" s="239"/>
      <c r="CM8395" s="336"/>
    </row>
    <row r="8396" spans="84:91" s="51" customFormat="1">
      <c r="CF8396" s="239"/>
      <c r="CM8396" s="336"/>
    </row>
    <row r="8397" spans="84:91" s="51" customFormat="1">
      <c r="CF8397" s="239"/>
      <c r="CM8397" s="336"/>
    </row>
    <row r="8398" spans="84:91" s="51" customFormat="1">
      <c r="CF8398" s="239"/>
      <c r="CM8398" s="336"/>
    </row>
    <row r="8399" spans="84:91" s="51" customFormat="1">
      <c r="CF8399" s="239"/>
      <c r="CM8399" s="336"/>
    </row>
    <row r="8400" spans="84:91" s="51" customFormat="1">
      <c r="CF8400" s="239"/>
      <c r="CM8400" s="336"/>
    </row>
    <row r="8401" spans="84:91" s="51" customFormat="1">
      <c r="CF8401" s="239"/>
      <c r="CM8401" s="336"/>
    </row>
    <row r="8402" spans="84:91" s="51" customFormat="1">
      <c r="CF8402" s="239"/>
      <c r="CM8402" s="336"/>
    </row>
    <row r="8403" spans="84:91" s="51" customFormat="1">
      <c r="CF8403" s="239"/>
      <c r="CM8403" s="336"/>
    </row>
    <row r="8404" spans="84:91" s="51" customFormat="1">
      <c r="CF8404" s="239"/>
      <c r="CM8404" s="336"/>
    </row>
    <row r="8405" spans="84:91" s="51" customFormat="1">
      <c r="CF8405" s="239"/>
      <c r="CM8405" s="336"/>
    </row>
    <row r="8406" spans="84:91" s="51" customFormat="1">
      <c r="CF8406" s="239"/>
      <c r="CM8406" s="336"/>
    </row>
    <row r="8407" spans="84:91" s="51" customFormat="1">
      <c r="CF8407" s="239"/>
      <c r="CM8407" s="336"/>
    </row>
    <row r="8408" spans="84:91" s="51" customFormat="1">
      <c r="CF8408" s="239"/>
      <c r="CM8408" s="336"/>
    </row>
    <row r="8409" spans="84:91" s="51" customFormat="1">
      <c r="CF8409" s="239"/>
      <c r="CM8409" s="336"/>
    </row>
    <row r="8410" spans="84:91" s="51" customFormat="1">
      <c r="CF8410" s="239"/>
      <c r="CM8410" s="336"/>
    </row>
    <row r="8411" spans="84:91" s="51" customFormat="1">
      <c r="CF8411" s="239"/>
      <c r="CM8411" s="336"/>
    </row>
    <row r="8412" spans="84:91" s="51" customFormat="1">
      <c r="CF8412" s="239"/>
      <c r="CM8412" s="336"/>
    </row>
    <row r="8413" spans="84:91" s="51" customFormat="1">
      <c r="CF8413" s="239"/>
      <c r="CM8413" s="336"/>
    </row>
    <row r="8414" spans="84:91" s="51" customFormat="1">
      <c r="CF8414" s="239"/>
      <c r="CM8414" s="336"/>
    </row>
    <row r="8415" spans="84:91" s="51" customFormat="1">
      <c r="CF8415" s="239"/>
      <c r="CM8415" s="336"/>
    </row>
    <row r="8416" spans="84:91" s="51" customFormat="1">
      <c r="CF8416" s="239"/>
      <c r="CM8416" s="336"/>
    </row>
    <row r="8417" spans="84:91" s="51" customFormat="1">
      <c r="CF8417" s="239"/>
      <c r="CM8417" s="336"/>
    </row>
    <row r="8418" spans="84:91" s="51" customFormat="1">
      <c r="CF8418" s="239"/>
      <c r="CM8418" s="336"/>
    </row>
    <row r="8419" spans="84:91" s="51" customFormat="1">
      <c r="CF8419" s="239"/>
      <c r="CM8419" s="336"/>
    </row>
    <row r="8420" spans="84:91" s="51" customFormat="1">
      <c r="CF8420" s="239"/>
      <c r="CM8420" s="336"/>
    </row>
    <row r="8421" spans="84:91" s="51" customFormat="1">
      <c r="CF8421" s="239"/>
      <c r="CM8421" s="336"/>
    </row>
    <row r="8422" spans="84:91" s="51" customFormat="1">
      <c r="CF8422" s="239"/>
      <c r="CM8422" s="336"/>
    </row>
    <row r="8423" spans="84:91" s="51" customFormat="1">
      <c r="CF8423" s="239"/>
      <c r="CM8423" s="336"/>
    </row>
    <row r="8424" spans="84:91" s="51" customFormat="1">
      <c r="CF8424" s="239"/>
      <c r="CM8424" s="336"/>
    </row>
    <row r="8425" spans="84:91" s="51" customFormat="1">
      <c r="CF8425" s="239"/>
      <c r="CM8425" s="336"/>
    </row>
    <row r="8426" spans="84:91" s="51" customFormat="1">
      <c r="CF8426" s="239"/>
      <c r="CM8426" s="336"/>
    </row>
    <row r="8427" spans="84:91" s="51" customFormat="1">
      <c r="CF8427" s="239"/>
      <c r="CM8427" s="336"/>
    </row>
    <row r="8428" spans="84:91" s="51" customFormat="1">
      <c r="CF8428" s="239"/>
      <c r="CM8428" s="336"/>
    </row>
    <row r="8429" spans="84:91" s="51" customFormat="1">
      <c r="CF8429" s="239"/>
      <c r="CM8429" s="336"/>
    </row>
    <row r="8430" spans="84:91" s="51" customFormat="1">
      <c r="CF8430" s="239"/>
      <c r="CM8430" s="336"/>
    </row>
    <row r="8431" spans="84:91" s="51" customFormat="1">
      <c r="CF8431" s="239"/>
      <c r="CM8431" s="336"/>
    </row>
    <row r="8432" spans="84:91" s="51" customFormat="1">
      <c r="CF8432" s="239"/>
      <c r="CM8432" s="336"/>
    </row>
    <row r="8433" spans="84:91" s="51" customFormat="1">
      <c r="CF8433" s="239"/>
      <c r="CM8433" s="336"/>
    </row>
    <row r="8434" spans="84:91" s="51" customFormat="1">
      <c r="CF8434" s="239"/>
      <c r="CM8434" s="336"/>
    </row>
    <row r="8435" spans="84:91" s="51" customFormat="1">
      <c r="CF8435" s="239"/>
      <c r="CM8435" s="336"/>
    </row>
    <row r="8436" spans="84:91" s="51" customFormat="1">
      <c r="CF8436" s="239"/>
      <c r="CM8436" s="336"/>
    </row>
    <row r="8437" spans="84:91" s="51" customFormat="1">
      <c r="CF8437" s="239"/>
      <c r="CM8437" s="336"/>
    </row>
    <row r="8438" spans="84:91" s="51" customFormat="1">
      <c r="CF8438" s="239"/>
      <c r="CM8438" s="336"/>
    </row>
    <row r="8439" spans="84:91" s="51" customFormat="1">
      <c r="CF8439" s="239"/>
      <c r="CM8439" s="336"/>
    </row>
    <row r="8440" spans="84:91" s="51" customFormat="1">
      <c r="CF8440" s="239"/>
      <c r="CM8440" s="336"/>
    </row>
    <row r="8441" spans="84:91" s="51" customFormat="1">
      <c r="CF8441" s="239"/>
      <c r="CM8441" s="336"/>
    </row>
    <row r="8442" spans="84:91" s="51" customFormat="1">
      <c r="CF8442" s="239"/>
      <c r="CM8442" s="336"/>
    </row>
    <row r="8443" spans="84:91" s="51" customFormat="1">
      <c r="CF8443" s="239"/>
      <c r="CM8443" s="336"/>
    </row>
    <row r="8444" spans="84:91" s="51" customFormat="1">
      <c r="CF8444" s="239"/>
      <c r="CM8444" s="336"/>
    </row>
    <row r="8445" spans="84:91" s="51" customFormat="1">
      <c r="CF8445" s="239"/>
      <c r="CM8445" s="336"/>
    </row>
    <row r="8446" spans="84:91" s="51" customFormat="1">
      <c r="CF8446" s="239"/>
      <c r="CM8446" s="336"/>
    </row>
    <row r="8447" spans="84:91" s="51" customFormat="1">
      <c r="CF8447" s="239"/>
      <c r="CM8447" s="336"/>
    </row>
    <row r="8448" spans="84:91" s="51" customFormat="1">
      <c r="CF8448" s="239"/>
      <c r="CM8448" s="336"/>
    </row>
    <row r="8449" spans="84:91" s="51" customFormat="1">
      <c r="CF8449" s="239"/>
      <c r="CM8449" s="336"/>
    </row>
    <row r="8450" spans="84:91" s="51" customFormat="1">
      <c r="CF8450" s="239"/>
      <c r="CM8450" s="336"/>
    </row>
    <row r="8451" spans="84:91" s="51" customFormat="1">
      <c r="CF8451" s="239"/>
      <c r="CM8451" s="336"/>
    </row>
    <row r="8452" spans="84:91" s="51" customFormat="1">
      <c r="CF8452" s="239"/>
      <c r="CM8452" s="336"/>
    </row>
    <row r="8453" spans="84:91" s="51" customFormat="1">
      <c r="CF8453" s="239"/>
      <c r="CM8453" s="336"/>
    </row>
    <row r="8454" spans="84:91" s="51" customFormat="1">
      <c r="CF8454" s="239"/>
      <c r="CM8454" s="336"/>
    </row>
    <row r="8455" spans="84:91" s="51" customFormat="1">
      <c r="CF8455" s="239"/>
      <c r="CM8455" s="336"/>
    </row>
    <row r="8456" spans="84:91" s="51" customFormat="1">
      <c r="CF8456" s="239"/>
      <c r="CM8456" s="336"/>
    </row>
    <row r="8457" spans="84:91" s="51" customFormat="1">
      <c r="CF8457" s="239"/>
      <c r="CM8457" s="336"/>
    </row>
    <row r="8458" spans="84:91" s="51" customFormat="1">
      <c r="CF8458" s="239"/>
      <c r="CM8458" s="336"/>
    </row>
    <row r="8459" spans="84:91" s="51" customFormat="1">
      <c r="CF8459" s="239"/>
      <c r="CM8459" s="336"/>
    </row>
    <row r="8460" spans="84:91" s="51" customFormat="1">
      <c r="CF8460" s="239"/>
      <c r="CM8460" s="336"/>
    </row>
    <row r="8461" spans="84:91" s="51" customFormat="1">
      <c r="CF8461" s="239"/>
      <c r="CM8461" s="336"/>
    </row>
    <row r="8462" spans="84:91" s="51" customFormat="1">
      <c r="CF8462" s="239"/>
      <c r="CM8462" s="336"/>
    </row>
    <row r="8463" spans="84:91" s="51" customFormat="1">
      <c r="CF8463" s="239"/>
      <c r="CM8463" s="336"/>
    </row>
    <row r="8464" spans="84:91" s="51" customFormat="1">
      <c r="CF8464" s="239"/>
      <c r="CM8464" s="336"/>
    </row>
    <row r="8465" spans="84:91" s="51" customFormat="1">
      <c r="CF8465" s="239"/>
      <c r="CM8465" s="336"/>
    </row>
    <row r="8466" spans="84:91" s="51" customFormat="1">
      <c r="CF8466" s="239"/>
      <c r="CM8466" s="336"/>
    </row>
    <row r="8467" spans="84:91" s="51" customFormat="1">
      <c r="CF8467" s="239"/>
      <c r="CM8467" s="336"/>
    </row>
    <row r="8468" spans="84:91" s="51" customFormat="1">
      <c r="CF8468" s="239"/>
      <c r="CM8468" s="336"/>
    </row>
    <row r="8469" spans="84:91" s="51" customFormat="1">
      <c r="CF8469" s="239"/>
      <c r="CM8469" s="336"/>
    </row>
    <row r="8470" spans="84:91" s="51" customFormat="1">
      <c r="CF8470" s="239"/>
      <c r="CM8470" s="336"/>
    </row>
    <row r="8471" spans="84:91" s="51" customFormat="1">
      <c r="CF8471" s="239"/>
      <c r="CM8471" s="336"/>
    </row>
    <row r="8472" spans="84:91" s="51" customFormat="1">
      <c r="CF8472" s="239"/>
      <c r="CM8472" s="336"/>
    </row>
    <row r="8473" spans="84:91" s="51" customFormat="1">
      <c r="CF8473" s="239"/>
      <c r="CM8473" s="336"/>
    </row>
    <row r="8474" spans="84:91" s="51" customFormat="1">
      <c r="CF8474" s="239"/>
      <c r="CM8474" s="336"/>
    </row>
    <row r="8475" spans="84:91" s="51" customFormat="1">
      <c r="CF8475" s="239"/>
      <c r="CM8475" s="336"/>
    </row>
    <row r="8476" spans="84:91" s="51" customFormat="1">
      <c r="CF8476" s="239"/>
      <c r="CM8476" s="336"/>
    </row>
    <row r="8477" spans="84:91" s="51" customFormat="1">
      <c r="CF8477" s="239"/>
      <c r="CM8477" s="336"/>
    </row>
    <row r="8478" spans="84:91" s="51" customFormat="1">
      <c r="CF8478" s="239"/>
      <c r="CM8478" s="336"/>
    </row>
    <row r="8479" spans="84:91" s="51" customFormat="1">
      <c r="CF8479" s="239"/>
      <c r="CM8479" s="336"/>
    </row>
    <row r="8480" spans="84:91" s="51" customFormat="1">
      <c r="CF8480" s="239"/>
      <c r="CM8480" s="336"/>
    </row>
    <row r="8481" spans="84:91" s="51" customFormat="1">
      <c r="CF8481" s="239"/>
      <c r="CM8481" s="336"/>
    </row>
    <row r="8482" spans="84:91" s="51" customFormat="1">
      <c r="CF8482" s="239"/>
      <c r="CM8482" s="336"/>
    </row>
    <row r="8483" spans="84:91" s="51" customFormat="1">
      <c r="CF8483" s="239"/>
      <c r="CM8483" s="336"/>
    </row>
    <row r="8484" spans="84:91" s="51" customFormat="1">
      <c r="CF8484" s="239"/>
      <c r="CM8484" s="336"/>
    </row>
    <row r="8485" spans="84:91" s="51" customFormat="1">
      <c r="CF8485" s="239"/>
      <c r="CM8485" s="336"/>
    </row>
    <row r="8486" spans="84:91" s="51" customFormat="1">
      <c r="CF8486" s="239"/>
      <c r="CM8486" s="336"/>
    </row>
    <row r="8487" spans="84:91" s="51" customFormat="1">
      <c r="CF8487" s="239"/>
      <c r="CM8487" s="336"/>
    </row>
    <row r="8488" spans="84:91" s="51" customFormat="1">
      <c r="CF8488" s="239"/>
      <c r="CM8488" s="336"/>
    </row>
    <row r="8489" spans="84:91" s="51" customFormat="1">
      <c r="CF8489" s="239"/>
      <c r="CM8489" s="336"/>
    </row>
    <row r="8490" spans="84:91" s="51" customFormat="1">
      <c r="CF8490" s="239"/>
      <c r="CM8490" s="336"/>
    </row>
    <row r="8491" spans="84:91" s="51" customFormat="1">
      <c r="CF8491" s="239"/>
      <c r="CM8491" s="336"/>
    </row>
    <row r="8492" spans="84:91" s="51" customFormat="1">
      <c r="CF8492" s="239"/>
      <c r="CM8492" s="336"/>
    </row>
    <row r="8493" spans="84:91" s="51" customFormat="1">
      <c r="CF8493" s="239"/>
      <c r="CM8493" s="336"/>
    </row>
    <row r="8494" spans="84:91" s="51" customFormat="1">
      <c r="CF8494" s="239"/>
      <c r="CM8494" s="336"/>
    </row>
    <row r="8495" spans="84:91" s="51" customFormat="1">
      <c r="CF8495" s="239"/>
      <c r="CM8495" s="336"/>
    </row>
    <row r="8496" spans="84:91" s="51" customFormat="1">
      <c r="CF8496" s="239"/>
      <c r="CM8496" s="336"/>
    </row>
    <row r="8497" spans="84:91" s="51" customFormat="1">
      <c r="CF8497" s="239"/>
      <c r="CM8497" s="336"/>
    </row>
    <row r="8498" spans="84:91" s="51" customFormat="1">
      <c r="CF8498" s="239"/>
      <c r="CM8498" s="336"/>
    </row>
    <row r="8499" spans="84:91" s="51" customFormat="1">
      <c r="CF8499" s="239"/>
      <c r="CM8499" s="336"/>
    </row>
    <row r="8500" spans="84:91" s="51" customFormat="1">
      <c r="CF8500" s="239"/>
      <c r="CM8500" s="336"/>
    </row>
    <row r="8501" spans="84:91" s="51" customFormat="1">
      <c r="CF8501" s="239"/>
      <c r="CM8501" s="336"/>
    </row>
    <row r="8502" spans="84:91" s="51" customFormat="1">
      <c r="CF8502" s="239"/>
      <c r="CM8502" s="336"/>
    </row>
    <row r="8503" spans="84:91" s="51" customFormat="1">
      <c r="CF8503" s="239"/>
      <c r="CM8503" s="336"/>
    </row>
    <row r="8504" spans="84:91" s="51" customFormat="1">
      <c r="CF8504" s="239"/>
      <c r="CM8504" s="336"/>
    </row>
    <row r="8505" spans="84:91" s="51" customFormat="1">
      <c r="CF8505" s="239"/>
      <c r="CM8505" s="336"/>
    </row>
    <row r="8506" spans="84:91" s="51" customFormat="1">
      <c r="CF8506" s="239"/>
      <c r="CM8506" s="336"/>
    </row>
    <row r="8507" spans="84:91" s="51" customFormat="1">
      <c r="CF8507" s="239"/>
      <c r="CM8507" s="336"/>
    </row>
    <row r="8508" spans="84:91" s="51" customFormat="1">
      <c r="CF8508" s="239"/>
      <c r="CM8508" s="336"/>
    </row>
    <row r="8509" spans="84:91" s="51" customFormat="1">
      <c r="CF8509" s="239"/>
      <c r="CM8509" s="336"/>
    </row>
    <row r="8510" spans="84:91" s="51" customFormat="1">
      <c r="CF8510" s="239"/>
      <c r="CM8510" s="336"/>
    </row>
    <row r="8511" spans="84:91" s="51" customFormat="1">
      <c r="CF8511" s="239"/>
      <c r="CM8511" s="336"/>
    </row>
    <row r="8512" spans="84:91" s="51" customFormat="1">
      <c r="CF8512" s="239"/>
      <c r="CM8512" s="336"/>
    </row>
    <row r="8513" spans="84:91" s="51" customFormat="1">
      <c r="CF8513" s="239"/>
      <c r="CM8513" s="336"/>
    </row>
    <row r="8514" spans="84:91" s="51" customFormat="1">
      <c r="CF8514" s="239"/>
      <c r="CM8514" s="336"/>
    </row>
    <row r="8515" spans="84:91" s="51" customFormat="1">
      <c r="CF8515" s="239"/>
      <c r="CM8515" s="336"/>
    </row>
    <row r="8516" spans="84:91" s="51" customFormat="1">
      <c r="CF8516" s="239"/>
      <c r="CM8516" s="336"/>
    </row>
    <row r="8517" spans="84:91" s="51" customFormat="1">
      <c r="CF8517" s="239"/>
      <c r="CM8517" s="336"/>
    </row>
    <row r="8518" spans="84:91" s="51" customFormat="1">
      <c r="CF8518" s="239"/>
      <c r="CM8518" s="336"/>
    </row>
    <row r="8519" spans="84:91" s="51" customFormat="1">
      <c r="CF8519" s="239"/>
      <c r="CM8519" s="336"/>
    </row>
    <row r="8520" spans="84:91" s="51" customFormat="1">
      <c r="CF8520" s="239"/>
      <c r="CM8520" s="336"/>
    </row>
    <row r="8521" spans="84:91" s="51" customFormat="1">
      <c r="CF8521" s="239"/>
      <c r="CM8521" s="336"/>
    </row>
    <row r="8522" spans="84:91" s="51" customFormat="1">
      <c r="CF8522" s="239"/>
      <c r="CM8522" s="336"/>
    </row>
    <row r="8523" spans="84:91" s="51" customFormat="1">
      <c r="CF8523" s="239"/>
      <c r="CM8523" s="336"/>
    </row>
    <row r="8524" spans="84:91" s="51" customFormat="1">
      <c r="CF8524" s="239"/>
      <c r="CM8524" s="336"/>
    </row>
    <row r="8525" spans="84:91" s="51" customFormat="1">
      <c r="CF8525" s="239"/>
      <c r="CM8525" s="336"/>
    </row>
    <row r="8526" spans="84:91" s="51" customFormat="1">
      <c r="CF8526" s="239"/>
      <c r="CM8526" s="336"/>
    </row>
    <row r="8527" spans="84:91" s="51" customFormat="1">
      <c r="CF8527" s="239"/>
      <c r="CM8527" s="336"/>
    </row>
    <row r="8528" spans="84:91" s="51" customFormat="1">
      <c r="CF8528" s="239"/>
      <c r="CM8528" s="336"/>
    </row>
    <row r="8529" spans="84:91" s="51" customFormat="1">
      <c r="CF8529" s="239"/>
      <c r="CM8529" s="336"/>
    </row>
    <row r="8530" spans="84:91" s="51" customFormat="1">
      <c r="CF8530" s="239"/>
      <c r="CM8530" s="336"/>
    </row>
    <row r="8531" spans="84:91" s="51" customFormat="1">
      <c r="CF8531" s="239"/>
      <c r="CM8531" s="336"/>
    </row>
    <row r="8532" spans="84:91" s="51" customFormat="1">
      <c r="CF8532" s="239"/>
      <c r="CM8532" s="336"/>
    </row>
    <row r="8533" spans="84:91" s="51" customFormat="1">
      <c r="CF8533" s="239"/>
      <c r="CM8533" s="336"/>
    </row>
    <row r="8534" spans="84:91" s="51" customFormat="1">
      <c r="CF8534" s="239"/>
      <c r="CM8534" s="336"/>
    </row>
    <row r="8535" spans="84:91" s="51" customFormat="1">
      <c r="CF8535" s="239"/>
      <c r="CM8535" s="336"/>
    </row>
    <row r="8536" spans="84:91" s="51" customFormat="1">
      <c r="CF8536" s="239"/>
      <c r="CM8536" s="336"/>
    </row>
    <row r="8537" spans="84:91" s="51" customFormat="1">
      <c r="CF8537" s="239"/>
      <c r="CM8537" s="336"/>
    </row>
    <row r="8538" spans="84:91" s="51" customFormat="1">
      <c r="CF8538" s="239"/>
      <c r="CM8538" s="336"/>
    </row>
    <row r="8539" spans="84:91" s="51" customFormat="1">
      <c r="CF8539" s="239"/>
      <c r="CM8539" s="336"/>
    </row>
    <row r="8540" spans="84:91" s="51" customFormat="1">
      <c r="CF8540" s="239"/>
      <c r="CM8540" s="336"/>
    </row>
    <row r="8541" spans="84:91" s="51" customFormat="1">
      <c r="CF8541" s="239"/>
      <c r="CM8541" s="336"/>
    </row>
    <row r="8542" spans="84:91" s="51" customFormat="1">
      <c r="CF8542" s="239"/>
      <c r="CM8542" s="336"/>
    </row>
    <row r="8543" spans="84:91" s="51" customFormat="1">
      <c r="CF8543" s="239"/>
      <c r="CM8543" s="336"/>
    </row>
    <row r="8544" spans="84:91" s="51" customFormat="1">
      <c r="CF8544" s="239"/>
      <c r="CM8544" s="336"/>
    </row>
    <row r="8545" spans="84:91" s="51" customFormat="1">
      <c r="CF8545" s="239"/>
      <c r="CM8545" s="336"/>
    </row>
    <row r="8546" spans="84:91" s="51" customFormat="1">
      <c r="CF8546" s="239"/>
      <c r="CM8546" s="336"/>
    </row>
    <row r="8547" spans="84:91" s="51" customFormat="1">
      <c r="CF8547" s="239"/>
      <c r="CM8547" s="336"/>
    </row>
    <row r="8548" spans="84:91" s="51" customFormat="1">
      <c r="CF8548" s="239"/>
      <c r="CM8548" s="336"/>
    </row>
    <row r="8549" spans="84:91" s="51" customFormat="1">
      <c r="CF8549" s="239"/>
      <c r="CM8549" s="336"/>
    </row>
    <row r="8550" spans="84:91" s="51" customFormat="1">
      <c r="CF8550" s="239"/>
      <c r="CM8550" s="336"/>
    </row>
    <row r="8551" spans="84:91" s="51" customFormat="1">
      <c r="CF8551" s="239"/>
      <c r="CM8551" s="336"/>
    </row>
    <row r="8552" spans="84:91" s="51" customFormat="1">
      <c r="CF8552" s="239"/>
      <c r="CM8552" s="336"/>
    </row>
    <row r="8553" spans="84:91" s="51" customFormat="1">
      <c r="CF8553" s="239"/>
      <c r="CM8553" s="336"/>
    </row>
    <row r="8554" spans="84:91" s="51" customFormat="1">
      <c r="CF8554" s="239"/>
      <c r="CM8554" s="336"/>
    </row>
    <row r="8555" spans="84:91" s="51" customFormat="1">
      <c r="CF8555" s="239"/>
      <c r="CM8555" s="336"/>
    </row>
    <row r="8556" spans="84:91" s="51" customFormat="1">
      <c r="CF8556" s="239"/>
      <c r="CM8556" s="336"/>
    </row>
    <row r="8557" spans="84:91" s="51" customFormat="1">
      <c r="CF8557" s="239"/>
      <c r="CM8557" s="336"/>
    </row>
    <row r="8558" spans="84:91" s="51" customFormat="1">
      <c r="CF8558" s="239"/>
      <c r="CM8558" s="336"/>
    </row>
    <row r="8559" spans="84:91" s="51" customFormat="1">
      <c r="CF8559" s="239"/>
      <c r="CM8559" s="336"/>
    </row>
    <row r="8560" spans="84:91" s="51" customFormat="1">
      <c r="CF8560" s="239"/>
      <c r="CM8560" s="336"/>
    </row>
    <row r="8561" spans="84:91" s="51" customFormat="1">
      <c r="CF8561" s="239"/>
      <c r="CM8561" s="336"/>
    </row>
    <row r="8562" spans="84:91" s="51" customFormat="1">
      <c r="CF8562" s="239"/>
      <c r="CM8562" s="336"/>
    </row>
    <row r="8563" spans="84:91" s="51" customFormat="1">
      <c r="CF8563" s="239"/>
      <c r="CM8563" s="336"/>
    </row>
    <row r="8564" spans="84:91" s="51" customFormat="1">
      <c r="CF8564" s="239"/>
      <c r="CM8564" s="336"/>
    </row>
    <row r="8565" spans="84:91" s="51" customFormat="1">
      <c r="CF8565" s="239"/>
      <c r="CM8565" s="336"/>
    </row>
    <row r="8566" spans="84:91" s="51" customFormat="1">
      <c r="CF8566" s="239"/>
      <c r="CM8566" s="336"/>
    </row>
    <row r="8567" spans="84:91" s="51" customFormat="1">
      <c r="CF8567" s="239"/>
      <c r="CM8567" s="336"/>
    </row>
    <row r="8568" spans="84:91" s="51" customFormat="1">
      <c r="CF8568" s="239"/>
      <c r="CM8568" s="336"/>
    </row>
    <row r="8569" spans="84:91" s="51" customFormat="1">
      <c r="CF8569" s="239"/>
      <c r="CM8569" s="336"/>
    </row>
    <row r="8570" spans="84:91" s="51" customFormat="1">
      <c r="CF8570" s="239"/>
      <c r="CM8570" s="336"/>
    </row>
    <row r="8571" spans="84:91" s="51" customFormat="1">
      <c r="CF8571" s="239"/>
      <c r="CM8571" s="336"/>
    </row>
    <row r="8572" spans="84:91" s="51" customFormat="1">
      <c r="CF8572" s="239"/>
      <c r="CM8572" s="336"/>
    </row>
    <row r="8573" spans="84:91" s="51" customFormat="1">
      <c r="CF8573" s="239"/>
      <c r="CM8573" s="336"/>
    </row>
    <row r="8574" spans="84:91" s="51" customFormat="1">
      <c r="CF8574" s="239"/>
      <c r="CM8574" s="336"/>
    </row>
    <row r="8575" spans="84:91" s="51" customFormat="1">
      <c r="CF8575" s="239"/>
      <c r="CM8575" s="336"/>
    </row>
    <row r="8576" spans="84:91" s="51" customFormat="1">
      <c r="CF8576" s="239"/>
      <c r="CM8576" s="336"/>
    </row>
    <row r="8577" spans="84:91" s="51" customFormat="1">
      <c r="CF8577" s="239"/>
      <c r="CM8577" s="336"/>
    </row>
    <row r="8578" spans="84:91" s="51" customFormat="1">
      <c r="CF8578" s="239"/>
      <c r="CM8578" s="336"/>
    </row>
    <row r="8579" spans="84:91" s="51" customFormat="1">
      <c r="CF8579" s="239"/>
      <c r="CM8579" s="336"/>
    </row>
    <row r="8580" spans="84:91" s="51" customFormat="1">
      <c r="CF8580" s="239"/>
      <c r="CM8580" s="336"/>
    </row>
    <row r="8581" spans="84:91" s="51" customFormat="1">
      <c r="CF8581" s="239"/>
      <c r="CM8581" s="336"/>
    </row>
    <row r="8582" spans="84:91" s="51" customFormat="1">
      <c r="CF8582" s="239"/>
      <c r="CM8582" s="336"/>
    </row>
    <row r="8583" spans="84:91" s="51" customFormat="1">
      <c r="CF8583" s="239"/>
      <c r="CM8583" s="336"/>
    </row>
    <row r="8584" spans="84:91" s="51" customFormat="1">
      <c r="CF8584" s="239"/>
      <c r="CM8584" s="336"/>
    </row>
    <row r="8585" spans="84:91" s="51" customFormat="1">
      <c r="CF8585" s="239"/>
      <c r="CM8585" s="336"/>
    </row>
    <row r="8586" spans="84:91" s="51" customFormat="1">
      <c r="CF8586" s="239"/>
      <c r="CM8586" s="336"/>
    </row>
    <row r="8587" spans="84:91" s="51" customFormat="1">
      <c r="CF8587" s="239"/>
      <c r="CM8587" s="336"/>
    </row>
    <row r="8588" spans="84:91" s="51" customFormat="1">
      <c r="CF8588" s="239"/>
      <c r="CM8588" s="336"/>
    </row>
    <row r="8589" spans="84:91" s="51" customFormat="1">
      <c r="CF8589" s="239"/>
      <c r="CM8589" s="336"/>
    </row>
    <row r="8590" spans="84:91" s="51" customFormat="1">
      <c r="CF8590" s="239"/>
      <c r="CM8590" s="336"/>
    </row>
    <row r="8591" spans="84:91" s="51" customFormat="1">
      <c r="CF8591" s="239"/>
      <c r="CM8591" s="336"/>
    </row>
    <row r="8592" spans="84:91" s="51" customFormat="1">
      <c r="CF8592" s="239"/>
      <c r="CM8592" s="336"/>
    </row>
    <row r="8593" spans="84:91" s="51" customFormat="1">
      <c r="CF8593" s="239"/>
      <c r="CM8593" s="336"/>
    </row>
    <row r="8594" spans="84:91" s="51" customFormat="1">
      <c r="CF8594" s="239"/>
      <c r="CM8594" s="336"/>
    </row>
    <row r="8595" spans="84:91" s="51" customFormat="1">
      <c r="CF8595" s="239"/>
      <c r="CM8595" s="336"/>
    </row>
    <row r="8596" spans="84:91" s="51" customFormat="1">
      <c r="CF8596" s="239"/>
      <c r="CM8596" s="336"/>
    </row>
    <row r="8597" spans="84:91" s="51" customFormat="1">
      <c r="CF8597" s="239"/>
      <c r="CM8597" s="336"/>
    </row>
    <row r="8598" spans="84:91" s="51" customFormat="1">
      <c r="CF8598" s="239"/>
      <c r="CM8598" s="336"/>
    </row>
    <row r="8599" spans="84:91" s="51" customFormat="1">
      <c r="CF8599" s="239"/>
      <c r="CM8599" s="336"/>
    </row>
    <row r="8600" spans="84:91" s="51" customFormat="1">
      <c r="CF8600" s="239"/>
      <c r="CM8600" s="336"/>
    </row>
    <row r="8601" spans="84:91" s="51" customFormat="1">
      <c r="CF8601" s="239"/>
      <c r="CM8601" s="336"/>
    </row>
    <row r="8602" spans="84:91" s="51" customFormat="1">
      <c r="CF8602" s="239"/>
      <c r="CM8602" s="336"/>
    </row>
    <row r="8603" spans="84:91" s="51" customFormat="1">
      <c r="CF8603" s="239"/>
      <c r="CM8603" s="336"/>
    </row>
    <row r="8604" spans="84:91" s="51" customFormat="1">
      <c r="CF8604" s="239"/>
      <c r="CM8604" s="336"/>
    </row>
    <row r="8605" spans="84:91" s="51" customFormat="1">
      <c r="CF8605" s="239"/>
      <c r="CM8605" s="336"/>
    </row>
    <row r="8606" spans="84:91" s="51" customFormat="1">
      <c r="CF8606" s="239"/>
      <c r="CM8606" s="336"/>
    </row>
    <row r="8607" spans="84:91" s="51" customFormat="1">
      <c r="CF8607" s="239"/>
      <c r="CM8607" s="336"/>
    </row>
    <row r="8608" spans="84:91" s="51" customFormat="1">
      <c r="CF8608" s="239"/>
      <c r="CM8608" s="336"/>
    </row>
    <row r="8609" spans="84:91" s="51" customFormat="1">
      <c r="CF8609" s="239"/>
      <c r="CM8609" s="336"/>
    </row>
    <row r="8610" spans="84:91" s="51" customFormat="1">
      <c r="CF8610" s="239"/>
      <c r="CM8610" s="336"/>
    </row>
    <row r="8611" spans="84:91" s="51" customFormat="1">
      <c r="CF8611" s="239"/>
      <c r="CM8611" s="336"/>
    </row>
    <row r="8612" spans="84:91" s="51" customFormat="1">
      <c r="CF8612" s="239"/>
      <c r="CM8612" s="336"/>
    </row>
    <row r="8613" spans="84:91" s="51" customFormat="1">
      <c r="CF8613" s="239"/>
      <c r="CM8613" s="336"/>
    </row>
    <row r="8614" spans="84:91" s="51" customFormat="1">
      <c r="CF8614" s="239"/>
      <c r="CM8614" s="336"/>
    </row>
    <row r="8615" spans="84:91" s="51" customFormat="1">
      <c r="CF8615" s="239"/>
      <c r="CM8615" s="336"/>
    </row>
    <row r="8616" spans="84:91" s="51" customFormat="1">
      <c r="CF8616" s="239"/>
      <c r="CM8616" s="336"/>
    </row>
    <row r="8617" spans="84:91" s="51" customFormat="1">
      <c r="CF8617" s="239"/>
      <c r="CM8617" s="336"/>
    </row>
    <row r="8618" spans="84:91" s="51" customFormat="1">
      <c r="CF8618" s="239"/>
      <c r="CM8618" s="336"/>
    </row>
    <row r="8619" spans="84:91" s="51" customFormat="1">
      <c r="CF8619" s="239"/>
      <c r="CM8619" s="336"/>
    </row>
    <row r="8620" spans="84:91" s="51" customFormat="1">
      <c r="CF8620" s="239"/>
      <c r="CM8620" s="336"/>
    </row>
    <row r="8621" spans="84:91" s="51" customFormat="1">
      <c r="CF8621" s="239"/>
      <c r="CM8621" s="336"/>
    </row>
    <row r="8622" spans="84:91" s="51" customFormat="1">
      <c r="CF8622" s="239"/>
      <c r="CM8622" s="336"/>
    </row>
    <row r="8623" spans="84:91" s="51" customFormat="1">
      <c r="CF8623" s="239"/>
      <c r="CM8623" s="336"/>
    </row>
    <row r="8624" spans="84:91" s="51" customFormat="1">
      <c r="CF8624" s="239"/>
      <c r="CM8624" s="336"/>
    </row>
    <row r="8625" spans="84:91" s="51" customFormat="1">
      <c r="CF8625" s="239"/>
      <c r="CM8625" s="336"/>
    </row>
    <row r="8626" spans="84:91" s="51" customFormat="1">
      <c r="CF8626" s="239"/>
      <c r="CM8626" s="336"/>
    </row>
    <row r="8627" spans="84:91" s="51" customFormat="1">
      <c r="CF8627" s="239"/>
      <c r="CM8627" s="336"/>
    </row>
    <row r="8628" spans="84:91" s="51" customFormat="1">
      <c r="CF8628" s="239"/>
      <c r="CM8628" s="336"/>
    </row>
    <row r="8629" spans="84:91" s="51" customFormat="1">
      <c r="CF8629" s="239"/>
      <c r="CM8629" s="336"/>
    </row>
    <row r="8630" spans="84:91" s="51" customFormat="1">
      <c r="CF8630" s="239"/>
      <c r="CM8630" s="336"/>
    </row>
    <row r="8631" spans="84:91" s="51" customFormat="1">
      <c r="CF8631" s="239"/>
      <c r="CM8631" s="336"/>
    </row>
    <row r="8632" spans="84:91" s="51" customFormat="1">
      <c r="CF8632" s="239"/>
      <c r="CM8632" s="336"/>
    </row>
    <row r="8633" spans="84:91" s="51" customFormat="1">
      <c r="CF8633" s="239"/>
      <c r="CM8633" s="336"/>
    </row>
    <row r="8634" spans="84:91" s="51" customFormat="1">
      <c r="CF8634" s="239"/>
      <c r="CM8634" s="336"/>
    </row>
    <row r="8635" spans="84:91" s="51" customFormat="1">
      <c r="CF8635" s="239"/>
      <c r="CM8635" s="336"/>
    </row>
    <row r="8636" spans="84:91" s="51" customFormat="1">
      <c r="CF8636" s="239"/>
      <c r="CM8636" s="336"/>
    </row>
    <row r="8637" spans="84:91" s="51" customFormat="1">
      <c r="CF8637" s="239"/>
      <c r="CM8637" s="336"/>
    </row>
    <row r="8638" spans="84:91" s="51" customFormat="1">
      <c r="CF8638" s="239"/>
      <c r="CM8638" s="336"/>
    </row>
    <row r="8639" spans="84:91" s="51" customFormat="1">
      <c r="CF8639" s="239"/>
      <c r="CM8639" s="336"/>
    </row>
    <row r="8640" spans="84:91" s="51" customFormat="1">
      <c r="CF8640" s="239"/>
      <c r="CM8640" s="336"/>
    </row>
    <row r="8641" spans="84:91" s="51" customFormat="1">
      <c r="CF8641" s="239"/>
      <c r="CM8641" s="336"/>
    </row>
    <row r="8642" spans="84:91" s="51" customFormat="1">
      <c r="CF8642" s="239"/>
      <c r="CM8642" s="336"/>
    </row>
    <row r="8643" spans="84:91" s="51" customFormat="1">
      <c r="CF8643" s="239"/>
      <c r="CM8643" s="336"/>
    </row>
    <row r="8644" spans="84:91" s="51" customFormat="1">
      <c r="CF8644" s="239"/>
      <c r="CM8644" s="336"/>
    </row>
    <row r="8645" spans="84:91" s="51" customFormat="1">
      <c r="CF8645" s="239"/>
      <c r="CM8645" s="336"/>
    </row>
    <row r="8646" spans="84:91" s="51" customFormat="1">
      <c r="CF8646" s="239"/>
      <c r="CM8646" s="336"/>
    </row>
    <row r="8647" spans="84:91" s="51" customFormat="1">
      <c r="CF8647" s="239"/>
      <c r="CM8647" s="336"/>
    </row>
    <row r="8648" spans="84:91" s="51" customFormat="1">
      <c r="CF8648" s="239"/>
      <c r="CM8648" s="336"/>
    </row>
    <row r="8649" spans="84:91" s="51" customFormat="1">
      <c r="CF8649" s="239"/>
      <c r="CM8649" s="336"/>
    </row>
    <row r="8650" spans="84:91" s="51" customFormat="1">
      <c r="CF8650" s="239"/>
      <c r="CM8650" s="336"/>
    </row>
    <row r="8651" spans="84:91" s="51" customFormat="1">
      <c r="CF8651" s="239"/>
      <c r="CM8651" s="336"/>
    </row>
    <row r="8652" spans="84:91" s="51" customFormat="1">
      <c r="CF8652" s="239"/>
      <c r="CM8652" s="336"/>
    </row>
    <row r="8653" spans="84:91" s="51" customFormat="1">
      <c r="CF8653" s="239"/>
      <c r="CM8653" s="336"/>
    </row>
    <row r="8654" spans="84:91" s="51" customFormat="1">
      <c r="CF8654" s="239"/>
      <c r="CM8654" s="336"/>
    </row>
    <row r="8655" spans="84:91" s="51" customFormat="1">
      <c r="CF8655" s="239"/>
      <c r="CM8655" s="336"/>
    </row>
    <row r="8656" spans="84:91" s="51" customFormat="1">
      <c r="CF8656" s="239"/>
      <c r="CM8656" s="336"/>
    </row>
    <row r="8657" spans="84:91" s="51" customFormat="1">
      <c r="CF8657" s="239"/>
      <c r="CM8657" s="336"/>
    </row>
    <row r="8658" spans="84:91" s="51" customFormat="1">
      <c r="CF8658" s="239"/>
      <c r="CM8658" s="336"/>
    </row>
    <row r="8659" spans="84:91" s="51" customFormat="1">
      <c r="CF8659" s="239"/>
      <c r="CM8659" s="336"/>
    </row>
    <row r="8660" spans="84:91" s="51" customFormat="1">
      <c r="CF8660" s="239"/>
      <c r="CM8660" s="336"/>
    </row>
    <row r="8661" spans="84:91" s="51" customFormat="1">
      <c r="CF8661" s="239"/>
      <c r="CM8661" s="336"/>
    </row>
    <row r="8662" spans="84:91" s="51" customFormat="1">
      <c r="CF8662" s="239"/>
      <c r="CM8662" s="336"/>
    </row>
    <row r="8663" spans="84:91" s="51" customFormat="1">
      <c r="CF8663" s="239"/>
      <c r="CM8663" s="336"/>
    </row>
    <row r="8664" spans="84:91" s="51" customFormat="1">
      <c r="CF8664" s="239"/>
      <c r="CM8664" s="336"/>
    </row>
    <row r="8665" spans="84:91" s="51" customFormat="1">
      <c r="CF8665" s="239"/>
      <c r="CM8665" s="336"/>
    </row>
    <row r="8666" spans="84:91" s="51" customFormat="1">
      <c r="CF8666" s="239"/>
      <c r="CM8666" s="336"/>
    </row>
    <row r="8667" spans="84:91" s="51" customFormat="1">
      <c r="CF8667" s="239"/>
      <c r="CM8667" s="336"/>
    </row>
    <row r="8668" spans="84:91" s="51" customFormat="1">
      <c r="CF8668" s="239"/>
      <c r="CM8668" s="336"/>
    </row>
    <row r="8669" spans="84:91" s="51" customFormat="1">
      <c r="CF8669" s="239"/>
      <c r="CM8669" s="336"/>
    </row>
    <row r="8670" spans="84:91" s="51" customFormat="1">
      <c r="CF8670" s="239"/>
      <c r="CM8670" s="336"/>
    </row>
    <row r="8671" spans="84:91" s="51" customFormat="1">
      <c r="CF8671" s="239"/>
      <c r="CM8671" s="336"/>
    </row>
    <row r="8672" spans="84:91" s="51" customFormat="1">
      <c r="CF8672" s="239"/>
      <c r="CM8672" s="336"/>
    </row>
    <row r="8673" spans="84:91" s="51" customFormat="1">
      <c r="CF8673" s="239"/>
      <c r="CM8673" s="336"/>
    </row>
    <row r="8674" spans="84:91" s="51" customFormat="1">
      <c r="CF8674" s="239"/>
      <c r="CM8674" s="336"/>
    </row>
    <row r="8675" spans="84:91" s="51" customFormat="1">
      <c r="CF8675" s="239"/>
      <c r="CM8675" s="336"/>
    </row>
    <row r="8676" spans="84:91" s="51" customFormat="1">
      <c r="CF8676" s="239"/>
      <c r="CM8676" s="336"/>
    </row>
    <row r="8677" spans="84:91" s="51" customFormat="1">
      <c r="CF8677" s="239"/>
      <c r="CM8677" s="336"/>
    </row>
    <row r="8678" spans="84:91" s="51" customFormat="1">
      <c r="CF8678" s="239"/>
      <c r="CM8678" s="336"/>
    </row>
    <row r="8679" spans="84:91" s="51" customFormat="1">
      <c r="CF8679" s="239"/>
      <c r="CM8679" s="336"/>
    </row>
    <row r="8680" spans="84:91" s="51" customFormat="1">
      <c r="CF8680" s="239"/>
      <c r="CM8680" s="336"/>
    </row>
    <row r="8681" spans="84:91" s="51" customFormat="1">
      <c r="CF8681" s="239"/>
      <c r="CM8681" s="336"/>
    </row>
    <row r="8682" spans="84:91" s="51" customFormat="1">
      <c r="CF8682" s="239"/>
      <c r="CM8682" s="336"/>
    </row>
    <row r="8683" spans="84:91" s="51" customFormat="1">
      <c r="CF8683" s="239"/>
      <c r="CM8683" s="336"/>
    </row>
    <row r="8684" spans="84:91" s="51" customFormat="1">
      <c r="CF8684" s="239"/>
      <c r="CM8684" s="336"/>
    </row>
    <row r="8685" spans="84:91" s="51" customFormat="1">
      <c r="CF8685" s="239"/>
      <c r="CM8685" s="336"/>
    </row>
    <row r="8686" spans="84:91" s="51" customFormat="1">
      <c r="CF8686" s="239"/>
      <c r="CM8686" s="336"/>
    </row>
    <row r="8687" spans="84:91" s="51" customFormat="1">
      <c r="CF8687" s="239"/>
      <c r="CM8687" s="336"/>
    </row>
    <row r="8688" spans="84:91" s="51" customFormat="1">
      <c r="CF8688" s="239"/>
      <c r="CM8688" s="336"/>
    </row>
    <row r="8689" spans="84:91" s="51" customFormat="1">
      <c r="CF8689" s="239"/>
      <c r="CM8689" s="336"/>
    </row>
    <row r="8690" spans="84:91" s="51" customFormat="1">
      <c r="CF8690" s="239"/>
      <c r="CM8690" s="336"/>
    </row>
    <row r="8691" spans="84:91" s="51" customFormat="1">
      <c r="CF8691" s="239"/>
      <c r="CM8691" s="336"/>
    </row>
    <row r="8692" spans="84:91" s="51" customFormat="1">
      <c r="CF8692" s="239"/>
      <c r="CM8692" s="336"/>
    </row>
    <row r="8693" spans="84:91" s="51" customFormat="1">
      <c r="CF8693" s="239"/>
      <c r="CM8693" s="336"/>
    </row>
    <row r="8694" spans="84:91" s="51" customFormat="1">
      <c r="CF8694" s="239"/>
      <c r="CM8694" s="336"/>
    </row>
    <row r="8695" spans="84:91" s="51" customFormat="1">
      <c r="CF8695" s="239"/>
      <c r="CM8695" s="336"/>
    </row>
    <row r="8696" spans="84:91" s="51" customFormat="1">
      <c r="CF8696" s="239"/>
      <c r="CM8696" s="336"/>
    </row>
    <row r="8697" spans="84:91" s="51" customFormat="1">
      <c r="CF8697" s="239"/>
      <c r="CM8697" s="336"/>
    </row>
    <row r="8698" spans="84:91" s="51" customFormat="1">
      <c r="CF8698" s="239"/>
      <c r="CM8698" s="336"/>
    </row>
    <row r="8699" spans="84:91" s="51" customFormat="1">
      <c r="CF8699" s="239"/>
      <c r="CM8699" s="336"/>
    </row>
    <row r="8700" spans="84:91" s="51" customFormat="1">
      <c r="CF8700" s="239"/>
      <c r="CM8700" s="336"/>
    </row>
    <row r="8701" spans="84:91" s="51" customFormat="1">
      <c r="CF8701" s="239"/>
      <c r="CM8701" s="336"/>
    </row>
    <row r="8702" spans="84:91" s="51" customFormat="1">
      <c r="CF8702" s="239"/>
      <c r="CM8702" s="336"/>
    </row>
    <row r="8703" spans="84:91" s="51" customFormat="1">
      <c r="CF8703" s="239"/>
      <c r="CM8703" s="336"/>
    </row>
    <row r="8704" spans="84:91" s="51" customFormat="1">
      <c r="CF8704" s="239"/>
      <c r="CM8704" s="336"/>
    </row>
    <row r="8705" spans="84:91" s="51" customFormat="1">
      <c r="CF8705" s="239"/>
      <c r="CM8705" s="336"/>
    </row>
    <row r="8706" spans="84:91" s="51" customFormat="1">
      <c r="CF8706" s="239"/>
      <c r="CM8706" s="336"/>
    </row>
    <row r="8707" spans="84:91" s="51" customFormat="1">
      <c r="CF8707" s="239"/>
      <c r="CM8707" s="336"/>
    </row>
    <row r="8708" spans="84:91" s="51" customFormat="1">
      <c r="CF8708" s="239"/>
      <c r="CM8708" s="336"/>
    </row>
    <row r="8709" spans="84:91" s="51" customFormat="1">
      <c r="CF8709" s="239"/>
      <c r="CM8709" s="336"/>
    </row>
    <row r="8710" spans="84:91" s="51" customFormat="1">
      <c r="CF8710" s="239"/>
      <c r="CM8710" s="336"/>
    </row>
    <row r="8711" spans="84:91" s="51" customFormat="1">
      <c r="CF8711" s="239"/>
      <c r="CM8711" s="336"/>
    </row>
    <row r="8712" spans="84:91" s="51" customFormat="1">
      <c r="CF8712" s="239"/>
      <c r="CM8712" s="336"/>
    </row>
    <row r="8713" spans="84:91" s="51" customFormat="1">
      <c r="CF8713" s="239"/>
      <c r="CM8713" s="336"/>
    </row>
    <row r="8714" spans="84:91" s="51" customFormat="1">
      <c r="CF8714" s="239"/>
      <c r="CM8714" s="336"/>
    </row>
    <row r="8715" spans="84:91" s="51" customFormat="1">
      <c r="CF8715" s="239"/>
      <c r="CM8715" s="336"/>
    </row>
    <row r="8716" spans="84:91" s="51" customFormat="1">
      <c r="CF8716" s="239"/>
      <c r="CM8716" s="336"/>
    </row>
    <row r="8717" spans="84:91" s="51" customFormat="1">
      <c r="CF8717" s="239"/>
      <c r="CM8717" s="336"/>
    </row>
    <row r="8718" spans="84:91" s="51" customFormat="1">
      <c r="CF8718" s="239"/>
      <c r="CM8718" s="336"/>
    </row>
    <row r="8719" spans="84:91" s="51" customFormat="1">
      <c r="CF8719" s="239"/>
      <c r="CM8719" s="336"/>
    </row>
    <row r="8720" spans="84:91" s="51" customFormat="1">
      <c r="CF8720" s="239"/>
      <c r="CM8720" s="336"/>
    </row>
    <row r="8721" spans="84:91" s="51" customFormat="1">
      <c r="CF8721" s="239"/>
      <c r="CM8721" s="336"/>
    </row>
    <row r="8722" spans="84:91" s="51" customFormat="1">
      <c r="CF8722" s="239"/>
      <c r="CM8722" s="336"/>
    </row>
    <row r="8723" spans="84:91" s="51" customFormat="1">
      <c r="CF8723" s="239"/>
      <c r="CM8723" s="336"/>
    </row>
    <row r="8724" spans="84:91" s="51" customFormat="1">
      <c r="CF8724" s="239"/>
      <c r="CM8724" s="336"/>
    </row>
    <row r="8725" spans="84:91" s="51" customFormat="1">
      <c r="CF8725" s="239"/>
      <c r="CM8725" s="336"/>
    </row>
    <row r="8726" spans="84:91" s="51" customFormat="1">
      <c r="CF8726" s="239"/>
      <c r="CM8726" s="336"/>
    </row>
    <row r="8727" spans="84:91" s="51" customFormat="1">
      <c r="CF8727" s="239"/>
      <c r="CM8727" s="336"/>
    </row>
    <row r="8728" spans="84:91" s="51" customFormat="1">
      <c r="CF8728" s="239"/>
      <c r="CM8728" s="336"/>
    </row>
    <row r="8729" spans="84:91" s="51" customFormat="1">
      <c r="CF8729" s="239"/>
      <c r="CM8729" s="336"/>
    </row>
    <row r="8730" spans="84:91" s="51" customFormat="1">
      <c r="CF8730" s="239"/>
      <c r="CM8730" s="336"/>
    </row>
    <row r="8731" spans="84:91" s="51" customFormat="1">
      <c r="CF8731" s="239"/>
      <c r="CM8731" s="336"/>
    </row>
    <row r="8732" spans="84:91" s="51" customFormat="1">
      <c r="CF8732" s="239"/>
      <c r="CM8732" s="336"/>
    </row>
    <row r="8733" spans="84:91" s="51" customFormat="1">
      <c r="CF8733" s="239"/>
      <c r="CM8733" s="336"/>
    </row>
    <row r="8734" spans="84:91" s="51" customFormat="1">
      <c r="CF8734" s="239"/>
      <c r="CM8734" s="336"/>
    </row>
    <row r="8735" spans="84:91" s="51" customFormat="1">
      <c r="CF8735" s="239"/>
      <c r="CM8735" s="336"/>
    </row>
    <row r="8736" spans="84:91" s="51" customFormat="1">
      <c r="CF8736" s="239"/>
      <c r="CM8736" s="336"/>
    </row>
    <row r="8737" spans="84:91" s="51" customFormat="1">
      <c r="CF8737" s="239"/>
      <c r="CM8737" s="336"/>
    </row>
    <row r="8738" spans="84:91" s="51" customFormat="1">
      <c r="CF8738" s="239"/>
      <c r="CM8738" s="336"/>
    </row>
    <row r="8739" spans="84:91" s="51" customFormat="1">
      <c r="CF8739" s="239"/>
      <c r="CM8739" s="336"/>
    </row>
    <row r="8740" spans="84:91" s="51" customFormat="1">
      <c r="CF8740" s="239"/>
      <c r="CM8740" s="336"/>
    </row>
    <row r="8741" spans="84:91" s="51" customFormat="1">
      <c r="CF8741" s="239"/>
      <c r="CM8741" s="336"/>
    </row>
    <row r="8742" spans="84:91" s="51" customFormat="1">
      <c r="CF8742" s="239"/>
      <c r="CM8742" s="336"/>
    </row>
    <row r="8743" spans="84:91" s="51" customFormat="1">
      <c r="CF8743" s="239"/>
      <c r="CM8743" s="336"/>
    </row>
    <row r="8744" spans="84:91" s="51" customFormat="1">
      <c r="CF8744" s="239"/>
      <c r="CM8744" s="336"/>
    </row>
    <row r="8745" spans="84:91" s="51" customFormat="1">
      <c r="CF8745" s="239"/>
      <c r="CM8745" s="336"/>
    </row>
    <row r="8746" spans="84:91" s="51" customFormat="1">
      <c r="CF8746" s="239"/>
      <c r="CM8746" s="336"/>
    </row>
    <row r="8747" spans="84:91" s="51" customFormat="1">
      <c r="CF8747" s="239"/>
      <c r="CM8747" s="336"/>
    </row>
    <row r="8748" spans="84:91" s="51" customFormat="1">
      <c r="CF8748" s="239"/>
      <c r="CM8748" s="336"/>
    </row>
    <row r="8749" spans="84:91" s="51" customFormat="1">
      <c r="CF8749" s="239"/>
      <c r="CM8749" s="336"/>
    </row>
    <row r="8750" spans="84:91" s="51" customFormat="1">
      <c r="CF8750" s="239"/>
      <c r="CM8750" s="336"/>
    </row>
    <row r="8751" spans="84:91" s="51" customFormat="1">
      <c r="CF8751" s="239"/>
      <c r="CM8751" s="336"/>
    </row>
    <row r="8752" spans="84:91" s="51" customFormat="1">
      <c r="CF8752" s="239"/>
      <c r="CM8752" s="336"/>
    </row>
    <row r="8753" spans="84:91" s="51" customFormat="1">
      <c r="CF8753" s="239"/>
      <c r="CM8753" s="336"/>
    </row>
    <row r="8754" spans="84:91" s="51" customFormat="1">
      <c r="CF8754" s="239"/>
      <c r="CM8754" s="336"/>
    </row>
    <row r="8755" spans="84:91" s="51" customFormat="1">
      <c r="CF8755" s="239"/>
      <c r="CM8755" s="336"/>
    </row>
    <row r="8756" spans="84:91" s="51" customFormat="1">
      <c r="CF8756" s="239"/>
      <c r="CM8756" s="336"/>
    </row>
    <row r="8757" spans="84:91" s="51" customFormat="1">
      <c r="CF8757" s="239"/>
      <c r="CM8757" s="336"/>
    </row>
    <row r="8758" spans="84:91" s="51" customFormat="1">
      <c r="CF8758" s="239"/>
      <c r="CM8758" s="336"/>
    </row>
    <row r="8759" spans="84:91" s="51" customFormat="1">
      <c r="CF8759" s="239"/>
      <c r="CM8759" s="336"/>
    </row>
    <row r="8760" spans="84:91" s="51" customFormat="1">
      <c r="CF8760" s="239"/>
      <c r="CM8760" s="336"/>
    </row>
    <row r="8761" spans="84:91" s="51" customFormat="1">
      <c r="CF8761" s="239"/>
      <c r="CM8761" s="336"/>
    </row>
    <row r="8762" spans="84:91" s="51" customFormat="1">
      <c r="CF8762" s="239"/>
      <c r="CM8762" s="336"/>
    </row>
    <row r="8763" spans="84:91" s="51" customFormat="1">
      <c r="CF8763" s="239"/>
      <c r="CM8763" s="336"/>
    </row>
    <row r="8764" spans="84:91" s="51" customFormat="1">
      <c r="CF8764" s="239"/>
      <c r="CM8764" s="336"/>
    </row>
    <row r="8765" spans="84:91" s="51" customFormat="1">
      <c r="CF8765" s="239"/>
      <c r="CM8765" s="336"/>
    </row>
    <row r="8766" spans="84:91" s="51" customFormat="1">
      <c r="CF8766" s="239"/>
      <c r="CM8766" s="336"/>
    </row>
    <row r="8767" spans="84:91" s="51" customFormat="1">
      <c r="CF8767" s="239"/>
      <c r="CM8767" s="336"/>
    </row>
    <row r="8768" spans="84:91" s="51" customFormat="1">
      <c r="CF8768" s="239"/>
      <c r="CM8768" s="336"/>
    </row>
    <row r="8769" spans="84:91" s="51" customFormat="1">
      <c r="CF8769" s="239"/>
      <c r="CM8769" s="336"/>
    </row>
    <row r="8770" spans="84:91" s="51" customFormat="1">
      <c r="CF8770" s="239"/>
      <c r="CM8770" s="336"/>
    </row>
    <row r="8771" spans="84:91" s="51" customFormat="1">
      <c r="CF8771" s="239"/>
      <c r="CM8771" s="336"/>
    </row>
    <row r="8772" spans="84:91" s="51" customFormat="1">
      <c r="CF8772" s="239"/>
      <c r="CM8772" s="336"/>
    </row>
    <row r="8773" spans="84:91" s="51" customFormat="1">
      <c r="CF8773" s="239"/>
      <c r="CM8773" s="336"/>
    </row>
    <row r="8774" spans="84:91" s="51" customFormat="1">
      <c r="CF8774" s="239"/>
      <c r="CM8774" s="336"/>
    </row>
    <row r="8775" spans="84:91" s="51" customFormat="1">
      <c r="CF8775" s="239"/>
      <c r="CM8775" s="336"/>
    </row>
    <row r="8776" spans="84:91" s="51" customFormat="1">
      <c r="CF8776" s="239"/>
      <c r="CM8776" s="336"/>
    </row>
    <row r="8777" spans="84:91" s="51" customFormat="1">
      <c r="CF8777" s="239"/>
      <c r="CM8777" s="336"/>
    </row>
    <row r="8778" spans="84:91" s="51" customFormat="1">
      <c r="CF8778" s="239"/>
      <c r="CM8778" s="336"/>
    </row>
    <row r="8779" spans="84:91" s="51" customFormat="1">
      <c r="CF8779" s="239"/>
      <c r="CM8779" s="336"/>
    </row>
    <row r="8780" spans="84:91" s="51" customFormat="1">
      <c r="CF8780" s="239"/>
      <c r="CM8780" s="336"/>
    </row>
    <row r="8781" spans="84:91" s="51" customFormat="1">
      <c r="CF8781" s="239"/>
      <c r="CM8781" s="336"/>
    </row>
    <row r="8782" spans="84:91" s="51" customFormat="1">
      <c r="CF8782" s="239"/>
      <c r="CM8782" s="336"/>
    </row>
    <row r="8783" spans="84:91" s="51" customFormat="1">
      <c r="CF8783" s="239"/>
      <c r="CM8783" s="336"/>
    </row>
    <row r="8784" spans="84:91" s="51" customFormat="1">
      <c r="CF8784" s="239"/>
      <c r="CM8784" s="336"/>
    </row>
    <row r="8785" spans="84:91" s="51" customFormat="1">
      <c r="CF8785" s="239"/>
      <c r="CM8785" s="336"/>
    </row>
    <row r="8786" spans="84:91" s="51" customFormat="1">
      <c r="CF8786" s="239"/>
      <c r="CM8786" s="336"/>
    </row>
    <row r="8787" spans="84:91" s="51" customFormat="1">
      <c r="CF8787" s="239"/>
      <c r="CM8787" s="336"/>
    </row>
    <row r="8788" spans="84:91" s="51" customFormat="1">
      <c r="CF8788" s="239"/>
      <c r="CM8788" s="336"/>
    </row>
    <row r="8789" spans="84:91" s="51" customFormat="1">
      <c r="CF8789" s="239"/>
      <c r="CM8789" s="336"/>
    </row>
    <row r="8790" spans="84:91" s="51" customFormat="1">
      <c r="CF8790" s="239"/>
      <c r="CM8790" s="336"/>
    </row>
    <row r="8791" spans="84:91" s="51" customFormat="1">
      <c r="CF8791" s="239"/>
      <c r="CM8791" s="336"/>
    </row>
    <row r="8792" spans="84:91" s="51" customFormat="1">
      <c r="CF8792" s="239"/>
      <c r="CM8792" s="336"/>
    </row>
    <row r="8793" spans="84:91" s="51" customFormat="1">
      <c r="CF8793" s="239"/>
      <c r="CM8793" s="336"/>
    </row>
    <row r="8794" spans="84:91" s="51" customFormat="1">
      <c r="CF8794" s="239"/>
      <c r="CM8794" s="336"/>
    </row>
    <row r="8795" spans="84:91" s="51" customFormat="1">
      <c r="CF8795" s="239"/>
      <c r="CM8795" s="336"/>
    </row>
    <row r="8796" spans="84:91" s="51" customFormat="1">
      <c r="CF8796" s="239"/>
      <c r="CM8796" s="336"/>
    </row>
    <row r="8797" spans="84:91" s="51" customFormat="1">
      <c r="CF8797" s="239"/>
      <c r="CM8797" s="336"/>
    </row>
    <row r="8798" spans="84:91" s="51" customFormat="1">
      <c r="CF8798" s="239"/>
      <c r="CM8798" s="336"/>
    </row>
    <row r="8799" spans="84:91" s="51" customFormat="1">
      <c r="CF8799" s="239"/>
      <c r="CM8799" s="336"/>
    </row>
    <row r="8800" spans="84:91" s="51" customFormat="1">
      <c r="CF8800" s="239"/>
      <c r="CM8800" s="336"/>
    </row>
    <row r="8801" spans="84:91" s="51" customFormat="1">
      <c r="CF8801" s="239"/>
      <c r="CM8801" s="336"/>
    </row>
    <row r="8802" spans="84:91" s="51" customFormat="1">
      <c r="CF8802" s="239"/>
      <c r="CM8802" s="336"/>
    </row>
    <row r="8803" spans="84:91" s="51" customFormat="1">
      <c r="CF8803" s="239"/>
      <c r="CM8803" s="336"/>
    </row>
    <row r="8804" spans="84:91" s="51" customFormat="1">
      <c r="CF8804" s="239"/>
      <c r="CM8804" s="336"/>
    </row>
    <row r="8805" spans="84:91" s="51" customFormat="1">
      <c r="CF8805" s="239"/>
      <c r="CM8805" s="336"/>
    </row>
    <row r="8806" spans="84:91" s="51" customFormat="1">
      <c r="CF8806" s="239"/>
      <c r="CM8806" s="336"/>
    </row>
    <row r="8807" spans="84:91" s="51" customFormat="1">
      <c r="CF8807" s="239"/>
      <c r="CM8807" s="336"/>
    </row>
    <row r="8808" spans="84:91" s="51" customFormat="1">
      <c r="CF8808" s="239"/>
      <c r="CM8808" s="336"/>
    </row>
    <row r="8809" spans="84:91" s="51" customFormat="1">
      <c r="CF8809" s="239"/>
      <c r="CM8809" s="336"/>
    </row>
    <row r="8810" spans="84:91" s="51" customFormat="1">
      <c r="CF8810" s="239"/>
      <c r="CM8810" s="336"/>
    </row>
    <row r="8811" spans="84:91" s="51" customFormat="1">
      <c r="CF8811" s="239"/>
      <c r="CM8811" s="336"/>
    </row>
    <row r="8812" spans="84:91" s="51" customFormat="1">
      <c r="CF8812" s="239"/>
      <c r="CM8812" s="336"/>
    </row>
    <row r="8813" spans="84:91" s="51" customFormat="1">
      <c r="CF8813" s="239"/>
      <c r="CM8813" s="336"/>
    </row>
    <row r="8814" spans="84:91" s="51" customFormat="1">
      <c r="CF8814" s="239"/>
      <c r="CM8814" s="336"/>
    </row>
    <row r="8815" spans="84:91" s="51" customFormat="1">
      <c r="CF8815" s="239"/>
      <c r="CM8815" s="336"/>
    </row>
    <row r="8816" spans="84:91" s="51" customFormat="1">
      <c r="CF8816" s="239"/>
      <c r="CM8816" s="336"/>
    </row>
    <row r="8817" spans="84:91" s="51" customFormat="1">
      <c r="CF8817" s="239"/>
      <c r="CM8817" s="336"/>
    </row>
    <row r="8818" spans="84:91" s="51" customFormat="1">
      <c r="CF8818" s="239"/>
      <c r="CM8818" s="336"/>
    </row>
    <row r="8819" spans="84:91" s="51" customFormat="1">
      <c r="CF8819" s="239"/>
      <c r="CM8819" s="336"/>
    </row>
    <row r="8820" spans="84:91" s="51" customFormat="1">
      <c r="CF8820" s="239"/>
      <c r="CM8820" s="336"/>
    </row>
    <row r="8821" spans="84:91" s="51" customFormat="1">
      <c r="CF8821" s="239"/>
      <c r="CM8821" s="336"/>
    </row>
    <row r="8822" spans="84:91" s="51" customFormat="1">
      <c r="CF8822" s="239"/>
      <c r="CM8822" s="336"/>
    </row>
    <row r="8823" spans="84:91" s="51" customFormat="1">
      <c r="CF8823" s="239"/>
      <c r="CM8823" s="336"/>
    </row>
    <row r="8824" spans="84:91" s="51" customFormat="1">
      <c r="CF8824" s="239"/>
      <c r="CM8824" s="336"/>
    </row>
    <row r="8825" spans="84:91" s="51" customFormat="1">
      <c r="CF8825" s="239"/>
      <c r="CM8825" s="336"/>
    </row>
    <row r="8826" spans="84:91" s="51" customFormat="1">
      <c r="CF8826" s="239"/>
      <c r="CM8826" s="336"/>
    </row>
    <row r="8827" spans="84:91" s="51" customFormat="1">
      <c r="CF8827" s="239"/>
      <c r="CM8827" s="336"/>
    </row>
    <row r="8828" spans="84:91" s="51" customFormat="1">
      <c r="CF8828" s="239"/>
      <c r="CM8828" s="336"/>
    </row>
    <row r="8829" spans="84:91" s="51" customFormat="1">
      <c r="CF8829" s="239"/>
      <c r="CM8829" s="336"/>
    </row>
    <row r="8830" spans="84:91" s="51" customFormat="1">
      <c r="CF8830" s="239"/>
      <c r="CM8830" s="336"/>
    </row>
    <row r="8831" spans="84:91" s="51" customFormat="1">
      <c r="CF8831" s="239"/>
      <c r="CM8831" s="336"/>
    </row>
    <row r="8832" spans="84:91" s="51" customFormat="1">
      <c r="CF8832" s="239"/>
      <c r="CM8832" s="336"/>
    </row>
    <row r="8833" spans="84:91" s="51" customFormat="1">
      <c r="CF8833" s="239"/>
      <c r="CM8833" s="336"/>
    </row>
    <row r="8834" spans="84:91" s="51" customFormat="1">
      <c r="CF8834" s="239"/>
      <c r="CM8834" s="336"/>
    </row>
    <row r="8835" spans="84:91" s="51" customFormat="1">
      <c r="CF8835" s="239"/>
      <c r="CM8835" s="336"/>
    </row>
    <row r="8836" spans="84:91" s="51" customFormat="1">
      <c r="CF8836" s="239"/>
      <c r="CM8836" s="336"/>
    </row>
    <row r="8837" spans="84:91" s="51" customFormat="1">
      <c r="CF8837" s="239"/>
      <c r="CM8837" s="336"/>
    </row>
    <row r="8838" spans="84:91" s="51" customFormat="1">
      <c r="CF8838" s="239"/>
      <c r="CM8838" s="336"/>
    </row>
    <row r="8839" spans="84:91" s="51" customFormat="1">
      <c r="CF8839" s="239"/>
      <c r="CM8839" s="336"/>
    </row>
    <row r="8840" spans="84:91" s="51" customFormat="1">
      <c r="CF8840" s="239"/>
      <c r="CM8840" s="336"/>
    </row>
    <row r="8841" spans="84:91" s="51" customFormat="1">
      <c r="CF8841" s="239"/>
      <c r="CM8841" s="336"/>
    </row>
    <row r="8842" spans="84:91" s="51" customFormat="1">
      <c r="CF8842" s="239"/>
      <c r="CM8842" s="336"/>
    </row>
    <row r="8843" spans="84:91" s="51" customFormat="1">
      <c r="CF8843" s="239"/>
      <c r="CM8843" s="336"/>
    </row>
    <row r="8844" spans="84:91" s="51" customFormat="1">
      <c r="CF8844" s="239"/>
      <c r="CM8844" s="336"/>
    </row>
    <row r="8845" spans="84:91" s="51" customFormat="1">
      <c r="CF8845" s="239"/>
      <c r="CM8845" s="336"/>
    </row>
    <row r="8846" spans="84:91" s="51" customFormat="1">
      <c r="CF8846" s="239"/>
      <c r="CM8846" s="336"/>
    </row>
    <row r="8847" spans="84:91" s="51" customFormat="1">
      <c r="CF8847" s="239"/>
      <c r="CM8847" s="336"/>
    </row>
    <row r="8848" spans="84:91" s="51" customFormat="1">
      <c r="CF8848" s="239"/>
      <c r="CM8848" s="336"/>
    </row>
    <row r="8849" spans="84:91" s="51" customFormat="1">
      <c r="CF8849" s="239"/>
      <c r="CM8849" s="336"/>
    </row>
    <row r="8850" spans="84:91" s="51" customFormat="1">
      <c r="CF8850" s="239"/>
      <c r="CM8850" s="336"/>
    </row>
    <row r="8851" spans="84:91" s="51" customFormat="1">
      <c r="CF8851" s="239"/>
      <c r="CM8851" s="336"/>
    </row>
    <row r="8852" spans="84:91" s="51" customFormat="1">
      <c r="CF8852" s="239"/>
      <c r="CM8852" s="336"/>
    </row>
    <row r="8853" spans="84:91" s="51" customFormat="1">
      <c r="CF8853" s="239"/>
      <c r="CM8853" s="336"/>
    </row>
    <row r="8854" spans="84:91" s="51" customFormat="1">
      <c r="CF8854" s="239"/>
      <c r="CM8854" s="336"/>
    </row>
    <row r="8855" spans="84:91" s="51" customFormat="1">
      <c r="CF8855" s="239"/>
      <c r="CM8855" s="336"/>
    </row>
    <row r="8856" spans="84:91" s="51" customFormat="1">
      <c r="CF8856" s="239"/>
      <c r="CM8856" s="336"/>
    </row>
    <row r="8857" spans="84:91" s="51" customFormat="1">
      <c r="CF8857" s="239"/>
      <c r="CM8857" s="336"/>
    </row>
    <row r="8858" spans="84:91" s="51" customFormat="1">
      <c r="CF8858" s="239"/>
      <c r="CM8858" s="336"/>
    </row>
    <row r="8859" spans="84:91" s="51" customFormat="1">
      <c r="CF8859" s="239"/>
      <c r="CM8859" s="336"/>
    </row>
    <row r="8860" spans="84:91" s="51" customFormat="1">
      <c r="CF8860" s="239"/>
      <c r="CM8860" s="336"/>
    </row>
    <row r="8861" spans="84:91" s="51" customFormat="1">
      <c r="CF8861" s="239"/>
      <c r="CM8861" s="336"/>
    </row>
    <row r="8862" spans="84:91" s="51" customFormat="1">
      <c r="CF8862" s="239"/>
      <c r="CM8862" s="336"/>
    </row>
    <row r="8863" spans="84:91" s="51" customFormat="1">
      <c r="CF8863" s="239"/>
      <c r="CM8863" s="336"/>
    </row>
    <row r="8864" spans="84:91" s="51" customFormat="1">
      <c r="CF8864" s="239"/>
      <c r="CM8864" s="336"/>
    </row>
    <row r="8865" spans="84:91" s="51" customFormat="1">
      <c r="CF8865" s="239"/>
      <c r="CM8865" s="336"/>
    </row>
    <row r="8866" spans="84:91" s="51" customFormat="1">
      <c r="CF8866" s="239"/>
      <c r="CM8866" s="336"/>
    </row>
    <row r="8867" spans="84:91" s="51" customFormat="1">
      <c r="CF8867" s="239"/>
      <c r="CM8867" s="336"/>
    </row>
    <row r="8868" spans="84:91" s="51" customFormat="1">
      <c r="CF8868" s="239"/>
      <c r="CM8868" s="336"/>
    </row>
    <row r="8869" spans="84:91" s="51" customFormat="1">
      <c r="CF8869" s="239"/>
      <c r="CM8869" s="336"/>
    </row>
    <row r="8870" spans="84:91" s="51" customFormat="1">
      <c r="CF8870" s="239"/>
      <c r="CM8870" s="336"/>
    </row>
    <row r="8871" spans="84:91" s="51" customFormat="1">
      <c r="CF8871" s="239"/>
      <c r="CM8871" s="336"/>
    </row>
    <row r="8872" spans="84:91" s="51" customFormat="1">
      <c r="CF8872" s="239"/>
      <c r="CM8872" s="336"/>
    </row>
    <row r="8873" spans="84:91" s="51" customFormat="1">
      <c r="CF8873" s="239"/>
      <c r="CM8873" s="336"/>
    </row>
    <row r="8874" spans="84:91" s="51" customFormat="1">
      <c r="CF8874" s="239"/>
      <c r="CM8874" s="336"/>
    </row>
    <row r="8875" spans="84:91" s="51" customFormat="1">
      <c r="CF8875" s="239"/>
      <c r="CM8875" s="336"/>
    </row>
    <row r="8876" spans="84:91" s="51" customFormat="1">
      <c r="CF8876" s="239"/>
      <c r="CM8876" s="336"/>
    </row>
    <row r="8877" spans="84:91" s="51" customFormat="1">
      <c r="CF8877" s="239"/>
      <c r="CM8877" s="336"/>
    </row>
    <row r="8878" spans="84:91" s="51" customFormat="1">
      <c r="CF8878" s="239"/>
      <c r="CM8878" s="336"/>
    </row>
    <row r="8879" spans="84:91" s="51" customFormat="1">
      <c r="CF8879" s="239"/>
      <c r="CM8879" s="336"/>
    </row>
    <row r="8880" spans="84:91" s="51" customFormat="1">
      <c r="CF8880" s="239"/>
      <c r="CM8880" s="336"/>
    </row>
    <row r="8881" spans="84:91" s="51" customFormat="1">
      <c r="CF8881" s="239"/>
      <c r="CM8881" s="336"/>
    </row>
    <row r="8882" spans="84:91" s="51" customFormat="1">
      <c r="CF8882" s="239"/>
      <c r="CM8882" s="336"/>
    </row>
    <row r="8883" spans="84:91" s="51" customFormat="1">
      <c r="CF8883" s="239"/>
      <c r="CM8883" s="336"/>
    </row>
    <row r="8884" spans="84:91" s="51" customFormat="1">
      <c r="CF8884" s="239"/>
      <c r="CM8884" s="336"/>
    </row>
    <row r="8885" spans="84:91" s="51" customFormat="1">
      <c r="CF8885" s="239"/>
      <c r="CM8885" s="336"/>
    </row>
    <row r="8886" spans="84:91" s="51" customFormat="1">
      <c r="CF8886" s="239"/>
      <c r="CM8886" s="336"/>
    </row>
    <row r="8887" spans="84:91" s="51" customFormat="1">
      <c r="CF8887" s="239"/>
      <c r="CM8887" s="336"/>
    </row>
    <row r="8888" spans="84:91" s="51" customFormat="1">
      <c r="CF8888" s="239"/>
      <c r="CM8888" s="336"/>
    </row>
    <row r="8889" spans="84:91" s="51" customFormat="1">
      <c r="CF8889" s="239"/>
      <c r="CM8889" s="336"/>
    </row>
    <row r="8890" spans="84:91" s="51" customFormat="1">
      <c r="CF8890" s="239"/>
      <c r="CM8890" s="336"/>
    </row>
    <row r="8891" spans="84:91" s="51" customFormat="1">
      <c r="CF8891" s="239"/>
      <c r="CM8891" s="336"/>
    </row>
    <row r="8892" spans="84:91" s="51" customFormat="1">
      <c r="CF8892" s="239"/>
      <c r="CM8892" s="336"/>
    </row>
    <row r="8893" spans="84:91" s="51" customFormat="1">
      <c r="CF8893" s="239"/>
      <c r="CM8893" s="336"/>
    </row>
    <row r="8894" spans="84:91" s="51" customFormat="1">
      <c r="CF8894" s="239"/>
      <c r="CM8894" s="336"/>
    </row>
    <row r="8895" spans="84:91" s="51" customFormat="1">
      <c r="CF8895" s="239"/>
      <c r="CM8895" s="336"/>
    </row>
    <row r="8896" spans="84:91" s="51" customFormat="1">
      <c r="CF8896" s="239"/>
      <c r="CM8896" s="336"/>
    </row>
    <row r="8897" spans="84:91" s="51" customFormat="1">
      <c r="CF8897" s="239"/>
      <c r="CM8897" s="336"/>
    </row>
    <row r="8898" spans="84:91" s="51" customFormat="1">
      <c r="CF8898" s="239"/>
      <c r="CM8898" s="336"/>
    </row>
    <row r="8899" spans="84:91" s="51" customFormat="1">
      <c r="CF8899" s="239"/>
      <c r="CM8899" s="336"/>
    </row>
    <row r="8900" spans="84:91" s="51" customFormat="1">
      <c r="CF8900" s="239"/>
      <c r="CM8900" s="336"/>
    </row>
    <row r="8901" spans="84:91" s="51" customFormat="1">
      <c r="CF8901" s="239"/>
      <c r="CM8901" s="336"/>
    </row>
    <row r="8902" spans="84:91" s="51" customFormat="1">
      <c r="CF8902" s="239"/>
      <c r="CM8902" s="336"/>
    </row>
    <row r="8903" spans="84:91" s="51" customFormat="1">
      <c r="CF8903" s="239"/>
      <c r="CM8903" s="336"/>
    </row>
    <row r="8904" spans="84:91" s="51" customFormat="1">
      <c r="CF8904" s="239"/>
      <c r="CM8904" s="336"/>
    </row>
    <row r="8905" spans="84:91" s="51" customFormat="1">
      <c r="CF8905" s="239"/>
      <c r="CM8905" s="336"/>
    </row>
    <row r="8906" spans="84:91" s="51" customFormat="1">
      <c r="CF8906" s="239"/>
      <c r="CM8906" s="336"/>
    </row>
    <row r="8907" spans="84:91" s="51" customFormat="1">
      <c r="CF8907" s="239"/>
      <c r="CM8907" s="336"/>
    </row>
    <row r="8908" spans="84:91" s="51" customFormat="1">
      <c r="CF8908" s="239"/>
      <c r="CM8908" s="336"/>
    </row>
    <row r="8909" spans="84:91" s="51" customFormat="1">
      <c r="CF8909" s="239"/>
      <c r="CM8909" s="336"/>
    </row>
    <row r="8910" spans="84:91" s="51" customFormat="1">
      <c r="CF8910" s="239"/>
      <c r="CM8910" s="336"/>
    </row>
    <row r="8911" spans="84:91" s="51" customFormat="1">
      <c r="CF8911" s="239"/>
      <c r="CM8911" s="336"/>
    </row>
    <row r="8912" spans="84:91" s="51" customFormat="1">
      <c r="CF8912" s="239"/>
      <c r="CM8912" s="336"/>
    </row>
    <row r="8913" spans="84:91" s="51" customFormat="1">
      <c r="CF8913" s="239"/>
      <c r="CM8913" s="336"/>
    </row>
    <row r="8914" spans="84:91" s="51" customFormat="1">
      <c r="CF8914" s="239"/>
      <c r="CM8914" s="336"/>
    </row>
    <row r="8915" spans="84:91" s="51" customFormat="1">
      <c r="CF8915" s="239"/>
      <c r="CM8915" s="336"/>
    </row>
    <row r="8916" spans="84:91" s="51" customFormat="1">
      <c r="CF8916" s="239"/>
      <c r="CM8916" s="336"/>
    </row>
    <row r="8917" spans="84:91" s="51" customFormat="1">
      <c r="CF8917" s="239"/>
      <c r="CM8917" s="336"/>
    </row>
    <row r="8918" spans="84:91" s="51" customFormat="1">
      <c r="CF8918" s="239"/>
      <c r="CM8918" s="336"/>
    </row>
    <row r="8919" spans="84:91" s="51" customFormat="1">
      <c r="CF8919" s="239"/>
      <c r="CM8919" s="336"/>
    </row>
    <row r="8920" spans="84:91" s="51" customFormat="1">
      <c r="CF8920" s="239"/>
      <c r="CM8920" s="336"/>
    </row>
    <row r="8921" spans="84:91" s="51" customFormat="1">
      <c r="CF8921" s="239"/>
      <c r="CM8921" s="336"/>
    </row>
    <row r="8922" spans="84:91" s="51" customFormat="1">
      <c r="CF8922" s="239"/>
      <c r="CM8922" s="336"/>
    </row>
    <row r="8923" spans="84:91" s="51" customFormat="1">
      <c r="CF8923" s="239"/>
      <c r="CM8923" s="336"/>
    </row>
    <row r="8924" spans="84:91" s="51" customFormat="1">
      <c r="CF8924" s="239"/>
      <c r="CM8924" s="336"/>
    </row>
    <row r="8925" spans="84:91" s="51" customFormat="1">
      <c r="CF8925" s="239"/>
      <c r="CM8925" s="336"/>
    </row>
    <row r="8926" spans="84:91" s="51" customFormat="1">
      <c r="CF8926" s="239"/>
      <c r="CM8926" s="336"/>
    </row>
    <row r="8927" spans="84:91" s="51" customFormat="1">
      <c r="CF8927" s="239"/>
      <c r="CM8927" s="336"/>
    </row>
    <row r="8928" spans="84:91" s="51" customFormat="1">
      <c r="CF8928" s="239"/>
      <c r="CM8928" s="336"/>
    </row>
    <row r="8929" spans="84:91" s="51" customFormat="1">
      <c r="CF8929" s="239"/>
      <c r="CM8929" s="336"/>
    </row>
    <row r="8930" spans="84:91" s="51" customFormat="1">
      <c r="CF8930" s="239"/>
      <c r="CM8930" s="336"/>
    </row>
    <row r="8931" spans="84:91" s="51" customFormat="1">
      <c r="CF8931" s="239"/>
      <c r="CM8931" s="336"/>
    </row>
    <row r="8932" spans="84:91" s="51" customFormat="1">
      <c r="CF8932" s="239"/>
      <c r="CM8932" s="336"/>
    </row>
    <row r="8933" spans="84:91" s="51" customFormat="1">
      <c r="CF8933" s="239"/>
      <c r="CM8933" s="336"/>
    </row>
    <row r="8934" spans="84:91" s="51" customFormat="1">
      <c r="CF8934" s="239"/>
      <c r="CM8934" s="336"/>
    </row>
    <row r="8935" spans="84:91" s="51" customFormat="1">
      <c r="CF8935" s="239"/>
      <c r="CM8935" s="336"/>
    </row>
    <row r="8936" spans="84:91" s="51" customFormat="1">
      <c r="CF8936" s="239"/>
      <c r="CM8936" s="336"/>
    </row>
    <row r="8937" spans="84:91" s="51" customFormat="1">
      <c r="CF8937" s="239"/>
      <c r="CM8937" s="336"/>
    </row>
    <row r="8938" spans="84:91" s="51" customFormat="1">
      <c r="CF8938" s="239"/>
      <c r="CM8938" s="336"/>
    </row>
    <row r="8939" spans="84:91" s="51" customFormat="1">
      <c r="CF8939" s="239"/>
      <c r="CM8939" s="336"/>
    </row>
    <row r="8940" spans="84:91" s="51" customFormat="1">
      <c r="CF8940" s="239"/>
      <c r="CM8940" s="336"/>
    </row>
    <row r="8941" spans="84:91" s="51" customFormat="1">
      <c r="CF8941" s="239"/>
      <c r="CM8941" s="336"/>
    </row>
    <row r="8942" spans="84:91" s="51" customFormat="1">
      <c r="CF8942" s="239"/>
      <c r="CM8942" s="336"/>
    </row>
    <row r="8943" spans="84:91" s="51" customFormat="1">
      <c r="CF8943" s="239"/>
      <c r="CM8943" s="336"/>
    </row>
    <row r="8944" spans="84:91" s="51" customFormat="1">
      <c r="CF8944" s="239"/>
      <c r="CM8944" s="336"/>
    </row>
    <row r="8945" spans="84:91" s="51" customFormat="1">
      <c r="CF8945" s="239"/>
      <c r="CM8945" s="336"/>
    </row>
    <row r="8946" spans="84:91" s="51" customFormat="1">
      <c r="CF8946" s="239"/>
      <c r="CM8946" s="336"/>
    </row>
    <row r="8947" spans="84:91" s="51" customFormat="1">
      <c r="CF8947" s="239"/>
      <c r="CM8947" s="336"/>
    </row>
    <row r="8948" spans="84:91" s="51" customFormat="1">
      <c r="CF8948" s="239"/>
      <c r="CM8948" s="336"/>
    </row>
    <row r="8949" spans="84:91" s="51" customFormat="1">
      <c r="CF8949" s="239"/>
      <c r="CM8949" s="336"/>
    </row>
    <row r="8950" spans="84:91" s="51" customFormat="1">
      <c r="CF8950" s="239"/>
      <c r="CM8950" s="336"/>
    </row>
    <row r="8951" spans="84:91" s="51" customFormat="1">
      <c r="CF8951" s="239"/>
      <c r="CM8951" s="336"/>
    </row>
    <row r="8952" spans="84:91" s="51" customFormat="1">
      <c r="CF8952" s="239"/>
      <c r="CM8952" s="336"/>
    </row>
    <row r="8953" spans="84:91" s="51" customFormat="1">
      <c r="CF8953" s="239"/>
      <c r="CM8953" s="336"/>
    </row>
    <row r="8954" spans="84:91" s="51" customFormat="1">
      <c r="CF8954" s="239"/>
      <c r="CM8954" s="336"/>
    </row>
    <row r="8955" spans="84:91" s="51" customFormat="1">
      <c r="CF8955" s="239"/>
      <c r="CM8955" s="336"/>
    </row>
    <row r="8956" spans="84:91" s="51" customFormat="1">
      <c r="CF8956" s="239"/>
      <c r="CM8956" s="336"/>
    </row>
    <row r="8957" spans="84:91" s="51" customFormat="1">
      <c r="CF8957" s="239"/>
      <c r="CM8957" s="336"/>
    </row>
    <row r="8958" spans="84:91" s="51" customFormat="1">
      <c r="CF8958" s="239"/>
      <c r="CM8958" s="336"/>
    </row>
    <row r="8959" spans="84:91" s="51" customFormat="1">
      <c r="CF8959" s="239"/>
      <c r="CM8959" s="336"/>
    </row>
    <row r="8960" spans="84:91" s="51" customFormat="1">
      <c r="CF8960" s="239"/>
      <c r="CM8960" s="336"/>
    </row>
    <row r="8961" spans="84:91" s="51" customFormat="1">
      <c r="CF8961" s="239"/>
      <c r="CM8961" s="336"/>
    </row>
    <row r="8962" spans="84:91" s="51" customFormat="1">
      <c r="CF8962" s="239"/>
      <c r="CM8962" s="336"/>
    </row>
    <row r="8963" spans="84:91" s="51" customFormat="1">
      <c r="CF8963" s="239"/>
      <c r="CM8963" s="336"/>
    </row>
    <row r="8964" spans="84:91" s="51" customFormat="1">
      <c r="CF8964" s="239"/>
      <c r="CM8964" s="336"/>
    </row>
    <row r="8965" spans="84:91" s="51" customFormat="1">
      <c r="CF8965" s="239"/>
      <c r="CM8965" s="336"/>
    </row>
    <row r="8966" spans="84:91" s="51" customFormat="1">
      <c r="CF8966" s="239"/>
      <c r="CM8966" s="336"/>
    </row>
    <row r="8967" spans="84:91" s="51" customFormat="1">
      <c r="CF8967" s="239"/>
      <c r="CM8967" s="336"/>
    </row>
    <row r="8968" spans="84:91" s="51" customFormat="1">
      <c r="CF8968" s="239"/>
      <c r="CM8968" s="336"/>
    </row>
    <row r="8969" spans="84:91" s="51" customFormat="1">
      <c r="CF8969" s="239"/>
      <c r="CM8969" s="336"/>
    </row>
    <row r="8970" spans="84:91" s="51" customFormat="1">
      <c r="CF8970" s="239"/>
      <c r="CM8970" s="336"/>
    </row>
    <row r="8971" spans="84:91" s="51" customFormat="1">
      <c r="CF8971" s="239"/>
      <c r="CM8971" s="336"/>
    </row>
    <row r="8972" spans="84:91" s="51" customFormat="1">
      <c r="CF8972" s="239"/>
      <c r="CM8972" s="336"/>
    </row>
    <row r="8973" spans="84:91" s="51" customFormat="1">
      <c r="CF8973" s="239"/>
      <c r="CM8973" s="336"/>
    </row>
    <row r="8974" spans="84:91" s="51" customFormat="1">
      <c r="CF8974" s="239"/>
      <c r="CM8974" s="336"/>
    </row>
    <row r="8975" spans="84:91" s="51" customFormat="1">
      <c r="CF8975" s="239"/>
      <c r="CM8975" s="336"/>
    </row>
    <row r="8976" spans="84:91" s="51" customFormat="1">
      <c r="CF8976" s="239"/>
      <c r="CM8976" s="336"/>
    </row>
    <row r="8977" spans="84:91" s="51" customFormat="1">
      <c r="CF8977" s="239"/>
      <c r="CM8977" s="336"/>
    </row>
    <row r="8978" spans="84:91" s="51" customFormat="1">
      <c r="CF8978" s="239"/>
      <c r="CM8978" s="336"/>
    </row>
    <row r="8979" spans="84:91" s="51" customFormat="1">
      <c r="CF8979" s="239"/>
      <c r="CM8979" s="336"/>
    </row>
    <row r="8980" spans="84:91" s="51" customFormat="1">
      <c r="CF8980" s="239"/>
      <c r="CM8980" s="336"/>
    </row>
    <row r="8981" spans="84:91" s="51" customFormat="1">
      <c r="CF8981" s="239"/>
      <c r="CM8981" s="336"/>
    </row>
    <row r="8982" spans="84:91" s="51" customFormat="1">
      <c r="CF8982" s="239"/>
      <c r="CM8982" s="336"/>
    </row>
    <row r="8983" spans="84:91" s="51" customFormat="1">
      <c r="CF8983" s="239"/>
      <c r="CM8983" s="336"/>
    </row>
    <row r="8984" spans="84:91" s="51" customFormat="1">
      <c r="CF8984" s="239"/>
      <c r="CM8984" s="336"/>
    </row>
    <row r="8985" spans="84:91" s="51" customFormat="1">
      <c r="CF8985" s="239"/>
      <c r="CM8985" s="336"/>
    </row>
    <row r="8986" spans="84:91" s="51" customFormat="1">
      <c r="CF8986" s="239"/>
      <c r="CM8986" s="336"/>
    </row>
    <row r="8987" spans="84:91" s="51" customFormat="1">
      <c r="CF8987" s="239"/>
      <c r="CM8987" s="336"/>
    </row>
    <row r="8988" spans="84:91" s="51" customFormat="1">
      <c r="CF8988" s="239"/>
      <c r="CM8988" s="336"/>
    </row>
    <row r="8989" spans="84:91" s="51" customFormat="1">
      <c r="CF8989" s="239"/>
      <c r="CM8989" s="336"/>
    </row>
    <row r="8990" spans="84:91" s="51" customFormat="1">
      <c r="CF8990" s="239"/>
      <c r="CM8990" s="336"/>
    </row>
    <row r="8991" spans="84:91" s="51" customFormat="1">
      <c r="CF8991" s="239"/>
      <c r="CM8991" s="336"/>
    </row>
    <row r="8992" spans="84:91" s="51" customFormat="1">
      <c r="CF8992" s="239"/>
      <c r="CM8992" s="336"/>
    </row>
    <row r="8993" spans="84:91" s="51" customFormat="1">
      <c r="CF8993" s="239"/>
      <c r="CM8993" s="336"/>
    </row>
    <row r="8994" spans="84:91" s="51" customFormat="1">
      <c r="CF8994" s="239"/>
      <c r="CM8994" s="336"/>
    </row>
    <row r="8995" spans="84:91" s="51" customFormat="1">
      <c r="CF8995" s="239"/>
      <c r="CM8995" s="336"/>
    </row>
    <row r="8996" spans="84:91" s="51" customFormat="1">
      <c r="CF8996" s="239"/>
      <c r="CM8996" s="336"/>
    </row>
    <row r="8997" spans="84:91" s="51" customFormat="1">
      <c r="CF8997" s="239"/>
      <c r="CM8997" s="336"/>
    </row>
    <row r="8998" spans="84:91" s="51" customFormat="1">
      <c r="CF8998" s="239"/>
      <c r="CM8998" s="336"/>
    </row>
    <row r="8999" spans="84:91" s="51" customFormat="1">
      <c r="CF8999" s="239"/>
      <c r="CM8999" s="336"/>
    </row>
    <row r="9000" spans="84:91" s="51" customFormat="1">
      <c r="CF9000" s="239"/>
      <c r="CM9000" s="336"/>
    </row>
    <row r="9001" spans="84:91" s="51" customFormat="1">
      <c r="CF9001" s="239"/>
      <c r="CM9001" s="336"/>
    </row>
    <row r="9002" spans="84:91" s="51" customFormat="1">
      <c r="CF9002" s="239"/>
      <c r="CM9002" s="336"/>
    </row>
    <row r="9003" spans="84:91" s="51" customFormat="1">
      <c r="CF9003" s="239"/>
      <c r="CM9003" s="336"/>
    </row>
    <row r="9004" spans="84:91" s="51" customFormat="1">
      <c r="CF9004" s="239"/>
      <c r="CM9004" s="336"/>
    </row>
    <row r="9005" spans="84:91" s="51" customFormat="1">
      <c r="CF9005" s="239"/>
      <c r="CM9005" s="336"/>
    </row>
    <row r="9006" spans="84:91" s="51" customFormat="1">
      <c r="CF9006" s="239"/>
      <c r="CM9006" s="336"/>
    </row>
    <row r="9007" spans="84:91" s="51" customFormat="1">
      <c r="CF9007" s="239"/>
      <c r="CM9007" s="336"/>
    </row>
    <row r="9008" spans="84:91" s="51" customFormat="1">
      <c r="CF9008" s="239"/>
      <c r="CM9008" s="336"/>
    </row>
    <row r="9009" spans="84:91" s="51" customFormat="1">
      <c r="CF9009" s="239"/>
      <c r="CM9009" s="336"/>
    </row>
    <row r="9010" spans="84:91" s="51" customFormat="1">
      <c r="CF9010" s="239"/>
      <c r="CM9010" s="336"/>
    </row>
    <row r="9011" spans="84:91" s="51" customFormat="1">
      <c r="CF9011" s="239"/>
      <c r="CM9011" s="336"/>
    </row>
    <row r="9012" spans="84:91" s="51" customFormat="1">
      <c r="CF9012" s="239"/>
      <c r="CM9012" s="336"/>
    </row>
    <row r="9013" spans="84:91" s="51" customFormat="1">
      <c r="CF9013" s="239"/>
      <c r="CM9013" s="336"/>
    </row>
    <row r="9014" spans="84:91" s="51" customFormat="1">
      <c r="CF9014" s="239"/>
      <c r="CM9014" s="336"/>
    </row>
    <row r="9015" spans="84:91" s="51" customFormat="1">
      <c r="CF9015" s="239"/>
      <c r="CM9015" s="336"/>
    </row>
    <row r="9016" spans="84:91" s="51" customFormat="1">
      <c r="CF9016" s="239"/>
      <c r="CM9016" s="336"/>
    </row>
    <row r="9017" spans="84:91" s="51" customFormat="1">
      <c r="CF9017" s="239"/>
      <c r="CM9017" s="336"/>
    </row>
    <row r="9018" spans="84:91" s="51" customFormat="1">
      <c r="CF9018" s="239"/>
      <c r="CM9018" s="336"/>
    </row>
    <row r="9019" spans="84:91" s="51" customFormat="1">
      <c r="CF9019" s="239"/>
      <c r="CM9019" s="336"/>
    </row>
    <row r="9020" spans="84:91" s="51" customFormat="1">
      <c r="CF9020" s="239"/>
      <c r="CM9020" s="336"/>
    </row>
    <row r="9021" spans="84:91" s="51" customFormat="1">
      <c r="CF9021" s="239"/>
      <c r="CM9021" s="336"/>
    </row>
    <row r="9022" spans="84:91" s="51" customFormat="1">
      <c r="CF9022" s="239"/>
      <c r="CM9022" s="336"/>
    </row>
    <row r="9023" spans="84:91" s="51" customFormat="1">
      <c r="CF9023" s="239"/>
      <c r="CM9023" s="336"/>
    </row>
    <row r="9024" spans="84:91" s="51" customFormat="1">
      <c r="CF9024" s="239"/>
      <c r="CM9024" s="336"/>
    </row>
    <row r="9025" spans="84:91" s="51" customFormat="1">
      <c r="CF9025" s="239"/>
      <c r="CM9025" s="336"/>
    </row>
    <row r="9026" spans="84:91" s="51" customFormat="1">
      <c r="CF9026" s="239"/>
      <c r="CM9026" s="336"/>
    </row>
    <row r="9027" spans="84:91" s="51" customFormat="1">
      <c r="CF9027" s="239"/>
      <c r="CM9027" s="336"/>
    </row>
    <row r="9028" spans="84:91" s="51" customFormat="1">
      <c r="CF9028" s="239"/>
      <c r="CM9028" s="336"/>
    </row>
    <row r="9029" spans="84:91" s="51" customFormat="1">
      <c r="CF9029" s="239"/>
      <c r="CM9029" s="336"/>
    </row>
    <row r="9030" spans="84:91" s="51" customFormat="1">
      <c r="CF9030" s="239"/>
      <c r="CM9030" s="336"/>
    </row>
    <row r="9031" spans="84:91" s="51" customFormat="1">
      <c r="CF9031" s="239"/>
      <c r="CM9031" s="336"/>
    </row>
    <row r="9032" spans="84:91" s="51" customFormat="1">
      <c r="CF9032" s="239"/>
      <c r="CM9032" s="336"/>
    </row>
    <row r="9033" spans="84:91" s="51" customFormat="1">
      <c r="CF9033" s="239"/>
      <c r="CM9033" s="336"/>
    </row>
    <row r="9034" spans="84:91" s="51" customFormat="1">
      <c r="CF9034" s="239"/>
      <c r="CM9034" s="336"/>
    </row>
    <row r="9035" spans="84:91" s="51" customFormat="1">
      <c r="CF9035" s="239"/>
      <c r="CM9035" s="336"/>
    </row>
    <row r="9036" spans="84:91" s="51" customFormat="1">
      <c r="CF9036" s="239"/>
      <c r="CM9036" s="336"/>
    </row>
    <row r="9037" spans="84:91" s="51" customFormat="1">
      <c r="CF9037" s="239"/>
      <c r="CM9037" s="336"/>
    </row>
    <row r="9038" spans="84:91" s="51" customFormat="1">
      <c r="CF9038" s="239"/>
      <c r="CM9038" s="336"/>
    </row>
    <row r="9039" spans="84:91" s="51" customFormat="1">
      <c r="CF9039" s="239"/>
      <c r="CM9039" s="336"/>
    </row>
    <row r="9040" spans="84:91" s="51" customFormat="1">
      <c r="CF9040" s="239"/>
      <c r="CM9040" s="336"/>
    </row>
    <row r="9041" spans="84:91" s="51" customFormat="1">
      <c r="CF9041" s="239"/>
      <c r="CM9041" s="336"/>
    </row>
    <row r="9042" spans="84:91" s="51" customFormat="1">
      <c r="CF9042" s="239"/>
      <c r="CM9042" s="336"/>
    </row>
    <row r="9043" spans="84:91" s="51" customFormat="1">
      <c r="CF9043" s="239"/>
      <c r="CM9043" s="336"/>
    </row>
    <row r="9044" spans="84:91" s="51" customFormat="1">
      <c r="CF9044" s="239"/>
      <c r="CM9044" s="336"/>
    </row>
    <row r="9045" spans="84:91" s="51" customFormat="1">
      <c r="CF9045" s="239"/>
      <c r="CM9045" s="336"/>
    </row>
    <row r="9046" spans="84:91" s="51" customFormat="1">
      <c r="CF9046" s="239"/>
      <c r="CM9046" s="336"/>
    </row>
    <row r="9047" spans="84:91" s="51" customFormat="1">
      <c r="CF9047" s="239"/>
      <c r="CM9047" s="336"/>
    </row>
    <row r="9048" spans="84:91" s="51" customFormat="1">
      <c r="CF9048" s="239"/>
      <c r="CM9048" s="336"/>
    </row>
    <row r="9049" spans="84:91" s="51" customFormat="1">
      <c r="CF9049" s="239"/>
      <c r="CM9049" s="336"/>
    </row>
    <row r="9050" spans="84:91" s="51" customFormat="1">
      <c r="CF9050" s="239"/>
      <c r="CM9050" s="336"/>
    </row>
    <row r="9051" spans="84:91" s="51" customFormat="1">
      <c r="CF9051" s="239"/>
      <c r="CM9051" s="336"/>
    </row>
    <row r="9052" spans="84:91" s="51" customFormat="1">
      <c r="CF9052" s="239"/>
      <c r="CM9052" s="336"/>
    </row>
    <row r="9053" spans="84:91" s="51" customFormat="1">
      <c r="CF9053" s="239"/>
      <c r="CM9053" s="336"/>
    </row>
    <row r="9054" spans="84:91" s="51" customFormat="1">
      <c r="CF9054" s="239"/>
      <c r="CM9054" s="336"/>
    </row>
    <row r="9055" spans="84:91" s="51" customFormat="1">
      <c r="CF9055" s="239"/>
      <c r="CM9055" s="336"/>
    </row>
    <row r="9056" spans="84:91" s="51" customFormat="1">
      <c r="CF9056" s="239"/>
      <c r="CM9056" s="336"/>
    </row>
    <row r="9057" spans="84:91" s="51" customFormat="1">
      <c r="CF9057" s="239"/>
      <c r="CM9057" s="336"/>
    </row>
    <row r="9058" spans="84:91" s="51" customFormat="1">
      <c r="CF9058" s="239"/>
      <c r="CM9058" s="336"/>
    </row>
    <row r="9059" spans="84:91" s="51" customFormat="1">
      <c r="CF9059" s="239"/>
      <c r="CM9059" s="336"/>
    </row>
    <row r="9060" spans="84:91" s="51" customFormat="1">
      <c r="CF9060" s="239"/>
      <c r="CM9060" s="336"/>
    </row>
    <row r="9061" spans="84:91" s="51" customFormat="1">
      <c r="CF9061" s="239"/>
      <c r="CM9061" s="336"/>
    </row>
    <row r="9062" spans="84:91" s="51" customFormat="1">
      <c r="CF9062" s="239"/>
      <c r="CM9062" s="336"/>
    </row>
    <row r="9063" spans="84:91" s="51" customFormat="1">
      <c r="CF9063" s="239"/>
      <c r="CM9063" s="336"/>
    </row>
    <row r="9064" spans="84:91" s="51" customFormat="1">
      <c r="CF9064" s="239"/>
      <c r="CM9064" s="336"/>
    </row>
    <row r="9065" spans="84:91" s="51" customFormat="1">
      <c r="CF9065" s="239"/>
      <c r="CM9065" s="336"/>
    </row>
    <row r="9066" spans="84:91" s="51" customFormat="1">
      <c r="CF9066" s="239"/>
      <c r="CM9066" s="336"/>
    </row>
    <row r="9067" spans="84:91" s="51" customFormat="1">
      <c r="CF9067" s="239"/>
      <c r="CM9067" s="336"/>
    </row>
    <row r="9068" spans="84:91" s="51" customFormat="1">
      <c r="CF9068" s="239"/>
      <c r="CM9068" s="336"/>
    </row>
    <row r="9069" spans="84:91" s="51" customFormat="1">
      <c r="CF9069" s="239"/>
      <c r="CM9069" s="336"/>
    </row>
    <row r="9070" spans="84:91" s="51" customFormat="1">
      <c r="CF9070" s="239"/>
      <c r="CM9070" s="336"/>
    </row>
    <row r="9071" spans="84:91" s="51" customFormat="1">
      <c r="CF9071" s="239"/>
      <c r="CM9071" s="336"/>
    </row>
    <row r="9072" spans="84:91" s="51" customFormat="1">
      <c r="CF9072" s="239"/>
      <c r="CM9072" s="336"/>
    </row>
    <row r="9073" spans="84:91" s="51" customFormat="1">
      <c r="CF9073" s="239"/>
      <c r="CM9073" s="336"/>
    </row>
    <row r="9074" spans="84:91" s="51" customFormat="1">
      <c r="CF9074" s="239"/>
      <c r="CM9074" s="336"/>
    </row>
    <row r="9075" spans="84:91" s="51" customFormat="1">
      <c r="CF9075" s="239"/>
      <c r="CM9075" s="336"/>
    </row>
    <row r="9076" spans="84:91" s="51" customFormat="1">
      <c r="CF9076" s="239"/>
      <c r="CM9076" s="336"/>
    </row>
    <row r="9077" spans="84:91" s="51" customFormat="1">
      <c r="CF9077" s="239"/>
      <c r="CM9077" s="336"/>
    </row>
    <row r="9078" spans="84:91" s="51" customFormat="1">
      <c r="CF9078" s="239"/>
      <c r="CM9078" s="336"/>
    </row>
    <row r="9079" spans="84:91" s="51" customFormat="1">
      <c r="CF9079" s="239"/>
      <c r="CM9079" s="336"/>
    </row>
    <row r="9080" spans="84:91" s="51" customFormat="1">
      <c r="CF9080" s="239"/>
      <c r="CM9080" s="336"/>
    </row>
    <row r="9081" spans="84:91" s="51" customFormat="1">
      <c r="CF9081" s="239"/>
      <c r="CM9081" s="336"/>
    </row>
    <row r="9082" spans="84:91" s="51" customFormat="1">
      <c r="CF9082" s="239"/>
      <c r="CM9082" s="336"/>
    </row>
    <row r="9083" spans="84:91" s="51" customFormat="1">
      <c r="CF9083" s="239"/>
      <c r="CM9083" s="336"/>
    </row>
    <row r="9084" spans="84:91" s="51" customFormat="1">
      <c r="CF9084" s="239"/>
      <c r="CM9084" s="336"/>
    </row>
    <row r="9085" spans="84:91" s="51" customFormat="1">
      <c r="CF9085" s="239"/>
      <c r="CM9085" s="336"/>
    </row>
    <row r="9086" spans="84:91" s="51" customFormat="1">
      <c r="CF9086" s="239"/>
      <c r="CM9086" s="336"/>
    </row>
    <row r="9087" spans="84:91" s="51" customFormat="1">
      <c r="CF9087" s="239"/>
      <c r="CM9087" s="336"/>
    </row>
    <row r="9088" spans="84:91" s="51" customFormat="1">
      <c r="CF9088" s="239"/>
      <c r="CM9088" s="336"/>
    </row>
    <row r="9089" spans="84:91" s="51" customFormat="1">
      <c r="CF9089" s="239"/>
      <c r="CM9089" s="336"/>
    </row>
    <row r="9090" spans="84:91" s="51" customFormat="1">
      <c r="CF9090" s="239"/>
      <c r="CM9090" s="336"/>
    </row>
    <row r="9091" spans="84:91" s="51" customFormat="1">
      <c r="CF9091" s="239"/>
      <c r="CM9091" s="336"/>
    </row>
    <row r="9092" spans="84:91" s="51" customFormat="1">
      <c r="CF9092" s="239"/>
      <c r="CM9092" s="336"/>
    </row>
    <row r="9093" spans="84:91" s="51" customFormat="1">
      <c r="CF9093" s="239"/>
      <c r="CM9093" s="336"/>
    </row>
    <row r="9094" spans="84:91" s="51" customFormat="1">
      <c r="CF9094" s="239"/>
      <c r="CM9094" s="336"/>
    </row>
    <row r="9095" spans="84:91" s="51" customFormat="1">
      <c r="CF9095" s="239"/>
      <c r="CM9095" s="336"/>
    </row>
    <row r="9096" spans="84:91" s="51" customFormat="1">
      <c r="CF9096" s="239"/>
      <c r="CM9096" s="336"/>
    </row>
    <row r="9097" spans="84:91" s="51" customFormat="1">
      <c r="CF9097" s="239"/>
      <c r="CM9097" s="336"/>
    </row>
    <row r="9098" spans="84:91" s="51" customFormat="1">
      <c r="CF9098" s="239"/>
      <c r="CM9098" s="336"/>
    </row>
    <row r="9099" spans="84:91" s="51" customFormat="1">
      <c r="CF9099" s="239"/>
      <c r="CM9099" s="336"/>
    </row>
    <row r="9100" spans="84:91" s="51" customFormat="1">
      <c r="CF9100" s="239"/>
      <c r="CM9100" s="336"/>
    </row>
    <row r="9101" spans="84:91" s="51" customFormat="1">
      <c r="CF9101" s="239"/>
      <c r="CM9101" s="336"/>
    </row>
    <row r="9102" spans="84:91" s="51" customFormat="1">
      <c r="CF9102" s="239"/>
      <c r="CM9102" s="336"/>
    </row>
    <row r="9103" spans="84:91" s="51" customFormat="1">
      <c r="CF9103" s="239"/>
      <c r="CM9103" s="336"/>
    </row>
    <row r="9104" spans="84:91" s="51" customFormat="1">
      <c r="CF9104" s="239"/>
      <c r="CM9104" s="336"/>
    </row>
    <row r="9105" spans="84:91" s="51" customFormat="1">
      <c r="CF9105" s="239"/>
      <c r="CM9105" s="336"/>
    </row>
    <row r="9106" spans="84:91" s="51" customFormat="1">
      <c r="CF9106" s="239"/>
      <c r="CM9106" s="336"/>
    </row>
    <row r="9107" spans="84:91" s="51" customFormat="1">
      <c r="CF9107" s="239"/>
      <c r="CM9107" s="336"/>
    </row>
    <row r="9108" spans="84:91" s="51" customFormat="1">
      <c r="CF9108" s="239"/>
      <c r="CM9108" s="336"/>
    </row>
    <row r="9109" spans="84:91" s="51" customFormat="1">
      <c r="CF9109" s="239"/>
      <c r="CM9109" s="336"/>
    </row>
    <row r="9110" spans="84:91" s="51" customFormat="1">
      <c r="CF9110" s="239"/>
      <c r="CM9110" s="336"/>
    </row>
    <row r="9111" spans="84:91" s="51" customFormat="1">
      <c r="CF9111" s="239"/>
      <c r="CM9111" s="336"/>
    </row>
    <row r="9112" spans="84:91" s="51" customFormat="1">
      <c r="CF9112" s="239"/>
      <c r="CM9112" s="336"/>
    </row>
    <row r="9113" spans="84:91" s="51" customFormat="1">
      <c r="CF9113" s="239"/>
      <c r="CM9113" s="336"/>
    </row>
    <row r="9114" spans="84:91" s="51" customFormat="1">
      <c r="CF9114" s="239"/>
      <c r="CM9114" s="336"/>
    </row>
    <row r="9115" spans="84:91" s="51" customFormat="1">
      <c r="CF9115" s="239"/>
      <c r="CM9115" s="336"/>
    </row>
    <row r="9116" spans="84:91" s="51" customFormat="1">
      <c r="CF9116" s="239"/>
      <c r="CM9116" s="336"/>
    </row>
    <row r="9117" spans="84:91" s="51" customFormat="1">
      <c r="CF9117" s="239"/>
      <c r="CM9117" s="336"/>
    </row>
    <row r="9118" spans="84:91" s="51" customFormat="1">
      <c r="CF9118" s="239"/>
      <c r="CM9118" s="336"/>
    </row>
    <row r="9119" spans="84:91" s="51" customFormat="1">
      <c r="CF9119" s="239"/>
      <c r="CM9119" s="336"/>
    </row>
    <row r="9120" spans="84:91" s="51" customFormat="1">
      <c r="CF9120" s="239"/>
      <c r="CM9120" s="336"/>
    </row>
    <row r="9121" spans="84:91" s="51" customFormat="1">
      <c r="CF9121" s="239"/>
      <c r="CM9121" s="336"/>
    </row>
    <row r="9122" spans="84:91" s="51" customFormat="1">
      <c r="CF9122" s="239"/>
      <c r="CM9122" s="336"/>
    </row>
    <row r="9123" spans="84:91" s="51" customFormat="1">
      <c r="CF9123" s="239"/>
      <c r="CM9123" s="336"/>
    </row>
    <row r="9124" spans="84:91" s="51" customFormat="1">
      <c r="CF9124" s="239"/>
      <c r="CM9124" s="336"/>
    </row>
    <row r="9125" spans="84:91" s="51" customFormat="1">
      <c r="CF9125" s="239"/>
      <c r="CM9125" s="336"/>
    </row>
    <row r="9126" spans="84:91" s="51" customFormat="1">
      <c r="CF9126" s="239"/>
      <c r="CM9126" s="336"/>
    </row>
    <row r="9127" spans="84:91" s="51" customFormat="1">
      <c r="CF9127" s="239"/>
      <c r="CM9127" s="336"/>
    </row>
    <row r="9128" spans="84:91" s="51" customFormat="1">
      <c r="CF9128" s="239"/>
      <c r="CM9128" s="336"/>
    </row>
    <row r="9129" spans="84:91" s="51" customFormat="1">
      <c r="CF9129" s="239"/>
      <c r="CM9129" s="336"/>
    </row>
    <row r="9130" spans="84:91" s="51" customFormat="1">
      <c r="CF9130" s="239"/>
      <c r="CM9130" s="336"/>
    </row>
    <row r="9131" spans="84:91" s="51" customFormat="1">
      <c r="CF9131" s="239"/>
      <c r="CM9131" s="336"/>
    </row>
    <row r="9132" spans="84:91" s="51" customFormat="1">
      <c r="CF9132" s="239"/>
      <c r="CM9132" s="336"/>
    </row>
    <row r="9133" spans="84:91" s="51" customFormat="1">
      <c r="CF9133" s="239"/>
      <c r="CM9133" s="336"/>
    </row>
    <row r="9134" spans="84:91" s="51" customFormat="1">
      <c r="CF9134" s="239"/>
      <c r="CM9134" s="336"/>
    </row>
    <row r="9135" spans="84:91" s="51" customFormat="1">
      <c r="CF9135" s="239"/>
      <c r="CM9135" s="336"/>
    </row>
    <row r="9136" spans="84:91" s="51" customFormat="1">
      <c r="CF9136" s="239"/>
      <c r="CM9136" s="336"/>
    </row>
    <row r="9137" spans="84:91" s="51" customFormat="1">
      <c r="CF9137" s="239"/>
      <c r="CM9137" s="336"/>
    </row>
    <row r="9138" spans="84:91" s="51" customFormat="1">
      <c r="CF9138" s="239"/>
      <c r="CM9138" s="336"/>
    </row>
    <row r="9139" spans="84:91" s="51" customFormat="1">
      <c r="CF9139" s="239"/>
      <c r="CM9139" s="336"/>
    </row>
    <row r="9140" spans="84:91" s="51" customFormat="1">
      <c r="CF9140" s="239"/>
      <c r="CM9140" s="336"/>
    </row>
    <row r="9141" spans="84:91" s="51" customFormat="1">
      <c r="CF9141" s="239"/>
      <c r="CM9141" s="336"/>
    </row>
    <row r="9142" spans="84:91" s="51" customFormat="1">
      <c r="CF9142" s="239"/>
      <c r="CM9142" s="336"/>
    </row>
    <row r="9143" spans="84:91" s="51" customFormat="1">
      <c r="CF9143" s="239"/>
      <c r="CM9143" s="336"/>
    </row>
    <row r="9144" spans="84:91" s="51" customFormat="1">
      <c r="CF9144" s="239"/>
      <c r="CM9144" s="336"/>
    </row>
    <row r="9145" spans="84:91" s="51" customFormat="1">
      <c r="CF9145" s="239"/>
      <c r="CM9145" s="336"/>
    </row>
    <row r="9146" spans="84:91" s="51" customFormat="1">
      <c r="CF9146" s="239"/>
      <c r="CM9146" s="336"/>
    </row>
    <row r="9147" spans="84:91" s="51" customFormat="1">
      <c r="CF9147" s="239"/>
      <c r="CM9147" s="336"/>
    </row>
    <row r="9148" spans="84:91" s="51" customFormat="1">
      <c r="CF9148" s="239"/>
      <c r="CM9148" s="336"/>
    </row>
    <row r="9149" spans="84:91" s="51" customFormat="1">
      <c r="CF9149" s="239"/>
      <c r="CM9149" s="336"/>
    </row>
    <row r="9150" spans="84:91" s="51" customFormat="1">
      <c r="CF9150" s="239"/>
      <c r="CM9150" s="336"/>
    </row>
    <row r="9151" spans="84:91" s="51" customFormat="1">
      <c r="CF9151" s="239"/>
      <c r="CM9151" s="336"/>
    </row>
    <row r="9152" spans="84:91" s="51" customFormat="1">
      <c r="CF9152" s="239"/>
      <c r="CM9152" s="336"/>
    </row>
    <row r="9153" spans="84:91" s="51" customFormat="1">
      <c r="CF9153" s="239"/>
      <c r="CM9153" s="336"/>
    </row>
    <row r="9154" spans="84:91" s="51" customFormat="1">
      <c r="CF9154" s="239"/>
      <c r="CM9154" s="336"/>
    </row>
    <row r="9155" spans="84:91" s="51" customFormat="1">
      <c r="CF9155" s="239"/>
      <c r="CM9155" s="336"/>
    </row>
    <row r="9156" spans="84:91" s="51" customFormat="1">
      <c r="CF9156" s="239"/>
      <c r="CM9156" s="336"/>
    </row>
    <row r="9157" spans="84:91" s="51" customFormat="1">
      <c r="CF9157" s="239"/>
      <c r="CM9157" s="336"/>
    </row>
    <row r="9158" spans="84:91" s="51" customFormat="1">
      <c r="CF9158" s="239"/>
      <c r="CM9158" s="336"/>
    </row>
    <row r="9159" spans="84:91" s="51" customFormat="1">
      <c r="CF9159" s="239"/>
      <c r="CM9159" s="336"/>
    </row>
    <row r="9160" spans="84:91" s="51" customFormat="1">
      <c r="CF9160" s="239"/>
      <c r="CM9160" s="336"/>
    </row>
    <row r="9161" spans="84:91" s="51" customFormat="1">
      <c r="CF9161" s="239"/>
      <c r="CM9161" s="336"/>
    </row>
    <row r="9162" spans="84:91" s="51" customFormat="1">
      <c r="CF9162" s="239"/>
      <c r="CM9162" s="336"/>
    </row>
    <row r="9163" spans="84:91" s="51" customFormat="1">
      <c r="CF9163" s="239"/>
      <c r="CM9163" s="336"/>
    </row>
    <row r="9164" spans="84:91" s="51" customFormat="1">
      <c r="CF9164" s="239"/>
      <c r="CM9164" s="336"/>
    </row>
    <row r="9165" spans="84:91" s="51" customFormat="1">
      <c r="CF9165" s="239"/>
      <c r="CM9165" s="336"/>
    </row>
    <row r="9166" spans="84:91" s="51" customFormat="1">
      <c r="CF9166" s="239"/>
      <c r="CM9166" s="336"/>
    </row>
    <row r="9167" spans="84:91" s="51" customFormat="1">
      <c r="CF9167" s="239"/>
      <c r="CM9167" s="336"/>
    </row>
    <row r="9168" spans="84:91" s="51" customFormat="1">
      <c r="CF9168" s="239"/>
      <c r="CM9168" s="336"/>
    </row>
    <row r="9169" spans="84:91" s="51" customFormat="1">
      <c r="CF9169" s="239"/>
      <c r="CM9169" s="336"/>
    </row>
    <row r="9170" spans="84:91" s="51" customFormat="1">
      <c r="CF9170" s="239"/>
      <c r="CM9170" s="336"/>
    </row>
    <row r="9171" spans="84:91" s="51" customFormat="1">
      <c r="CF9171" s="239"/>
      <c r="CM9171" s="336"/>
    </row>
    <row r="9172" spans="84:91" s="51" customFormat="1">
      <c r="CF9172" s="239"/>
      <c r="CM9172" s="336"/>
    </row>
    <row r="9173" spans="84:91" s="51" customFormat="1">
      <c r="CF9173" s="239"/>
      <c r="CM9173" s="336"/>
    </row>
    <row r="9174" spans="84:91" s="51" customFormat="1">
      <c r="CF9174" s="239"/>
      <c r="CM9174" s="336"/>
    </row>
    <row r="9175" spans="84:91" s="51" customFormat="1">
      <c r="CF9175" s="239"/>
      <c r="CM9175" s="336"/>
    </row>
    <row r="9176" spans="84:91" s="51" customFormat="1">
      <c r="CF9176" s="239"/>
      <c r="CM9176" s="336"/>
    </row>
    <row r="9177" spans="84:91" s="51" customFormat="1">
      <c r="CF9177" s="239"/>
      <c r="CM9177" s="336"/>
    </row>
    <row r="9178" spans="84:91" s="51" customFormat="1">
      <c r="CF9178" s="239"/>
      <c r="CM9178" s="336"/>
    </row>
    <row r="9179" spans="84:91" s="51" customFormat="1">
      <c r="CF9179" s="239"/>
      <c r="CM9179" s="336"/>
    </row>
    <row r="9180" spans="84:91" s="51" customFormat="1">
      <c r="CF9180" s="239"/>
      <c r="CM9180" s="336"/>
    </row>
    <row r="9181" spans="84:91" s="51" customFormat="1">
      <c r="CF9181" s="239"/>
      <c r="CM9181" s="336"/>
    </row>
    <row r="9182" spans="84:91" s="51" customFormat="1">
      <c r="CF9182" s="239"/>
      <c r="CM9182" s="336"/>
    </row>
    <row r="9183" spans="84:91" s="51" customFormat="1">
      <c r="CF9183" s="239"/>
      <c r="CM9183" s="336"/>
    </row>
    <row r="9184" spans="84:91" s="51" customFormat="1">
      <c r="CF9184" s="239"/>
      <c r="CM9184" s="336"/>
    </row>
    <row r="9185" spans="84:91" s="51" customFormat="1">
      <c r="CF9185" s="239"/>
      <c r="CM9185" s="336"/>
    </row>
    <row r="9186" spans="84:91" s="51" customFormat="1">
      <c r="CF9186" s="239"/>
      <c r="CM9186" s="336"/>
    </row>
    <row r="9187" spans="84:91" s="51" customFormat="1">
      <c r="CF9187" s="239"/>
      <c r="CM9187" s="336"/>
    </row>
    <row r="9188" spans="84:91" s="51" customFormat="1">
      <c r="CF9188" s="239"/>
      <c r="CM9188" s="336"/>
    </row>
    <row r="9189" spans="84:91" s="51" customFormat="1">
      <c r="CF9189" s="239"/>
      <c r="CM9189" s="336"/>
    </row>
    <row r="9190" spans="84:91" s="51" customFormat="1">
      <c r="CF9190" s="239"/>
      <c r="CM9190" s="336"/>
    </row>
    <row r="9191" spans="84:91" s="51" customFormat="1">
      <c r="CF9191" s="239"/>
      <c r="CM9191" s="336"/>
    </row>
    <row r="9192" spans="84:91" s="51" customFormat="1">
      <c r="CF9192" s="239"/>
      <c r="CM9192" s="336"/>
    </row>
    <row r="9193" spans="84:91" s="51" customFormat="1">
      <c r="CF9193" s="239"/>
      <c r="CM9193" s="336"/>
    </row>
    <row r="9194" spans="84:91" s="51" customFormat="1">
      <c r="CF9194" s="239"/>
      <c r="CM9194" s="336"/>
    </row>
    <row r="9195" spans="84:91" s="51" customFormat="1">
      <c r="CF9195" s="239"/>
      <c r="CM9195" s="336"/>
    </row>
    <row r="9196" spans="84:91" s="51" customFormat="1">
      <c r="CF9196" s="239"/>
      <c r="CM9196" s="336"/>
    </row>
    <row r="9197" spans="84:91" s="51" customFormat="1">
      <c r="CF9197" s="239"/>
      <c r="CM9197" s="336"/>
    </row>
    <row r="9198" spans="84:91" s="51" customFormat="1">
      <c r="CF9198" s="239"/>
      <c r="CM9198" s="336"/>
    </row>
    <row r="9199" spans="84:91" s="51" customFormat="1">
      <c r="CF9199" s="239"/>
      <c r="CM9199" s="336"/>
    </row>
    <row r="9200" spans="84:91" s="51" customFormat="1">
      <c r="CF9200" s="239"/>
      <c r="CM9200" s="336"/>
    </row>
    <row r="9201" spans="84:91" s="51" customFormat="1">
      <c r="CF9201" s="239"/>
      <c r="CM9201" s="336"/>
    </row>
    <row r="9202" spans="84:91" s="51" customFormat="1">
      <c r="CF9202" s="239"/>
      <c r="CM9202" s="336"/>
    </row>
    <row r="9203" spans="84:91" s="51" customFormat="1">
      <c r="CF9203" s="239"/>
      <c r="CM9203" s="336"/>
    </row>
    <row r="9204" spans="84:91" s="51" customFormat="1">
      <c r="CF9204" s="239"/>
      <c r="CM9204" s="336"/>
    </row>
    <row r="9205" spans="84:91" s="51" customFormat="1">
      <c r="CF9205" s="239"/>
      <c r="CM9205" s="336"/>
    </row>
    <row r="9206" spans="84:91" s="51" customFormat="1">
      <c r="CF9206" s="239"/>
      <c r="CM9206" s="336"/>
    </row>
    <row r="9207" spans="84:91" s="51" customFormat="1">
      <c r="CF9207" s="239"/>
      <c r="CM9207" s="336"/>
    </row>
    <row r="9208" spans="84:91" s="51" customFormat="1">
      <c r="CF9208" s="239"/>
      <c r="CM9208" s="336"/>
    </row>
    <row r="9209" spans="84:91" s="51" customFormat="1">
      <c r="CF9209" s="239"/>
      <c r="CM9209" s="336"/>
    </row>
    <row r="9210" spans="84:91" s="51" customFormat="1">
      <c r="CF9210" s="239"/>
      <c r="CM9210" s="336"/>
    </row>
    <row r="9211" spans="84:91" s="51" customFormat="1">
      <c r="CF9211" s="239"/>
      <c r="CM9211" s="336"/>
    </row>
    <row r="9212" spans="84:91" s="51" customFormat="1">
      <c r="CF9212" s="239"/>
      <c r="CM9212" s="336"/>
    </row>
    <row r="9213" spans="84:91" s="51" customFormat="1">
      <c r="CF9213" s="239"/>
      <c r="CM9213" s="336"/>
    </row>
    <row r="9214" spans="84:91" s="51" customFormat="1">
      <c r="CF9214" s="239"/>
      <c r="CM9214" s="336"/>
    </row>
    <row r="9215" spans="84:91" s="51" customFormat="1">
      <c r="CF9215" s="239"/>
      <c r="CM9215" s="336"/>
    </row>
    <row r="9216" spans="84:91" s="51" customFormat="1">
      <c r="CF9216" s="239"/>
      <c r="CM9216" s="336"/>
    </row>
    <row r="9217" spans="84:91" s="51" customFormat="1">
      <c r="CF9217" s="239"/>
      <c r="CM9217" s="336"/>
    </row>
    <row r="9218" spans="84:91" s="51" customFormat="1">
      <c r="CF9218" s="239"/>
      <c r="CM9218" s="336"/>
    </row>
    <row r="9219" spans="84:91" s="51" customFormat="1">
      <c r="CF9219" s="239"/>
      <c r="CM9219" s="336"/>
    </row>
    <row r="9220" spans="84:91" s="51" customFormat="1">
      <c r="CF9220" s="239"/>
      <c r="CM9220" s="336"/>
    </row>
    <row r="9221" spans="84:91" s="51" customFormat="1">
      <c r="CF9221" s="239"/>
      <c r="CM9221" s="336"/>
    </row>
    <row r="9222" spans="84:91" s="51" customFormat="1">
      <c r="CF9222" s="239"/>
      <c r="CM9222" s="336"/>
    </row>
    <row r="9223" spans="84:91" s="51" customFormat="1">
      <c r="CF9223" s="239"/>
      <c r="CM9223" s="336"/>
    </row>
    <row r="9224" spans="84:91" s="51" customFormat="1">
      <c r="CF9224" s="239"/>
      <c r="CM9224" s="336"/>
    </row>
    <row r="9225" spans="84:91" s="51" customFormat="1">
      <c r="CF9225" s="239"/>
      <c r="CM9225" s="336"/>
    </row>
    <row r="9226" spans="84:91" s="51" customFormat="1">
      <c r="CF9226" s="239"/>
      <c r="CM9226" s="336"/>
    </row>
    <row r="9227" spans="84:91" s="51" customFormat="1">
      <c r="CF9227" s="239"/>
      <c r="CM9227" s="336"/>
    </row>
    <row r="9228" spans="84:91" s="51" customFormat="1">
      <c r="CF9228" s="239"/>
      <c r="CM9228" s="336"/>
    </row>
    <row r="9229" spans="84:91" s="51" customFormat="1">
      <c r="CF9229" s="239"/>
      <c r="CM9229" s="336"/>
    </row>
    <row r="9230" spans="84:91" s="51" customFormat="1">
      <c r="CF9230" s="239"/>
      <c r="CM9230" s="336"/>
    </row>
    <row r="9231" spans="84:91" s="51" customFormat="1">
      <c r="CF9231" s="239"/>
      <c r="CM9231" s="336"/>
    </row>
    <row r="9232" spans="84:91" s="51" customFormat="1">
      <c r="CF9232" s="239"/>
      <c r="CM9232" s="336"/>
    </row>
    <row r="9233" spans="84:91" s="51" customFormat="1">
      <c r="CF9233" s="239"/>
      <c r="CM9233" s="336"/>
    </row>
    <row r="9234" spans="84:91" s="51" customFormat="1">
      <c r="CF9234" s="239"/>
      <c r="CM9234" s="336"/>
    </row>
    <row r="9235" spans="84:91" s="51" customFormat="1">
      <c r="CF9235" s="239"/>
      <c r="CM9235" s="336"/>
    </row>
    <row r="9236" spans="84:91" s="51" customFormat="1">
      <c r="CF9236" s="239"/>
      <c r="CM9236" s="336"/>
    </row>
    <row r="9237" spans="84:91" s="51" customFormat="1">
      <c r="CF9237" s="239"/>
      <c r="CM9237" s="336"/>
    </row>
    <row r="9238" spans="84:91" s="51" customFormat="1">
      <c r="CF9238" s="239"/>
      <c r="CM9238" s="336"/>
    </row>
    <row r="9239" spans="84:91" s="51" customFormat="1">
      <c r="CF9239" s="239"/>
      <c r="CM9239" s="336"/>
    </row>
    <row r="9240" spans="84:91" s="51" customFormat="1">
      <c r="CF9240" s="239"/>
      <c r="CM9240" s="336"/>
    </row>
    <row r="9241" spans="84:91" s="51" customFormat="1">
      <c r="CF9241" s="239"/>
      <c r="CM9241" s="336"/>
    </row>
    <row r="9242" spans="84:91" s="51" customFormat="1">
      <c r="CF9242" s="239"/>
      <c r="CM9242" s="336"/>
    </row>
    <row r="9243" spans="84:91" s="51" customFormat="1">
      <c r="CF9243" s="239"/>
      <c r="CM9243" s="336"/>
    </row>
    <row r="9244" spans="84:91" s="51" customFormat="1">
      <c r="CF9244" s="239"/>
      <c r="CM9244" s="336"/>
    </row>
    <row r="9245" spans="84:91" s="51" customFormat="1">
      <c r="CF9245" s="239"/>
      <c r="CM9245" s="336"/>
    </row>
    <row r="9246" spans="84:91" s="51" customFormat="1">
      <c r="CF9246" s="239"/>
      <c r="CM9246" s="336"/>
    </row>
    <row r="9247" spans="84:91" s="51" customFormat="1">
      <c r="CF9247" s="239"/>
      <c r="CM9247" s="336"/>
    </row>
    <row r="9248" spans="84:91" s="51" customFormat="1">
      <c r="CF9248" s="239"/>
      <c r="CM9248" s="336"/>
    </row>
    <row r="9249" spans="84:91" s="51" customFormat="1">
      <c r="CF9249" s="239"/>
      <c r="CM9249" s="336"/>
    </row>
    <row r="9250" spans="84:91" s="51" customFormat="1">
      <c r="CF9250" s="239"/>
      <c r="CM9250" s="336"/>
    </row>
    <row r="9251" spans="84:91" s="51" customFormat="1">
      <c r="CF9251" s="239"/>
      <c r="CM9251" s="336"/>
    </row>
    <row r="9252" spans="84:91" s="51" customFormat="1">
      <c r="CF9252" s="239"/>
      <c r="CM9252" s="336"/>
    </row>
    <row r="9253" spans="84:91" s="51" customFormat="1">
      <c r="CF9253" s="239"/>
      <c r="CM9253" s="336"/>
    </row>
    <row r="9254" spans="84:91" s="51" customFormat="1">
      <c r="CF9254" s="239"/>
      <c r="CM9254" s="336"/>
    </row>
    <row r="9255" spans="84:91" s="51" customFormat="1">
      <c r="CF9255" s="239"/>
      <c r="CM9255" s="336"/>
    </row>
    <row r="9256" spans="84:91" s="51" customFormat="1">
      <c r="CF9256" s="239"/>
      <c r="CM9256" s="336"/>
    </row>
    <row r="9257" spans="84:91" s="51" customFormat="1">
      <c r="CF9257" s="239"/>
      <c r="CM9257" s="336"/>
    </row>
    <row r="9258" spans="84:91" s="51" customFormat="1">
      <c r="CF9258" s="239"/>
      <c r="CM9258" s="336"/>
    </row>
    <row r="9259" spans="84:91" s="51" customFormat="1">
      <c r="CF9259" s="239"/>
      <c r="CM9259" s="336"/>
    </row>
    <row r="9260" spans="84:91" s="51" customFormat="1">
      <c r="CF9260" s="239"/>
      <c r="CM9260" s="336"/>
    </row>
    <row r="9261" spans="84:91" s="51" customFormat="1">
      <c r="CF9261" s="239"/>
      <c r="CM9261" s="336"/>
    </row>
    <row r="9262" spans="84:91" s="51" customFormat="1">
      <c r="CF9262" s="239"/>
      <c r="CM9262" s="336"/>
    </row>
    <row r="9263" spans="84:91" s="51" customFormat="1">
      <c r="CF9263" s="239"/>
      <c r="CM9263" s="336"/>
    </row>
    <row r="9264" spans="84:91" s="51" customFormat="1">
      <c r="CF9264" s="239"/>
      <c r="CM9264" s="336"/>
    </row>
    <row r="9265" spans="84:91" s="51" customFormat="1">
      <c r="CF9265" s="239"/>
      <c r="CM9265" s="336"/>
    </row>
    <row r="9266" spans="84:91" s="51" customFormat="1">
      <c r="CF9266" s="239"/>
      <c r="CM9266" s="336"/>
    </row>
    <row r="9267" spans="84:91" s="51" customFormat="1">
      <c r="CF9267" s="239"/>
      <c r="CM9267" s="336"/>
    </row>
    <row r="9268" spans="84:91" s="51" customFormat="1">
      <c r="CF9268" s="239"/>
      <c r="CM9268" s="336"/>
    </row>
    <row r="9269" spans="84:91" s="51" customFormat="1">
      <c r="CF9269" s="239"/>
      <c r="CM9269" s="336"/>
    </row>
    <row r="9270" spans="84:91" s="51" customFormat="1">
      <c r="CF9270" s="239"/>
      <c r="CM9270" s="336"/>
    </row>
    <row r="9271" spans="84:91" s="51" customFormat="1">
      <c r="CF9271" s="239"/>
      <c r="CM9271" s="336"/>
    </row>
    <row r="9272" spans="84:91" s="51" customFormat="1">
      <c r="CF9272" s="239"/>
      <c r="CM9272" s="336"/>
    </row>
    <row r="9273" spans="84:91" s="51" customFormat="1">
      <c r="CF9273" s="239"/>
      <c r="CM9273" s="336"/>
    </row>
    <row r="9274" spans="84:91" s="51" customFormat="1">
      <c r="CF9274" s="239"/>
      <c r="CM9274" s="336"/>
    </row>
    <row r="9275" spans="84:91" s="51" customFormat="1">
      <c r="CF9275" s="239"/>
      <c r="CM9275" s="336"/>
    </row>
    <row r="9276" spans="84:91" s="51" customFormat="1">
      <c r="CF9276" s="239"/>
      <c r="CM9276" s="336"/>
    </row>
    <row r="9277" spans="84:91" s="51" customFormat="1">
      <c r="CF9277" s="239"/>
      <c r="CM9277" s="336"/>
    </row>
    <row r="9278" spans="84:91" s="51" customFormat="1">
      <c r="CF9278" s="239"/>
      <c r="CM9278" s="336"/>
    </row>
    <row r="9279" spans="84:91" s="51" customFormat="1">
      <c r="CF9279" s="239"/>
      <c r="CM9279" s="336"/>
    </row>
    <row r="9280" spans="84:91" s="51" customFormat="1">
      <c r="CF9280" s="239"/>
      <c r="CM9280" s="336"/>
    </row>
    <row r="9281" spans="84:91" s="51" customFormat="1">
      <c r="CF9281" s="239"/>
      <c r="CM9281" s="336"/>
    </row>
    <row r="9282" spans="84:91" s="51" customFormat="1">
      <c r="CF9282" s="239"/>
      <c r="CM9282" s="336"/>
    </row>
    <row r="9283" spans="84:91" s="51" customFormat="1">
      <c r="CF9283" s="239"/>
      <c r="CM9283" s="336"/>
    </row>
    <row r="9284" spans="84:91" s="51" customFormat="1">
      <c r="CF9284" s="239"/>
      <c r="CM9284" s="336"/>
    </row>
    <row r="9285" spans="84:91" s="51" customFormat="1">
      <c r="CF9285" s="239"/>
      <c r="CM9285" s="336"/>
    </row>
    <row r="9286" spans="84:91" s="51" customFormat="1">
      <c r="CF9286" s="239"/>
      <c r="CM9286" s="336"/>
    </row>
    <row r="9287" spans="84:91" s="51" customFormat="1">
      <c r="CF9287" s="239"/>
      <c r="CM9287" s="336"/>
    </row>
    <row r="9288" spans="84:91" s="51" customFormat="1">
      <c r="CF9288" s="239"/>
      <c r="CM9288" s="336"/>
    </row>
    <row r="9289" spans="84:91" s="51" customFormat="1">
      <c r="CF9289" s="239"/>
      <c r="CM9289" s="336"/>
    </row>
    <row r="9290" spans="84:91" s="51" customFormat="1">
      <c r="CF9290" s="239"/>
      <c r="CM9290" s="336"/>
    </row>
    <row r="9291" spans="84:91" s="51" customFormat="1">
      <c r="CF9291" s="239"/>
      <c r="CM9291" s="336"/>
    </row>
    <row r="9292" spans="84:91" s="51" customFormat="1">
      <c r="CF9292" s="239"/>
      <c r="CM9292" s="336"/>
    </row>
    <row r="9293" spans="84:91" s="51" customFormat="1">
      <c r="CF9293" s="239"/>
      <c r="CM9293" s="336"/>
    </row>
    <row r="9294" spans="84:91" s="51" customFormat="1">
      <c r="CF9294" s="239"/>
      <c r="CM9294" s="336"/>
    </row>
    <row r="9295" spans="84:91" s="51" customFormat="1">
      <c r="CF9295" s="239"/>
      <c r="CM9295" s="336"/>
    </row>
    <row r="9296" spans="84:91" s="51" customFormat="1">
      <c r="CF9296" s="239"/>
      <c r="CM9296" s="336"/>
    </row>
    <row r="9297" spans="84:91" s="51" customFormat="1">
      <c r="CF9297" s="239"/>
      <c r="CM9297" s="336"/>
    </row>
    <row r="9298" spans="84:91" s="51" customFormat="1">
      <c r="CF9298" s="239"/>
      <c r="CM9298" s="336"/>
    </row>
    <row r="9299" spans="84:91" s="51" customFormat="1">
      <c r="CF9299" s="239"/>
      <c r="CM9299" s="336"/>
    </row>
    <row r="9300" spans="84:91" s="51" customFormat="1">
      <c r="CF9300" s="239"/>
      <c r="CM9300" s="336"/>
    </row>
    <row r="9301" spans="84:91" s="51" customFormat="1">
      <c r="CF9301" s="239"/>
      <c r="CM9301" s="336"/>
    </row>
    <row r="9302" spans="84:91" s="51" customFormat="1">
      <c r="CF9302" s="239"/>
      <c r="CM9302" s="336"/>
    </row>
    <row r="9303" spans="84:91" s="51" customFormat="1">
      <c r="CF9303" s="239"/>
      <c r="CM9303" s="336"/>
    </row>
    <row r="9304" spans="84:91" s="51" customFormat="1">
      <c r="CF9304" s="239"/>
      <c r="CM9304" s="336"/>
    </row>
    <row r="9305" spans="84:91" s="51" customFormat="1">
      <c r="CF9305" s="239"/>
      <c r="CM9305" s="336"/>
    </row>
    <row r="9306" spans="84:91" s="51" customFormat="1">
      <c r="CF9306" s="239"/>
      <c r="CM9306" s="336"/>
    </row>
    <row r="9307" spans="84:91" s="51" customFormat="1">
      <c r="CF9307" s="239"/>
      <c r="CM9307" s="336"/>
    </row>
    <row r="9308" spans="84:91" s="51" customFormat="1">
      <c r="CF9308" s="239"/>
      <c r="CM9308" s="336"/>
    </row>
    <row r="9309" spans="84:91" s="51" customFormat="1">
      <c r="CF9309" s="239"/>
      <c r="CM9309" s="336"/>
    </row>
    <row r="9310" spans="84:91" s="51" customFormat="1">
      <c r="CF9310" s="239"/>
      <c r="CM9310" s="336"/>
    </row>
    <row r="9311" spans="84:91" s="51" customFormat="1">
      <c r="CF9311" s="239"/>
      <c r="CM9311" s="336"/>
    </row>
    <row r="9312" spans="84:91" s="51" customFormat="1">
      <c r="CF9312" s="239"/>
      <c r="CM9312" s="336"/>
    </row>
    <row r="9313" spans="84:91" s="51" customFormat="1">
      <c r="CF9313" s="239"/>
      <c r="CM9313" s="336"/>
    </row>
    <row r="9314" spans="84:91" s="51" customFormat="1">
      <c r="CF9314" s="239"/>
      <c r="CM9314" s="336"/>
    </row>
    <row r="9315" spans="84:91" s="51" customFormat="1">
      <c r="CF9315" s="239"/>
      <c r="CM9315" s="336"/>
    </row>
    <row r="9316" spans="84:91" s="51" customFormat="1">
      <c r="CF9316" s="239"/>
      <c r="CM9316" s="336"/>
    </row>
    <row r="9317" spans="84:91" s="51" customFormat="1">
      <c r="CF9317" s="239"/>
      <c r="CM9317" s="336"/>
    </row>
    <row r="9318" spans="84:91" s="51" customFormat="1">
      <c r="CF9318" s="239"/>
      <c r="CM9318" s="336"/>
    </row>
    <row r="9319" spans="84:91" s="51" customFormat="1">
      <c r="CF9319" s="239"/>
      <c r="CM9319" s="336"/>
    </row>
    <row r="9320" spans="84:91" s="51" customFormat="1">
      <c r="CF9320" s="239"/>
      <c r="CM9320" s="336"/>
    </row>
    <row r="9321" spans="84:91" s="51" customFormat="1">
      <c r="CF9321" s="239"/>
      <c r="CM9321" s="336"/>
    </row>
    <row r="9322" spans="84:91" s="51" customFormat="1">
      <c r="CF9322" s="239"/>
      <c r="CM9322" s="336"/>
    </row>
    <row r="9323" spans="84:91" s="51" customFormat="1">
      <c r="CF9323" s="239"/>
      <c r="CM9323" s="336"/>
    </row>
    <row r="9324" spans="84:91" s="51" customFormat="1">
      <c r="CF9324" s="239"/>
      <c r="CM9324" s="336"/>
    </row>
    <row r="9325" spans="84:91" s="51" customFormat="1">
      <c r="CF9325" s="239"/>
      <c r="CM9325" s="336"/>
    </row>
    <row r="9326" spans="84:91" s="51" customFormat="1">
      <c r="CF9326" s="239"/>
      <c r="CM9326" s="336"/>
    </row>
    <row r="9327" spans="84:91" s="51" customFormat="1">
      <c r="CF9327" s="239"/>
      <c r="CM9327" s="336"/>
    </row>
    <row r="9328" spans="84:91" s="51" customFormat="1">
      <c r="CF9328" s="239"/>
      <c r="CM9328" s="336"/>
    </row>
    <row r="9329" spans="84:91" s="51" customFormat="1">
      <c r="CF9329" s="239"/>
      <c r="CM9329" s="336"/>
    </row>
    <row r="9330" spans="84:91" s="51" customFormat="1">
      <c r="CF9330" s="239"/>
      <c r="CM9330" s="336"/>
    </row>
    <row r="9331" spans="84:91" s="51" customFormat="1">
      <c r="CF9331" s="239"/>
      <c r="CM9331" s="336"/>
    </row>
    <row r="9332" spans="84:91" s="51" customFormat="1">
      <c r="CF9332" s="239"/>
      <c r="CM9332" s="336"/>
    </row>
    <row r="9333" spans="84:91" s="51" customFormat="1">
      <c r="CF9333" s="239"/>
      <c r="CM9333" s="336"/>
    </row>
    <row r="9334" spans="84:91" s="51" customFormat="1">
      <c r="CF9334" s="239"/>
      <c r="CM9334" s="336"/>
    </row>
    <row r="9335" spans="84:91" s="51" customFormat="1">
      <c r="CF9335" s="239"/>
      <c r="CM9335" s="336"/>
    </row>
    <row r="9336" spans="84:91" s="51" customFormat="1">
      <c r="CF9336" s="239"/>
      <c r="CM9336" s="336"/>
    </row>
    <row r="9337" spans="84:91" s="51" customFormat="1">
      <c r="CF9337" s="239"/>
      <c r="CM9337" s="336"/>
    </row>
    <row r="9338" spans="84:91" s="51" customFormat="1">
      <c r="CF9338" s="239"/>
      <c r="CM9338" s="336"/>
    </row>
    <row r="9339" spans="84:91" s="51" customFormat="1">
      <c r="CF9339" s="239"/>
      <c r="CM9339" s="336"/>
    </row>
    <row r="9340" spans="84:91" s="51" customFormat="1">
      <c r="CF9340" s="239"/>
      <c r="CM9340" s="336"/>
    </row>
    <row r="9341" spans="84:91" s="51" customFormat="1">
      <c r="CF9341" s="239"/>
      <c r="CM9341" s="336"/>
    </row>
    <row r="9342" spans="84:91" s="51" customFormat="1">
      <c r="CF9342" s="239"/>
      <c r="CM9342" s="336"/>
    </row>
    <row r="9343" spans="84:91" s="51" customFormat="1">
      <c r="CF9343" s="239"/>
      <c r="CM9343" s="336"/>
    </row>
    <row r="9344" spans="84:91" s="51" customFormat="1">
      <c r="CF9344" s="239"/>
      <c r="CM9344" s="336"/>
    </row>
    <row r="9345" spans="84:91" s="51" customFormat="1">
      <c r="CF9345" s="239"/>
      <c r="CM9345" s="336"/>
    </row>
    <row r="9346" spans="84:91" s="51" customFormat="1">
      <c r="CF9346" s="239"/>
      <c r="CM9346" s="336"/>
    </row>
    <row r="9347" spans="84:91" s="51" customFormat="1">
      <c r="CF9347" s="239"/>
      <c r="CM9347" s="336"/>
    </row>
    <row r="9348" spans="84:91" s="51" customFormat="1">
      <c r="CF9348" s="239"/>
      <c r="CM9348" s="336"/>
    </row>
    <row r="9349" spans="84:91" s="51" customFormat="1">
      <c r="CF9349" s="239"/>
      <c r="CM9349" s="336"/>
    </row>
    <row r="9350" spans="84:91" s="51" customFormat="1">
      <c r="CF9350" s="239"/>
      <c r="CM9350" s="336"/>
    </row>
    <row r="9351" spans="84:91" s="51" customFormat="1">
      <c r="CF9351" s="239"/>
      <c r="CM9351" s="336"/>
    </row>
    <row r="9352" spans="84:91" s="51" customFormat="1">
      <c r="CF9352" s="239"/>
      <c r="CM9352" s="336"/>
    </row>
    <row r="9353" spans="84:91" s="51" customFormat="1">
      <c r="CF9353" s="239"/>
      <c r="CM9353" s="336"/>
    </row>
    <row r="9354" spans="84:91" s="51" customFormat="1">
      <c r="CF9354" s="239"/>
      <c r="CM9354" s="336"/>
    </row>
    <row r="9355" spans="84:91" s="51" customFormat="1">
      <c r="CF9355" s="239"/>
      <c r="CM9355" s="336"/>
    </row>
    <row r="9356" spans="84:91" s="51" customFormat="1">
      <c r="CF9356" s="239"/>
      <c r="CM9356" s="336"/>
    </row>
    <row r="9357" spans="84:91" s="51" customFormat="1">
      <c r="CF9357" s="239"/>
      <c r="CM9357" s="336"/>
    </row>
    <row r="9358" spans="84:91" s="51" customFormat="1">
      <c r="CF9358" s="239"/>
      <c r="CM9358" s="336"/>
    </row>
    <row r="9359" spans="84:91" s="51" customFormat="1">
      <c r="CF9359" s="239"/>
      <c r="CM9359" s="336"/>
    </row>
    <row r="9360" spans="84:91" s="51" customFormat="1">
      <c r="CF9360" s="239"/>
      <c r="CM9360" s="336"/>
    </row>
    <row r="9361" spans="84:91" s="51" customFormat="1">
      <c r="CF9361" s="239"/>
      <c r="CM9361" s="336"/>
    </row>
    <row r="9362" spans="84:91" s="51" customFormat="1">
      <c r="CF9362" s="239"/>
      <c r="CM9362" s="336"/>
    </row>
    <row r="9363" spans="84:91" s="51" customFormat="1">
      <c r="CF9363" s="239"/>
      <c r="CM9363" s="336"/>
    </row>
    <row r="9364" spans="84:91" s="51" customFormat="1">
      <c r="CF9364" s="239"/>
      <c r="CM9364" s="336"/>
    </row>
    <row r="9365" spans="84:91" s="51" customFormat="1">
      <c r="CF9365" s="239"/>
      <c r="CM9365" s="336"/>
    </row>
    <row r="9366" spans="84:91" s="51" customFormat="1">
      <c r="CF9366" s="239"/>
      <c r="CM9366" s="336"/>
    </row>
    <row r="9367" spans="84:91" s="51" customFormat="1">
      <c r="CF9367" s="239"/>
      <c r="CM9367" s="336"/>
    </row>
    <row r="9368" spans="84:91" s="51" customFormat="1">
      <c r="CF9368" s="239"/>
      <c r="CM9368" s="336"/>
    </row>
    <row r="9369" spans="84:91" s="51" customFormat="1">
      <c r="CF9369" s="239"/>
      <c r="CM9369" s="336"/>
    </row>
    <row r="9370" spans="84:91" s="51" customFormat="1">
      <c r="CF9370" s="239"/>
      <c r="CM9370" s="336"/>
    </row>
    <row r="9371" spans="84:91" s="51" customFormat="1">
      <c r="CF9371" s="239"/>
      <c r="CM9371" s="336"/>
    </row>
    <row r="9372" spans="84:91" s="51" customFormat="1">
      <c r="CF9372" s="239"/>
      <c r="CM9372" s="336"/>
    </row>
    <row r="9373" spans="84:91" s="51" customFormat="1">
      <c r="CF9373" s="239"/>
      <c r="CM9373" s="336"/>
    </row>
    <row r="9374" spans="84:91" s="51" customFormat="1">
      <c r="CF9374" s="239"/>
      <c r="CM9374" s="336"/>
    </row>
    <row r="9375" spans="84:91" s="51" customFormat="1">
      <c r="CF9375" s="239"/>
      <c r="CM9375" s="336"/>
    </row>
    <row r="9376" spans="84:91" s="51" customFormat="1">
      <c r="CF9376" s="239"/>
      <c r="CM9376" s="336"/>
    </row>
    <row r="9377" spans="84:91" s="51" customFormat="1">
      <c r="CF9377" s="239"/>
      <c r="CM9377" s="336"/>
    </row>
    <row r="9378" spans="84:91" s="51" customFormat="1">
      <c r="CF9378" s="239"/>
      <c r="CM9378" s="336"/>
    </row>
    <row r="9379" spans="84:91" s="51" customFormat="1">
      <c r="CF9379" s="239"/>
      <c r="CM9379" s="336"/>
    </row>
    <row r="9380" spans="84:91" s="51" customFormat="1">
      <c r="CF9380" s="239"/>
      <c r="CM9380" s="336"/>
    </row>
    <row r="9381" spans="84:91" s="51" customFormat="1">
      <c r="CF9381" s="239"/>
      <c r="CM9381" s="336"/>
    </row>
    <row r="9382" spans="84:91" s="51" customFormat="1">
      <c r="CF9382" s="239"/>
      <c r="CM9382" s="336"/>
    </row>
    <row r="9383" spans="84:91" s="51" customFormat="1">
      <c r="CF9383" s="239"/>
      <c r="CM9383" s="336"/>
    </row>
    <row r="9384" spans="84:91" s="51" customFormat="1">
      <c r="CF9384" s="239"/>
      <c r="CM9384" s="336"/>
    </row>
    <row r="9385" spans="84:91" s="51" customFormat="1">
      <c r="CF9385" s="239"/>
      <c r="CM9385" s="336"/>
    </row>
    <row r="9386" spans="84:91" s="51" customFormat="1">
      <c r="CF9386" s="239"/>
      <c r="CM9386" s="336"/>
    </row>
    <row r="9387" spans="84:91" s="51" customFormat="1">
      <c r="CF9387" s="239"/>
      <c r="CM9387" s="336"/>
    </row>
    <row r="9388" spans="84:91" s="51" customFormat="1">
      <c r="CF9388" s="239"/>
      <c r="CM9388" s="336"/>
    </row>
    <row r="9389" spans="84:91" s="51" customFormat="1">
      <c r="CF9389" s="239"/>
      <c r="CM9389" s="336"/>
    </row>
    <row r="9390" spans="84:91" s="51" customFormat="1">
      <c r="CF9390" s="239"/>
      <c r="CM9390" s="336"/>
    </row>
    <row r="9391" spans="84:91" s="51" customFormat="1">
      <c r="CF9391" s="239"/>
      <c r="CM9391" s="336"/>
    </row>
    <row r="9392" spans="84:91" s="51" customFormat="1">
      <c r="CF9392" s="239"/>
      <c r="CM9392" s="336"/>
    </row>
    <row r="9393" spans="84:91" s="51" customFormat="1">
      <c r="CF9393" s="239"/>
      <c r="CM9393" s="336"/>
    </row>
    <row r="9394" spans="84:91" s="51" customFormat="1">
      <c r="CF9394" s="239"/>
      <c r="CM9394" s="336"/>
    </row>
    <row r="9395" spans="84:91" s="51" customFormat="1">
      <c r="CF9395" s="239"/>
      <c r="CM9395" s="336"/>
    </row>
    <row r="9396" spans="84:91" s="51" customFormat="1">
      <c r="CF9396" s="239"/>
      <c r="CM9396" s="336"/>
    </row>
    <row r="9397" spans="84:91" s="51" customFormat="1">
      <c r="CF9397" s="239"/>
      <c r="CM9397" s="336"/>
    </row>
    <row r="9398" spans="84:91" s="51" customFormat="1">
      <c r="CF9398" s="239"/>
      <c r="CM9398" s="336"/>
    </row>
    <row r="9399" spans="84:91" s="51" customFormat="1">
      <c r="CF9399" s="239"/>
      <c r="CM9399" s="336"/>
    </row>
    <row r="9400" spans="84:91" s="51" customFormat="1">
      <c r="CF9400" s="239"/>
      <c r="CM9400" s="336"/>
    </row>
    <row r="9401" spans="84:91" s="51" customFormat="1">
      <c r="CF9401" s="239"/>
      <c r="CM9401" s="336"/>
    </row>
    <row r="9402" spans="84:91" s="51" customFormat="1">
      <c r="CF9402" s="239"/>
      <c r="CM9402" s="336"/>
    </row>
    <row r="9403" spans="84:91" s="51" customFormat="1">
      <c r="CF9403" s="239"/>
      <c r="CM9403" s="336"/>
    </row>
    <row r="9404" spans="84:91" s="51" customFormat="1">
      <c r="CF9404" s="239"/>
      <c r="CM9404" s="336"/>
    </row>
    <row r="9405" spans="84:91" s="51" customFormat="1">
      <c r="CF9405" s="239"/>
      <c r="CM9405" s="336"/>
    </row>
    <row r="9406" spans="84:91" s="51" customFormat="1">
      <c r="CF9406" s="239"/>
      <c r="CM9406" s="336"/>
    </row>
    <row r="9407" spans="84:91" s="51" customFormat="1">
      <c r="CF9407" s="239"/>
      <c r="CM9407" s="336"/>
    </row>
    <row r="9408" spans="84:91" s="51" customFormat="1">
      <c r="CF9408" s="239"/>
      <c r="CM9408" s="336"/>
    </row>
    <row r="9409" spans="84:91" s="51" customFormat="1">
      <c r="CF9409" s="239"/>
      <c r="CM9409" s="336"/>
    </row>
    <row r="9410" spans="84:91" s="51" customFormat="1">
      <c r="CF9410" s="239"/>
      <c r="CM9410" s="336"/>
    </row>
    <row r="9411" spans="84:91" s="51" customFormat="1">
      <c r="CF9411" s="239"/>
      <c r="CM9411" s="336"/>
    </row>
    <row r="9412" spans="84:91" s="51" customFormat="1">
      <c r="CF9412" s="239"/>
      <c r="CM9412" s="336"/>
    </row>
    <row r="9413" spans="84:91" s="51" customFormat="1">
      <c r="CF9413" s="239"/>
      <c r="CM9413" s="336"/>
    </row>
    <row r="9414" spans="84:91" s="51" customFormat="1">
      <c r="CF9414" s="239"/>
      <c r="CM9414" s="336"/>
    </row>
    <row r="9415" spans="84:91" s="51" customFormat="1">
      <c r="CF9415" s="239"/>
      <c r="CM9415" s="336"/>
    </row>
    <row r="9416" spans="84:91" s="51" customFormat="1">
      <c r="CF9416" s="239"/>
      <c r="CM9416" s="336"/>
    </row>
    <row r="9417" spans="84:91" s="51" customFormat="1">
      <c r="CF9417" s="239"/>
      <c r="CM9417" s="336"/>
    </row>
    <row r="9418" spans="84:91" s="51" customFormat="1">
      <c r="CF9418" s="239"/>
      <c r="CM9418" s="336"/>
    </row>
    <row r="9419" spans="84:91" s="51" customFormat="1">
      <c r="CF9419" s="239"/>
      <c r="CM9419" s="336"/>
    </row>
    <row r="9420" spans="84:91" s="51" customFormat="1">
      <c r="CF9420" s="239"/>
      <c r="CM9420" s="336"/>
    </row>
    <row r="9421" spans="84:91" s="51" customFormat="1">
      <c r="CF9421" s="239"/>
      <c r="CM9421" s="336"/>
    </row>
    <row r="9422" spans="84:91" s="51" customFormat="1">
      <c r="CF9422" s="239"/>
      <c r="CM9422" s="336"/>
    </row>
    <row r="9423" spans="84:91" s="51" customFormat="1">
      <c r="CF9423" s="239"/>
      <c r="CM9423" s="336"/>
    </row>
    <row r="9424" spans="84:91" s="51" customFormat="1">
      <c r="CF9424" s="239"/>
      <c r="CM9424" s="336"/>
    </row>
    <row r="9425" spans="84:91" s="51" customFormat="1">
      <c r="CF9425" s="239"/>
      <c r="CM9425" s="336"/>
    </row>
    <row r="9426" spans="84:91" s="51" customFormat="1">
      <c r="CF9426" s="239"/>
      <c r="CM9426" s="336"/>
    </row>
    <row r="9427" spans="84:91" s="51" customFormat="1">
      <c r="CF9427" s="239"/>
      <c r="CM9427" s="336"/>
    </row>
    <row r="9428" spans="84:91" s="51" customFormat="1">
      <c r="CF9428" s="239"/>
      <c r="CM9428" s="336"/>
    </row>
    <row r="9429" spans="84:91" s="51" customFormat="1">
      <c r="CF9429" s="239"/>
      <c r="CM9429" s="336"/>
    </row>
    <row r="9430" spans="84:91" s="51" customFormat="1">
      <c r="CF9430" s="239"/>
      <c r="CM9430" s="336"/>
    </row>
    <row r="9431" spans="84:91" s="51" customFormat="1">
      <c r="CF9431" s="239"/>
      <c r="CM9431" s="336"/>
    </row>
    <row r="9432" spans="84:91" s="51" customFormat="1">
      <c r="CF9432" s="239"/>
      <c r="CM9432" s="336"/>
    </row>
    <row r="9433" spans="84:91" s="51" customFormat="1">
      <c r="CF9433" s="239"/>
      <c r="CM9433" s="336"/>
    </row>
    <row r="9434" spans="84:91" s="51" customFormat="1">
      <c r="CF9434" s="239"/>
      <c r="CM9434" s="336"/>
    </row>
    <row r="9435" spans="84:91" s="51" customFormat="1">
      <c r="CF9435" s="239"/>
      <c r="CM9435" s="336"/>
    </row>
    <row r="9436" spans="84:91" s="51" customFormat="1">
      <c r="CF9436" s="239"/>
      <c r="CM9436" s="336"/>
    </row>
    <row r="9437" spans="84:91" s="51" customFormat="1">
      <c r="CF9437" s="239"/>
      <c r="CM9437" s="336"/>
    </row>
    <row r="9438" spans="84:91" s="51" customFormat="1">
      <c r="CF9438" s="239"/>
      <c r="CM9438" s="336"/>
    </row>
    <row r="9439" spans="84:91" s="51" customFormat="1">
      <c r="CF9439" s="239"/>
      <c r="CM9439" s="336"/>
    </row>
    <row r="9440" spans="84:91" s="51" customFormat="1">
      <c r="CF9440" s="239"/>
      <c r="CM9440" s="336"/>
    </row>
    <row r="9441" spans="84:91" s="51" customFormat="1">
      <c r="CF9441" s="239"/>
      <c r="CM9441" s="336"/>
    </row>
    <row r="9442" spans="84:91" s="51" customFormat="1">
      <c r="CF9442" s="239"/>
      <c r="CM9442" s="336"/>
    </row>
    <row r="9443" spans="84:91" s="51" customFormat="1">
      <c r="CF9443" s="239"/>
      <c r="CM9443" s="336"/>
    </row>
    <row r="9444" spans="84:91" s="51" customFormat="1">
      <c r="CF9444" s="239"/>
      <c r="CM9444" s="336"/>
    </row>
    <row r="9445" spans="84:91" s="51" customFormat="1">
      <c r="CF9445" s="239"/>
      <c r="CM9445" s="336"/>
    </row>
    <row r="9446" spans="84:91" s="51" customFormat="1">
      <c r="CF9446" s="239"/>
      <c r="CM9446" s="336"/>
    </row>
    <row r="9447" spans="84:91" s="51" customFormat="1">
      <c r="CF9447" s="239"/>
      <c r="CM9447" s="336"/>
    </row>
    <row r="9448" spans="84:91" s="51" customFormat="1">
      <c r="CF9448" s="239"/>
      <c r="CM9448" s="336"/>
    </row>
    <row r="9449" spans="84:91" s="51" customFormat="1">
      <c r="CF9449" s="239"/>
      <c r="CM9449" s="336"/>
    </row>
    <row r="9450" spans="84:91" s="51" customFormat="1">
      <c r="CF9450" s="239"/>
      <c r="CM9450" s="336"/>
    </row>
    <row r="9451" spans="84:91" s="51" customFormat="1">
      <c r="CF9451" s="239"/>
      <c r="CM9451" s="336"/>
    </row>
    <row r="9452" spans="84:91" s="51" customFormat="1">
      <c r="CF9452" s="239"/>
      <c r="CM9452" s="336"/>
    </row>
    <row r="9453" spans="84:91" s="51" customFormat="1">
      <c r="CF9453" s="239"/>
      <c r="CM9453" s="336"/>
    </row>
    <row r="9454" spans="84:91" s="51" customFormat="1">
      <c r="CF9454" s="239"/>
      <c r="CM9454" s="336"/>
    </row>
    <row r="9455" spans="84:91" s="51" customFormat="1">
      <c r="CF9455" s="239"/>
      <c r="CM9455" s="336"/>
    </row>
    <row r="9456" spans="84:91" s="51" customFormat="1">
      <c r="CF9456" s="239"/>
      <c r="CM9456" s="336"/>
    </row>
    <row r="9457" spans="84:91" s="51" customFormat="1">
      <c r="CF9457" s="239"/>
      <c r="CM9457" s="336"/>
    </row>
    <row r="9458" spans="84:91" s="51" customFormat="1">
      <c r="CF9458" s="239"/>
      <c r="CM9458" s="336"/>
    </row>
    <row r="9459" spans="84:91" s="51" customFormat="1">
      <c r="CF9459" s="239"/>
      <c r="CM9459" s="336"/>
    </row>
    <row r="9460" spans="84:91" s="51" customFormat="1">
      <c r="CF9460" s="239"/>
      <c r="CM9460" s="336"/>
    </row>
    <row r="9461" spans="84:91" s="51" customFormat="1">
      <c r="CF9461" s="239"/>
      <c r="CM9461" s="336"/>
    </row>
    <row r="9462" spans="84:91" s="51" customFormat="1">
      <c r="CF9462" s="239"/>
      <c r="CM9462" s="336"/>
    </row>
    <row r="9463" spans="84:91" s="51" customFormat="1">
      <c r="CF9463" s="239"/>
      <c r="CM9463" s="336"/>
    </row>
    <row r="9464" spans="84:91" s="51" customFormat="1">
      <c r="CF9464" s="239"/>
      <c r="CM9464" s="336"/>
    </row>
    <row r="9465" spans="84:91" s="51" customFormat="1">
      <c r="CF9465" s="239"/>
      <c r="CM9465" s="336"/>
    </row>
    <row r="9466" spans="84:91" s="51" customFormat="1">
      <c r="CF9466" s="239"/>
      <c r="CM9466" s="336"/>
    </row>
    <row r="9467" spans="84:91" s="51" customFormat="1">
      <c r="CF9467" s="239"/>
      <c r="CM9467" s="336"/>
    </row>
    <row r="9468" spans="84:91" s="51" customFormat="1">
      <c r="CF9468" s="239"/>
      <c r="CM9468" s="336"/>
    </row>
    <row r="9469" spans="84:91" s="51" customFormat="1">
      <c r="CF9469" s="239"/>
      <c r="CM9469" s="336"/>
    </row>
    <row r="9470" spans="84:91" s="51" customFormat="1">
      <c r="CF9470" s="239"/>
      <c r="CM9470" s="336"/>
    </row>
    <row r="9471" spans="84:91" s="51" customFormat="1">
      <c r="CF9471" s="239"/>
      <c r="CM9471" s="336"/>
    </row>
    <row r="9472" spans="84:91" s="51" customFormat="1">
      <c r="CF9472" s="239"/>
      <c r="CM9472" s="336"/>
    </row>
    <row r="9473" spans="84:91" s="51" customFormat="1">
      <c r="CF9473" s="239"/>
      <c r="CM9473" s="336"/>
    </row>
    <row r="9474" spans="84:91" s="51" customFormat="1">
      <c r="CF9474" s="239"/>
      <c r="CM9474" s="336"/>
    </row>
    <row r="9475" spans="84:91" s="51" customFormat="1">
      <c r="CF9475" s="239"/>
      <c r="CM9475" s="336"/>
    </row>
    <row r="9476" spans="84:91" s="51" customFormat="1">
      <c r="CF9476" s="239"/>
      <c r="CM9476" s="336"/>
    </row>
    <row r="9477" spans="84:91" s="51" customFormat="1">
      <c r="CF9477" s="239"/>
      <c r="CM9477" s="336"/>
    </row>
    <row r="9478" spans="84:91" s="51" customFormat="1">
      <c r="CF9478" s="239"/>
      <c r="CM9478" s="336"/>
    </row>
    <row r="9479" spans="84:91" s="51" customFormat="1">
      <c r="CF9479" s="239"/>
      <c r="CM9479" s="336"/>
    </row>
    <row r="9480" spans="84:91" s="51" customFormat="1">
      <c r="CF9480" s="239"/>
      <c r="CM9480" s="336"/>
    </row>
    <row r="9481" spans="84:91" s="51" customFormat="1">
      <c r="CF9481" s="239"/>
      <c r="CM9481" s="336"/>
    </row>
    <row r="9482" spans="84:91" s="51" customFormat="1">
      <c r="CF9482" s="239"/>
      <c r="CM9482" s="336"/>
    </row>
    <row r="9483" spans="84:91" s="51" customFormat="1">
      <c r="CF9483" s="239"/>
      <c r="CM9483" s="336"/>
    </row>
    <row r="9484" spans="84:91" s="51" customFormat="1">
      <c r="CF9484" s="239"/>
      <c r="CM9484" s="336"/>
    </row>
    <row r="9485" spans="84:91" s="51" customFormat="1">
      <c r="CF9485" s="239"/>
      <c r="CM9485" s="336"/>
    </row>
    <row r="9486" spans="84:91" s="51" customFormat="1">
      <c r="CF9486" s="239"/>
      <c r="CM9486" s="336"/>
    </row>
    <row r="9487" spans="84:91" s="51" customFormat="1">
      <c r="CF9487" s="239"/>
      <c r="CM9487" s="336"/>
    </row>
    <row r="9488" spans="84:91" s="51" customFormat="1">
      <c r="CF9488" s="239"/>
      <c r="CM9488" s="336"/>
    </row>
    <row r="9489" spans="84:91" s="51" customFormat="1">
      <c r="CF9489" s="239"/>
      <c r="CM9489" s="336"/>
    </row>
    <row r="9490" spans="84:91" s="51" customFormat="1">
      <c r="CF9490" s="239"/>
      <c r="CM9490" s="336"/>
    </row>
    <row r="9491" spans="84:91" s="51" customFormat="1">
      <c r="CF9491" s="239"/>
      <c r="CM9491" s="336"/>
    </row>
    <row r="9492" spans="84:91" s="51" customFormat="1">
      <c r="CF9492" s="239"/>
      <c r="CM9492" s="336"/>
    </row>
    <row r="9493" spans="84:91" s="51" customFormat="1">
      <c r="CF9493" s="239"/>
      <c r="CM9493" s="336"/>
    </row>
    <row r="9494" spans="84:91" s="51" customFormat="1">
      <c r="CF9494" s="239"/>
      <c r="CM9494" s="336"/>
    </row>
    <row r="9495" spans="84:91" s="51" customFormat="1">
      <c r="CF9495" s="239"/>
      <c r="CM9495" s="336"/>
    </row>
    <row r="9496" spans="84:91" s="51" customFormat="1">
      <c r="CF9496" s="239"/>
      <c r="CM9496" s="336"/>
    </row>
    <row r="9497" spans="84:91" s="51" customFormat="1">
      <c r="CF9497" s="239"/>
      <c r="CM9497" s="336"/>
    </row>
    <row r="9498" spans="84:91" s="51" customFormat="1">
      <c r="CF9498" s="239"/>
      <c r="CM9498" s="336"/>
    </row>
    <row r="9499" spans="84:91" s="51" customFormat="1">
      <c r="CF9499" s="239"/>
      <c r="CM9499" s="336"/>
    </row>
    <row r="9500" spans="84:91" s="51" customFormat="1">
      <c r="CF9500" s="239"/>
      <c r="CM9500" s="336"/>
    </row>
    <row r="9501" spans="84:91" s="51" customFormat="1">
      <c r="CF9501" s="239"/>
      <c r="CM9501" s="336"/>
    </row>
    <row r="9502" spans="84:91" s="51" customFormat="1">
      <c r="CF9502" s="239"/>
      <c r="CM9502" s="336"/>
    </row>
    <row r="9503" spans="84:91" s="51" customFormat="1">
      <c r="CF9503" s="239"/>
      <c r="CM9503" s="336"/>
    </row>
    <row r="9504" spans="84:91" s="51" customFormat="1">
      <c r="CF9504" s="239"/>
      <c r="CM9504" s="336"/>
    </row>
    <row r="9505" spans="84:91" s="51" customFormat="1">
      <c r="CF9505" s="239"/>
      <c r="CM9505" s="336"/>
    </row>
    <row r="9506" spans="84:91" s="51" customFormat="1">
      <c r="CF9506" s="239"/>
      <c r="CM9506" s="336"/>
    </row>
    <row r="9507" spans="84:91" s="51" customFormat="1">
      <c r="CF9507" s="239"/>
      <c r="CM9507" s="336"/>
    </row>
    <row r="9508" spans="84:91" s="51" customFormat="1">
      <c r="CF9508" s="239"/>
      <c r="CM9508" s="336"/>
    </row>
    <row r="9509" spans="84:91" s="51" customFormat="1">
      <c r="CF9509" s="239"/>
      <c r="CM9509" s="336"/>
    </row>
    <row r="9510" spans="84:91" s="51" customFormat="1">
      <c r="CF9510" s="239"/>
      <c r="CM9510" s="336"/>
    </row>
    <row r="9511" spans="84:91" s="51" customFormat="1">
      <c r="CF9511" s="239"/>
      <c r="CM9511" s="336"/>
    </row>
    <row r="9512" spans="84:91" s="51" customFormat="1">
      <c r="CF9512" s="239"/>
      <c r="CM9512" s="336"/>
    </row>
    <row r="9513" spans="84:91" s="51" customFormat="1">
      <c r="CF9513" s="239"/>
      <c r="CM9513" s="336"/>
    </row>
    <row r="9514" spans="84:91" s="51" customFormat="1">
      <c r="CF9514" s="239"/>
      <c r="CM9514" s="336"/>
    </row>
    <row r="9515" spans="84:91" s="51" customFormat="1">
      <c r="CF9515" s="239"/>
      <c r="CM9515" s="336"/>
    </row>
    <row r="9516" spans="84:91" s="51" customFormat="1">
      <c r="CF9516" s="239"/>
      <c r="CM9516" s="336"/>
    </row>
    <row r="9517" spans="84:91" s="51" customFormat="1">
      <c r="CF9517" s="239"/>
      <c r="CM9517" s="336"/>
    </row>
    <row r="9518" spans="84:91" s="51" customFormat="1">
      <c r="CF9518" s="239"/>
      <c r="CM9518" s="336"/>
    </row>
    <row r="9519" spans="84:91" s="51" customFormat="1">
      <c r="CF9519" s="239"/>
      <c r="CM9519" s="336"/>
    </row>
    <row r="9520" spans="84:91" s="51" customFormat="1">
      <c r="CF9520" s="239"/>
      <c r="CM9520" s="336"/>
    </row>
    <row r="9521" spans="84:91" s="51" customFormat="1">
      <c r="CF9521" s="239"/>
      <c r="CM9521" s="336"/>
    </row>
    <row r="9522" spans="84:91" s="51" customFormat="1">
      <c r="CF9522" s="239"/>
      <c r="CM9522" s="336"/>
    </row>
    <row r="9523" spans="84:91" s="51" customFormat="1">
      <c r="CF9523" s="239"/>
      <c r="CM9523" s="336"/>
    </row>
    <row r="9524" spans="84:91" s="51" customFormat="1">
      <c r="CF9524" s="239"/>
      <c r="CM9524" s="336"/>
    </row>
    <row r="9525" spans="84:91" s="51" customFormat="1">
      <c r="CF9525" s="239"/>
      <c r="CM9525" s="336"/>
    </row>
    <row r="9526" spans="84:91" s="51" customFormat="1">
      <c r="CF9526" s="239"/>
      <c r="CM9526" s="336"/>
    </row>
    <row r="9527" spans="84:91" s="51" customFormat="1">
      <c r="CF9527" s="239"/>
      <c r="CM9527" s="336"/>
    </row>
    <row r="9528" spans="84:91" s="51" customFormat="1">
      <c r="CF9528" s="239"/>
      <c r="CM9528" s="336"/>
    </row>
    <row r="9529" spans="84:91" s="51" customFormat="1">
      <c r="CF9529" s="239"/>
      <c r="CM9529" s="336"/>
    </row>
    <row r="9530" spans="84:91" s="51" customFormat="1">
      <c r="CF9530" s="239"/>
      <c r="CM9530" s="336"/>
    </row>
    <row r="9531" spans="84:91" s="51" customFormat="1">
      <c r="CF9531" s="239"/>
      <c r="CM9531" s="336"/>
    </row>
    <row r="9532" spans="84:91" s="51" customFormat="1">
      <c r="CF9532" s="239"/>
      <c r="CM9532" s="336"/>
    </row>
    <row r="9533" spans="84:91" s="51" customFormat="1">
      <c r="CF9533" s="239"/>
      <c r="CM9533" s="336"/>
    </row>
    <row r="9534" spans="84:91" s="51" customFormat="1">
      <c r="CF9534" s="239"/>
      <c r="CM9534" s="336"/>
    </row>
    <row r="9535" spans="84:91" s="51" customFormat="1">
      <c r="CF9535" s="239"/>
      <c r="CM9535" s="336"/>
    </row>
    <row r="9536" spans="84:91" s="51" customFormat="1">
      <c r="CF9536" s="239"/>
      <c r="CM9536" s="336"/>
    </row>
    <row r="9537" spans="84:91" s="51" customFormat="1">
      <c r="CF9537" s="239"/>
      <c r="CM9537" s="336"/>
    </row>
    <row r="9538" spans="84:91" s="51" customFormat="1">
      <c r="CF9538" s="239"/>
      <c r="CM9538" s="336"/>
    </row>
    <row r="9539" spans="84:91" s="51" customFormat="1">
      <c r="CF9539" s="239"/>
      <c r="CM9539" s="336"/>
    </row>
    <row r="9540" spans="84:91" s="51" customFormat="1">
      <c r="CF9540" s="239"/>
      <c r="CM9540" s="336"/>
    </row>
    <row r="9541" spans="84:91" s="51" customFormat="1">
      <c r="CF9541" s="239"/>
      <c r="CM9541" s="336"/>
    </row>
    <row r="9542" spans="84:91" s="51" customFormat="1">
      <c r="CF9542" s="239"/>
      <c r="CM9542" s="336"/>
    </row>
    <row r="9543" spans="84:91" s="51" customFormat="1">
      <c r="CF9543" s="239"/>
      <c r="CM9543" s="336"/>
    </row>
    <row r="9544" spans="84:91" s="51" customFormat="1">
      <c r="CF9544" s="239"/>
      <c r="CM9544" s="336"/>
    </row>
    <row r="9545" spans="84:91" s="51" customFormat="1">
      <c r="CF9545" s="239"/>
      <c r="CM9545" s="336"/>
    </row>
    <row r="9546" spans="84:91" s="51" customFormat="1">
      <c r="CF9546" s="239"/>
      <c r="CM9546" s="336"/>
    </row>
    <row r="9547" spans="84:91" s="51" customFormat="1">
      <c r="CF9547" s="239"/>
      <c r="CM9547" s="336"/>
    </row>
    <row r="9548" spans="84:91" s="51" customFormat="1">
      <c r="CF9548" s="239"/>
      <c r="CM9548" s="336"/>
    </row>
    <row r="9549" spans="84:91" s="51" customFormat="1">
      <c r="CF9549" s="239"/>
      <c r="CM9549" s="336"/>
    </row>
    <row r="9550" spans="84:91" s="51" customFormat="1">
      <c r="CF9550" s="239"/>
      <c r="CM9550" s="336"/>
    </row>
    <row r="9551" spans="84:91" s="51" customFormat="1">
      <c r="CF9551" s="239"/>
      <c r="CM9551" s="336"/>
    </row>
    <row r="9552" spans="84:91" s="51" customFormat="1">
      <c r="CF9552" s="239"/>
      <c r="CM9552" s="336"/>
    </row>
    <row r="9553" spans="84:91" s="51" customFormat="1">
      <c r="CF9553" s="239"/>
      <c r="CM9553" s="336"/>
    </row>
    <row r="9554" spans="84:91" s="51" customFormat="1">
      <c r="CF9554" s="239"/>
      <c r="CM9554" s="336"/>
    </row>
    <row r="9555" spans="84:91" s="51" customFormat="1">
      <c r="CF9555" s="239"/>
      <c r="CM9555" s="336"/>
    </row>
    <row r="9556" spans="84:91" s="51" customFormat="1">
      <c r="CF9556" s="239"/>
      <c r="CM9556" s="336"/>
    </row>
    <row r="9557" spans="84:91" s="51" customFormat="1">
      <c r="CF9557" s="239"/>
      <c r="CM9557" s="336"/>
    </row>
    <row r="9558" spans="84:91" s="51" customFormat="1">
      <c r="CF9558" s="239"/>
      <c r="CM9558" s="336"/>
    </row>
    <row r="9559" spans="84:91" s="51" customFormat="1">
      <c r="CF9559" s="239"/>
      <c r="CM9559" s="336"/>
    </row>
    <row r="9560" spans="84:91" s="51" customFormat="1">
      <c r="CF9560" s="239"/>
      <c r="CM9560" s="336"/>
    </row>
    <row r="9561" spans="84:91" s="51" customFormat="1">
      <c r="CF9561" s="239"/>
      <c r="CM9561" s="336"/>
    </row>
    <row r="9562" spans="84:91" s="51" customFormat="1">
      <c r="CF9562" s="239"/>
      <c r="CM9562" s="336"/>
    </row>
    <row r="9563" spans="84:91" s="51" customFormat="1">
      <c r="CF9563" s="239"/>
      <c r="CM9563" s="336"/>
    </row>
    <row r="9564" spans="84:91" s="51" customFormat="1">
      <c r="CF9564" s="239"/>
      <c r="CM9564" s="336"/>
    </row>
    <row r="9565" spans="84:91" s="51" customFormat="1">
      <c r="CF9565" s="239"/>
      <c r="CM9565" s="336"/>
    </row>
    <row r="9566" spans="84:91" s="51" customFormat="1">
      <c r="CF9566" s="239"/>
      <c r="CM9566" s="336"/>
    </row>
    <row r="9567" spans="84:91" s="51" customFormat="1">
      <c r="CF9567" s="239"/>
      <c r="CM9567" s="336"/>
    </row>
    <row r="9568" spans="84:91" s="51" customFormat="1">
      <c r="CF9568" s="239"/>
      <c r="CM9568" s="336"/>
    </row>
    <row r="9569" spans="84:91" s="51" customFormat="1">
      <c r="CF9569" s="239"/>
      <c r="CM9569" s="336"/>
    </row>
    <row r="9570" spans="84:91" s="51" customFormat="1">
      <c r="CF9570" s="239"/>
      <c r="CM9570" s="336"/>
    </row>
    <row r="9571" spans="84:91" s="51" customFormat="1">
      <c r="CF9571" s="239"/>
      <c r="CM9571" s="336"/>
    </row>
    <row r="9572" spans="84:91" s="51" customFormat="1">
      <c r="CF9572" s="239"/>
      <c r="CM9572" s="336"/>
    </row>
    <row r="9573" spans="84:91" s="51" customFormat="1">
      <c r="CF9573" s="239"/>
      <c r="CM9573" s="336"/>
    </row>
    <row r="9574" spans="84:91" s="51" customFormat="1">
      <c r="CF9574" s="239"/>
      <c r="CM9574" s="336"/>
    </row>
    <row r="9575" spans="84:91" s="51" customFormat="1">
      <c r="CF9575" s="239"/>
      <c r="CM9575" s="336"/>
    </row>
    <row r="9576" spans="84:91" s="51" customFormat="1">
      <c r="CF9576" s="239"/>
      <c r="CM9576" s="336"/>
    </row>
    <row r="9577" spans="84:91" s="51" customFormat="1">
      <c r="CF9577" s="239"/>
      <c r="CM9577" s="336"/>
    </row>
    <row r="9578" spans="84:91" s="51" customFormat="1">
      <c r="CF9578" s="239"/>
      <c r="CM9578" s="336"/>
    </row>
    <row r="9579" spans="84:91" s="51" customFormat="1">
      <c r="CF9579" s="239"/>
      <c r="CM9579" s="336"/>
    </row>
    <row r="9580" spans="84:91" s="51" customFormat="1">
      <c r="CF9580" s="239"/>
      <c r="CM9580" s="336"/>
    </row>
    <row r="9581" spans="84:91" s="51" customFormat="1">
      <c r="CF9581" s="239"/>
      <c r="CM9581" s="336"/>
    </row>
    <row r="9582" spans="84:91" s="51" customFormat="1">
      <c r="CF9582" s="239"/>
      <c r="CM9582" s="336"/>
    </row>
    <row r="9583" spans="84:91" s="51" customFormat="1">
      <c r="CF9583" s="239"/>
      <c r="CM9583" s="336"/>
    </row>
    <row r="9584" spans="84:91" s="51" customFormat="1">
      <c r="CF9584" s="239"/>
      <c r="CM9584" s="336"/>
    </row>
    <row r="9585" spans="84:91" s="51" customFormat="1">
      <c r="CF9585" s="239"/>
      <c r="CM9585" s="336"/>
    </row>
    <row r="9586" spans="84:91" s="51" customFormat="1">
      <c r="CF9586" s="239"/>
      <c r="CM9586" s="336"/>
    </row>
    <row r="9587" spans="84:91" s="51" customFormat="1">
      <c r="CF9587" s="239"/>
      <c r="CM9587" s="336"/>
    </row>
    <row r="9588" spans="84:91" s="51" customFormat="1">
      <c r="CF9588" s="239"/>
      <c r="CM9588" s="336"/>
    </row>
    <row r="9589" spans="84:91" s="51" customFormat="1">
      <c r="CF9589" s="239"/>
      <c r="CM9589" s="336"/>
    </row>
    <row r="9590" spans="84:91" s="51" customFormat="1">
      <c r="CF9590" s="239"/>
      <c r="CM9590" s="336"/>
    </row>
    <row r="9591" spans="84:91" s="51" customFormat="1">
      <c r="CF9591" s="239"/>
      <c r="CM9591" s="336"/>
    </row>
    <row r="9592" spans="84:91" s="51" customFormat="1">
      <c r="CF9592" s="239"/>
      <c r="CM9592" s="336"/>
    </row>
    <row r="9593" spans="84:91" s="51" customFormat="1">
      <c r="CF9593" s="239"/>
      <c r="CM9593" s="336"/>
    </row>
    <row r="9594" spans="84:91" s="51" customFormat="1">
      <c r="CF9594" s="239"/>
      <c r="CM9594" s="336"/>
    </row>
    <row r="9595" spans="84:91" s="51" customFormat="1">
      <c r="CF9595" s="239"/>
      <c r="CM9595" s="336"/>
    </row>
    <row r="9596" spans="84:91" s="51" customFormat="1">
      <c r="CF9596" s="239"/>
      <c r="CM9596" s="336"/>
    </row>
    <row r="9597" spans="84:91" s="51" customFormat="1">
      <c r="CF9597" s="239"/>
      <c r="CM9597" s="336"/>
    </row>
    <row r="9598" spans="84:91" s="51" customFormat="1">
      <c r="CF9598" s="239"/>
      <c r="CM9598" s="336"/>
    </row>
    <row r="9599" spans="84:91" s="51" customFormat="1">
      <c r="CF9599" s="239"/>
      <c r="CM9599" s="336"/>
    </row>
    <row r="9600" spans="84:91" s="51" customFormat="1">
      <c r="CF9600" s="239"/>
      <c r="CM9600" s="336"/>
    </row>
    <row r="9601" spans="84:91" s="51" customFormat="1">
      <c r="CF9601" s="239"/>
      <c r="CM9601" s="336"/>
    </row>
    <row r="9602" spans="84:91" s="51" customFormat="1">
      <c r="CF9602" s="239"/>
      <c r="CM9602" s="336"/>
    </row>
    <row r="9603" spans="84:91" s="51" customFormat="1">
      <c r="CF9603" s="239"/>
      <c r="CM9603" s="336"/>
    </row>
    <row r="9604" spans="84:91" s="51" customFormat="1">
      <c r="CF9604" s="239"/>
      <c r="CM9604" s="336"/>
    </row>
    <row r="9605" spans="84:91" s="51" customFormat="1">
      <c r="CF9605" s="239"/>
      <c r="CM9605" s="336"/>
    </row>
    <row r="9606" spans="84:91" s="51" customFormat="1">
      <c r="CF9606" s="239"/>
      <c r="CM9606" s="336"/>
    </row>
    <row r="9607" spans="84:91" s="51" customFormat="1">
      <c r="CF9607" s="239"/>
      <c r="CM9607" s="336"/>
    </row>
    <row r="9608" spans="84:91" s="51" customFormat="1">
      <c r="CF9608" s="239"/>
      <c r="CM9608" s="336"/>
    </row>
    <row r="9609" spans="84:91" s="51" customFormat="1">
      <c r="CF9609" s="239"/>
      <c r="CM9609" s="336"/>
    </row>
    <row r="9610" spans="84:91" s="51" customFormat="1">
      <c r="CF9610" s="239"/>
      <c r="CM9610" s="336"/>
    </row>
    <row r="9611" spans="84:91" s="51" customFormat="1">
      <c r="CF9611" s="239"/>
      <c r="CM9611" s="336"/>
    </row>
    <row r="9612" spans="84:91" s="51" customFormat="1">
      <c r="CF9612" s="239"/>
      <c r="CM9612" s="336"/>
    </row>
    <row r="9613" spans="84:91" s="51" customFormat="1">
      <c r="CF9613" s="239"/>
      <c r="CM9613" s="336"/>
    </row>
    <row r="9614" spans="84:91" s="51" customFormat="1">
      <c r="CF9614" s="239"/>
      <c r="CM9614" s="336"/>
    </row>
    <row r="9615" spans="84:91" s="51" customFormat="1">
      <c r="CF9615" s="239"/>
      <c r="CM9615" s="336"/>
    </row>
    <row r="9616" spans="84:91" s="51" customFormat="1">
      <c r="CF9616" s="239"/>
      <c r="CM9616" s="336"/>
    </row>
    <row r="9617" spans="84:91" s="51" customFormat="1">
      <c r="CF9617" s="239"/>
      <c r="CM9617" s="336"/>
    </row>
    <row r="9618" spans="84:91" s="51" customFormat="1">
      <c r="CF9618" s="239"/>
      <c r="CM9618" s="336"/>
    </row>
    <row r="9619" spans="84:91" s="51" customFormat="1">
      <c r="CF9619" s="239"/>
      <c r="CM9619" s="336"/>
    </row>
    <row r="9620" spans="84:91" s="51" customFormat="1">
      <c r="CF9620" s="239"/>
      <c r="CM9620" s="336"/>
    </row>
    <row r="9621" spans="84:91" s="51" customFormat="1">
      <c r="CF9621" s="239"/>
      <c r="CM9621" s="336"/>
    </row>
    <row r="9622" spans="84:91" s="51" customFormat="1">
      <c r="CF9622" s="239"/>
      <c r="CM9622" s="336"/>
    </row>
    <row r="9623" spans="84:91" s="51" customFormat="1">
      <c r="CF9623" s="239"/>
      <c r="CM9623" s="336"/>
    </row>
    <row r="9624" spans="84:91" s="51" customFormat="1">
      <c r="CF9624" s="239"/>
      <c r="CM9624" s="336"/>
    </row>
    <row r="9625" spans="84:91" s="51" customFormat="1">
      <c r="CF9625" s="239"/>
      <c r="CM9625" s="336"/>
    </row>
    <row r="9626" spans="84:91" s="51" customFormat="1">
      <c r="CF9626" s="239"/>
      <c r="CM9626" s="336"/>
    </row>
    <row r="9627" spans="84:91" s="51" customFormat="1">
      <c r="CF9627" s="239"/>
      <c r="CM9627" s="336"/>
    </row>
    <row r="9628" spans="84:91" s="51" customFormat="1">
      <c r="CF9628" s="239"/>
      <c r="CM9628" s="336"/>
    </row>
    <row r="9629" spans="84:91" s="51" customFormat="1">
      <c r="CF9629" s="239"/>
      <c r="CM9629" s="336"/>
    </row>
    <row r="9630" spans="84:91" s="51" customFormat="1">
      <c r="CF9630" s="239"/>
      <c r="CM9630" s="336"/>
    </row>
    <row r="9631" spans="84:91" s="51" customFormat="1">
      <c r="CF9631" s="239"/>
      <c r="CM9631" s="336"/>
    </row>
    <row r="9632" spans="84:91" s="51" customFormat="1">
      <c r="CF9632" s="239"/>
      <c r="CM9632" s="336"/>
    </row>
    <row r="9633" spans="84:91" s="51" customFormat="1">
      <c r="CF9633" s="239"/>
      <c r="CM9633" s="336"/>
    </row>
    <row r="9634" spans="84:91" s="51" customFormat="1">
      <c r="CF9634" s="239"/>
      <c r="CM9634" s="336"/>
    </row>
    <row r="9635" spans="84:91" s="51" customFormat="1">
      <c r="CF9635" s="239"/>
      <c r="CM9635" s="336"/>
    </row>
    <row r="9636" spans="84:91" s="51" customFormat="1">
      <c r="CF9636" s="239"/>
      <c r="CM9636" s="336"/>
    </row>
    <row r="9637" spans="84:91" s="51" customFormat="1">
      <c r="CF9637" s="239"/>
      <c r="CM9637" s="336"/>
    </row>
    <row r="9638" spans="84:91" s="51" customFormat="1">
      <c r="CF9638" s="239"/>
      <c r="CM9638" s="336"/>
    </row>
    <row r="9639" spans="84:91" s="51" customFormat="1">
      <c r="CF9639" s="239"/>
      <c r="CM9639" s="336"/>
    </row>
    <row r="9640" spans="84:91" s="51" customFormat="1">
      <c r="CF9640" s="239"/>
      <c r="CM9640" s="336"/>
    </row>
    <row r="9641" spans="84:91" s="51" customFormat="1">
      <c r="CF9641" s="239"/>
      <c r="CM9641" s="336"/>
    </row>
    <row r="9642" spans="84:91" s="51" customFormat="1">
      <c r="CF9642" s="239"/>
      <c r="CM9642" s="336"/>
    </row>
    <row r="9643" spans="84:91" s="51" customFormat="1">
      <c r="CF9643" s="239"/>
      <c r="CM9643" s="336"/>
    </row>
    <row r="9644" spans="84:91" s="51" customFormat="1">
      <c r="CF9644" s="239"/>
      <c r="CM9644" s="336"/>
    </row>
    <row r="9645" spans="84:91" s="51" customFormat="1">
      <c r="CF9645" s="239"/>
      <c r="CM9645" s="336"/>
    </row>
    <row r="9646" spans="84:91" s="51" customFormat="1">
      <c r="CF9646" s="239"/>
      <c r="CM9646" s="336"/>
    </row>
    <row r="9647" spans="84:91" s="51" customFormat="1">
      <c r="CF9647" s="239"/>
      <c r="CM9647" s="336"/>
    </row>
    <row r="9648" spans="84:91" s="51" customFormat="1">
      <c r="CF9648" s="239"/>
      <c r="CM9648" s="336"/>
    </row>
    <row r="9649" spans="84:91" s="51" customFormat="1">
      <c r="CF9649" s="239"/>
      <c r="CM9649" s="336"/>
    </row>
    <row r="9650" spans="84:91" s="51" customFormat="1">
      <c r="CF9650" s="239"/>
      <c r="CM9650" s="336"/>
    </row>
    <row r="9651" spans="84:91" s="51" customFormat="1">
      <c r="CF9651" s="239"/>
      <c r="CM9651" s="336"/>
    </row>
    <row r="9652" spans="84:91" s="51" customFormat="1">
      <c r="CF9652" s="239"/>
      <c r="CM9652" s="336"/>
    </row>
    <row r="9653" spans="84:91" s="51" customFormat="1">
      <c r="CF9653" s="239"/>
      <c r="CM9653" s="336"/>
    </row>
    <row r="9654" spans="84:91" s="51" customFormat="1">
      <c r="CF9654" s="239"/>
      <c r="CM9654" s="336"/>
    </row>
    <row r="9655" spans="84:91" s="51" customFormat="1">
      <c r="CF9655" s="239"/>
      <c r="CM9655" s="336"/>
    </row>
    <row r="9656" spans="84:91" s="51" customFormat="1">
      <c r="CF9656" s="239"/>
      <c r="CM9656" s="336"/>
    </row>
    <row r="9657" spans="84:91" s="51" customFormat="1">
      <c r="CF9657" s="239"/>
      <c r="CM9657" s="336"/>
    </row>
    <row r="9658" spans="84:91" s="51" customFormat="1">
      <c r="CF9658" s="239"/>
      <c r="CM9658" s="336"/>
    </row>
    <row r="9659" spans="84:91" s="51" customFormat="1">
      <c r="CF9659" s="239"/>
      <c r="CM9659" s="336"/>
    </row>
    <row r="9660" spans="84:91" s="51" customFormat="1">
      <c r="CF9660" s="239"/>
      <c r="CM9660" s="336"/>
    </row>
    <row r="9661" spans="84:91" s="51" customFormat="1">
      <c r="CF9661" s="239"/>
      <c r="CM9661" s="336"/>
    </row>
    <row r="9662" spans="84:91" s="51" customFormat="1">
      <c r="CF9662" s="239"/>
      <c r="CM9662" s="336"/>
    </row>
    <row r="9663" spans="84:91" s="51" customFormat="1">
      <c r="CF9663" s="239"/>
      <c r="CM9663" s="336"/>
    </row>
    <row r="9664" spans="84:91" s="51" customFormat="1">
      <c r="CF9664" s="239"/>
      <c r="CM9664" s="336"/>
    </row>
    <row r="9665" spans="84:91" s="51" customFormat="1">
      <c r="CF9665" s="239"/>
      <c r="CM9665" s="336"/>
    </row>
    <row r="9666" spans="84:91" s="51" customFormat="1">
      <c r="CF9666" s="239"/>
      <c r="CM9666" s="336"/>
    </row>
    <row r="9667" spans="84:91" s="51" customFormat="1">
      <c r="CF9667" s="239"/>
      <c r="CM9667" s="336"/>
    </row>
    <row r="9668" spans="84:91" s="51" customFormat="1">
      <c r="CF9668" s="239"/>
      <c r="CM9668" s="336"/>
    </row>
    <row r="9669" spans="84:91" s="51" customFormat="1">
      <c r="CF9669" s="239"/>
      <c r="CM9669" s="336"/>
    </row>
    <row r="9670" spans="84:91" s="51" customFormat="1">
      <c r="CF9670" s="239"/>
      <c r="CM9670" s="336"/>
    </row>
    <row r="9671" spans="84:91" s="51" customFormat="1">
      <c r="CF9671" s="239"/>
      <c r="CM9671" s="336"/>
    </row>
    <row r="9672" spans="84:91" s="51" customFormat="1">
      <c r="CF9672" s="239"/>
      <c r="CM9672" s="336"/>
    </row>
    <row r="9673" spans="84:91" s="51" customFormat="1">
      <c r="CF9673" s="239"/>
      <c r="CM9673" s="336"/>
    </row>
    <row r="9674" spans="84:91" s="51" customFormat="1">
      <c r="CF9674" s="239"/>
      <c r="CM9674" s="336"/>
    </row>
    <row r="9675" spans="84:91" s="51" customFormat="1">
      <c r="CF9675" s="239"/>
      <c r="CM9675" s="336"/>
    </row>
    <row r="9676" spans="84:91" s="51" customFormat="1">
      <c r="CF9676" s="239"/>
      <c r="CM9676" s="336"/>
    </row>
    <row r="9677" spans="84:91" s="51" customFormat="1">
      <c r="CF9677" s="239"/>
      <c r="CM9677" s="336"/>
    </row>
    <row r="9678" spans="84:91" s="51" customFormat="1">
      <c r="CF9678" s="239"/>
      <c r="CM9678" s="336"/>
    </row>
    <row r="9679" spans="84:91" s="51" customFormat="1">
      <c r="CF9679" s="239"/>
      <c r="CM9679" s="336"/>
    </row>
    <row r="9680" spans="84:91" s="51" customFormat="1">
      <c r="CF9680" s="239"/>
      <c r="CM9680" s="336"/>
    </row>
    <row r="9681" spans="84:91" s="51" customFormat="1">
      <c r="CF9681" s="239"/>
      <c r="CM9681" s="336"/>
    </row>
    <row r="9682" spans="84:91" s="51" customFormat="1">
      <c r="CF9682" s="239"/>
      <c r="CM9682" s="336"/>
    </row>
    <row r="9683" spans="84:91" s="51" customFormat="1">
      <c r="CF9683" s="239"/>
      <c r="CM9683" s="336"/>
    </row>
    <row r="9684" spans="84:91" s="51" customFormat="1">
      <c r="CF9684" s="239"/>
      <c r="CM9684" s="336"/>
    </row>
    <row r="9685" spans="84:91" s="51" customFormat="1">
      <c r="CF9685" s="239"/>
      <c r="CM9685" s="336"/>
    </row>
    <row r="9686" spans="84:91" s="51" customFormat="1">
      <c r="CF9686" s="239"/>
      <c r="CM9686" s="336"/>
    </row>
    <row r="9687" spans="84:91" s="51" customFormat="1">
      <c r="CF9687" s="239"/>
      <c r="CM9687" s="336"/>
    </row>
    <row r="9688" spans="84:91" s="51" customFormat="1">
      <c r="CF9688" s="239"/>
      <c r="CM9688" s="336"/>
    </row>
    <row r="9689" spans="84:91" s="51" customFormat="1">
      <c r="CF9689" s="239"/>
      <c r="CM9689" s="336"/>
    </row>
    <row r="9690" spans="84:91" s="51" customFormat="1">
      <c r="CF9690" s="239"/>
      <c r="CM9690" s="336"/>
    </row>
    <row r="9691" spans="84:91" s="51" customFormat="1">
      <c r="CF9691" s="239"/>
      <c r="CM9691" s="336"/>
    </row>
    <row r="9692" spans="84:91" s="51" customFormat="1">
      <c r="CF9692" s="239"/>
      <c r="CM9692" s="336"/>
    </row>
    <row r="9693" spans="84:91" s="51" customFormat="1">
      <c r="CF9693" s="239"/>
      <c r="CM9693" s="336"/>
    </row>
    <row r="9694" spans="84:91" s="51" customFormat="1">
      <c r="CF9694" s="239"/>
      <c r="CM9694" s="336"/>
    </row>
    <row r="9695" spans="84:91" s="51" customFormat="1">
      <c r="CF9695" s="239"/>
      <c r="CM9695" s="336"/>
    </row>
    <row r="9696" spans="84:91" s="51" customFormat="1">
      <c r="CF9696" s="239"/>
      <c r="CM9696" s="336"/>
    </row>
    <row r="9697" spans="84:91" s="51" customFormat="1">
      <c r="CF9697" s="239"/>
      <c r="CM9697" s="336"/>
    </row>
    <row r="9698" spans="84:91" s="51" customFormat="1">
      <c r="CF9698" s="239"/>
      <c r="CM9698" s="336"/>
    </row>
    <row r="9699" spans="84:91" s="51" customFormat="1">
      <c r="CF9699" s="239"/>
      <c r="CM9699" s="336"/>
    </row>
    <row r="9700" spans="84:91" s="51" customFormat="1">
      <c r="CF9700" s="239"/>
      <c r="CM9700" s="336"/>
    </row>
    <row r="9701" spans="84:91" s="51" customFormat="1">
      <c r="CF9701" s="239"/>
      <c r="CM9701" s="336"/>
    </row>
    <row r="9702" spans="84:91" s="51" customFormat="1">
      <c r="CF9702" s="239"/>
      <c r="CM9702" s="336"/>
    </row>
    <row r="9703" spans="84:91" s="51" customFormat="1">
      <c r="CF9703" s="239"/>
      <c r="CM9703" s="336"/>
    </row>
    <row r="9704" spans="84:91" s="51" customFormat="1">
      <c r="CF9704" s="239"/>
      <c r="CM9704" s="336"/>
    </row>
    <row r="9705" spans="84:91" s="51" customFormat="1">
      <c r="CF9705" s="239"/>
      <c r="CM9705" s="336"/>
    </row>
    <row r="9706" spans="84:91" s="51" customFormat="1">
      <c r="CF9706" s="239"/>
      <c r="CM9706" s="336"/>
    </row>
    <row r="9707" spans="84:91" s="51" customFormat="1">
      <c r="CF9707" s="239"/>
      <c r="CM9707" s="336"/>
    </row>
    <row r="9708" spans="84:91" s="51" customFormat="1">
      <c r="CF9708" s="239"/>
      <c r="CM9708" s="336"/>
    </row>
    <row r="9709" spans="84:91" s="51" customFormat="1">
      <c r="CF9709" s="239"/>
      <c r="CM9709" s="336"/>
    </row>
    <row r="9710" spans="84:91" s="51" customFormat="1">
      <c r="CF9710" s="239"/>
      <c r="CM9710" s="336"/>
    </row>
    <row r="9711" spans="84:91" s="51" customFormat="1">
      <c r="CF9711" s="239"/>
      <c r="CM9711" s="336"/>
    </row>
    <row r="9712" spans="84:91" s="51" customFormat="1">
      <c r="CF9712" s="239"/>
      <c r="CM9712" s="336"/>
    </row>
    <row r="9713" spans="84:91" s="51" customFormat="1">
      <c r="CF9713" s="239"/>
      <c r="CM9713" s="336"/>
    </row>
    <row r="9714" spans="84:91" s="51" customFormat="1">
      <c r="CF9714" s="239"/>
      <c r="CM9714" s="336"/>
    </row>
    <row r="9715" spans="84:91" s="51" customFormat="1">
      <c r="CF9715" s="239"/>
      <c r="CM9715" s="336"/>
    </row>
    <row r="9716" spans="84:91" s="51" customFormat="1">
      <c r="CF9716" s="239"/>
      <c r="CM9716" s="336"/>
    </row>
    <row r="9717" spans="84:91" s="51" customFormat="1">
      <c r="CF9717" s="239"/>
      <c r="CM9717" s="336"/>
    </row>
    <row r="9718" spans="84:91" s="51" customFormat="1">
      <c r="CF9718" s="239"/>
      <c r="CM9718" s="336"/>
    </row>
    <row r="9719" spans="84:91" s="51" customFormat="1">
      <c r="CF9719" s="239"/>
      <c r="CM9719" s="336"/>
    </row>
    <row r="9720" spans="84:91" s="51" customFormat="1">
      <c r="CF9720" s="239"/>
      <c r="CM9720" s="336"/>
    </row>
    <row r="9721" spans="84:91" s="51" customFormat="1">
      <c r="CF9721" s="239"/>
      <c r="CM9721" s="336"/>
    </row>
    <row r="9722" spans="84:91" s="51" customFormat="1">
      <c r="CF9722" s="239"/>
      <c r="CM9722" s="336"/>
    </row>
    <row r="9723" spans="84:91" s="51" customFormat="1">
      <c r="CF9723" s="239"/>
      <c r="CM9723" s="336"/>
    </row>
    <row r="9724" spans="84:91" s="51" customFormat="1">
      <c r="CF9724" s="239"/>
      <c r="CM9724" s="336"/>
    </row>
    <row r="9725" spans="84:91" s="51" customFormat="1">
      <c r="CF9725" s="239"/>
      <c r="CM9725" s="336"/>
    </row>
    <row r="9726" spans="84:91" s="51" customFormat="1">
      <c r="CF9726" s="239"/>
      <c r="CM9726" s="336"/>
    </row>
    <row r="9727" spans="84:91" s="51" customFormat="1">
      <c r="CF9727" s="239"/>
      <c r="CM9727" s="336"/>
    </row>
    <row r="9728" spans="84:91" s="51" customFormat="1">
      <c r="CF9728" s="239"/>
      <c r="CM9728" s="336"/>
    </row>
    <row r="9729" spans="84:91" s="51" customFormat="1">
      <c r="CF9729" s="239"/>
      <c r="CM9729" s="336"/>
    </row>
    <row r="9730" spans="84:91" s="51" customFormat="1">
      <c r="CF9730" s="239"/>
      <c r="CM9730" s="336"/>
    </row>
    <row r="9731" spans="84:91" s="51" customFormat="1">
      <c r="CF9731" s="239"/>
      <c r="CM9731" s="336"/>
    </row>
    <row r="9732" spans="84:91" s="51" customFormat="1">
      <c r="CF9732" s="239"/>
      <c r="CM9732" s="336"/>
    </row>
    <row r="9733" spans="84:91" s="51" customFormat="1">
      <c r="CF9733" s="239"/>
      <c r="CM9733" s="336"/>
    </row>
    <row r="9734" spans="84:91" s="51" customFormat="1">
      <c r="CF9734" s="239"/>
      <c r="CM9734" s="336"/>
    </row>
    <row r="9735" spans="84:91" s="51" customFormat="1">
      <c r="CF9735" s="239"/>
      <c r="CM9735" s="336"/>
    </row>
    <row r="9736" spans="84:91" s="51" customFormat="1">
      <c r="CF9736" s="239"/>
      <c r="CM9736" s="336"/>
    </row>
    <row r="9737" spans="84:91" s="51" customFormat="1">
      <c r="CF9737" s="239"/>
      <c r="CM9737" s="336"/>
    </row>
    <row r="9738" spans="84:91" s="51" customFormat="1">
      <c r="CF9738" s="239"/>
      <c r="CM9738" s="336"/>
    </row>
    <row r="9739" spans="84:91" s="51" customFormat="1">
      <c r="CF9739" s="239"/>
      <c r="CM9739" s="336"/>
    </row>
    <row r="9740" spans="84:91" s="51" customFormat="1">
      <c r="CF9740" s="239"/>
      <c r="CM9740" s="336"/>
    </row>
    <row r="9741" spans="84:91" s="51" customFormat="1">
      <c r="CF9741" s="239"/>
      <c r="CM9741" s="336"/>
    </row>
    <row r="9742" spans="84:91" s="51" customFormat="1">
      <c r="CF9742" s="239"/>
      <c r="CM9742" s="336"/>
    </row>
    <row r="9743" spans="84:91" s="51" customFormat="1">
      <c r="CF9743" s="239"/>
      <c r="CM9743" s="336"/>
    </row>
    <row r="9744" spans="84:91" s="51" customFormat="1">
      <c r="CF9744" s="239"/>
      <c r="CM9744" s="336"/>
    </row>
    <row r="9745" spans="84:91" s="51" customFormat="1">
      <c r="CF9745" s="239"/>
      <c r="CM9745" s="336"/>
    </row>
    <row r="9746" spans="84:91" s="51" customFormat="1">
      <c r="CF9746" s="239"/>
      <c r="CM9746" s="336"/>
    </row>
    <row r="9747" spans="84:91" s="51" customFormat="1">
      <c r="CF9747" s="239"/>
      <c r="CM9747" s="336"/>
    </row>
    <row r="9748" spans="84:91" s="51" customFormat="1">
      <c r="CF9748" s="239"/>
      <c r="CM9748" s="336"/>
    </row>
    <row r="9749" spans="84:91" s="51" customFormat="1">
      <c r="CF9749" s="239"/>
      <c r="CM9749" s="336"/>
    </row>
    <row r="9750" spans="84:91" s="51" customFormat="1">
      <c r="CF9750" s="239"/>
      <c r="CM9750" s="336"/>
    </row>
    <row r="9751" spans="84:91" s="51" customFormat="1">
      <c r="CF9751" s="239"/>
      <c r="CM9751" s="336"/>
    </row>
    <row r="9752" spans="84:91" s="51" customFormat="1">
      <c r="CF9752" s="239"/>
      <c r="CM9752" s="336"/>
    </row>
    <row r="9753" spans="84:91" s="51" customFormat="1">
      <c r="CF9753" s="239"/>
      <c r="CM9753" s="336"/>
    </row>
    <row r="9754" spans="84:91" s="51" customFormat="1">
      <c r="CF9754" s="239"/>
      <c r="CM9754" s="336"/>
    </row>
    <row r="9755" spans="84:91" s="51" customFormat="1">
      <c r="CF9755" s="239"/>
      <c r="CM9755" s="336"/>
    </row>
    <row r="9756" spans="84:91" s="51" customFormat="1">
      <c r="CF9756" s="239"/>
      <c r="CM9756" s="336"/>
    </row>
    <row r="9757" spans="84:91" s="51" customFormat="1">
      <c r="CF9757" s="239"/>
      <c r="CM9757" s="336"/>
    </row>
    <row r="9758" spans="84:91" s="51" customFormat="1">
      <c r="CF9758" s="239"/>
      <c r="CM9758" s="336"/>
    </row>
    <row r="9759" spans="84:91" s="51" customFormat="1">
      <c r="CF9759" s="239"/>
      <c r="CM9759" s="336"/>
    </row>
    <row r="9760" spans="84:91" s="51" customFormat="1">
      <c r="CF9760" s="239"/>
      <c r="CM9760" s="336"/>
    </row>
    <row r="9761" spans="84:91" s="51" customFormat="1">
      <c r="CF9761" s="239"/>
      <c r="CM9761" s="336"/>
    </row>
    <row r="9762" spans="84:91" s="51" customFormat="1">
      <c r="CF9762" s="239"/>
      <c r="CM9762" s="336"/>
    </row>
    <row r="9763" spans="84:91" s="51" customFormat="1">
      <c r="CF9763" s="239"/>
      <c r="CM9763" s="336"/>
    </row>
    <row r="9764" spans="84:91" s="51" customFormat="1">
      <c r="CF9764" s="239"/>
      <c r="CM9764" s="336"/>
    </row>
    <row r="9765" spans="84:91" s="51" customFormat="1">
      <c r="CF9765" s="239"/>
      <c r="CM9765" s="336"/>
    </row>
    <row r="9766" spans="84:91" s="51" customFormat="1">
      <c r="CF9766" s="239"/>
      <c r="CM9766" s="336"/>
    </row>
    <row r="9767" spans="84:91" s="51" customFormat="1">
      <c r="CF9767" s="239"/>
      <c r="CM9767" s="336"/>
    </row>
    <row r="9768" spans="84:91" s="51" customFormat="1">
      <c r="CF9768" s="239"/>
      <c r="CM9768" s="336"/>
    </row>
    <row r="9769" spans="84:91" s="51" customFormat="1">
      <c r="CF9769" s="239"/>
      <c r="CM9769" s="336"/>
    </row>
    <row r="9770" spans="84:91" s="51" customFormat="1">
      <c r="CF9770" s="239"/>
      <c r="CM9770" s="336"/>
    </row>
    <row r="9771" spans="84:91" s="51" customFormat="1">
      <c r="CF9771" s="239"/>
      <c r="CM9771" s="336"/>
    </row>
    <row r="9772" spans="84:91" s="51" customFormat="1">
      <c r="CF9772" s="239"/>
      <c r="CM9772" s="336"/>
    </row>
    <row r="9773" spans="84:91" s="51" customFormat="1">
      <c r="CF9773" s="239"/>
      <c r="CM9773" s="336"/>
    </row>
    <row r="9774" spans="84:91" s="51" customFormat="1">
      <c r="CF9774" s="239"/>
      <c r="CM9774" s="336"/>
    </row>
    <row r="9775" spans="84:91" s="51" customFormat="1">
      <c r="CF9775" s="239"/>
      <c r="CM9775" s="336"/>
    </row>
    <row r="9776" spans="84:91" s="51" customFormat="1">
      <c r="CF9776" s="239"/>
      <c r="CM9776" s="336"/>
    </row>
    <row r="9777" spans="84:91" s="51" customFormat="1">
      <c r="CF9777" s="239"/>
      <c r="CM9777" s="336"/>
    </row>
    <row r="9778" spans="84:91" s="51" customFormat="1">
      <c r="CF9778" s="239"/>
      <c r="CM9778" s="336"/>
    </row>
    <row r="9779" spans="84:91" s="51" customFormat="1">
      <c r="CF9779" s="239"/>
      <c r="CM9779" s="336"/>
    </row>
    <row r="9780" spans="84:91" s="51" customFormat="1">
      <c r="CF9780" s="239"/>
      <c r="CM9780" s="336"/>
    </row>
    <row r="9781" spans="84:91" s="51" customFormat="1">
      <c r="CF9781" s="239"/>
      <c r="CM9781" s="336"/>
    </row>
    <row r="9782" spans="84:91" s="51" customFormat="1">
      <c r="CF9782" s="239"/>
      <c r="CM9782" s="336"/>
    </row>
    <row r="9783" spans="84:91" s="51" customFormat="1">
      <c r="CF9783" s="239"/>
      <c r="CM9783" s="336"/>
    </row>
    <row r="9784" spans="84:91" s="51" customFormat="1">
      <c r="CF9784" s="239"/>
      <c r="CM9784" s="336"/>
    </row>
    <row r="9785" spans="84:91" s="51" customFormat="1">
      <c r="CF9785" s="239"/>
      <c r="CM9785" s="336"/>
    </row>
    <row r="9786" spans="84:91" s="51" customFormat="1">
      <c r="CF9786" s="239"/>
      <c r="CM9786" s="336"/>
    </row>
    <row r="9787" spans="84:91" s="51" customFormat="1">
      <c r="CF9787" s="239"/>
      <c r="CM9787" s="336"/>
    </row>
    <row r="9788" spans="84:91" s="51" customFormat="1">
      <c r="CF9788" s="239"/>
      <c r="CM9788" s="336"/>
    </row>
    <row r="9789" spans="84:91" s="51" customFormat="1">
      <c r="CF9789" s="239"/>
      <c r="CM9789" s="336"/>
    </row>
    <row r="9790" spans="84:91" s="51" customFormat="1">
      <c r="CF9790" s="239"/>
      <c r="CM9790" s="336"/>
    </row>
    <row r="9791" spans="84:91" s="51" customFormat="1">
      <c r="CF9791" s="239"/>
      <c r="CM9791" s="336"/>
    </row>
    <row r="9792" spans="84:91" s="51" customFormat="1">
      <c r="CF9792" s="239"/>
      <c r="CM9792" s="336"/>
    </row>
    <row r="9793" spans="84:91" s="51" customFormat="1">
      <c r="CF9793" s="239"/>
      <c r="CM9793" s="336"/>
    </row>
    <row r="9794" spans="84:91" s="51" customFormat="1">
      <c r="CF9794" s="239"/>
      <c r="CM9794" s="336"/>
    </row>
    <row r="9795" spans="84:91" s="51" customFormat="1">
      <c r="CF9795" s="239"/>
      <c r="CM9795" s="336"/>
    </row>
    <row r="9796" spans="84:91" s="51" customFormat="1">
      <c r="CF9796" s="239"/>
      <c r="CM9796" s="336"/>
    </row>
    <row r="9797" spans="84:91" s="51" customFormat="1">
      <c r="CF9797" s="239"/>
      <c r="CM9797" s="336"/>
    </row>
    <row r="9798" spans="84:91" s="51" customFormat="1">
      <c r="CF9798" s="239"/>
      <c r="CM9798" s="336"/>
    </row>
    <row r="9799" spans="84:91" s="51" customFormat="1">
      <c r="CF9799" s="239"/>
      <c r="CM9799" s="336"/>
    </row>
    <row r="9800" spans="84:91" s="51" customFormat="1">
      <c r="CF9800" s="239"/>
      <c r="CM9800" s="336"/>
    </row>
    <row r="9801" spans="84:91" s="51" customFormat="1">
      <c r="CF9801" s="239"/>
      <c r="CM9801" s="336"/>
    </row>
    <row r="9802" spans="84:91" s="51" customFormat="1">
      <c r="CF9802" s="239"/>
      <c r="CM9802" s="336"/>
    </row>
    <row r="9803" spans="84:91" s="51" customFormat="1">
      <c r="CF9803" s="239"/>
      <c r="CM9803" s="336"/>
    </row>
    <row r="9804" spans="84:91" s="51" customFormat="1">
      <c r="CF9804" s="239"/>
      <c r="CM9804" s="336"/>
    </row>
    <row r="9805" spans="84:91" s="51" customFormat="1">
      <c r="CF9805" s="239"/>
      <c r="CM9805" s="336"/>
    </row>
    <row r="9806" spans="84:91" s="51" customFormat="1">
      <c r="CF9806" s="239"/>
      <c r="CM9806" s="336"/>
    </row>
    <row r="9807" spans="84:91" s="51" customFormat="1">
      <c r="CF9807" s="239"/>
      <c r="CM9807" s="336"/>
    </row>
    <row r="9808" spans="84:91" s="51" customFormat="1">
      <c r="CF9808" s="239"/>
      <c r="CM9808" s="336"/>
    </row>
    <row r="9809" spans="84:91" s="51" customFormat="1">
      <c r="CF9809" s="239"/>
      <c r="CM9809" s="336"/>
    </row>
    <row r="9810" spans="84:91" s="51" customFormat="1">
      <c r="CF9810" s="239"/>
      <c r="CM9810" s="336"/>
    </row>
    <row r="9811" spans="84:91" s="51" customFormat="1">
      <c r="CF9811" s="239"/>
      <c r="CM9811" s="336"/>
    </row>
    <row r="9812" spans="84:91" s="51" customFormat="1">
      <c r="CF9812" s="239"/>
      <c r="CM9812" s="336"/>
    </row>
    <row r="9813" spans="84:91" s="51" customFormat="1">
      <c r="CF9813" s="239"/>
      <c r="CM9813" s="336"/>
    </row>
    <row r="9814" spans="84:91" s="51" customFormat="1">
      <c r="CF9814" s="239"/>
      <c r="CM9814" s="336"/>
    </row>
    <row r="9815" spans="84:91" s="51" customFormat="1">
      <c r="CF9815" s="239"/>
      <c r="CM9815" s="336"/>
    </row>
    <row r="9816" spans="84:91" s="51" customFormat="1">
      <c r="CF9816" s="239"/>
      <c r="CM9816" s="336"/>
    </row>
    <row r="9817" spans="84:91" s="51" customFormat="1">
      <c r="CF9817" s="239"/>
      <c r="CM9817" s="336"/>
    </row>
    <row r="9818" spans="84:91" s="51" customFormat="1">
      <c r="CF9818" s="239"/>
      <c r="CM9818" s="336"/>
    </row>
    <row r="9819" spans="84:91" s="51" customFormat="1">
      <c r="CF9819" s="239"/>
      <c r="CM9819" s="336"/>
    </row>
    <row r="9820" spans="84:91" s="51" customFormat="1">
      <c r="CF9820" s="239"/>
      <c r="CM9820" s="336"/>
    </row>
    <row r="9821" spans="84:91" s="51" customFormat="1">
      <c r="CF9821" s="239"/>
      <c r="CM9821" s="336"/>
    </row>
    <row r="9822" spans="84:91" s="51" customFormat="1">
      <c r="CF9822" s="239"/>
      <c r="CM9822" s="336"/>
    </row>
    <row r="9823" spans="84:91" s="51" customFormat="1">
      <c r="CF9823" s="239"/>
      <c r="CM9823" s="336"/>
    </row>
    <row r="9824" spans="84:91" s="51" customFormat="1">
      <c r="CF9824" s="239"/>
      <c r="CM9824" s="336"/>
    </row>
    <row r="9825" spans="84:91" s="51" customFormat="1">
      <c r="CF9825" s="239"/>
      <c r="CM9825" s="336"/>
    </row>
    <row r="9826" spans="84:91" s="51" customFormat="1">
      <c r="CF9826" s="239"/>
      <c r="CM9826" s="336"/>
    </row>
    <row r="9827" spans="84:91" s="51" customFormat="1">
      <c r="CF9827" s="239"/>
      <c r="CM9827" s="336"/>
    </row>
    <row r="9828" spans="84:91" s="51" customFormat="1">
      <c r="CF9828" s="239"/>
      <c r="CM9828" s="336"/>
    </row>
    <row r="9829" spans="84:91" s="51" customFormat="1">
      <c r="CF9829" s="239"/>
      <c r="CM9829" s="336"/>
    </row>
    <row r="9830" spans="84:91" s="51" customFormat="1">
      <c r="CF9830" s="239"/>
      <c r="CM9830" s="336"/>
    </row>
    <row r="9831" spans="84:91" s="51" customFormat="1">
      <c r="CF9831" s="239"/>
      <c r="CM9831" s="336"/>
    </row>
    <row r="9832" spans="84:91" s="51" customFormat="1">
      <c r="CF9832" s="239"/>
      <c r="CM9832" s="336"/>
    </row>
    <row r="9833" spans="84:91" s="51" customFormat="1">
      <c r="CF9833" s="239"/>
      <c r="CM9833" s="336"/>
    </row>
    <row r="9834" spans="84:91" s="51" customFormat="1">
      <c r="CF9834" s="239"/>
      <c r="CM9834" s="336"/>
    </row>
    <row r="9835" spans="84:91" s="51" customFormat="1">
      <c r="CF9835" s="239"/>
      <c r="CM9835" s="336"/>
    </row>
    <row r="9836" spans="84:91" s="51" customFormat="1">
      <c r="CF9836" s="239"/>
      <c r="CM9836" s="336"/>
    </row>
    <row r="9837" spans="84:91" s="51" customFormat="1">
      <c r="CF9837" s="239"/>
      <c r="CM9837" s="336"/>
    </row>
    <row r="9838" spans="84:91" s="51" customFormat="1">
      <c r="CF9838" s="239"/>
      <c r="CM9838" s="336"/>
    </row>
    <row r="9839" spans="84:91" s="51" customFormat="1">
      <c r="CF9839" s="239"/>
      <c r="CM9839" s="336"/>
    </row>
    <row r="9840" spans="84:91" s="51" customFormat="1">
      <c r="CF9840" s="239"/>
      <c r="CM9840" s="336"/>
    </row>
    <row r="9841" spans="84:91" s="51" customFormat="1">
      <c r="CF9841" s="239"/>
      <c r="CM9841" s="336"/>
    </row>
    <row r="9842" spans="84:91" s="51" customFormat="1">
      <c r="CF9842" s="239"/>
      <c r="CM9842" s="336"/>
    </row>
    <row r="9843" spans="84:91" s="51" customFormat="1">
      <c r="CF9843" s="239"/>
      <c r="CM9843" s="336"/>
    </row>
    <row r="9844" spans="84:91" s="51" customFormat="1">
      <c r="CF9844" s="239"/>
      <c r="CM9844" s="336"/>
    </row>
    <row r="9845" spans="84:91" s="51" customFormat="1">
      <c r="CF9845" s="239"/>
      <c r="CM9845" s="336"/>
    </row>
    <row r="9846" spans="84:91" s="51" customFormat="1">
      <c r="CF9846" s="239"/>
      <c r="CM9846" s="336"/>
    </row>
    <row r="9847" spans="84:91" s="51" customFormat="1">
      <c r="CF9847" s="239"/>
      <c r="CM9847" s="336"/>
    </row>
    <row r="9848" spans="84:91" s="51" customFormat="1">
      <c r="CF9848" s="239"/>
      <c r="CM9848" s="336"/>
    </row>
    <row r="9849" spans="84:91" s="51" customFormat="1">
      <c r="CF9849" s="239"/>
      <c r="CM9849" s="336"/>
    </row>
    <row r="9850" spans="84:91" s="51" customFormat="1">
      <c r="CF9850" s="239"/>
      <c r="CM9850" s="336"/>
    </row>
    <row r="9851" spans="84:91" s="51" customFormat="1">
      <c r="CF9851" s="239"/>
      <c r="CM9851" s="336"/>
    </row>
    <row r="9852" spans="84:91" s="51" customFormat="1">
      <c r="CF9852" s="239"/>
      <c r="CM9852" s="336"/>
    </row>
    <row r="9853" spans="84:91" s="51" customFormat="1">
      <c r="CF9853" s="239"/>
      <c r="CM9853" s="336"/>
    </row>
    <row r="9854" spans="84:91" s="51" customFormat="1">
      <c r="CF9854" s="239"/>
      <c r="CM9854" s="336"/>
    </row>
    <row r="9855" spans="84:91" s="51" customFormat="1">
      <c r="CF9855" s="239"/>
      <c r="CM9855" s="336"/>
    </row>
    <row r="9856" spans="84:91" s="51" customFormat="1">
      <c r="CF9856" s="239"/>
      <c r="CM9856" s="336"/>
    </row>
    <row r="9857" spans="84:91" s="51" customFormat="1">
      <c r="CF9857" s="239"/>
      <c r="CM9857" s="336"/>
    </row>
    <row r="9858" spans="84:91" s="51" customFormat="1">
      <c r="CF9858" s="239"/>
      <c r="CM9858" s="336"/>
    </row>
    <row r="9859" spans="84:91" s="51" customFormat="1">
      <c r="CF9859" s="239"/>
      <c r="CM9859" s="336"/>
    </row>
    <row r="9860" spans="84:91" s="51" customFormat="1">
      <c r="CF9860" s="239"/>
      <c r="CM9860" s="336"/>
    </row>
    <row r="9861" spans="84:91" s="51" customFormat="1">
      <c r="CF9861" s="239"/>
      <c r="CM9861" s="336"/>
    </row>
    <row r="9862" spans="84:91" s="51" customFormat="1">
      <c r="CF9862" s="239"/>
      <c r="CM9862" s="336"/>
    </row>
    <row r="9863" spans="84:91" s="51" customFormat="1">
      <c r="CF9863" s="239"/>
      <c r="CM9863" s="336"/>
    </row>
    <row r="9864" spans="84:91" s="51" customFormat="1">
      <c r="CF9864" s="239"/>
      <c r="CM9864" s="336"/>
    </row>
    <row r="9865" spans="84:91" s="51" customFormat="1">
      <c r="CF9865" s="239"/>
      <c r="CM9865" s="336"/>
    </row>
    <row r="9866" spans="84:91" s="51" customFormat="1">
      <c r="CF9866" s="239"/>
      <c r="CM9866" s="336"/>
    </row>
    <row r="9867" spans="84:91" s="51" customFormat="1">
      <c r="CF9867" s="239"/>
      <c r="CM9867" s="336"/>
    </row>
    <row r="9868" spans="84:91" s="51" customFormat="1">
      <c r="CF9868" s="239"/>
      <c r="CM9868" s="336"/>
    </row>
    <row r="9869" spans="84:91" s="51" customFormat="1">
      <c r="CF9869" s="239"/>
      <c r="CM9869" s="336"/>
    </row>
    <row r="9870" spans="84:91" s="51" customFormat="1">
      <c r="CF9870" s="239"/>
      <c r="CM9870" s="336"/>
    </row>
    <row r="9871" spans="84:91" s="51" customFormat="1">
      <c r="CF9871" s="239"/>
      <c r="CM9871" s="336"/>
    </row>
    <row r="9872" spans="84:91" s="51" customFormat="1">
      <c r="CF9872" s="239"/>
      <c r="CM9872" s="336"/>
    </row>
    <row r="9873" spans="84:91" s="51" customFormat="1">
      <c r="CF9873" s="239"/>
      <c r="CM9873" s="336"/>
    </row>
    <row r="9874" spans="84:91" s="51" customFormat="1">
      <c r="CF9874" s="239"/>
      <c r="CM9874" s="336"/>
    </row>
    <row r="9875" spans="84:91" s="51" customFormat="1">
      <c r="CF9875" s="239"/>
      <c r="CM9875" s="336"/>
    </row>
    <row r="9876" spans="84:91" s="51" customFormat="1">
      <c r="CF9876" s="239"/>
      <c r="CM9876" s="336"/>
    </row>
    <row r="9877" spans="84:91" s="51" customFormat="1">
      <c r="CF9877" s="239"/>
      <c r="CM9877" s="336"/>
    </row>
    <row r="9878" spans="84:91" s="51" customFormat="1">
      <c r="CF9878" s="239"/>
      <c r="CM9878" s="336"/>
    </row>
    <row r="9879" spans="84:91" s="51" customFormat="1">
      <c r="CF9879" s="239"/>
      <c r="CM9879" s="336"/>
    </row>
    <row r="9880" spans="84:91" s="51" customFormat="1">
      <c r="CF9880" s="239"/>
      <c r="CM9880" s="336"/>
    </row>
    <row r="9881" spans="84:91" s="51" customFormat="1">
      <c r="CF9881" s="239"/>
      <c r="CM9881" s="336"/>
    </row>
    <row r="9882" spans="84:91" s="51" customFormat="1">
      <c r="CF9882" s="239"/>
      <c r="CM9882" s="336"/>
    </row>
    <row r="9883" spans="84:91" s="51" customFormat="1">
      <c r="CF9883" s="239"/>
      <c r="CM9883" s="336"/>
    </row>
    <row r="9884" spans="84:91" s="51" customFormat="1">
      <c r="CF9884" s="239"/>
      <c r="CM9884" s="336"/>
    </row>
    <row r="9885" spans="84:91" s="51" customFormat="1">
      <c r="CF9885" s="239"/>
      <c r="CM9885" s="336"/>
    </row>
    <row r="9886" spans="84:91" s="51" customFormat="1">
      <c r="CF9886" s="239"/>
      <c r="CM9886" s="336"/>
    </row>
    <row r="9887" spans="84:91" s="51" customFormat="1">
      <c r="CF9887" s="239"/>
      <c r="CM9887" s="336"/>
    </row>
    <row r="9888" spans="84:91" s="51" customFormat="1">
      <c r="CF9888" s="239"/>
      <c r="CM9888" s="336"/>
    </row>
    <row r="9889" spans="84:91" s="51" customFormat="1">
      <c r="CF9889" s="239"/>
      <c r="CM9889" s="336"/>
    </row>
    <row r="9890" spans="84:91" s="51" customFormat="1">
      <c r="CF9890" s="239"/>
      <c r="CM9890" s="336"/>
    </row>
    <row r="9891" spans="84:91" s="51" customFormat="1">
      <c r="CF9891" s="239"/>
      <c r="CM9891" s="336"/>
    </row>
    <row r="9892" spans="84:91" s="51" customFormat="1">
      <c r="CF9892" s="239"/>
      <c r="CM9892" s="336"/>
    </row>
    <row r="9893" spans="84:91" s="51" customFormat="1">
      <c r="CF9893" s="239"/>
      <c r="CM9893" s="336"/>
    </row>
    <row r="9894" spans="84:91" s="51" customFormat="1">
      <c r="CF9894" s="239"/>
      <c r="CM9894" s="336"/>
    </row>
    <row r="9895" spans="84:91" s="51" customFormat="1">
      <c r="CF9895" s="239"/>
      <c r="CM9895" s="336"/>
    </row>
    <row r="9896" spans="84:91" s="51" customFormat="1">
      <c r="CF9896" s="239"/>
      <c r="CM9896" s="336"/>
    </row>
    <row r="9897" spans="84:91" s="51" customFormat="1">
      <c r="CF9897" s="239"/>
      <c r="CM9897" s="336"/>
    </row>
    <row r="9898" spans="84:91" s="51" customFormat="1">
      <c r="CF9898" s="239"/>
      <c r="CM9898" s="336"/>
    </row>
    <row r="9899" spans="84:91" s="51" customFormat="1">
      <c r="CF9899" s="239"/>
      <c r="CM9899" s="336"/>
    </row>
    <row r="9900" spans="84:91" s="51" customFormat="1">
      <c r="CF9900" s="239"/>
      <c r="CM9900" s="336"/>
    </row>
    <row r="9901" spans="84:91" s="51" customFormat="1">
      <c r="CF9901" s="239"/>
      <c r="CM9901" s="336"/>
    </row>
    <row r="9902" spans="84:91" s="51" customFormat="1">
      <c r="CF9902" s="239"/>
      <c r="CM9902" s="336"/>
    </row>
    <row r="9903" spans="84:91" s="51" customFormat="1">
      <c r="CF9903" s="239"/>
      <c r="CM9903" s="336"/>
    </row>
    <row r="9904" spans="84:91" s="51" customFormat="1">
      <c r="CF9904" s="239"/>
      <c r="CM9904" s="336"/>
    </row>
    <row r="9905" spans="84:91" s="51" customFormat="1">
      <c r="CF9905" s="239"/>
      <c r="CM9905" s="336"/>
    </row>
    <row r="9906" spans="84:91" s="51" customFormat="1">
      <c r="CF9906" s="239"/>
      <c r="CM9906" s="336"/>
    </row>
    <row r="9907" spans="84:91" s="51" customFormat="1">
      <c r="CF9907" s="239"/>
      <c r="CM9907" s="336"/>
    </row>
    <row r="9908" spans="84:91" s="51" customFormat="1">
      <c r="CF9908" s="239"/>
      <c r="CM9908" s="336"/>
    </row>
    <row r="9909" spans="84:91" s="51" customFormat="1">
      <c r="CF9909" s="239"/>
      <c r="CM9909" s="336"/>
    </row>
    <row r="9910" spans="84:91" s="51" customFormat="1">
      <c r="CF9910" s="239"/>
      <c r="CM9910" s="336"/>
    </row>
    <row r="9911" spans="84:91" s="51" customFormat="1">
      <c r="CF9911" s="239"/>
      <c r="CM9911" s="336"/>
    </row>
    <row r="9912" spans="84:91" s="51" customFormat="1">
      <c r="CF9912" s="239"/>
      <c r="CM9912" s="336"/>
    </row>
    <row r="9913" spans="84:91" s="51" customFormat="1">
      <c r="CF9913" s="239"/>
      <c r="CM9913" s="336"/>
    </row>
    <row r="9914" spans="84:91" s="51" customFormat="1">
      <c r="CF9914" s="239"/>
      <c r="CM9914" s="336"/>
    </row>
    <row r="9915" spans="84:91" s="51" customFormat="1">
      <c r="CF9915" s="239"/>
      <c r="CM9915" s="336"/>
    </row>
    <row r="9916" spans="84:91" s="51" customFormat="1">
      <c r="CF9916" s="239"/>
      <c r="CM9916" s="336"/>
    </row>
    <row r="9917" spans="84:91" s="51" customFormat="1">
      <c r="CF9917" s="239"/>
      <c r="CM9917" s="336"/>
    </row>
    <row r="9918" spans="84:91" s="51" customFormat="1">
      <c r="CF9918" s="239"/>
      <c r="CM9918" s="336"/>
    </row>
    <row r="9919" spans="84:91" s="51" customFormat="1">
      <c r="CF9919" s="239"/>
      <c r="CM9919" s="336"/>
    </row>
    <row r="9920" spans="84:91" s="51" customFormat="1">
      <c r="CF9920" s="239"/>
      <c r="CM9920" s="336"/>
    </row>
    <row r="9921" spans="84:91" s="51" customFormat="1">
      <c r="CF9921" s="239"/>
      <c r="CM9921" s="336"/>
    </row>
    <row r="9922" spans="84:91" s="51" customFormat="1">
      <c r="CF9922" s="239"/>
      <c r="CM9922" s="336"/>
    </row>
    <row r="9923" spans="84:91" s="51" customFormat="1">
      <c r="CF9923" s="239"/>
      <c r="CM9923" s="336"/>
    </row>
    <row r="9924" spans="84:91" s="51" customFormat="1">
      <c r="CF9924" s="239"/>
      <c r="CM9924" s="336"/>
    </row>
    <row r="9925" spans="84:91" s="51" customFormat="1">
      <c r="CF9925" s="239"/>
      <c r="CM9925" s="336"/>
    </row>
    <row r="9926" spans="84:91" s="51" customFormat="1">
      <c r="CF9926" s="239"/>
      <c r="CM9926" s="336"/>
    </row>
    <row r="9927" spans="84:91" s="51" customFormat="1">
      <c r="CF9927" s="239"/>
      <c r="CM9927" s="336"/>
    </row>
    <row r="9928" spans="84:91" s="51" customFormat="1">
      <c r="CF9928" s="239"/>
      <c r="CM9928" s="336"/>
    </row>
    <row r="9929" spans="84:91" s="51" customFormat="1">
      <c r="CF9929" s="239"/>
      <c r="CM9929" s="336"/>
    </row>
    <row r="9930" spans="84:91" s="51" customFormat="1">
      <c r="CF9930" s="239"/>
      <c r="CM9930" s="336"/>
    </row>
    <row r="9931" spans="84:91" s="51" customFormat="1">
      <c r="CF9931" s="239"/>
      <c r="CM9931" s="336"/>
    </row>
    <row r="9932" spans="84:91" s="51" customFormat="1">
      <c r="CF9932" s="239"/>
      <c r="CM9932" s="336"/>
    </row>
    <row r="9933" spans="84:91" s="51" customFormat="1">
      <c r="CF9933" s="239"/>
      <c r="CM9933" s="336"/>
    </row>
    <row r="9934" spans="84:91" s="51" customFormat="1">
      <c r="CF9934" s="239"/>
      <c r="CM9934" s="336"/>
    </row>
    <row r="9935" spans="84:91" s="51" customFormat="1">
      <c r="CF9935" s="239"/>
      <c r="CM9935" s="336"/>
    </row>
    <row r="9936" spans="84:91" s="51" customFormat="1">
      <c r="CF9936" s="239"/>
      <c r="CM9936" s="336"/>
    </row>
    <row r="9937" spans="84:91" s="51" customFormat="1">
      <c r="CF9937" s="239"/>
      <c r="CM9937" s="336"/>
    </row>
    <row r="9938" spans="84:91" s="51" customFormat="1">
      <c r="CF9938" s="239"/>
      <c r="CM9938" s="336"/>
    </row>
    <row r="9939" spans="84:91" s="51" customFormat="1">
      <c r="CF9939" s="239"/>
      <c r="CM9939" s="336"/>
    </row>
    <row r="9940" spans="84:91" s="51" customFormat="1">
      <c r="CF9940" s="239"/>
      <c r="CM9940" s="336"/>
    </row>
    <row r="9941" spans="84:91" s="51" customFormat="1">
      <c r="CF9941" s="239"/>
      <c r="CM9941" s="336"/>
    </row>
    <row r="9942" spans="84:91" s="51" customFormat="1">
      <c r="CF9942" s="239"/>
      <c r="CM9942" s="336"/>
    </row>
    <row r="9943" spans="84:91" s="51" customFormat="1">
      <c r="CF9943" s="239"/>
      <c r="CM9943" s="336"/>
    </row>
    <row r="9944" spans="84:91" s="51" customFormat="1">
      <c r="CF9944" s="239"/>
      <c r="CM9944" s="336"/>
    </row>
    <row r="9945" spans="84:91" s="51" customFormat="1">
      <c r="CF9945" s="239"/>
      <c r="CM9945" s="336"/>
    </row>
    <row r="9946" spans="84:91" s="51" customFormat="1">
      <c r="CF9946" s="239"/>
      <c r="CM9946" s="336"/>
    </row>
    <row r="9947" spans="84:91" s="51" customFormat="1">
      <c r="CF9947" s="239"/>
      <c r="CM9947" s="336"/>
    </row>
    <row r="9948" spans="84:91" s="51" customFormat="1">
      <c r="CF9948" s="239"/>
      <c r="CM9948" s="336"/>
    </row>
    <row r="9949" spans="84:91" s="51" customFormat="1">
      <c r="CF9949" s="239"/>
      <c r="CM9949" s="336"/>
    </row>
    <row r="9950" spans="84:91" s="51" customFormat="1">
      <c r="CF9950" s="239"/>
      <c r="CM9950" s="336"/>
    </row>
    <row r="9951" spans="84:91" s="51" customFormat="1">
      <c r="CF9951" s="239"/>
      <c r="CM9951" s="336"/>
    </row>
    <row r="9952" spans="84:91" s="51" customFormat="1">
      <c r="CF9952" s="239"/>
      <c r="CM9952" s="336"/>
    </row>
    <row r="9953" spans="84:91" s="51" customFormat="1">
      <c r="CF9953" s="239"/>
      <c r="CM9953" s="336"/>
    </row>
    <row r="9954" spans="84:91" s="51" customFormat="1">
      <c r="CF9954" s="239"/>
      <c r="CM9954" s="336"/>
    </row>
    <row r="9955" spans="84:91" s="51" customFormat="1">
      <c r="CF9955" s="239"/>
      <c r="CM9955" s="336"/>
    </row>
    <row r="9956" spans="84:91" s="51" customFormat="1">
      <c r="CF9956" s="239"/>
      <c r="CM9956" s="336"/>
    </row>
    <row r="9957" spans="84:91" s="51" customFormat="1">
      <c r="CF9957" s="239"/>
      <c r="CM9957" s="336"/>
    </row>
    <row r="9958" spans="84:91" s="51" customFormat="1">
      <c r="CF9958" s="239"/>
      <c r="CM9958" s="336"/>
    </row>
    <row r="9959" spans="84:91" s="51" customFormat="1">
      <c r="CF9959" s="239"/>
      <c r="CM9959" s="336"/>
    </row>
    <row r="9960" spans="84:91" s="51" customFormat="1">
      <c r="CF9960" s="239"/>
      <c r="CM9960" s="336"/>
    </row>
    <row r="9961" spans="84:91" s="51" customFormat="1">
      <c r="CF9961" s="239"/>
      <c r="CM9961" s="336"/>
    </row>
    <row r="9962" spans="84:91" s="51" customFormat="1">
      <c r="CF9962" s="239"/>
      <c r="CM9962" s="336"/>
    </row>
    <row r="9963" spans="84:91" s="51" customFormat="1">
      <c r="CF9963" s="239"/>
      <c r="CM9963" s="336"/>
    </row>
    <row r="9964" spans="84:91" s="51" customFormat="1">
      <c r="CF9964" s="239"/>
      <c r="CM9964" s="336"/>
    </row>
    <row r="9965" spans="84:91" s="51" customFormat="1">
      <c r="CF9965" s="239"/>
      <c r="CM9965" s="336"/>
    </row>
    <row r="9966" spans="84:91" s="51" customFormat="1">
      <c r="CF9966" s="239"/>
      <c r="CM9966" s="336"/>
    </row>
    <row r="9967" spans="84:91" s="51" customFormat="1">
      <c r="CF9967" s="239"/>
      <c r="CM9967" s="336"/>
    </row>
    <row r="9968" spans="84:91" s="51" customFormat="1">
      <c r="CF9968" s="239"/>
      <c r="CM9968" s="336"/>
    </row>
    <row r="9969" spans="84:91" s="51" customFormat="1">
      <c r="CF9969" s="239"/>
      <c r="CM9969" s="336"/>
    </row>
    <row r="9970" spans="84:91" s="51" customFormat="1">
      <c r="CF9970" s="239"/>
      <c r="CM9970" s="336"/>
    </row>
    <row r="9971" spans="84:91" s="51" customFormat="1">
      <c r="CF9971" s="239"/>
      <c r="CM9971" s="336"/>
    </row>
    <row r="9972" spans="84:91" s="51" customFormat="1">
      <c r="CF9972" s="239"/>
      <c r="CM9972" s="336"/>
    </row>
    <row r="9973" spans="84:91" s="51" customFormat="1">
      <c r="CF9973" s="239"/>
      <c r="CM9973" s="336"/>
    </row>
    <row r="9974" spans="84:91" s="51" customFormat="1">
      <c r="CF9974" s="239"/>
      <c r="CM9974" s="336"/>
    </row>
    <row r="9975" spans="84:91" s="51" customFormat="1">
      <c r="CF9975" s="239"/>
      <c r="CM9975" s="336"/>
    </row>
    <row r="9976" spans="84:91" s="51" customFormat="1">
      <c r="CF9976" s="239"/>
      <c r="CM9976" s="336"/>
    </row>
    <row r="9977" spans="84:91" s="51" customFormat="1">
      <c r="CF9977" s="239"/>
      <c r="CM9977" s="336"/>
    </row>
    <row r="9978" spans="84:91" s="51" customFormat="1">
      <c r="CF9978" s="239"/>
      <c r="CM9978" s="336"/>
    </row>
    <row r="9979" spans="84:91" s="51" customFormat="1">
      <c r="CF9979" s="239"/>
      <c r="CM9979" s="336"/>
    </row>
    <row r="9980" spans="84:91" s="51" customFormat="1">
      <c r="CF9980" s="239"/>
      <c r="CM9980" s="336"/>
    </row>
    <row r="9981" spans="84:91" s="51" customFormat="1">
      <c r="CF9981" s="239"/>
      <c r="CM9981" s="336"/>
    </row>
    <row r="9982" spans="84:91" s="51" customFormat="1">
      <c r="CF9982" s="239"/>
      <c r="CM9982" s="336"/>
    </row>
    <row r="9983" spans="84:91" s="51" customFormat="1">
      <c r="CF9983" s="239"/>
      <c r="CM9983" s="336"/>
    </row>
    <row r="9984" spans="84:91" s="51" customFormat="1">
      <c r="CF9984" s="239"/>
      <c r="CM9984" s="336"/>
    </row>
    <row r="9985" spans="84:91" s="51" customFormat="1">
      <c r="CF9985" s="239"/>
      <c r="CM9985" s="336"/>
    </row>
    <row r="9986" spans="84:91" s="51" customFormat="1">
      <c r="CF9986" s="239"/>
      <c r="CM9986" s="336"/>
    </row>
    <row r="9987" spans="84:91" s="51" customFormat="1">
      <c r="CF9987" s="239"/>
      <c r="CM9987" s="336"/>
    </row>
    <row r="9988" spans="84:91" s="51" customFormat="1">
      <c r="CF9988" s="239"/>
      <c r="CM9988" s="336"/>
    </row>
    <row r="9989" spans="84:91" s="51" customFormat="1">
      <c r="CF9989" s="239"/>
      <c r="CM9989" s="336"/>
    </row>
    <row r="9990" spans="84:91" s="51" customFormat="1">
      <c r="CF9990" s="239"/>
      <c r="CM9990" s="336"/>
    </row>
    <row r="9991" spans="84:91" s="51" customFormat="1">
      <c r="CF9991" s="239"/>
      <c r="CM9991" s="336"/>
    </row>
    <row r="9992" spans="84:91" s="51" customFormat="1">
      <c r="CF9992" s="239"/>
      <c r="CM9992" s="336"/>
    </row>
    <row r="9993" spans="84:91" s="51" customFormat="1">
      <c r="CF9993" s="239"/>
      <c r="CM9993" s="336"/>
    </row>
    <row r="9994" spans="84:91" s="51" customFormat="1">
      <c r="CF9994" s="239"/>
      <c r="CM9994" s="336"/>
    </row>
    <row r="9995" spans="84:91" s="51" customFormat="1">
      <c r="CF9995" s="239"/>
      <c r="CM9995" s="336"/>
    </row>
    <row r="9996" spans="84:91" s="51" customFormat="1">
      <c r="CF9996" s="239"/>
      <c r="CM9996" s="336"/>
    </row>
    <row r="9997" spans="84:91" s="51" customFormat="1">
      <c r="CF9997" s="239"/>
      <c r="CM9997" s="336"/>
    </row>
    <row r="9998" spans="84:91" s="51" customFormat="1">
      <c r="CF9998" s="239"/>
      <c r="CM9998" s="336"/>
    </row>
    <row r="9999" spans="84:91" s="51" customFormat="1">
      <c r="CF9999" s="239"/>
      <c r="CM9999" s="336"/>
    </row>
    <row r="10000" spans="84:91" s="51" customFormat="1">
      <c r="CF10000" s="239"/>
      <c r="CM10000" s="336"/>
    </row>
    <row r="10001" spans="84:91" s="51" customFormat="1">
      <c r="CF10001" s="239"/>
      <c r="CM10001" s="336"/>
    </row>
    <row r="10002" spans="84:91" s="51" customFormat="1">
      <c r="CF10002" s="239"/>
      <c r="CM10002" s="336"/>
    </row>
    <row r="10003" spans="84:91" s="51" customFormat="1">
      <c r="CF10003" s="239"/>
      <c r="CM10003" s="336"/>
    </row>
    <row r="10004" spans="84:91" s="51" customFormat="1">
      <c r="CF10004" s="239"/>
      <c r="CM10004" s="336"/>
    </row>
    <row r="10005" spans="84:91" s="51" customFormat="1">
      <c r="CF10005" s="239"/>
      <c r="CM10005" s="336"/>
    </row>
    <row r="10006" spans="84:91" s="51" customFormat="1">
      <c r="CF10006" s="239"/>
      <c r="CM10006" s="336"/>
    </row>
    <row r="10007" spans="84:91" s="51" customFormat="1">
      <c r="CF10007" s="239"/>
      <c r="CM10007" s="336"/>
    </row>
    <row r="10008" spans="84:91" s="51" customFormat="1">
      <c r="CF10008" s="239"/>
      <c r="CM10008" s="336"/>
    </row>
    <row r="10009" spans="84:91" s="51" customFormat="1">
      <c r="CF10009" s="239"/>
      <c r="CM10009" s="336"/>
    </row>
    <row r="10010" spans="84:91" s="51" customFormat="1">
      <c r="CF10010" s="239"/>
      <c r="CM10010" s="336"/>
    </row>
    <row r="10011" spans="84:91" s="51" customFormat="1">
      <c r="CF10011" s="239"/>
      <c r="CM10011" s="336"/>
    </row>
    <row r="10012" spans="84:91" s="51" customFormat="1">
      <c r="CF10012" s="239"/>
      <c r="CM10012" s="336"/>
    </row>
    <row r="10013" spans="84:91" s="51" customFormat="1">
      <c r="CF10013" s="239"/>
      <c r="CM10013" s="336"/>
    </row>
    <row r="10014" spans="84:91" s="51" customFormat="1">
      <c r="CF10014" s="239"/>
      <c r="CM10014" s="336"/>
    </row>
    <row r="10015" spans="84:91" s="51" customFormat="1">
      <c r="CF10015" s="239"/>
      <c r="CM10015" s="336"/>
    </row>
    <row r="10016" spans="84:91" s="51" customFormat="1">
      <c r="CF10016" s="239"/>
      <c r="CM10016" s="336"/>
    </row>
    <row r="10017" spans="84:91" s="51" customFormat="1">
      <c r="CF10017" s="239"/>
      <c r="CM10017" s="336"/>
    </row>
    <row r="10018" spans="84:91" s="51" customFormat="1">
      <c r="CF10018" s="239"/>
      <c r="CM10018" s="336"/>
    </row>
    <row r="10019" spans="84:91" s="51" customFormat="1">
      <c r="CF10019" s="239"/>
      <c r="CM10019" s="336"/>
    </row>
    <row r="10020" spans="84:91" s="51" customFormat="1">
      <c r="CF10020" s="239"/>
      <c r="CM10020" s="336"/>
    </row>
    <row r="10021" spans="84:91" s="51" customFormat="1">
      <c r="CF10021" s="239"/>
      <c r="CM10021" s="336"/>
    </row>
    <row r="10022" spans="84:91" s="51" customFormat="1">
      <c r="CF10022" s="239"/>
      <c r="CM10022" s="336"/>
    </row>
    <row r="10023" spans="84:91" s="51" customFormat="1">
      <c r="CF10023" s="239"/>
      <c r="CM10023" s="336"/>
    </row>
    <row r="10024" spans="84:91" s="51" customFormat="1">
      <c r="CF10024" s="239"/>
      <c r="CM10024" s="336"/>
    </row>
    <row r="10025" spans="84:91" s="51" customFormat="1">
      <c r="CF10025" s="239"/>
      <c r="CM10025" s="336"/>
    </row>
    <row r="10026" spans="84:91" s="51" customFormat="1">
      <c r="CF10026" s="239"/>
      <c r="CM10026" s="336"/>
    </row>
    <row r="10027" spans="84:91" s="51" customFormat="1">
      <c r="CF10027" s="239"/>
      <c r="CM10027" s="336"/>
    </row>
    <row r="10028" spans="84:91" s="51" customFormat="1">
      <c r="CF10028" s="239"/>
      <c r="CM10028" s="336"/>
    </row>
    <row r="10029" spans="84:91" s="51" customFormat="1">
      <c r="CF10029" s="239"/>
      <c r="CM10029" s="336"/>
    </row>
    <row r="10030" spans="84:91" s="51" customFormat="1">
      <c r="CF10030" s="239"/>
      <c r="CM10030" s="336"/>
    </row>
    <row r="10031" spans="84:91" s="51" customFormat="1">
      <c r="CF10031" s="239"/>
      <c r="CM10031" s="336"/>
    </row>
    <row r="10032" spans="84:91" s="51" customFormat="1">
      <c r="CF10032" s="239"/>
      <c r="CM10032" s="336"/>
    </row>
    <row r="10033" spans="84:91" s="51" customFormat="1">
      <c r="CF10033" s="239"/>
      <c r="CM10033" s="336"/>
    </row>
    <row r="10034" spans="84:91" s="51" customFormat="1">
      <c r="CF10034" s="239"/>
      <c r="CM10034" s="336"/>
    </row>
    <row r="10035" spans="84:91" s="51" customFormat="1">
      <c r="CF10035" s="239"/>
      <c r="CM10035" s="336"/>
    </row>
    <row r="10036" spans="84:91" s="51" customFormat="1">
      <c r="CF10036" s="239"/>
      <c r="CM10036" s="336"/>
    </row>
    <row r="10037" spans="84:91" s="51" customFormat="1">
      <c r="CF10037" s="239"/>
      <c r="CM10037" s="336"/>
    </row>
    <row r="10038" spans="84:91" s="51" customFormat="1">
      <c r="CF10038" s="239"/>
      <c r="CM10038" s="336"/>
    </row>
    <row r="10039" spans="84:91" s="51" customFormat="1">
      <c r="CF10039" s="239"/>
      <c r="CM10039" s="336"/>
    </row>
    <row r="10040" spans="84:91" s="51" customFormat="1">
      <c r="CF10040" s="239"/>
      <c r="CM10040" s="336"/>
    </row>
    <row r="10041" spans="84:91" s="51" customFormat="1">
      <c r="CF10041" s="239"/>
      <c r="CM10041" s="336"/>
    </row>
    <row r="10042" spans="84:91" s="51" customFormat="1">
      <c r="CF10042" s="239"/>
      <c r="CM10042" s="336"/>
    </row>
    <row r="10043" spans="84:91" s="51" customFormat="1">
      <c r="CF10043" s="239"/>
      <c r="CM10043" s="336"/>
    </row>
    <row r="10044" spans="84:91" s="51" customFormat="1">
      <c r="CF10044" s="239"/>
      <c r="CM10044" s="336"/>
    </row>
    <row r="10045" spans="84:91" s="51" customFormat="1">
      <c r="CF10045" s="239"/>
      <c r="CM10045" s="336"/>
    </row>
    <row r="10046" spans="84:91" s="51" customFormat="1">
      <c r="CF10046" s="239"/>
      <c r="CM10046" s="336"/>
    </row>
    <row r="10047" spans="84:91" s="51" customFormat="1">
      <c r="CF10047" s="239"/>
      <c r="CM10047" s="336"/>
    </row>
    <row r="10048" spans="84:91" s="51" customFormat="1">
      <c r="CF10048" s="239"/>
      <c r="CM10048" s="336"/>
    </row>
    <row r="10049" spans="84:91" s="51" customFormat="1">
      <c r="CF10049" s="239"/>
      <c r="CM10049" s="336"/>
    </row>
    <row r="10050" spans="84:91" s="51" customFormat="1">
      <c r="CF10050" s="239"/>
      <c r="CM10050" s="336"/>
    </row>
    <row r="10051" spans="84:91" s="51" customFormat="1">
      <c r="CF10051" s="239"/>
      <c r="CM10051" s="336"/>
    </row>
    <row r="10052" spans="84:91" s="51" customFormat="1">
      <c r="CF10052" s="239"/>
      <c r="CM10052" s="336"/>
    </row>
    <row r="10053" spans="84:91" s="51" customFormat="1">
      <c r="CF10053" s="239"/>
      <c r="CM10053" s="336"/>
    </row>
    <row r="10054" spans="84:91" s="51" customFormat="1">
      <c r="CF10054" s="239"/>
      <c r="CM10054" s="336"/>
    </row>
    <row r="10055" spans="84:91" s="51" customFormat="1">
      <c r="CF10055" s="239"/>
      <c r="CM10055" s="336"/>
    </row>
    <row r="10056" spans="84:91" s="51" customFormat="1">
      <c r="CF10056" s="239"/>
      <c r="CM10056" s="336"/>
    </row>
    <row r="10057" spans="84:91" s="51" customFormat="1">
      <c r="CF10057" s="239"/>
      <c r="CM10057" s="336"/>
    </row>
    <row r="10058" spans="84:91" s="51" customFormat="1">
      <c r="CF10058" s="239"/>
      <c r="CM10058" s="336"/>
    </row>
    <row r="10059" spans="84:91" s="51" customFormat="1">
      <c r="CF10059" s="239"/>
      <c r="CM10059" s="336"/>
    </row>
    <row r="10060" spans="84:91" s="51" customFormat="1">
      <c r="CF10060" s="239"/>
      <c r="CM10060" s="336"/>
    </row>
    <row r="10061" spans="84:91" s="51" customFormat="1">
      <c r="CF10061" s="239"/>
      <c r="CM10061" s="336"/>
    </row>
    <row r="10062" spans="84:91" s="51" customFormat="1">
      <c r="CF10062" s="239"/>
      <c r="CM10062" s="336"/>
    </row>
    <row r="10063" spans="84:91" s="51" customFormat="1">
      <c r="CF10063" s="239"/>
      <c r="CM10063" s="336"/>
    </row>
    <row r="10064" spans="84:91" s="51" customFormat="1">
      <c r="CF10064" s="239"/>
      <c r="CM10064" s="336"/>
    </row>
    <row r="10065" spans="84:91" s="51" customFormat="1">
      <c r="CF10065" s="239"/>
      <c r="CM10065" s="336"/>
    </row>
    <row r="10066" spans="84:91" s="51" customFormat="1">
      <c r="CF10066" s="239"/>
      <c r="CM10066" s="336"/>
    </row>
    <row r="10067" spans="84:91" s="51" customFormat="1">
      <c r="CF10067" s="239"/>
      <c r="CM10067" s="336"/>
    </row>
    <row r="10068" spans="84:91" s="51" customFormat="1">
      <c r="CF10068" s="239"/>
      <c r="CM10068" s="336"/>
    </row>
    <row r="10069" spans="84:91" s="51" customFormat="1">
      <c r="CF10069" s="239"/>
      <c r="CM10069" s="336"/>
    </row>
    <row r="10070" spans="84:91" s="51" customFormat="1">
      <c r="CF10070" s="239"/>
      <c r="CM10070" s="336"/>
    </row>
    <row r="10071" spans="84:91" s="51" customFormat="1">
      <c r="CF10071" s="239"/>
      <c r="CM10071" s="336"/>
    </row>
    <row r="10072" spans="84:91" s="51" customFormat="1">
      <c r="CF10072" s="239"/>
      <c r="CM10072" s="336"/>
    </row>
    <row r="10073" spans="84:91" s="51" customFormat="1">
      <c r="CF10073" s="239"/>
      <c r="CM10073" s="336"/>
    </row>
    <row r="10074" spans="84:91" s="51" customFormat="1">
      <c r="CF10074" s="239"/>
      <c r="CM10074" s="336"/>
    </row>
    <row r="10075" spans="84:91" s="51" customFormat="1">
      <c r="CF10075" s="239"/>
      <c r="CM10075" s="336"/>
    </row>
    <row r="10076" spans="84:91" s="51" customFormat="1">
      <c r="CF10076" s="239"/>
      <c r="CM10076" s="336"/>
    </row>
    <row r="10077" spans="84:91" s="51" customFormat="1">
      <c r="CF10077" s="239"/>
      <c r="CM10077" s="336"/>
    </row>
    <row r="10078" spans="84:91" s="51" customFormat="1">
      <c r="CF10078" s="239"/>
      <c r="CM10078" s="336"/>
    </row>
    <row r="10079" spans="84:91" s="51" customFormat="1">
      <c r="CF10079" s="239"/>
      <c r="CM10079" s="336"/>
    </row>
    <row r="10080" spans="84:91" s="51" customFormat="1">
      <c r="CF10080" s="239"/>
      <c r="CM10080" s="336"/>
    </row>
    <row r="10081" spans="84:91" s="51" customFormat="1">
      <c r="CF10081" s="239"/>
      <c r="CM10081" s="336"/>
    </row>
    <row r="10082" spans="84:91" s="51" customFormat="1">
      <c r="CF10082" s="239"/>
      <c r="CM10082" s="336"/>
    </row>
    <row r="10083" spans="84:91" s="51" customFormat="1">
      <c r="CF10083" s="239"/>
      <c r="CM10083" s="336"/>
    </row>
    <row r="10084" spans="84:91" s="51" customFormat="1">
      <c r="CF10084" s="239"/>
      <c r="CM10084" s="336"/>
    </row>
    <row r="10085" spans="84:91" s="51" customFormat="1">
      <c r="CF10085" s="239"/>
      <c r="CM10085" s="336"/>
    </row>
    <row r="10086" spans="84:91" s="51" customFormat="1">
      <c r="CF10086" s="239"/>
      <c r="CM10086" s="336"/>
    </row>
    <row r="10087" spans="84:91" s="51" customFormat="1">
      <c r="CF10087" s="239"/>
      <c r="CM10087" s="336"/>
    </row>
    <row r="10088" spans="84:91" s="51" customFormat="1">
      <c r="CF10088" s="239"/>
      <c r="CM10088" s="336"/>
    </row>
    <row r="10089" spans="84:91" s="51" customFormat="1">
      <c r="CF10089" s="239"/>
      <c r="CM10089" s="336"/>
    </row>
    <row r="10090" spans="84:91" s="51" customFormat="1">
      <c r="CF10090" s="239"/>
      <c r="CM10090" s="336"/>
    </row>
    <row r="10091" spans="84:91" s="51" customFormat="1">
      <c r="CF10091" s="239"/>
      <c r="CM10091" s="336"/>
    </row>
    <row r="10092" spans="84:91" s="51" customFormat="1">
      <c r="CF10092" s="239"/>
      <c r="CM10092" s="336"/>
    </row>
    <row r="10093" spans="84:91" s="51" customFormat="1">
      <c r="CF10093" s="239"/>
      <c r="CM10093" s="336"/>
    </row>
    <row r="10094" spans="84:91" s="51" customFormat="1">
      <c r="CF10094" s="239"/>
      <c r="CM10094" s="336"/>
    </row>
    <row r="10095" spans="84:91" s="51" customFormat="1">
      <c r="CF10095" s="239"/>
      <c r="CM10095" s="336"/>
    </row>
    <row r="10096" spans="84:91" s="51" customFormat="1">
      <c r="CF10096" s="239"/>
      <c r="CM10096" s="336"/>
    </row>
    <row r="10097" spans="84:91" s="51" customFormat="1">
      <c r="CF10097" s="239"/>
      <c r="CM10097" s="336"/>
    </row>
    <row r="10098" spans="84:91" s="51" customFormat="1">
      <c r="CF10098" s="239"/>
      <c r="CM10098" s="336"/>
    </row>
    <row r="10099" spans="84:91" s="51" customFormat="1">
      <c r="CF10099" s="239"/>
      <c r="CM10099" s="336"/>
    </row>
    <row r="10100" spans="84:91" s="51" customFormat="1">
      <c r="CF10100" s="239"/>
      <c r="CM10100" s="336"/>
    </row>
    <row r="10101" spans="84:91" s="51" customFormat="1">
      <c r="CF10101" s="239"/>
      <c r="CM10101" s="336"/>
    </row>
    <row r="10102" spans="84:91" s="51" customFormat="1">
      <c r="CF10102" s="239"/>
      <c r="CM10102" s="336"/>
    </row>
    <row r="10103" spans="84:91" s="51" customFormat="1">
      <c r="CF10103" s="239"/>
      <c r="CM10103" s="336"/>
    </row>
    <row r="10104" spans="84:91" s="51" customFormat="1">
      <c r="CF10104" s="239"/>
      <c r="CM10104" s="336"/>
    </row>
    <row r="10105" spans="84:91" s="51" customFormat="1">
      <c r="CF10105" s="239"/>
      <c r="CM10105" s="336"/>
    </row>
    <row r="10106" spans="84:91" s="51" customFormat="1">
      <c r="CF10106" s="239"/>
      <c r="CM10106" s="336"/>
    </row>
    <row r="10107" spans="84:91" s="51" customFormat="1">
      <c r="CF10107" s="239"/>
      <c r="CM10107" s="336"/>
    </row>
    <row r="10108" spans="84:91" s="51" customFormat="1">
      <c r="CF10108" s="239"/>
      <c r="CM10108" s="336"/>
    </row>
    <row r="10109" spans="84:91" s="51" customFormat="1">
      <c r="CF10109" s="239"/>
      <c r="CM10109" s="336"/>
    </row>
    <row r="10110" spans="84:91" s="51" customFormat="1">
      <c r="CF10110" s="239"/>
      <c r="CM10110" s="336"/>
    </row>
    <row r="10111" spans="84:91" s="51" customFormat="1">
      <c r="CF10111" s="239"/>
      <c r="CM10111" s="336"/>
    </row>
    <row r="10112" spans="84:91" s="51" customFormat="1">
      <c r="CF10112" s="239"/>
      <c r="CM10112" s="336"/>
    </row>
    <row r="10113" spans="84:91" s="51" customFormat="1">
      <c r="CF10113" s="239"/>
      <c r="CM10113" s="336"/>
    </row>
    <row r="10114" spans="84:91" s="51" customFormat="1">
      <c r="CF10114" s="239"/>
      <c r="CM10114" s="336"/>
    </row>
    <row r="10115" spans="84:91" s="51" customFormat="1">
      <c r="CF10115" s="239"/>
      <c r="CM10115" s="336"/>
    </row>
    <row r="10116" spans="84:91" s="51" customFormat="1">
      <c r="CF10116" s="239"/>
      <c r="CM10116" s="336"/>
    </row>
    <row r="10117" spans="84:91" s="51" customFormat="1">
      <c r="CF10117" s="239"/>
      <c r="CM10117" s="336"/>
    </row>
    <row r="10118" spans="84:91" s="51" customFormat="1">
      <c r="CF10118" s="239"/>
      <c r="CM10118" s="336"/>
    </row>
    <row r="10119" spans="84:91" s="51" customFormat="1">
      <c r="CF10119" s="239"/>
      <c r="CM10119" s="336"/>
    </row>
    <row r="10120" spans="84:91" s="51" customFormat="1">
      <c r="CF10120" s="239"/>
      <c r="CM10120" s="336"/>
    </row>
    <row r="10121" spans="84:91" s="51" customFormat="1">
      <c r="CF10121" s="239"/>
      <c r="CM10121" s="336"/>
    </row>
    <row r="10122" spans="84:91" s="51" customFormat="1">
      <c r="CF10122" s="239"/>
      <c r="CM10122" s="336"/>
    </row>
    <row r="10123" spans="84:91" s="51" customFormat="1">
      <c r="CF10123" s="239"/>
      <c r="CM10123" s="336"/>
    </row>
    <row r="10124" spans="84:91" s="51" customFormat="1">
      <c r="CF10124" s="239"/>
      <c r="CM10124" s="336"/>
    </row>
    <row r="10125" spans="84:91" s="51" customFormat="1">
      <c r="CF10125" s="239"/>
      <c r="CM10125" s="336"/>
    </row>
    <row r="10126" spans="84:91" s="51" customFormat="1">
      <c r="CF10126" s="239"/>
      <c r="CM10126" s="336"/>
    </row>
    <row r="10127" spans="84:91" s="51" customFormat="1">
      <c r="CF10127" s="239"/>
      <c r="CM10127" s="336"/>
    </row>
    <row r="10128" spans="84:91" s="51" customFormat="1">
      <c r="CF10128" s="239"/>
      <c r="CM10128" s="336"/>
    </row>
    <row r="10129" spans="84:91" s="51" customFormat="1">
      <c r="CF10129" s="239"/>
      <c r="CM10129" s="336"/>
    </row>
    <row r="10130" spans="84:91" s="51" customFormat="1">
      <c r="CF10130" s="239"/>
      <c r="CM10130" s="336"/>
    </row>
    <row r="10131" spans="84:91" s="51" customFormat="1">
      <c r="CF10131" s="239"/>
      <c r="CM10131" s="336"/>
    </row>
    <row r="10132" spans="84:91" s="51" customFormat="1">
      <c r="CF10132" s="239"/>
      <c r="CM10132" s="336"/>
    </row>
    <row r="10133" spans="84:91" s="51" customFormat="1">
      <c r="CF10133" s="239"/>
      <c r="CM10133" s="336"/>
    </row>
    <row r="10134" spans="84:91" s="51" customFormat="1">
      <c r="CF10134" s="239"/>
      <c r="CM10134" s="336"/>
    </row>
    <row r="10135" spans="84:91" s="51" customFormat="1">
      <c r="CF10135" s="239"/>
      <c r="CM10135" s="336"/>
    </row>
    <row r="10136" spans="84:91" s="51" customFormat="1">
      <c r="CF10136" s="239"/>
      <c r="CM10136" s="336"/>
    </row>
    <row r="10137" spans="84:91" s="51" customFormat="1">
      <c r="CF10137" s="239"/>
      <c r="CM10137" s="336"/>
    </row>
    <row r="10138" spans="84:91" s="51" customFormat="1">
      <c r="CF10138" s="239"/>
      <c r="CM10138" s="336"/>
    </row>
    <row r="10139" spans="84:91" s="51" customFormat="1">
      <c r="CF10139" s="239"/>
      <c r="CM10139" s="336"/>
    </row>
    <row r="10140" spans="84:91" s="51" customFormat="1">
      <c r="CF10140" s="239"/>
      <c r="CM10140" s="336"/>
    </row>
    <row r="10141" spans="84:91" s="51" customFormat="1">
      <c r="CF10141" s="239"/>
      <c r="CM10141" s="336"/>
    </row>
    <row r="10142" spans="84:91" s="51" customFormat="1">
      <c r="CF10142" s="239"/>
      <c r="CM10142" s="336"/>
    </row>
    <row r="10143" spans="84:91" s="51" customFormat="1">
      <c r="CF10143" s="239"/>
      <c r="CM10143" s="336"/>
    </row>
    <row r="10144" spans="84:91" s="51" customFormat="1">
      <c r="CF10144" s="239"/>
      <c r="CM10144" s="336"/>
    </row>
    <row r="10145" spans="84:91" s="51" customFormat="1">
      <c r="CF10145" s="239"/>
      <c r="CM10145" s="336"/>
    </row>
    <row r="10146" spans="84:91" s="51" customFormat="1">
      <c r="CF10146" s="239"/>
      <c r="CM10146" s="336"/>
    </row>
    <row r="10147" spans="84:91" s="51" customFormat="1">
      <c r="CF10147" s="239"/>
      <c r="CM10147" s="336"/>
    </row>
    <row r="10148" spans="84:91" s="51" customFormat="1">
      <c r="CF10148" s="239"/>
      <c r="CM10148" s="336"/>
    </row>
    <row r="10149" spans="84:91" s="51" customFormat="1">
      <c r="CF10149" s="239"/>
      <c r="CM10149" s="336"/>
    </row>
    <row r="10150" spans="84:91" s="51" customFormat="1">
      <c r="CF10150" s="239"/>
      <c r="CM10150" s="336"/>
    </row>
    <row r="10151" spans="84:91" s="51" customFormat="1">
      <c r="CF10151" s="239"/>
      <c r="CM10151" s="336"/>
    </row>
    <row r="10152" spans="84:91" s="51" customFormat="1">
      <c r="CF10152" s="239"/>
      <c r="CM10152" s="336"/>
    </row>
    <row r="10153" spans="84:91" s="51" customFormat="1">
      <c r="CF10153" s="239"/>
      <c r="CM10153" s="336"/>
    </row>
    <row r="10154" spans="84:91" s="51" customFormat="1">
      <c r="CF10154" s="239"/>
      <c r="CM10154" s="336"/>
    </row>
    <row r="10155" spans="84:91" s="51" customFormat="1">
      <c r="CF10155" s="239"/>
      <c r="CM10155" s="336"/>
    </row>
    <row r="10156" spans="84:91" s="51" customFormat="1">
      <c r="CF10156" s="239"/>
      <c r="CM10156" s="336"/>
    </row>
    <row r="10157" spans="84:91" s="51" customFormat="1">
      <c r="CF10157" s="239"/>
      <c r="CM10157" s="336"/>
    </row>
    <row r="10158" spans="84:91" s="51" customFormat="1">
      <c r="CF10158" s="239"/>
      <c r="CM10158" s="336"/>
    </row>
    <row r="10159" spans="84:91" s="51" customFormat="1">
      <c r="CF10159" s="239"/>
      <c r="CM10159" s="336"/>
    </row>
    <row r="10160" spans="84:91" s="51" customFormat="1">
      <c r="CF10160" s="239"/>
      <c r="CM10160" s="336"/>
    </row>
    <row r="10161" spans="84:91" s="51" customFormat="1">
      <c r="CF10161" s="239"/>
      <c r="CM10161" s="336"/>
    </row>
    <row r="10162" spans="84:91" s="51" customFormat="1">
      <c r="CF10162" s="239"/>
      <c r="CM10162" s="336"/>
    </row>
    <row r="10163" spans="84:91" s="51" customFormat="1">
      <c r="CF10163" s="239"/>
      <c r="CM10163" s="336"/>
    </row>
    <row r="10164" spans="84:91" s="51" customFormat="1">
      <c r="CF10164" s="239"/>
      <c r="CM10164" s="336"/>
    </row>
    <row r="10165" spans="84:91" s="51" customFormat="1">
      <c r="CF10165" s="239"/>
      <c r="CM10165" s="336"/>
    </row>
    <row r="10166" spans="84:91" s="51" customFormat="1">
      <c r="CF10166" s="239"/>
      <c r="CM10166" s="336"/>
    </row>
    <row r="10167" spans="84:91" s="51" customFormat="1">
      <c r="CF10167" s="239"/>
      <c r="CM10167" s="336"/>
    </row>
    <row r="10168" spans="84:91" s="51" customFormat="1">
      <c r="CF10168" s="239"/>
      <c r="CM10168" s="336"/>
    </row>
    <row r="10169" spans="84:91" s="51" customFormat="1">
      <c r="CF10169" s="239"/>
      <c r="CM10169" s="336"/>
    </row>
    <row r="10170" spans="84:91" s="51" customFormat="1">
      <c r="CF10170" s="239"/>
      <c r="CM10170" s="336"/>
    </row>
    <row r="10171" spans="84:91" s="51" customFormat="1">
      <c r="CF10171" s="239"/>
      <c r="CM10171" s="336"/>
    </row>
    <row r="10172" spans="84:91" s="51" customFormat="1">
      <c r="CF10172" s="239"/>
      <c r="CM10172" s="336"/>
    </row>
    <row r="10173" spans="84:91" s="51" customFormat="1">
      <c r="CF10173" s="239"/>
      <c r="CM10173" s="336"/>
    </row>
    <row r="10174" spans="84:91" s="51" customFormat="1">
      <c r="CF10174" s="239"/>
      <c r="CM10174" s="336"/>
    </row>
    <row r="10175" spans="84:91" s="51" customFormat="1">
      <c r="CF10175" s="239"/>
      <c r="CM10175" s="336"/>
    </row>
    <row r="10176" spans="84:91" s="51" customFormat="1">
      <c r="CF10176" s="239"/>
      <c r="CM10176" s="336"/>
    </row>
    <row r="10177" spans="84:91" s="51" customFormat="1">
      <c r="CF10177" s="239"/>
      <c r="CM10177" s="336"/>
    </row>
    <row r="10178" spans="84:91" s="51" customFormat="1">
      <c r="CF10178" s="239"/>
      <c r="CM10178" s="336"/>
    </row>
    <row r="10179" spans="84:91" s="51" customFormat="1">
      <c r="CF10179" s="239"/>
      <c r="CM10179" s="336"/>
    </row>
    <row r="10180" spans="84:91" s="51" customFormat="1">
      <c r="CF10180" s="239"/>
      <c r="CM10180" s="336"/>
    </row>
    <row r="10181" spans="84:91" s="51" customFormat="1">
      <c r="CF10181" s="239"/>
      <c r="CM10181" s="336"/>
    </row>
    <row r="10182" spans="84:91" s="51" customFormat="1">
      <c r="CF10182" s="239"/>
      <c r="CM10182" s="336"/>
    </row>
    <row r="10183" spans="84:91" s="51" customFormat="1">
      <c r="CF10183" s="239"/>
      <c r="CM10183" s="336"/>
    </row>
    <row r="10184" spans="84:91" s="51" customFormat="1">
      <c r="CF10184" s="239"/>
      <c r="CM10184" s="336"/>
    </row>
    <row r="10185" spans="84:91" s="51" customFormat="1">
      <c r="CF10185" s="239"/>
      <c r="CM10185" s="336"/>
    </row>
    <row r="10186" spans="84:91" s="51" customFormat="1">
      <c r="CF10186" s="239"/>
      <c r="CM10186" s="336"/>
    </row>
    <row r="10187" spans="84:91" s="51" customFormat="1">
      <c r="CF10187" s="239"/>
      <c r="CM10187" s="336"/>
    </row>
    <row r="10188" spans="84:91" s="51" customFormat="1">
      <c r="CF10188" s="239"/>
      <c r="CM10188" s="336"/>
    </row>
    <row r="10189" spans="84:91" s="51" customFormat="1">
      <c r="CF10189" s="239"/>
      <c r="CM10189" s="336"/>
    </row>
    <row r="10190" spans="84:91" s="51" customFormat="1">
      <c r="CF10190" s="239"/>
      <c r="CM10190" s="336"/>
    </row>
    <row r="10191" spans="84:91" s="51" customFormat="1">
      <c r="CF10191" s="239"/>
      <c r="CM10191" s="336"/>
    </row>
    <row r="10192" spans="84:91" s="51" customFormat="1">
      <c r="CF10192" s="239"/>
      <c r="CM10192" s="336"/>
    </row>
    <row r="10193" spans="84:91" s="51" customFormat="1">
      <c r="CF10193" s="239"/>
      <c r="CM10193" s="336"/>
    </row>
    <row r="10194" spans="84:91" s="51" customFormat="1">
      <c r="CF10194" s="239"/>
      <c r="CM10194" s="336"/>
    </row>
    <row r="10195" spans="84:91" s="51" customFormat="1">
      <c r="CF10195" s="239"/>
      <c r="CM10195" s="336"/>
    </row>
    <row r="10196" spans="84:91" s="51" customFormat="1">
      <c r="CF10196" s="239"/>
      <c r="CM10196" s="336"/>
    </row>
    <row r="10197" spans="84:91" s="51" customFormat="1">
      <c r="CF10197" s="239"/>
      <c r="CM10197" s="336"/>
    </row>
    <row r="10198" spans="84:91" s="51" customFormat="1">
      <c r="CF10198" s="239"/>
      <c r="CM10198" s="336"/>
    </row>
    <row r="10199" spans="84:91" s="51" customFormat="1">
      <c r="CF10199" s="239"/>
      <c r="CM10199" s="336"/>
    </row>
    <row r="10200" spans="84:91" s="51" customFormat="1">
      <c r="CF10200" s="239"/>
      <c r="CM10200" s="336"/>
    </row>
    <row r="10201" spans="84:91" s="51" customFormat="1">
      <c r="CF10201" s="239"/>
      <c r="CM10201" s="336"/>
    </row>
    <row r="10202" spans="84:91" s="51" customFormat="1">
      <c r="CF10202" s="239"/>
      <c r="CM10202" s="336"/>
    </row>
    <row r="10203" spans="84:91" s="51" customFormat="1">
      <c r="CF10203" s="239"/>
      <c r="CM10203" s="336"/>
    </row>
    <row r="10204" spans="84:91" s="51" customFormat="1">
      <c r="CF10204" s="239"/>
      <c r="CM10204" s="336"/>
    </row>
    <row r="10205" spans="84:91" s="51" customFormat="1">
      <c r="CF10205" s="239"/>
      <c r="CM10205" s="336"/>
    </row>
    <row r="10206" spans="84:91" s="51" customFormat="1">
      <c r="CF10206" s="239"/>
      <c r="CM10206" s="336"/>
    </row>
    <row r="10207" spans="84:91" s="51" customFormat="1">
      <c r="CF10207" s="239"/>
      <c r="CM10207" s="336"/>
    </row>
    <row r="10208" spans="84:91" s="51" customFormat="1">
      <c r="CF10208" s="239"/>
      <c r="CM10208" s="336"/>
    </row>
    <row r="10209" spans="84:91" s="51" customFormat="1">
      <c r="CF10209" s="239"/>
      <c r="CM10209" s="336"/>
    </row>
    <row r="10210" spans="84:91" s="51" customFormat="1">
      <c r="CF10210" s="239"/>
      <c r="CM10210" s="336"/>
    </row>
    <row r="10211" spans="84:91" s="51" customFormat="1">
      <c r="CF10211" s="239"/>
      <c r="CM10211" s="336"/>
    </row>
    <row r="10212" spans="84:91" s="51" customFormat="1">
      <c r="CF10212" s="239"/>
      <c r="CM10212" s="336"/>
    </row>
    <row r="10213" spans="84:91" s="51" customFormat="1">
      <c r="CF10213" s="239"/>
      <c r="CM10213" s="336"/>
    </row>
    <row r="10214" spans="84:91" s="51" customFormat="1">
      <c r="CF10214" s="239"/>
      <c r="CM10214" s="336"/>
    </row>
    <row r="10215" spans="84:91" s="51" customFormat="1">
      <c r="CF10215" s="239"/>
      <c r="CM10215" s="336"/>
    </row>
    <row r="10216" spans="84:91" s="51" customFormat="1">
      <c r="CF10216" s="239"/>
      <c r="CM10216" s="336"/>
    </row>
    <row r="10217" spans="84:91" s="51" customFormat="1">
      <c r="CF10217" s="239"/>
      <c r="CM10217" s="336"/>
    </row>
    <row r="10218" spans="84:91" s="51" customFormat="1">
      <c r="CF10218" s="239"/>
      <c r="CM10218" s="336"/>
    </row>
    <row r="10219" spans="84:91" s="51" customFormat="1">
      <c r="CF10219" s="239"/>
      <c r="CM10219" s="336"/>
    </row>
    <row r="10220" spans="84:91" s="51" customFormat="1">
      <c r="CF10220" s="239"/>
      <c r="CM10220" s="336"/>
    </row>
    <row r="10221" spans="84:91" s="51" customFormat="1">
      <c r="CF10221" s="239"/>
      <c r="CM10221" s="336"/>
    </row>
    <row r="10222" spans="84:91" s="51" customFormat="1">
      <c r="CF10222" s="239"/>
      <c r="CM10222" s="336"/>
    </row>
    <row r="10223" spans="84:91" s="51" customFormat="1">
      <c r="CF10223" s="239"/>
      <c r="CM10223" s="336"/>
    </row>
    <row r="10224" spans="84:91" s="51" customFormat="1">
      <c r="CF10224" s="239"/>
      <c r="CM10224" s="336"/>
    </row>
    <row r="10225" spans="84:91" s="51" customFormat="1">
      <c r="CF10225" s="239"/>
      <c r="CM10225" s="336"/>
    </row>
    <row r="10226" spans="84:91" s="51" customFormat="1">
      <c r="CF10226" s="239"/>
      <c r="CM10226" s="336"/>
    </row>
    <row r="10227" spans="84:91" s="51" customFormat="1">
      <c r="CF10227" s="239"/>
      <c r="CM10227" s="336"/>
    </row>
    <row r="10228" spans="84:91" s="51" customFormat="1">
      <c r="CF10228" s="239"/>
      <c r="CM10228" s="336"/>
    </row>
    <row r="10229" spans="84:91" s="51" customFormat="1">
      <c r="CF10229" s="239"/>
      <c r="CM10229" s="336"/>
    </row>
    <row r="10230" spans="84:91" s="51" customFormat="1">
      <c r="CF10230" s="239"/>
      <c r="CM10230" s="336"/>
    </row>
    <row r="10231" spans="84:91" s="51" customFormat="1">
      <c r="CF10231" s="239"/>
      <c r="CM10231" s="336"/>
    </row>
    <row r="10232" spans="84:91" s="51" customFormat="1">
      <c r="CF10232" s="239"/>
      <c r="CM10232" s="336"/>
    </row>
    <row r="10233" spans="84:91" s="51" customFormat="1">
      <c r="CF10233" s="239"/>
      <c r="CM10233" s="336"/>
    </row>
    <row r="10234" spans="84:91" s="51" customFormat="1">
      <c r="CF10234" s="239"/>
      <c r="CM10234" s="336"/>
    </row>
    <row r="10235" spans="84:91" s="51" customFormat="1">
      <c r="CF10235" s="239"/>
      <c r="CM10235" s="336"/>
    </row>
    <row r="10236" spans="84:91" s="51" customFormat="1">
      <c r="CF10236" s="239"/>
      <c r="CM10236" s="336"/>
    </row>
    <row r="10237" spans="84:91" s="51" customFormat="1">
      <c r="CF10237" s="239"/>
      <c r="CM10237" s="336"/>
    </row>
    <row r="10238" spans="84:91" s="51" customFormat="1">
      <c r="CF10238" s="239"/>
      <c r="CM10238" s="336"/>
    </row>
    <row r="10239" spans="84:91" s="51" customFormat="1">
      <c r="CF10239" s="239"/>
      <c r="CM10239" s="336"/>
    </row>
    <row r="10240" spans="84:91" s="51" customFormat="1">
      <c r="CF10240" s="239"/>
      <c r="CM10240" s="336"/>
    </row>
    <row r="10241" spans="84:91" s="51" customFormat="1">
      <c r="CF10241" s="239"/>
      <c r="CM10241" s="336"/>
    </row>
    <row r="10242" spans="84:91" s="51" customFormat="1">
      <c r="CF10242" s="239"/>
      <c r="CM10242" s="336"/>
    </row>
    <row r="10243" spans="84:91" s="51" customFormat="1">
      <c r="CF10243" s="239"/>
      <c r="CM10243" s="336"/>
    </row>
    <row r="10244" spans="84:91" s="51" customFormat="1">
      <c r="CF10244" s="239"/>
      <c r="CM10244" s="336"/>
    </row>
    <row r="10245" spans="84:91" s="51" customFormat="1">
      <c r="CF10245" s="239"/>
      <c r="CM10245" s="336"/>
    </row>
    <row r="10246" spans="84:91" s="51" customFormat="1">
      <c r="CF10246" s="239"/>
      <c r="CM10246" s="336"/>
    </row>
    <row r="10247" spans="84:91" s="51" customFormat="1">
      <c r="CF10247" s="239"/>
      <c r="CM10247" s="336"/>
    </row>
    <row r="10248" spans="84:91" s="51" customFormat="1">
      <c r="CF10248" s="239"/>
      <c r="CM10248" s="336"/>
    </row>
    <row r="10249" spans="84:91" s="51" customFormat="1">
      <c r="CF10249" s="239"/>
      <c r="CM10249" s="336"/>
    </row>
    <row r="10250" spans="84:91" s="51" customFormat="1">
      <c r="CF10250" s="239"/>
      <c r="CM10250" s="336"/>
    </row>
    <row r="10251" spans="84:91" s="51" customFormat="1">
      <c r="CF10251" s="239"/>
      <c r="CM10251" s="336"/>
    </row>
    <row r="10252" spans="84:91" s="51" customFormat="1">
      <c r="CF10252" s="239"/>
      <c r="CM10252" s="336"/>
    </row>
    <row r="10253" spans="84:91" s="51" customFormat="1">
      <c r="CF10253" s="239"/>
      <c r="CM10253" s="336"/>
    </row>
    <row r="10254" spans="84:91" s="51" customFormat="1">
      <c r="CF10254" s="239"/>
      <c r="CM10254" s="336"/>
    </row>
    <row r="10255" spans="84:91" s="51" customFormat="1">
      <c r="CF10255" s="239"/>
      <c r="CM10255" s="336"/>
    </row>
    <row r="10256" spans="84:91" s="51" customFormat="1">
      <c r="CF10256" s="239"/>
      <c r="CM10256" s="336"/>
    </row>
    <row r="10257" spans="84:91" s="51" customFormat="1">
      <c r="CF10257" s="239"/>
      <c r="CM10257" s="336"/>
    </row>
    <row r="10258" spans="84:91" s="51" customFormat="1">
      <c r="CF10258" s="239"/>
      <c r="CM10258" s="336"/>
    </row>
    <row r="10259" spans="84:91" s="51" customFormat="1">
      <c r="CF10259" s="239"/>
      <c r="CM10259" s="336"/>
    </row>
    <row r="10260" spans="84:91" s="51" customFormat="1">
      <c r="CF10260" s="239"/>
      <c r="CM10260" s="336"/>
    </row>
    <row r="10261" spans="84:91" s="51" customFormat="1">
      <c r="CF10261" s="239"/>
      <c r="CM10261" s="336"/>
    </row>
    <row r="10262" spans="84:91" s="51" customFormat="1">
      <c r="CF10262" s="239"/>
      <c r="CM10262" s="336"/>
    </row>
    <row r="10263" spans="84:91" s="51" customFormat="1">
      <c r="CF10263" s="239"/>
      <c r="CM10263" s="336"/>
    </row>
    <row r="10264" spans="84:91" s="51" customFormat="1">
      <c r="CF10264" s="239"/>
      <c r="CM10264" s="336"/>
    </row>
    <row r="10265" spans="84:91" s="51" customFormat="1">
      <c r="CF10265" s="239"/>
      <c r="CM10265" s="336"/>
    </row>
    <row r="10266" spans="84:91" s="51" customFormat="1">
      <c r="CF10266" s="239"/>
      <c r="CM10266" s="336"/>
    </row>
    <row r="10267" spans="84:91" s="51" customFormat="1">
      <c r="CF10267" s="239"/>
      <c r="CM10267" s="336"/>
    </row>
    <row r="10268" spans="84:91" s="51" customFormat="1">
      <c r="CF10268" s="239"/>
      <c r="CM10268" s="336"/>
    </row>
    <row r="10269" spans="84:91" s="51" customFormat="1">
      <c r="CF10269" s="239"/>
      <c r="CM10269" s="336"/>
    </row>
    <row r="10270" spans="84:91" s="51" customFormat="1">
      <c r="CF10270" s="239"/>
      <c r="CM10270" s="336"/>
    </row>
    <row r="10271" spans="84:91" s="51" customFormat="1">
      <c r="CF10271" s="239"/>
      <c r="CM10271" s="336"/>
    </row>
    <row r="10272" spans="84:91" s="51" customFormat="1">
      <c r="CF10272" s="239"/>
      <c r="CM10272" s="336"/>
    </row>
    <row r="10273" spans="84:91" s="51" customFormat="1">
      <c r="CF10273" s="239"/>
      <c r="CM10273" s="336"/>
    </row>
    <row r="10274" spans="84:91" s="51" customFormat="1">
      <c r="CF10274" s="239"/>
      <c r="CM10274" s="336"/>
    </row>
    <row r="10275" spans="84:91" s="51" customFormat="1">
      <c r="CF10275" s="239"/>
      <c r="CM10275" s="336"/>
    </row>
    <row r="10276" spans="84:91" s="51" customFormat="1">
      <c r="CF10276" s="239"/>
      <c r="CM10276" s="336"/>
    </row>
    <row r="10277" spans="84:91" s="51" customFormat="1">
      <c r="CF10277" s="239"/>
      <c r="CM10277" s="336"/>
    </row>
    <row r="10278" spans="84:91" s="51" customFormat="1">
      <c r="CF10278" s="239"/>
      <c r="CM10278" s="336"/>
    </row>
    <row r="10279" spans="84:91" s="51" customFormat="1">
      <c r="CF10279" s="239"/>
      <c r="CM10279" s="336"/>
    </row>
    <row r="10280" spans="84:91" s="51" customFormat="1">
      <c r="CF10280" s="239"/>
      <c r="CM10280" s="336"/>
    </row>
    <row r="10281" spans="84:91" s="51" customFormat="1">
      <c r="CF10281" s="239"/>
      <c r="CM10281" s="336"/>
    </row>
    <row r="10282" spans="84:91" s="51" customFormat="1">
      <c r="CF10282" s="239"/>
      <c r="CM10282" s="336"/>
    </row>
    <row r="10283" spans="84:91" s="51" customFormat="1">
      <c r="CF10283" s="239"/>
      <c r="CM10283" s="336"/>
    </row>
    <row r="10284" spans="84:91" s="51" customFormat="1">
      <c r="CF10284" s="239"/>
      <c r="CM10284" s="336"/>
    </row>
    <row r="10285" spans="84:91" s="51" customFormat="1">
      <c r="CF10285" s="239"/>
      <c r="CM10285" s="336"/>
    </row>
    <row r="10286" spans="84:91" s="51" customFormat="1">
      <c r="CF10286" s="239"/>
      <c r="CM10286" s="336"/>
    </row>
    <row r="10287" spans="84:91" s="51" customFormat="1">
      <c r="CF10287" s="239"/>
      <c r="CM10287" s="336"/>
    </row>
    <row r="10288" spans="84:91" s="51" customFormat="1">
      <c r="CF10288" s="239"/>
      <c r="CM10288" s="336"/>
    </row>
    <row r="10289" spans="84:91" s="51" customFormat="1">
      <c r="CF10289" s="239"/>
      <c r="CM10289" s="336"/>
    </row>
    <row r="10290" spans="84:91" s="51" customFormat="1">
      <c r="CF10290" s="239"/>
      <c r="CM10290" s="336"/>
    </row>
    <row r="10291" spans="84:91" s="51" customFormat="1">
      <c r="CF10291" s="239"/>
      <c r="CM10291" s="336"/>
    </row>
    <row r="10292" spans="84:91" s="51" customFormat="1">
      <c r="CF10292" s="239"/>
      <c r="CM10292" s="336"/>
    </row>
    <row r="10293" spans="84:91" s="51" customFormat="1">
      <c r="CF10293" s="239"/>
      <c r="CM10293" s="336"/>
    </row>
    <row r="10294" spans="84:91" s="51" customFormat="1">
      <c r="CF10294" s="239"/>
      <c r="CM10294" s="336"/>
    </row>
    <row r="10295" spans="84:91" s="51" customFormat="1">
      <c r="CF10295" s="239"/>
      <c r="CM10295" s="336"/>
    </row>
    <row r="10296" spans="84:91" s="51" customFormat="1">
      <c r="CF10296" s="239"/>
      <c r="CM10296" s="336"/>
    </row>
    <row r="10297" spans="84:91" s="51" customFormat="1">
      <c r="CF10297" s="239"/>
      <c r="CM10297" s="336"/>
    </row>
    <row r="10298" spans="84:91" s="51" customFormat="1">
      <c r="CF10298" s="239"/>
      <c r="CM10298" s="336"/>
    </row>
    <row r="10299" spans="84:91" s="51" customFormat="1">
      <c r="CF10299" s="239"/>
      <c r="CM10299" s="336"/>
    </row>
    <row r="10300" spans="84:91" s="51" customFormat="1">
      <c r="CF10300" s="239"/>
      <c r="CM10300" s="336"/>
    </row>
    <row r="10301" spans="84:91" s="51" customFormat="1">
      <c r="CF10301" s="239"/>
      <c r="CM10301" s="336"/>
    </row>
    <row r="10302" spans="84:91" s="51" customFormat="1">
      <c r="CF10302" s="239"/>
      <c r="CM10302" s="336"/>
    </row>
    <row r="10303" spans="84:91" s="51" customFormat="1">
      <c r="CF10303" s="239"/>
      <c r="CM10303" s="336"/>
    </row>
    <row r="10304" spans="84:91" s="51" customFormat="1">
      <c r="CF10304" s="239"/>
      <c r="CM10304" s="336"/>
    </row>
    <row r="10305" spans="84:91" s="51" customFormat="1">
      <c r="CF10305" s="239"/>
      <c r="CM10305" s="336"/>
    </row>
    <row r="10306" spans="84:91" s="51" customFormat="1">
      <c r="CF10306" s="239"/>
      <c r="CM10306" s="336"/>
    </row>
    <row r="10307" spans="84:91" s="51" customFormat="1">
      <c r="CF10307" s="239"/>
      <c r="CM10307" s="336"/>
    </row>
    <row r="10308" spans="84:91" s="51" customFormat="1">
      <c r="CF10308" s="239"/>
      <c r="CM10308" s="336"/>
    </row>
    <row r="10309" spans="84:91" s="51" customFormat="1">
      <c r="CF10309" s="239"/>
      <c r="CM10309" s="336"/>
    </row>
    <row r="10310" spans="84:91" s="51" customFormat="1">
      <c r="CF10310" s="239"/>
      <c r="CM10310" s="336"/>
    </row>
    <row r="10311" spans="84:91" s="51" customFormat="1">
      <c r="CF10311" s="239"/>
      <c r="CM10311" s="336"/>
    </row>
    <row r="10312" spans="84:91" s="51" customFormat="1">
      <c r="CF10312" s="239"/>
      <c r="CM10312" s="336"/>
    </row>
    <row r="10313" spans="84:91" s="51" customFormat="1">
      <c r="CF10313" s="239"/>
      <c r="CM10313" s="336"/>
    </row>
    <row r="10314" spans="84:91" s="51" customFormat="1">
      <c r="CF10314" s="239"/>
      <c r="CM10314" s="336"/>
    </row>
    <row r="10315" spans="84:91" s="51" customFormat="1">
      <c r="CF10315" s="239"/>
      <c r="CM10315" s="336"/>
    </row>
    <row r="10316" spans="84:91" s="51" customFormat="1">
      <c r="CF10316" s="239"/>
      <c r="CM10316" s="336"/>
    </row>
    <row r="10317" spans="84:91" s="51" customFormat="1">
      <c r="CF10317" s="239"/>
      <c r="CM10317" s="336"/>
    </row>
    <row r="10318" spans="84:91" s="51" customFormat="1">
      <c r="CF10318" s="239"/>
      <c r="CM10318" s="336"/>
    </row>
    <row r="10319" spans="84:91" s="51" customFormat="1">
      <c r="CF10319" s="239"/>
      <c r="CM10319" s="336"/>
    </row>
    <row r="10320" spans="84:91" s="51" customFormat="1">
      <c r="CF10320" s="239"/>
      <c r="CM10320" s="336"/>
    </row>
    <row r="10321" spans="84:91" s="51" customFormat="1">
      <c r="CF10321" s="239"/>
      <c r="CM10321" s="336"/>
    </row>
    <row r="10322" spans="84:91" s="51" customFormat="1">
      <c r="CF10322" s="239"/>
      <c r="CM10322" s="336"/>
    </row>
    <row r="10323" spans="84:91" s="51" customFormat="1">
      <c r="CF10323" s="239"/>
      <c r="CM10323" s="336"/>
    </row>
    <row r="10324" spans="84:91" s="51" customFormat="1">
      <c r="CF10324" s="239"/>
      <c r="CM10324" s="336"/>
    </row>
    <row r="10325" spans="84:91" s="51" customFormat="1">
      <c r="CF10325" s="239"/>
      <c r="CM10325" s="336"/>
    </row>
    <row r="10326" spans="84:91" s="51" customFormat="1">
      <c r="CF10326" s="239"/>
      <c r="CM10326" s="336"/>
    </row>
    <row r="10327" spans="84:91" s="51" customFormat="1">
      <c r="CF10327" s="239"/>
      <c r="CM10327" s="336"/>
    </row>
    <row r="10328" spans="84:91" s="51" customFormat="1">
      <c r="CF10328" s="239"/>
      <c r="CM10328" s="336"/>
    </row>
    <row r="10329" spans="84:91" s="51" customFormat="1">
      <c r="CF10329" s="239"/>
      <c r="CM10329" s="336"/>
    </row>
    <row r="10330" spans="84:91" s="51" customFormat="1">
      <c r="CF10330" s="239"/>
      <c r="CM10330" s="336"/>
    </row>
    <row r="10331" spans="84:91" s="51" customFormat="1">
      <c r="CF10331" s="239"/>
      <c r="CM10331" s="336"/>
    </row>
    <row r="10332" spans="84:91" s="51" customFormat="1">
      <c r="CF10332" s="239"/>
      <c r="CM10332" s="336"/>
    </row>
    <row r="10333" spans="84:91" s="51" customFormat="1">
      <c r="CF10333" s="239"/>
      <c r="CM10333" s="336"/>
    </row>
    <row r="10334" spans="84:91" s="51" customFormat="1">
      <c r="CF10334" s="239"/>
      <c r="CM10334" s="336"/>
    </row>
    <row r="10335" spans="84:91" s="51" customFormat="1">
      <c r="CF10335" s="239"/>
      <c r="CM10335" s="336"/>
    </row>
    <row r="10336" spans="84:91" s="51" customFormat="1">
      <c r="CF10336" s="239"/>
      <c r="CM10336" s="336"/>
    </row>
    <row r="10337" spans="84:91" s="51" customFormat="1">
      <c r="CF10337" s="239"/>
      <c r="CM10337" s="336"/>
    </row>
    <row r="10338" spans="84:91" s="51" customFormat="1">
      <c r="CF10338" s="239"/>
      <c r="CM10338" s="336"/>
    </row>
    <row r="10339" spans="84:91" s="51" customFormat="1">
      <c r="CF10339" s="239"/>
      <c r="CM10339" s="336"/>
    </row>
    <row r="10340" spans="84:91" s="51" customFormat="1">
      <c r="CF10340" s="239"/>
      <c r="CM10340" s="336"/>
    </row>
    <row r="10341" spans="84:91" s="51" customFormat="1">
      <c r="CF10341" s="239"/>
      <c r="CM10341" s="336"/>
    </row>
    <row r="10342" spans="84:91" s="51" customFormat="1">
      <c r="CF10342" s="239"/>
      <c r="CM10342" s="336"/>
    </row>
    <row r="10343" spans="84:91" s="51" customFormat="1">
      <c r="CF10343" s="239"/>
      <c r="CM10343" s="336"/>
    </row>
    <row r="10344" spans="84:91" s="51" customFormat="1">
      <c r="CF10344" s="239"/>
      <c r="CM10344" s="336"/>
    </row>
    <row r="10345" spans="84:91" s="51" customFormat="1">
      <c r="CF10345" s="239"/>
      <c r="CM10345" s="336"/>
    </row>
    <row r="10346" spans="84:91" s="51" customFormat="1">
      <c r="CF10346" s="239"/>
      <c r="CM10346" s="336"/>
    </row>
    <row r="10347" spans="84:91" s="51" customFormat="1">
      <c r="CF10347" s="239"/>
      <c r="CM10347" s="336"/>
    </row>
    <row r="10348" spans="84:91" s="51" customFormat="1">
      <c r="CF10348" s="239"/>
      <c r="CM10348" s="336"/>
    </row>
    <row r="10349" spans="84:91" s="51" customFormat="1">
      <c r="CF10349" s="239"/>
      <c r="CM10349" s="336"/>
    </row>
    <row r="10350" spans="84:91" s="51" customFormat="1">
      <c r="CF10350" s="239"/>
      <c r="CM10350" s="336"/>
    </row>
    <row r="10351" spans="84:91" s="51" customFormat="1">
      <c r="CF10351" s="239"/>
      <c r="CM10351" s="336"/>
    </row>
    <row r="10352" spans="84:91" s="51" customFormat="1">
      <c r="CF10352" s="239"/>
      <c r="CM10352" s="336"/>
    </row>
    <row r="10353" spans="84:91" s="51" customFormat="1">
      <c r="CF10353" s="239"/>
      <c r="CM10353" s="336"/>
    </row>
    <row r="10354" spans="84:91" s="51" customFormat="1">
      <c r="CF10354" s="239"/>
      <c r="CM10354" s="336"/>
    </row>
    <row r="10355" spans="84:91" s="51" customFormat="1">
      <c r="CF10355" s="239"/>
      <c r="CM10355" s="336"/>
    </row>
    <row r="10356" spans="84:91" s="51" customFormat="1">
      <c r="CF10356" s="239"/>
      <c r="CM10356" s="336"/>
    </row>
    <row r="10357" spans="84:91" s="51" customFormat="1">
      <c r="CF10357" s="239"/>
      <c r="CM10357" s="336"/>
    </row>
    <row r="10358" spans="84:91" s="51" customFormat="1">
      <c r="CF10358" s="239"/>
      <c r="CM10358" s="336"/>
    </row>
    <row r="10359" spans="84:91" s="51" customFormat="1">
      <c r="CF10359" s="239"/>
      <c r="CM10359" s="336"/>
    </row>
    <row r="10360" spans="84:91" s="51" customFormat="1">
      <c r="CF10360" s="239"/>
      <c r="CM10360" s="336"/>
    </row>
    <row r="10361" spans="84:91" s="51" customFormat="1">
      <c r="CF10361" s="239"/>
      <c r="CM10361" s="336"/>
    </row>
    <row r="10362" spans="84:91" s="51" customFormat="1">
      <c r="CF10362" s="239"/>
      <c r="CM10362" s="336"/>
    </row>
    <row r="10363" spans="84:91" s="51" customFormat="1">
      <c r="CF10363" s="239"/>
      <c r="CM10363" s="336"/>
    </row>
    <row r="10364" spans="84:91" s="51" customFormat="1">
      <c r="CF10364" s="239"/>
      <c r="CM10364" s="336"/>
    </row>
    <row r="10365" spans="84:91" s="51" customFormat="1">
      <c r="CF10365" s="239"/>
      <c r="CM10365" s="336"/>
    </row>
    <row r="10366" spans="84:91" s="51" customFormat="1">
      <c r="CF10366" s="239"/>
      <c r="CM10366" s="336"/>
    </row>
    <row r="10367" spans="84:91" s="51" customFormat="1">
      <c r="CF10367" s="239"/>
      <c r="CM10367" s="336"/>
    </row>
    <row r="10368" spans="84:91" s="51" customFormat="1">
      <c r="CF10368" s="239"/>
      <c r="CM10368" s="336"/>
    </row>
    <row r="10369" spans="84:91" s="51" customFormat="1">
      <c r="CF10369" s="239"/>
      <c r="CM10369" s="336"/>
    </row>
    <row r="10370" spans="84:91" s="51" customFormat="1">
      <c r="CF10370" s="239"/>
      <c r="CM10370" s="336"/>
    </row>
    <row r="10371" spans="84:91" s="51" customFormat="1">
      <c r="CF10371" s="239"/>
      <c r="CM10371" s="336"/>
    </row>
    <row r="10372" spans="84:91" s="51" customFormat="1">
      <c r="CF10372" s="239"/>
      <c r="CM10372" s="336"/>
    </row>
    <row r="10373" spans="84:91" s="51" customFormat="1">
      <c r="CF10373" s="239"/>
      <c r="CM10373" s="336"/>
    </row>
    <row r="10374" spans="84:91" s="51" customFormat="1">
      <c r="CF10374" s="239"/>
      <c r="CM10374" s="336"/>
    </row>
    <row r="10375" spans="84:91" s="51" customFormat="1">
      <c r="CF10375" s="239"/>
      <c r="CM10375" s="336"/>
    </row>
    <row r="10376" spans="84:91" s="51" customFormat="1">
      <c r="CF10376" s="239"/>
      <c r="CM10376" s="336"/>
    </row>
    <row r="10377" spans="84:91" s="51" customFormat="1">
      <c r="CF10377" s="239"/>
      <c r="CM10377" s="336"/>
    </row>
    <row r="10378" spans="84:91" s="51" customFormat="1">
      <c r="CF10378" s="239"/>
      <c r="CM10378" s="336"/>
    </row>
    <row r="10379" spans="84:91" s="51" customFormat="1">
      <c r="CF10379" s="239"/>
      <c r="CM10379" s="336"/>
    </row>
    <row r="10380" spans="84:91" s="51" customFormat="1">
      <c r="CF10380" s="239"/>
      <c r="CM10380" s="336"/>
    </row>
    <row r="10381" spans="84:91" s="51" customFormat="1">
      <c r="CF10381" s="239"/>
      <c r="CM10381" s="336"/>
    </row>
    <row r="10382" spans="84:91" s="51" customFormat="1">
      <c r="CF10382" s="239"/>
      <c r="CM10382" s="336"/>
    </row>
    <row r="10383" spans="84:91" s="51" customFormat="1">
      <c r="CF10383" s="239"/>
      <c r="CM10383" s="336"/>
    </row>
    <row r="10384" spans="84:91" s="51" customFormat="1">
      <c r="CF10384" s="239"/>
      <c r="CM10384" s="336"/>
    </row>
    <row r="10385" spans="84:91" s="51" customFormat="1">
      <c r="CF10385" s="239"/>
      <c r="CM10385" s="336"/>
    </row>
    <row r="10386" spans="84:91" s="51" customFormat="1">
      <c r="CF10386" s="239"/>
      <c r="CM10386" s="336"/>
    </row>
    <row r="10387" spans="84:91" s="51" customFormat="1">
      <c r="CF10387" s="239"/>
      <c r="CM10387" s="336"/>
    </row>
    <row r="10388" spans="84:91" s="51" customFormat="1">
      <c r="CF10388" s="239"/>
      <c r="CM10388" s="336"/>
    </row>
    <row r="10389" spans="84:91" s="51" customFormat="1">
      <c r="CF10389" s="239"/>
      <c r="CM10389" s="336"/>
    </row>
    <row r="10390" spans="84:91" s="51" customFormat="1">
      <c r="CF10390" s="239"/>
      <c r="CM10390" s="336"/>
    </row>
    <row r="10391" spans="84:91" s="51" customFormat="1">
      <c r="CF10391" s="239"/>
      <c r="CM10391" s="336"/>
    </row>
    <row r="10392" spans="84:91" s="51" customFormat="1">
      <c r="CF10392" s="239"/>
      <c r="CM10392" s="336"/>
    </row>
    <row r="10393" spans="84:91" s="51" customFormat="1">
      <c r="CF10393" s="239"/>
      <c r="CM10393" s="336"/>
    </row>
    <row r="10394" spans="84:91" s="51" customFormat="1">
      <c r="CF10394" s="239"/>
      <c r="CM10394" s="336"/>
    </row>
    <row r="10395" spans="84:91" s="51" customFormat="1">
      <c r="CF10395" s="239"/>
      <c r="CM10395" s="336"/>
    </row>
    <row r="10396" spans="84:91" s="51" customFormat="1">
      <c r="CF10396" s="239"/>
      <c r="CM10396" s="336"/>
    </row>
    <row r="10397" spans="84:91" s="51" customFormat="1">
      <c r="CF10397" s="239"/>
      <c r="CM10397" s="336"/>
    </row>
    <row r="10398" spans="84:91" s="51" customFormat="1">
      <c r="CF10398" s="239"/>
      <c r="CM10398" s="336"/>
    </row>
    <row r="10399" spans="84:91" s="51" customFormat="1">
      <c r="CF10399" s="239"/>
      <c r="CM10399" s="336"/>
    </row>
    <row r="10400" spans="84:91" s="51" customFormat="1">
      <c r="CF10400" s="239"/>
      <c r="CM10400" s="336"/>
    </row>
    <row r="10401" spans="84:91" s="51" customFormat="1">
      <c r="CF10401" s="239"/>
      <c r="CM10401" s="336"/>
    </row>
    <row r="10402" spans="84:91" s="51" customFormat="1">
      <c r="CF10402" s="239"/>
      <c r="CM10402" s="336"/>
    </row>
    <row r="10403" spans="84:91" s="51" customFormat="1">
      <c r="CF10403" s="239"/>
      <c r="CM10403" s="336"/>
    </row>
    <row r="10404" spans="84:91" s="51" customFormat="1">
      <c r="CF10404" s="239"/>
      <c r="CM10404" s="336"/>
    </row>
    <row r="10405" spans="84:91" s="51" customFormat="1">
      <c r="CF10405" s="239"/>
      <c r="CM10405" s="336"/>
    </row>
    <row r="10406" spans="84:91" s="51" customFormat="1">
      <c r="CF10406" s="239"/>
      <c r="CM10406" s="336"/>
    </row>
    <row r="10407" spans="84:91" s="51" customFormat="1">
      <c r="CF10407" s="239"/>
      <c r="CM10407" s="336"/>
    </row>
    <row r="10408" spans="84:91" s="51" customFormat="1">
      <c r="CF10408" s="239"/>
      <c r="CM10408" s="336"/>
    </row>
    <row r="10409" spans="84:91" s="51" customFormat="1">
      <c r="CF10409" s="239"/>
      <c r="CM10409" s="336"/>
    </row>
    <row r="10410" spans="84:91" s="51" customFormat="1">
      <c r="CF10410" s="239"/>
      <c r="CM10410" s="336"/>
    </row>
    <row r="10411" spans="84:91" s="51" customFormat="1">
      <c r="CF10411" s="239"/>
      <c r="CM10411" s="336"/>
    </row>
    <row r="10412" spans="84:91" s="51" customFormat="1">
      <c r="CF10412" s="239"/>
      <c r="CM10412" s="336"/>
    </row>
    <row r="10413" spans="84:91" s="51" customFormat="1">
      <c r="CF10413" s="239"/>
      <c r="CM10413" s="336"/>
    </row>
    <row r="10414" spans="84:91" s="51" customFormat="1">
      <c r="CF10414" s="239"/>
      <c r="CM10414" s="336"/>
    </row>
    <row r="10415" spans="84:91" s="51" customFormat="1">
      <c r="CF10415" s="239"/>
      <c r="CM10415" s="336"/>
    </row>
    <row r="10416" spans="84:91" s="51" customFormat="1">
      <c r="CF10416" s="239"/>
      <c r="CM10416" s="336"/>
    </row>
    <row r="10417" spans="84:91" s="51" customFormat="1">
      <c r="CF10417" s="239"/>
      <c r="CM10417" s="336"/>
    </row>
    <row r="10418" spans="84:91" s="51" customFormat="1">
      <c r="CF10418" s="239"/>
      <c r="CM10418" s="336"/>
    </row>
    <row r="10419" spans="84:91" s="51" customFormat="1">
      <c r="CF10419" s="239"/>
      <c r="CM10419" s="336"/>
    </row>
    <row r="10420" spans="84:91" s="51" customFormat="1">
      <c r="CF10420" s="239"/>
      <c r="CM10420" s="336"/>
    </row>
    <row r="10421" spans="84:91" s="51" customFormat="1">
      <c r="CF10421" s="239"/>
      <c r="CM10421" s="336"/>
    </row>
    <row r="10422" spans="84:91" s="51" customFormat="1">
      <c r="CF10422" s="239"/>
      <c r="CM10422" s="336"/>
    </row>
    <row r="10423" spans="84:91" s="51" customFormat="1">
      <c r="CF10423" s="239"/>
      <c r="CM10423" s="336"/>
    </row>
    <row r="10424" spans="84:91" s="51" customFormat="1">
      <c r="CF10424" s="239"/>
      <c r="CM10424" s="336"/>
    </row>
    <row r="10425" spans="84:91" s="51" customFormat="1">
      <c r="CF10425" s="239"/>
      <c r="CM10425" s="336"/>
    </row>
    <row r="10426" spans="84:91" s="51" customFormat="1">
      <c r="CF10426" s="239"/>
      <c r="CM10426" s="336"/>
    </row>
    <row r="10427" spans="84:91" s="51" customFormat="1">
      <c r="CF10427" s="239"/>
      <c r="CM10427" s="336"/>
    </row>
    <row r="10428" spans="84:91" s="51" customFormat="1">
      <c r="CF10428" s="239"/>
      <c r="CM10428" s="336"/>
    </row>
    <row r="10429" spans="84:91" s="51" customFormat="1">
      <c r="CF10429" s="239"/>
      <c r="CM10429" s="336"/>
    </row>
    <row r="10430" spans="84:91" s="51" customFormat="1">
      <c r="CF10430" s="239"/>
      <c r="CM10430" s="336"/>
    </row>
    <row r="10431" spans="84:91" s="51" customFormat="1">
      <c r="CF10431" s="239"/>
      <c r="CM10431" s="336"/>
    </row>
    <row r="10432" spans="84:91" s="51" customFormat="1">
      <c r="CF10432" s="239"/>
      <c r="CM10432" s="336"/>
    </row>
    <row r="10433" spans="84:91" s="51" customFormat="1">
      <c r="CF10433" s="239"/>
      <c r="CM10433" s="336"/>
    </row>
    <row r="10434" spans="84:91" s="51" customFormat="1">
      <c r="CF10434" s="239"/>
      <c r="CM10434" s="336"/>
    </row>
    <row r="10435" spans="84:91" s="51" customFormat="1">
      <c r="CF10435" s="239"/>
      <c r="CM10435" s="336"/>
    </row>
    <row r="10436" spans="84:91" s="51" customFormat="1">
      <c r="CF10436" s="239"/>
      <c r="CM10436" s="336"/>
    </row>
    <row r="10437" spans="84:91" s="51" customFormat="1">
      <c r="CF10437" s="239"/>
      <c r="CM10437" s="336"/>
    </row>
    <row r="10438" spans="84:91" s="51" customFormat="1">
      <c r="CF10438" s="239"/>
      <c r="CM10438" s="336"/>
    </row>
    <row r="10439" spans="84:91" s="51" customFormat="1">
      <c r="CF10439" s="239"/>
      <c r="CM10439" s="336"/>
    </row>
    <row r="10440" spans="84:91" s="51" customFormat="1">
      <c r="CF10440" s="239"/>
      <c r="CM10440" s="336"/>
    </row>
    <row r="10441" spans="84:91" s="51" customFormat="1">
      <c r="CF10441" s="239"/>
      <c r="CM10441" s="336"/>
    </row>
    <row r="10442" spans="84:91" s="51" customFormat="1">
      <c r="CF10442" s="239"/>
      <c r="CM10442" s="336"/>
    </row>
    <row r="10443" spans="84:91" s="51" customFormat="1">
      <c r="CF10443" s="239"/>
      <c r="CM10443" s="336"/>
    </row>
    <row r="10444" spans="84:91" s="51" customFormat="1">
      <c r="CF10444" s="239"/>
      <c r="CM10444" s="336"/>
    </row>
    <row r="10445" spans="84:91" s="51" customFormat="1">
      <c r="CF10445" s="239"/>
      <c r="CM10445" s="336"/>
    </row>
    <row r="10446" spans="84:91" s="51" customFormat="1">
      <c r="CF10446" s="239"/>
      <c r="CM10446" s="336"/>
    </row>
    <row r="10447" spans="84:91" s="51" customFormat="1">
      <c r="CF10447" s="239"/>
      <c r="CM10447" s="336"/>
    </row>
    <row r="10448" spans="84:91" s="51" customFormat="1">
      <c r="CF10448" s="239"/>
      <c r="CM10448" s="336"/>
    </row>
    <row r="10449" spans="84:91" s="51" customFormat="1">
      <c r="CF10449" s="239"/>
      <c r="CM10449" s="336"/>
    </row>
    <row r="10450" spans="84:91" s="51" customFormat="1">
      <c r="CF10450" s="239"/>
      <c r="CM10450" s="336"/>
    </row>
    <row r="10451" spans="84:91" s="51" customFormat="1">
      <c r="CF10451" s="239"/>
      <c r="CM10451" s="336"/>
    </row>
    <row r="10452" spans="84:91" s="51" customFormat="1">
      <c r="CF10452" s="239"/>
      <c r="CM10452" s="336"/>
    </row>
    <row r="10453" spans="84:91" s="51" customFormat="1">
      <c r="CF10453" s="239"/>
      <c r="CM10453" s="336"/>
    </row>
    <row r="10454" spans="84:91" s="51" customFormat="1">
      <c r="CF10454" s="239"/>
      <c r="CM10454" s="336"/>
    </row>
    <row r="10455" spans="84:91" s="51" customFormat="1">
      <c r="CF10455" s="239"/>
      <c r="CM10455" s="336"/>
    </row>
    <row r="10456" spans="84:91" s="51" customFormat="1">
      <c r="CF10456" s="239"/>
      <c r="CM10456" s="336"/>
    </row>
    <row r="10457" spans="84:91" s="51" customFormat="1">
      <c r="CF10457" s="239"/>
      <c r="CM10457" s="336"/>
    </row>
    <row r="10458" spans="84:91" s="51" customFormat="1">
      <c r="CF10458" s="239"/>
      <c r="CM10458" s="336"/>
    </row>
    <row r="10459" spans="84:91" s="51" customFormat="1">
      <c r="CF10459" s="239"/>
      <c r="CM10459" s="336"/>
    </row>
    <row r="10460" spans="84:91" s="51" customFormat="1">
      <c r="CF10460" s="239"/>
      <c r="CM10460" s="336"/>
    </row>
    <row r="10461" spans="84:91" s="51" customFormat="1">
      <c r="CF10461" s="239"/>
      <c r="CM10461" s="336"/>
    </row>
    <row r="10462" spans="84:91" s="51" customFormat="1">
      <c r="CF10462" s="239"/>
      <c r="CM10462" s="336"/>
    </row>
    <row r="10463" spans="84:91" s="51" customFormat="1">
      <c r="CF10463" s="239"/>
      <c r="CM10463" s="336"/>
    </row>
    <row r="10464" spans="84:91" s="51" customFormat="1">
      <c r="CF10464" s="239"/>
      <c r="CM10464" s="336"/>
    </row>
    <row r="10465" spans="84:91" s="51" customFormat="1">
      <c r="CF10465" s="239"/>
      <c r="CM10465" s="336"/>
    </row>
    <row r="10466" spans="84:91" s="51" customFormat="1">
      <c r="CF10466" s="239"/>
      <c r="CM10466" s="336"/>
    </row>
    <row r="10467" spans="84:91" s="51" customFormat="1">
      <c r="CF10467" s="239"/>
      <c r="CM10467" s="336"/>
    </row>
    <row r="10468" spans="84:91" s="51" customFormat="1">
      <c r="CF10468" s="239"/>
      <c r="CM10468" s="336"/>
    </row>
    <row r="10469" spans="84:91" s="51" customFormat="1">
      <c r="CF10469" s="239"/>
      <c r="CM10469" s="336"/>
    </row>
    <row r="10470" spans="84:91" s="51" customFormat="1">
      <c r="CF10470" s="239"/>
      <c r="CM10470" s="336"/>
    </row>
    <row r="10471" spans="84:91" s="51" customFormat="1">
      <c r="CF10471" s="239"/>
      <c r="CM10471" s="336"/>
    </row>
    <row r="10472" spans="84:91" s="51" customFormat="1">
      <c r="CF10472" s="239"/>
      <c r="CM10472" s="336"/>
    </row>
    <row r="10473" spans="84:91" s="51" customFormat="1">
      <c r="CF10473" s="239"/>
      <c r="CM10473" s="336"/>
    </row>
    <row r="10474" spans="84:91" s="51" customFormat="1">
      <c r="CF10474" s="239"/>
      <c r="CM10474" s="336"/>
    </row>
    <row r="10475" spans="84:91" s="51" customFormat="1">
      <c r="CF10475" s="239"/>
      <c r="CM10475" s="336"/>
    </row>
    <row r="10476" spans="84:91" s="51" customFormat="1">
      <c r="CF10476" s="239"/>
      <c r="CM10476" s="336"/>
    </row>
    <row r="10477" spans="84:91" s="51" customFormat="1">
      <c r="CF10477" s="239"/>
      <c r="CM10477" s="336"/>
    </row>
    <row r="10478" spans="84:91" s="51" customFormat="1">
      <c r="CF10478" s="239"/>
      <c r="CM10478" s="336"/>
    </row>
    <row r="10479" spans="84:91" s="51" customFormat="1">
      <c r="CF10479" s="239"/>
      <c r="CM10479" s="336"/>
    </row>
    <row r="10480" spans="84:91" s="51" customFormat="1">
      <c r="CF10480" s="239"/>
      <c r="CM10480" s="336"/>
    </row>
    <row r="10481" spans="84:91" s="51" customFormat="1">
      <c r="CF10481" s="239"/>
      <c r="CM10481" s="336"/>
    </row>
    <row r="10482" spans="84:91" s="51" customFormat="1">
      <c r="CF10482" s="239"/>
      <c r="CM10482" s="336"/>
    </row>
    <row r="10483" spans="84:91" s="51" customFormat="1">
      <c r="CF10483" s="239"/>
      <c r="CM10483" s="336"/>
    </row>
    <row r="10484" spans="84:91" s="51" customFormat="1">
      <c r="CF10484" s="239"/>
      <c r="CM10484" s="336"/>
    </row>
    <row r="10485" spans="84:91" s="51" customFormat="1">
      <c r="CF10485" s="239"/>
      <c r="CM10485" s="336"/>
    </row>
    <row r="10486" spans="84:91" s="51" customFormat="1">
      <c r="CF10486" s="239"/>
      <c r="CM10486" s="336"/>
    </row>
    <row r="10487" spans="84:91" s="51" customFormat="1">
      <c r="CF10487" s="239"/>
      <c r="CM10487" s="336"/>
    </row>
    <row r="10488" spans="84:91" s="51" customFormat="1">
      <c r="CF10488" s="239"/>
      <c r="CM10488" s="336"/>
    </row>
    <row r="10489" spans="84:91" s="51" customFormat="1">
      <c r="CF10489" s="239"/>
      <c r="CM10489" s="336"/>
    </row>
    <row r="10490" spans="84:91" s="51" customFormat="1">
      <c r="CF10490" s="239"/>
      <c r="CM10490" s="336"/>
    </row>
    <row r="10491" spans="84:91" s="51" customFormat="1">
      <c r="CF10491" s="239"/>
      <c r="CM10491" s="336"/>
    </row>
    <row r="10492" spans="84:91" s="51" customFormat="1">
      <c r="CF10492" s="239"/>
      <c r="CM10492" s="336"/>
    </row>
    <row r="10493" spans="84:91" s="51" customFormat="1">
      <c r="CF10493" s="239"/>
      <c r="CM10493" s="336"/>
    </row>
    <row r="10494" spans="84:91" s="51" customFormat="1">
      <c r="CF10494" s="239"/>
      <c r="CM10494" s="336"/>
    </row>
    <row r="10495" spans="84:91" s="51" customFormat="1">
      <c r="CF10495" s="239"/>
      <c r="CM10495" s="336"/>
    </row>
    <row r="10496" spans="84:91" s="51" customFormat="1">
      <c r="CF10496" s="239"/>
      <c r="CM10496" s="336"/>
    </row>
    <row r="10497" spans="84:91" s="51" customFormat="1">
      <c r="CF10497" s="239"/>
      <c r="CM10497" s="336"/>
    </row>
    <row r="10498" spans="84:91" s="51" customFormat="1">
      <c r="CF10498" s="239"/>
      <c r="CM10498" s="336"/>
    </row>
    <row r="10499" spans="84:91" s="51" customFormat="1">
      <c r="CF10499" s="239"/>
      <c r="CM10499" s="336"/>
    </row>
    <row r="10500" spans="84:91" s="51" customFormat="1">
      <c r="CF10500" s="239"/>
      <c r="CM10500" s="336"/>
    </row>
    <row r="10501" spans="84:91" s="51" customFormat="1">
      <c r="CF10501" s="239"/>
      <c r="CM10501" s="336"/>
    </row>
    <row r="10502" spans="84:91" s="51" customFormat="1">
      <c r="CF10502" s="239"/>
      <c r="CM10502" s="336"/>
    </row>
    <row r="10503" spans="84:91" s="51" customFormat="1">
      <c r="CF10503" s="239"/>
      <c r="CM10503" s="336"/>
    </row>
    <row r="10504" spans="84:91" s="51" customFormat="1">
      <c r="CF10504" s="239"/>
      <c r="CM10504" s="336"/>
    </row>
    <row r="10505" spans="84:91" s="51" customFormat="1">
      <c r="CF10505" s="239"/>
      <c r="CM10505" s="336"/>
    </row>
    <row r="10506" spans="84:91" s="51" customFormat="1">
      <c r="CF10506" s="239"/>
      <c r="CM10506" s="336"/>
    </row>
    <row r="10507" spans="84:91" s="51" customFormat="1">
      <c r="CF10507" s="239"/>
      <c r="CM10507" s="336"/>
    </row>
    <row r="10508" spans="84:91" s="51" customFormat="1">
      <c r="CF10508" s="239"/>
      <c r="CM10508" s="336"/>
    </row>
    <row r="10509" spans="84:91" s="51" customFormat="1">
      <c r="CF10509" s="239"/>
      <c r="CM10509" s="336"/>
    </row>
    <row r="10510" spans="84:91" s="51" customFormat="1">
      <c r="CF10510" s="239"/>
      <c r="CM10510" s="336"/>
    </row>
    <row r="10511" spans="84:91" s="51" customFormat="1">
      <c r="CF10511" s="239"/>
      <c r="CM10511" s="336"/>
    </row>
    <row r="10512" spans="84:91" s="51" customFormat="1">
      <c r="CF10512" s="239"/>
      <c r="CM10512" s="336"/>
    </row>
    <row r="10513" spans="84:91" s="51" customFormat="1">
      <c r="CF10513" s="239"/>
      <c r="CM10513" s="336"/>
    </row>
    <row r="10514" spans="84:91" s="51" customFormat="1">
      <c r="CF10514" s="239"/>
      <c r="CM10514" s="336"/>
    </row>
    <row r="10515" spans="84:91" s="51" customFormat="1">
      <c r="CF10515" s="239"/>
      <c r="CM10515" s="336"/>
    </row>
    <row r="10516" spans="84:91" s="51" customFormat="1">
      <c r="CF10516" s="239"/>
      <c r="CM10516" s="336"/>
    </row>
    <row r="10517" spans="84:91" s="51" customFormat="1">
      <c r="CF10517" s="239"/>
      <c r="CM10517" s="336"/>
    </row>
    <row r="10518" spans="84:91" s="51" customFormat="1">
      <c r="CF10518" s="239"/>
      <c r="CM10518" s="336"/>
    </row>
    <row r="10519" spans="84:91" s="51" customFormat="1">
      <c r="CF10519" s="239"/>
      <c r="CM10519" s="336"/>
    </row>
    <row r="10520" spans="84:91" s="51" customFormat="1">
      <c r="CF10520" s="239"/>
      <c r="CM10520" s="336"/>
    </row>
    <row r="10521" spans="84:91" s="51" customFormat="1">
      <c r="CF10521" s="239"/>
      <c r="CM10521" s="336"/>
    </row>
    <row r="10522" spans="84:91" s="51" customFormat="1">
      <c r="CF10522" s="239"/>
      <c r="CM10522" s="336"/>
    </row>
    <row r="10523" spans="84:91" s="51" customFormat="1">
      <c r="CF10523" s="239"/>
      <c r="CM10523" s="336"/>
    </row>
    <row r="10524" spans="84:91" s="51" customFormat="1">
      <c r="CF10524" s="239"/>
      <c r="CM10524" s="336"/>
    </row>
    <row r="10525" spans="84:91" s="51" customFormat="1">
      <c r="CF10525" s="239"/>
      <c r="CM10525" s="336"/>
    </row>
    <row r="10526" spans="84:91" s="51" customFormat="1">
      <c r="CF10526" s="239"/>
      <c r="CM10526" s="336"/>
    </row>
    <row r="10527" spans="84:91" s="51" customFormat="1">
      <c r="CF10527" s="239"/>
      <c r="CM10527" s="336"/>
    </row>
    <row r="10528" spans="84:91" s="51" customFormat="1">
      <c r="CF10528" s="239"/>
      <c r="CM10528" s="336"/>
    </row>
    <row r="10529" spans="84:91" s="51" customFormat="1">
      <c r="CF10529" s="239"/>
      <c r="CM10529" s="336"/>
    </row>
    <row r="10530" spans="84:91" s="51" customFormat="1">
      <c r="CF10530" s="239"/>
      <c r="CM10530" s="336"/>
    </row>
    <row r="10531" spans="84:91" s="51" customFormat="1">
      <c r="CF10531" s="239"/>
      <c r="CM10531" s="336"/>
    </row>
    <row r="10532" spans="84:91" s="51" customFormat="1">
      <c r="CF10532" s="239"/>
      <c r="CM10532" s="336"/>
    </row>
    <row r="10533" spans="84:91" s="51" customFormat="1">
      <c r="CF10533" s="239"/>
      <c r="CM10533" s="336"/>
    </row>
    <row r="10534" spans="84:91" s="51" customFormat="1">
      <c r="CF10534" s="239"/>
      <c r="CM10534" s="336"/>
    </row>
    <row r="10535" spans="84:91" s="51" customFormat="1">
      <c r="CF10535" s="239"/>
      <c r="CM10535" s="336"/>
    </row>
    <row r="10536" spans="84:91" s="51" customFormat="1">
      <c r="CF10536" s="239"/>
      <c r="CM10536" s="336"/>
    </row>
    <row r="10537" spans="84:91" s="51" customFormat="1">
      <c r="CF10537" s="239"/>
      <c r="CM10537" s="336"/>
    </row>
    <row r="10538" spans="84:91" s="51" customFormat="1">
      <c r="CF10538" s="239"/>
      <c r="CM10538" s="336"/>
    </row>
    <row r="10539" spans="84:91" s="51" customFormat="1">
      <c r="CF10539" s="239"/>
      <c r="CM10539" s="336"/>
    </row>
    <row r="10540" spans="84:91" s="51" customFormat="1">
      <c r="CF10540" s="239"/>
      <c r="CM10540" s="336"/>
    </row>
    <row r="10541" spans="84:91" s="51" customFormat="1">
      <c r="CF10541" s="239"/>
      <c r="CM10541" s="336"/>
    </row>
    <row r="10542" spans="84:91" s="51" customFormat="1">
      <c r="CF10542" s="239"/>
      <c r="CM10542" s="336"/>
    </row>
    <row r="10543" spans="84:91" s="51" customFormat="1">
      <c r="CF10543" s="239"/>
      <c r="CM10543" s="336"/>
    </row>
    <row r="10544" spans="84:91" s="51" customFormat="1">
      <c r="CF10544" s="239"/>
      <c r="CM10544" s="336"/>
    </row>
    <row r="10545" spans="84:91" s="51" customFormat="1">
      <c r="CF10545" s="239"/>
      <c r="CM10545" s="336"/>
    </row>
    <row r="10546" spans="84:91" s="51" customFormat="1">
      <c r="CF10546" s="239"/>
      <c r="CM10546" s="336"/>
    </row>
    <row r="10547" spans="84:91" s="51" customFormat="1">
      <c r="CF10547" s="239"/>
      <c r="CM10547" s="336"/>
    </row>
    <row r="10548" spans="84:91" s="51" customFormat="1">
      <c r="CF10548" s="239"/>
      <c r="CM10548" s="336"/>
    </row>
    <row r="10549" spans="84:91" s="51" customFormat="1">
      <c r="CF10549" s="239"/>
      <c r="CM10549" s="336"/>
    </row>
    <row r="10550" spans="84:91" s="51" customFormat="1">
      <c r="CF10550" s="239"/>
      <c r="CM10550" s="336"/>
    </row>
    <row r="10551" spans="84:91" s="51" customFormat="1">
      <c r="CF10551" s="239"/>
      <c r="CM10551" s="336"/>
    </row>
    <row r="10552" spans="84:91" s="51" customFormat="1">
      <c r="CF10552" s="239"/>
      <c r="CM10552" s="336"/>
    </row>
    <row r="10553" spans="84:91" s="51" customFormat="1">
      <c r="CF10553" s="239"/>
      <c r="CM10553" s="336"/>
    </row>
    <row r="10554" spans="84:91" s="51" customFormat="1">
      <c r="CF10554" s="239"/>
      <c r="CM10554" s="336"/>
    </row>
    <row r="10555" spans="84:91" s="51" customFormat="1">
      <c r="CF10555" s="239"/>
      <c r="CM10555" s="336"/>
    </row>
    <row r="10556" spans="84:91" s="51" customFormat="1">
      <c r="CF10556" s="239"/>
      <c r="CM10556" s="336"/>
    </row>
    <row r="10557" spans="84:91" s="51" customFormat="1">
      <c r="CF10557" s="239"/>
      <c r="CM10557" s="336"/>
    </row>
    <row r="10558" spans="84:91" s="51" customFormat="1">
      <c r="CF10558" s="239"/>
      <c r="CM10558" s="336"/>
    </row>
    <row r="10559" spans="84:91" s="51" customFormat="1">
      <c r="CF10559" s="239"/>
      <c r="CM10559" s="336"/>
    </row>
    <row r="10560" spans="84:91" s="51" customFormat="1">
      <c r="CF10560" s="239"/>
      <c r="CM10560" s="336"/>
    </row>
    <row r="10561" spans="84:91" s="51" customFormat="1">
      <c r="CF10561" s="239"/>
      <c r="CM10561" s="336"/>
    </row>
    <row r="10562" spans="84:91" s="51" customFormat="1">
      <c r="CF10562" s="239"/>
      <c r="CM10562" s="336"/>
    </row>
    <row r="10563" spans="84:91" s="51" customFormat="1">
      <c r="CF10563" s="239"/>
      <c r="CM10563" s="336"/>
    </row>
    <row r="10564" spans="84:91" s="51" customFormat="1">
      <c r="CF10564" s="239"/>
      <c r="CM10564" s="336"/>
    </row>
    <row r="10565" spans="84:91" s="51" customFormat="1">
      <c r="CF10565" s="239"/>
      <c r="CM10565" s="336"/>
    </row>
    <row r="10566" spans="84:91" s="51" customFormat="1">
      <c r="CF10566" s="239"/>
      <c r="CM10566" s="336"/>
    </row>
    <row r="10567" spans="84:91" s="51" customFormat="1">
      <c r="CF10567" s="239"/>
      <c r="CM10567" s="336"/>
    </row>
    <row r="10568" spans="84:91" s="51" customFormat="1">
      <c r="CF10568" s="239"/>
      <c r="CM10568" s="336"/>
    </row>
    <row r="10569" spans="84:91" s="51" customFormat="1">
      <c r="CF10569" s="239"/>
      <c r="CM10569" s="336"/>
    </row>
    <row r="10570" spans="84:91" s="51" customFormat="1">
      <c r="CF10570" s="239"/>
      <c r="CM10570" s="336"/>
    </row>
    <row r="10571" spans="84:91" s="51" customFormat="1">
      <c r="CF10571" s="239"/>
      <c r="CM10571" s="336"/>
    </row>
    <row r="10572" spans="84:91" s="51" customFormat="1">
      <c r="CF10572" s="239"/>
      <c r="CM10572" s="336"/>
    </row>
    <row r="10573" spans="84:91" s="51" customFormat="1">
      <c r="CF10573" s="239"/>
      <c r="CM10573" s="336"/>
    </row>
    <row r="10574" spans="84:91" s="51" customFormat="1">
      <c r="CF10574" s="239"/>
      <c r="CM10574" s="336"/>
    </row>
    <row r="10575" spans="84:91" s="51" customFormat="1">
      <c r="CF10575" s="239"/>
      <c r="CM10575" s="336"/>
    </row>
    <row r="10576" spans="84:91" s="51" customFormat="1">
      <c r="CF10576" s="239"/>
      <c r="CM10576" s="336"/>
    </row>
    <row r="10577" spans="84:91" s="51" customFormat="1">
      <c r="CF10577" s="239"/>
      <c r="CM10577" s="336"/>
    </row>
    <row r="10578" spans="84:91" s="51" customFormat="1">
      <c r="CF10578" s="239"/>
      <c r="CM10578" s="336"/>
    </row>
    <row r="10579" spans="84:91" s="51" customFormat="1">
      <c r="CF10579" s="239"/>
      <c r="CM10579" s="336"/>
    </row>
    <row r="10580" spans="84:91" s="51" customFormat="1">
      <c r="CF10580" s="239"/>
      <c r="CM10580" s="336"/>
    </row>
    <row r="10581" spans="84:91" s="51" customFormat="1">
      <c r="CF10581" s="239"/>
      <c r="CM10581" s="336"/>
    </row>
    <row r="10582" spans="84:91" s="51" customFormat="1">
      <c r="CF10582" s="239"/>
      <c r="CM10582" s="336"/>
    </row>
    <row r="10583" spans="84:91" s="51" customFormat="1">
      <c r="CF10583" s="239"/>
      <c r="CM10583" s="336"/>
    </row>
    <row r="10584" spans="84:91" s="51" customFormat="1">
      <c r="CF10584" s="239"/>
      <c r="CM10584" s="336"/>
    </row>
    <row r="10585" spans="84:91" s="51" customFormat="1">
      <c r="CF10585" s="239"/>
      <c r="CM10585" s="336"/>
    </row>
    <row r="10586" spans="84:91" s="51" customFormat="1">
      <c r="CF10586" s="239"/>
      <c r="CM10586" s="336"/>
    </row>
    <row r="10587" spans="84:91" s="51" customFormat="1">
      <c r="CF10587" s="239"/>
      <c r="CM10587" s="336"/>
    </row>
    <row r="10588" spans="84:91" s="51" customFormat="1">
      <c r="CF10588" s="239"/>
      <c r="CM10588" s="336"/>
    </row>
    <row r="10589" spans="84:91" s="51" customFormat="1">
      <c r="CF10589" s="239"/>
      <c r="CM10589" s="336"/>
    </row>
    <row r="10590" spans="84:91" s="51" customFormat="1">
      <c r="CF10590" s="239"/>
      <c r="CM10590" s="336"/>
    </row>
    <row r="10591" spans="84:91" s="51" customFormat="1">
      <c r="CF10591" s="239"/>
      <c r="CM10591" s="336"/>
    </row>
    <row r="10592" spans="84:91" s="51" customFormat="1">
      <c r="CF10592" s="239"/>
      <c r="CM10592" s="336"/>
    </row>
    <row r="10593" spans="84:91" s="51" customFormat="1">
      <c r="CF10593" s="239"/>
      <c r="CM10593" s="336"/>
    </row>
    <row r="10594" spans="84:91" s="51" customFormat="1">
      <c r="CF10594" s="239"/>
      <c r="CM10594" s="336"/>
    </row>
    <row r="10595" spans="84:91" s="51" customFormat="1">
      <c r="CF10595" s="239"/>
      <c r="CM10595" s="336"/>
    </row>
    <row r="10596" spans="84:91" s="51" customFormat="1">
      <c r="CF10596" s="239"/>
      <c r="CM10596" s="336"/>
    </row>
    <row r="10597" spans="84:91" s="51" customFormat="1">
      <c r="CF10597" s="239"/>
      <c r="CM10597" s="336"/>
    </row>
    <row r="10598" spans="84:91" s="51" customFormat="1">
      <c r="CF10598" s="239"/>
      <c r="CM10598" s="336"/>
    </row>
    <row r="10599" spans="84:91" s="51" customFormat="1">
      <c r="CF10599" s="239"/>
      <c r="CM10599" s="336"/>
    </row>
    <row r="10600" spans="84:91" s="51" customFormat="1">
      <c r="CF10600" s="239"/>
      <c r="CM10600" s="336"/>
    </row>
    <row r="10601" spans="84:91" s="51" customFormat="1">
      <c r="CF10601" s="239"/>
      <c r="CM10601" s="336"/>
    </row>
    <row r="10602" spans="84:91" s="51" customFormat="1">
      <c r="CF10602" s="239"/>
      <c r="CM10602" s="336"/>
    </row>
    <row r="10603" spans="84:91" s="51" customFormat="1">
      <c r="CF10603" s="239"/>
      <c r="CM10603" s="336"/>
    </row>
    <row r="10604" spans="84:91" s="51" customFormat="1">
      <c r="CF10604" s="239"/>
      <c r="CM10604" s="336"/>
    </row>
    <row r="10605" spans="84:91" s="51" customFormat="1">
      <c r="CF10605" s="239"/>
      <c r="CM10605" s="336"/>
    </row>
    <row r="10606" spans="84:91" s="51" customFormat="1">
      <c r="CF10606" s="239"/>
      <c r="CM10606" s="336"/>
    </row>
    <row r="10607" spans="84:91" s="51" customFormat="1">
      <c r="CF10607" s="239"/>
      <c r="CM10607" s="336"/>
    </row>
    <row r="10608" spans="84:91" s="51" customFormat="1">
      <c r="CF10608" s="239"/>
      <c r="CM10608" s="336"/>
    </row>
    <row r="10609" spans="84:91" s="51" customFormat="1">
      <c r="CF10609" s="239"/>
      <c r="CM10609" s="336"/>
    </row>
    <row r="10610" spans="84:91" s="51" customFormat="1">
      <c r="CF10610" s="239"/>
      <c r="CM10610" s="336"/>
    </row>
    <row r="10611" spans="84:91" s="51" customFormat="1">
      <c r="CF10611" s="239"/>
      <c r="CM10611" s="336"/>
    </row>
    <row r="10612" spans="84:91" s="51" customFormat="1">
      <c r="CF10612" s="239"/>
      <c r="CM10612" s="336"/>
    </row>
    <row r="10613" spans="84:91" s="51" customFormat="1">
      <c r="CF10613" s="239"/>
      <c r="CM10613" s="336"/>
    </row>
    <row r="10614" spans="84:91" s="51" customFormat="1">
      <c r="CF10614" s="239"/>
      <c r="CM10614" s="336"/>
    </row>
    <row r="10615" spans="84:91" s="51" customFormat="1">
      <c r="CF10615" s="239"/>
      <c r="CM10615" s="336"/>
    </row>
    <row r="10616" spans="84:91" s="51" customFormat="1">
      <c r="CF10616" s="239"/>
      <c r="CM10616" s="336"/>
    </row>
    <row r="10617" spans="84:91" s="51" customFormat="1">
      <c r="CF10617" s="239"/>
      <c r="CM10617" s="336"/>
    </row>
    <row r="10618" spans="84:91" s="51" customFormat="1">
      <c r="CF10618" s="239"/>
      <c r="CM10618" s="336"/>
    </row>
    <row r="10619" spans="84:91" s="51" customFormat="1">
      <c r="CF10619" s="239"/>
      <c r="CM10619" s="336"/>
    </row>
    <row r="10620" spans="84:91" s="51" customFormat="1">
      <c r="CF10620" s="239"/>
      <c r="CM10620" s="336"/>
    </row>
    <row r="10621" spans="84:91" s="51" customFormat="1">
      <c r="CF10621" s="239"/>
      <c r="CM10621" s="336"/>
    </row>
    <row r="10622" spans="84:91" s="51" customFormat="1">
      <c r="CF10622" s="239"/>
      <c r="CM10622" s="336"/>
    </row>
    <row r="10623" spans="84:91" s="51" customFormat="1">
      <c r="CF10623" s="239"/>
      <c r="CM10623" s="336"/>
    </row>
    <row r="10624" spans="84:91" s="51" customFormat="1">
      <c r="CF10624" s="239"/>
      <c r="CM10624" s="336"/>
    </row>
    <row r="10625" spans="84:91" s="51" customFormat="1">
      <c r="CF10625" s="239"/>
      <c r="CM10625" s="336"/>
    </row>
    <row r="10626" spans="84:91" s="51" customFormat="1">
      <c r="CF10626" s="239"/>
      <c r="CM10626" s="336"/>
    </row>
    <row r="10627" spans="84:91" s="51" customFormat="1">
      <c r="CF10627" s="239"/>
      <c r="CM10627" s="336"/>
    </row>
    <row r="10628" spans="84:91" s="51" customFormat="1">
      <c r="CF10628" s="239"/>
      <c r="CM10628" s="336"/>
    </row>
    <row r="10629" spans="84:91" s="51" customFormat="1">
      <c r="CF10629" s="239"/>
      <c r="CM10629" s="336"/>
    </row>
    <row r="10630" spans="84:91" s="51" customFormat="1">
      <c r="CF10630" s="239"/>
      <c r="CM10630" s="336"/>
    </row>
    <row r="10631" spans="84:91" s="51" customFormat="1">
      <c r="CF10631" s="239"/>
      <c r="CM10631" s="336"/>
    </row>
    <row r="10632" spans="84:91" s="51" customFormat="1">
      <c r="CF10632" s="239"/>
      <c r="CM10632" s="336"/>
    </row>
    <row r="10633" spans="84:91" s="51" customFormat="1">
      <c r="CF10633" s="239"/>
      <c r="CM10633" s="336"/>
    </row>
    <row r="10634" spans="84:91" s="51" customFormat="1">
      <c r="CF10634" s="239"/>
      <c r="CM10634" s="336"/>
    </row>
    <row r="10635" spans="84:91" s="51" customFormat="1">
      <c r="CF10635" s="239"/>
      <c r="CM10635" s="336"/>
    </row>
    <row r="10636" spans="84:91" s="51" customFormat="1">
      <c r="CF10636" s="239"/>
      <c r="CM10636" s="336"/>
    </row>
    <row r="10637" spans="84:91" s="51" customFormat="1">
      <c r="CF10637" s="239"/>
      <c r="CM10637" s="336"/>
    </row>
    <row r="10638" spans="84:91" s="51" customFormat="1">
      <c r="CF10638" s="239"/>
      <c r="CM10638" s="336"/>
    </row>
    <row r="10639" spans="84:91" s="51" customFormat="1">
      <c r="CF10639" s="239"/>
      <c r="CM10639" s="336"/>
    </row>
    <row r="10640" spans="84:91" s="51" customFormat="1">
      <c r="CF10640" s="239"/>
      <c r="CM10640" s="336"/>
    </row>
    <row r="10641" spans="84:91" s="51" customFormat="1">
      <c r="CF10641" s="239"/>
      <c r="CM10641" s="336"/>
    </row>
    <row r="10642" spans="84:91" s="51" customFormat="1">
      <c r="CF10642" s="239"/>
      <c r="CM10642" s="336"/>
    </row>
    <row r="10643" spans="84:91" s="51" customFormat="1">
      <c r="CF10643" s="239"/>
      <c r="CM10643" s="336"/>
    </row>
    <row r="10644" spans="84:91" s="51" customFormat="1">
      <c r="CF10644" s="239"/>
      <c r="CM10644" s="336"/>
    </row>
    <row r="10645" spans="84:91" s="51" customFormat="1">
      <c r="CF10645" s="239"/>
      <c r="CM10645" s="336"/>
    </row>
    <row r="10646" spans="84:91" s="51" customFormat="1">
      <c r="CF10646" s="239"/>
      <c r="CM10646" s="336"/>
    </row>
    <row r="10647" spans="84:91" s="51" customFormat="1">
      <c r="CF10647" s="239"/>
      <c r="CM10647" s="336"/>
    </row>
    <row r="10648" spans="84:91" s="51" customFormat="1">
      <c r="CF10648" s="239"/>
      <c r="CM10648" s="336"/>
    </row>
    <row r="10649" spans="84:91" s="51" customFormat="1">
      <c r="CF10649" s="239"/>
      <c r="CM10649" s="336"/>
    </row>
    <row r="10650" spans="84:91" s="51" customFormat="1">
      <c r="CF10650" s="239"/>
      <c r="CM10650" s="336"/>
    </row>
    <row r="10651" spans="84:91" s="51" customFormat="1">
      <c r="CF10651" s="239"/>
      <c r="CM10651" s="336"/>
    </row>
    <row r="10652" spans="84:91" s="51" customFormat="1">
      <c r="CF10652" s="239"/>
      <c r="CM10652" s="336"/>
    </row>
    <row r="10653" spans="84:91" s="51" customFormat="1">
      <c r="CF10653" s="239"/>
      <c r="CM10653" s="336"/>
    </row>
    <row r="10654" spans="84:91" s="51" customFormat="1">
      <c r="CF10654" s="239"/>
      <c r="CM10654" s="336"/>
    </row>
    <row r="10655" spans="84:91" s="51" customFormat="1">
      <c r="CF10655" s="239"/>
      <c r="CM10655" s="336"/>
    </row>
    <row r="10656" spans="84:91" s="51" customFormat="1">
      <c r="CF10656" s="239"/>
      <c r="CM10656" s="336"/>
    </row>
    <row r="10657" spans="84:91" s="51" customFormat="1">
      <c r="CF10657" s="239"/>
      <c r="CM10657" s="336"/>
    </row>
    <row r="10658" spans="84:91" s="51" customFormat="1">
      <c r="CF10658" s="239"/>
      <c r="CM10658" s="336"/>
    </row>
    <row r="10659" spans="84:91" s="51" customFormat="1">
      <c r="CF10659" s="239"/>
      <c r="CM10659" s="336"/>
    </row>
    <row r="10660" spans="84:91" s="51" customFormat="1">
      <c r="CF10660" s="239"/>
      <c r="CM10660" s="336"/>
    </row>
    <row r="10661" spans="84:91" s="51" customFormat="1">
      <c r="CF10661" s="239"/>
      <c r="CM10661" s="336"/>
    </row>
    <row r="10662" spans="84:91" s="51" customFormat="1">
      <c r="CF10662" s="239"/>
      <c r="CM10662" s="336"/>
    </row>
    <row r="10663" spans="84:91" s="51" customFormat="1">
      <c r="CF10663" s="239"/>
      <c r="CM10663" s="336"/>
    </row>
    <row r="10664" spans="84:91" s="51" customFormat="1">
      <c r="CF10664" s="239"/>
      <c r="CM10664" s="336"/>
    </row>
    <row r="10665" spans="84:91" s="51" customFormat="1">
      <c r="CF10665" s="239"/>
      <c r="CM10665" s="336"/>
    </row>
    <row r="10666" spans="84:91" s="51" customFormat="1">
      <c r="CF10666" s="239"/>
      <c r="CM10666" s="336"/>
    </row>
    <row r="10667" spans="84:91" s="51" customFormat="1">
      <c r="CF10667" s="239"/>
      <c r="CM10667" s="336"/>
    </row>
    <row r="10668" spans="84:91" s="51" customFormat="1">
      <c r="CF10668" s="239"/>
      <c r="CM10668" s="336"/>
    </row>
    <row r="10669" spans="84:91" s="51" customFormat="1">
      <c r="CF10669" s="239"/>
      <c r="CM10669" s="336"/>
    </row>
    <row r="10670" spans="84:91" s="51" customFormat="1">
      <c r="CF10670" s="239"/>
      <c r="CM10670" s="336"/>
    </row>
    <row r="10671" spans="84:91" s="51" customFormat="1">
      <c r="CF10671" s="239"/>
      <c r="CM10671" s="336"/>
    </row>
    <row r="10672" spans="84:91" s="51" customFormat="1">
      <c r="CF10672" s="239"/>
      <c r="CM10672" s="336"/>
    </row>
    <row r="10673" spans="84:91" s="51" customFormat="1">
      <c r="CF10673" s="239"/>
      <c r="CM10673" s="336"/>
    </row>
    <row r="10674" spans="84:91" s="51" customFormat="1">
      <c r="CF10674" s="239"/>
      <c r="CM10674" s="336"/>
    </row>
    <row r="10675" spans="84:91" s="51" customFormat="1">
      <c r="CF10675" s="239"/>
      <c r="CM10675" s="336"/>
    </row>
    <row r="10676" spans="84:91" s="51" customFormat="1">
      <c r="CF10676" s="239"/>
      <c r="CM10676" s="336"/>
    </row>
    <row r="10677" spans="84:91" s="51" customFormat="1">
      <c r="CF10677" s="239"/>
      <c r="CM10677" s="336"/>
    </row>
    <row r="10678" spans="84:91" s="51" customFormat="1">
      <c r="CF10678" s="239"/>
      <c r="CM10678" s="336"/>
    </row>
    <row r="10679" spans="84:91" s="51" customFormat="1">
      <c r="CF10679" s="239"/>
      <c r="CM10679" s="336"/>
    </row>
    <row r="10680" spans="84:91" s="51" customFormat="1">
      <c r="CF10680" s="239"/>
      <c r="CM10680" s="336"/>
    </row>
    <row r="10681" spans="84:91" s="51" customFormat="1">
      <c r="CF10681" s="239"/>
      <c r="CM10681" s="336"/>
    </row>
    <row r="10682" spans="84:91" s="51" customFormat="1">
      <c r="CF10682" s="239"/>
      <c r="CM10682" s="336"/>
    </row>
    <row r="10683" spans="84:91" s="51" customFormat="1">
      <c r="CF10683" s="239"/>
      <c r="CM10683" s="336"/>
    </row>
    <row r="10684" spans="84:91" s="51" customFormat="1">
      <c r="CF10684" s="239"/>
      <c r="CM10684" s="336"/>
    </row>
    <row r="10685" spans="84:91" s="51" customFormat="1">
      <c r="CF10685" s="239"/>
      <c r="CM10685" s="336"/>
    </row>
    <row r="10686" spans="84:91" s="51" customFormat="1">
      <c r="CF10686" s="239"/>
      <c r="CM10686" s="336"/>
    </row>
    <row r="10687" spans="84:91" s="51" customFormat="1">
      <c r="CF10687" s="239"/>
      <c r="CM10687" s="336"/>
    </row>
    <row r="10688" spans="84:91" s="51" customFormat="1">
      <c r="CF10688" s="239"/>
      <c r="CM10688" s="336"/>
    </row>
    <row r="10689" spans="84:91" s="51" customFormat="1">
      <c r="CF10689" s="239"/>
      <c r="CM10689" s="336"/>
    </row>
    <row r="10690" spans="84:91" s="51" customFormat="1">
      <c r="CF10690" s="239"/>
      <c r="CM10690" s="336"/>
    </row>
    <row r="10691" spans="84:91" s="51" customFormat="1">
      <c r="CF10691" s="239"/>
      <c r="CM10691" s="336"/>
    </row>
    <row r="10692" spans="84:91" s="51" customFormat="1">
      <c r="CF10692" s="239"/>
      <c r="CM10692" s="336"/>
    </row>
    <row r="10693" spans="84:91" s="51" customFormat="1">
      <c r="CF10693" s="239"/>
      <c r="CM10693" s="336"/>
    </row>
    <row r="10694" spans="84:91" s="51" customFormat="1">
      <c r="CF10694" s="239"/>
      <c r="CM10694" s="336"/>
    </row>
    <row r="10695" spans="84:91" s="51" customFormat="1">
      <c r="CF10695" s="239"/>
      <c r="CM10695" s="336"/>
    </row>
    <row r="10696" spans="84:91" s="51" customFormat="1">
      <c r="CF10696" s="239"/>
      <c r="CM10696" s="336"/>
    </row>
    <row r="10697" spans="84:91" s="51" customFormat="1">
      <c r="CF10697" s="239"/>
      <c r="CM10697" s="336"/>
    </row>
    <row r="10698" spans="84:91" s="51" customFormat="1">
      <c r="CF10698" s="239"/>
      <c r="CM10698" s="336"/>
    </row>
    <row r="10699" spans="84:91" s="51" customFormat="1">
      <c r="CF10699" s="239"/>
      <c r="CM10699" s="336"/>
    </row>
    <row r="10700" spans="84:91" s="51" customFormat="1">
      <c r="CF10700" s="239"/>
      <c r="CM10700" s="336"/>
    </row>
    <row r="10701" spans="84:91" s="51" customFormat="1">
      <c r="CF10701" s="239"/>
      <c r="CM10701" s="336"/>
    </row>
    <row r="10702" spans="84:91" s="51" customFormat="1">
      <c r="CF10702" s="239"/>
      <c r="CM10702" s="336"/>
    </row>
    <row r="10703" spans="84:91" s="51" customFormat="1">
      <c r="CF10703" s="239"/>
      <c r="CM10703" s="336"/>
    </row>
    <row r="10704" spans="84:91" s="51" customFormat="1">
      <c r="CF10704" s="239"/>
      <c r="CM10704" s="336"/>
    </row>
    <row r="10705" spans="84:91" s="51" customFormat="1">
      <c r="CF10705" s="239"/>
      <c r="CM10705" s="336"/>
    </row>
    <row r="10706" spans="84:91" s="51" customFormat="1">
      <c r="CF10706" s="239"/>
      <c r="CM10706" s="336"/>
    </row>
    <row r="10707" spans="84:91" s="51" customFormat="1">
      <c r="CF10707" s="239"/>
      <c r="CM10707" s="336"/>
    </row>
    <row r="10708" spans="84:91" s="51" customFormat="1">
      <c r="CF10708" s="239"/>
      <c r="CM10708" s="336"/>
    </row>
    <row r="10709" spans="84:91" s="51" customFormat="1">
      <c r="CF10709" s="239"/>
      <c r="CM10709" s="336"/>
    </row>
    <row r="10710" spans="84:91" s="51" customFormat="1">
      <c r="CF10710" s="239"/>
      <c r="CM10710" s="336"/>
    </row>
    <row r="10711" spans="84:91" s="51" customFormat="1">
      <c r="CF10711" s="239"/>
      <c r="CM10711" s="336"/>
    </row>
    <row r="10712" spans="84:91" s="51" customFormat="1">
      <c r="CF10712" s="239"/>
      <c r="CM10712" s="336"/>
    </row>
    <row r="10713" spans="84:91" s="51" customFormat="1">
      <c r="CF10713" s="239"/>
      <c r="CM10713" s="336"/>
    </row>
    <row r="10714" spans="84:91" s="51" customFormat="1">
      <c r="CF10714" s="239"/>
      <c r="CM10714" s="336"/>
    </row>
    <row r="10715" spans="84:91" s="51" customFormat="1">
      <c r="CF10715" s="239"/>
      <c r="CM10715" s="336"/>
    </row>
    <row r="10716" spans="84:91" s="51" customFormat="1">
      <c r="CF10716" s="239"/>
      <c r="CM10716" s="336"/>
    </row>
    <row r="10717" spans="84:91" s="51" customFormat="1">
      <c r="CF10717" s="239"/>
      <c r="CM10717" s="336"/>
    </row>
    <row r="10718" spans="84:91" s="51" customFormat="1">
      <c r="CF10718" s="239"/>
      <c r="CM10718" s="336"/>
    </row>
    <row r="10719" spans="84:91" s="51" customFormat="1">
      <c r="CF10719" s="239"/>
      <c r="CM10719" s="336"/>
    </row>
    <row r="10720" spans="84:91" s="51" customFormat="1">
      <c r="CF10720" s="239"/>
      <c r="CM10720" s="336"/>
    </row>
    <row r="10721" spans="84:91" s="51" customFormat="1">
      <c r="CF10721" s="239"/>
      <c r="CM10721" s="336"/>
    </row>
    <row r="10722" spans="84:91" s="51" customFormat="1">
      <c r="CF10722" s="239"/>
      <c r="CM10722" s="336"/>
    </row>
    <row r="10723" spans="84:91" s="51" customFormat="1">
      <c r="CF10723" s="239"/>
      <c r="CM10723" s="336"/>
    </row>
    <row r="10724" spans="84:91" s="51" customFormat="1">
      <c r="CF10724" s="239"/>
      <c r="CM10724" s="336"/>
    </row>
    <row r="10725" spans="84:91" s="51" customFormat="1">
      <c r="CF10725" s="239"/>
      <c r="CM10725" s="336"/>
    </row>
    <row r="10726" spans="84:91" s="51" customFormat="1">
      <c r="CF10726" s="239"/>
      <c r="CM10726" s="336"/>
    </row>
    <row r="10727" spans="84:91" s="51" customFormat="1">
      <c r="CF10727" s="239"/>
      <c r="CM10727" s="336"/>
    </row>
    <row r="10728" spans="84:91" s="51" customFormat="1">
      <c r="CF10728" s="239"/>
      <c r="CM10728" s="336"/>
    </row>
    <row r="10729" spans="84:91" s="51" customFormat="1">
      <c r="CF10729" s="239"/>
      <c r="CM10729" s="336"/>
    </row>
    <row r="10730" spans="84:91" s="51" customFormat="1">
      <c r="CF10730" s="239"/>
      <c r="CM10730" s="336"/>
    </row>
    <row r="10731" spans="84:91" s="51" customFormat="1">
      <c r="CF10731" s="239"/>
      <c r="CM10731" s="336"/>
    </row>
    <row r="10732" spans="84:91" s="51" customFormat="1">
      <c r="CF10732" s="239"/>
      <c r="CM10732" s="336"/>
    </row>
    <row r="10733" spans="84:91" s="51" customFormat="1">
      <c r="CF10733" s="239"/>
      <c r="CM10733" s="336"/>
    </row>
    <row r="10734" spans="84:91" s="51" customFormat="1">
      <c r="CF10734" s="239"/>
      <c r="CM10734" s="336"/>
    </row>
    <row r="10735" spans="84:91" s="51" customFormat="1">
      <c r="CF10735" s="239"/>
      <c r="CM10735" s="336"/>
    </row>
    <row r="10736" spans="84:91" s="51" customFormat="1">
      <c r="CF10736" s="239"/>
      <c r="CM10736" s="336"/>
    </row>
    <row r="10737" spans="84:91" s="51" customFormat="1">
      <c r="CF10737" s="239"/>
      <c r="CM10737" s="336"/>
    </row>
    <row r="10738" spans="84:91" s="51" customFormat="1">
      <c r="CF10738" s="239"/>
      <c r="CM10738" s="336"/>
    </row>
    <row r="10739" spans="84:91" s="51" customFormat="1">
      <c r="CF10739" s="239"/>
      <c r="CM10739" s="336"/>
    </row>
    <row r="10740" spans="84:91" s="51" customFormat="1">
      <c r="CF10740" s="239"/>
      <c r="CM10740" s="336"/>
    </row>
    <row r="10741" spans="84:91" s="51" customFormat="1">
      <c r="CF10741" s="239"/>
      <c r="CM10741" s="336"/>
    </row>
    <row r="10742" spans="84:91" s="51" customFormat="1">
      <c r="CF10742" s="239"/>
      <c r="CM10742" s="336"/>
    </row>
    <row r="10743" spans="84:91" s="51" customFormat="1">
      <c r="CF10743" s="239"/>
      <c r="CM10743" s="336"/>
    </row>
    <row r="10744" spans="84:91" s="51" customFormat="1">
      <c r="CF10744" s="239"/>
      <c r="CM10744" s="336"/>
    </row>
    <row r="10745" spans="84:91" s="51" customFormat="1">
      <c r="CF10745" s="239"/>
      <c r="CM10745" s="336"/>
    </row>
    <row r="10746" spans="84:91" s="51" customFormat="1">
      <c r="CF10746" s="239"/>
      <c r="CM10746" s="336"/>
    </row>
    <row r="10747" spans="84:91" s="51" customFormat="1">
      <c r="CF10747" s="239"/>
      <c r="CM10747" s="336"/>
    </row>
    <row r="10748" spans="84:91" s="51" customFormat="1">
      <c r="CF10748" s="239"/>
      <c r="CM10748" s="336"/>
    </row>
    <row r="10749" spans="84:91" s="51" customFormat="1">
      <c r="CF10749" s="239"/>
      <c r="CM10749" s="336"/>
    </row>
    <row r="10750" spans="84:91" s="51" customFormat="1">
      <c r="CF10750" s="239"/>
      <c r="CM10750" s="336"/>
    </row>
    <row r="10751" spans="84:91" s="51" customFormat="1">
      <c r="CF10751" s="239"/>
      <c r="CM10751" s="336"/>
    </row>
    <row r="10752" spans="84:91" s="51" customFormat="1">
      <c r="CF10752" s="239"/>
      <c r="CM10752" s="336"/>
    </row>
    <row r="10753" spans="84:91" s="51" customFormat="1">
      <c r="CF10753" s="239"/>
      <c r="CM10753" s="336"/>
    </row>
    <row r="10754" spans="84:91" s="51" customFormat="1">
      <c r="CF10754" s="239"/>
      <c r="CM10754" s="336"/>
    </row>
    <row r="10755" spans="84:91" s="51" customFormat="1">
      <c r="CF10755" s="239"/>
      <c r="CM10755" s="336"/>
    </row>
    <row r="10756" spans="84:91" s="51" customFormat="1">
      <c r="CF10756" s="239"/>
      <c r="CM10756" s="336"/>
    </row>
    <row r="10757" spans="84:91" s="51" customFormat="1">
      <c r="CF10757" s="239"/>
      <c r="CM10757" s="336"/>
    </row>
    <row r="10758" spans="84:91" s="51" customFormat="1">
      <c r="CF10758" s="239"/>
      <c r="CM10758" s="336"/>
    </row>
    <row r="10759" spans="84:91" s="51" customFormat="1">
      <c r="CF10759" s="239"/>
      <c r="CM10759" s="336"/>
    </row>
    <row r="10760" spans="84:91" s="51" customFormat="1">
      <c r="CF10760" s="239"/>
      <c r="CM10760" s="336"/>
    </row>
    <row r="10761" spans="84:91" s="51" customFormat="1">
      <c r="CF10761" s="239"/>
      <c r="CM10761" s="336"/>
    </row>
    <row r="10762" spans="84:91" s="51" customFormat="1">
      <c r="CF10762" s="239"/>
      <c r="CM10762" s="336"/>
    </row>
    <row r="10763" spans="84:91" s="51" customFormat="1">
      <c r="CF10763" s="239"/>
      <c r="CM10763" s="336"/>
    </row>
    <row r="10764" spans="84:91" s="51" customFormat="1">
      <c r="CF10764" s="239"/>
      <c r="CM10764" s="336"/>
    </row>
    <row r="10765" spans="84:91" s="51" customFormat="1">
      <c r="CF10765" s="239"/>
      <c r="CM10765" s="336"/>
    </row>
    <row r="10766" spans="84:91" s="51" customFormat="1">
      <c r="CF10766" s="239"/>
      <c r="CM10766" s="336"/>
    </row>
    <row r="10767" spans="84:91" s="51" customFormat="1">
      <c r="CF10767" s="239"/>
      <c r="CM10767" s="336"/>
    </row>
    <row r="10768" spans="84:91" s="51" customFormat="1">
      <c r="CF10768" s="239"/>
      <c r="CM10768" s="336"/>
    </row>
    <row r="10769" spans="84:91" s="51" customFormat="1">
      <c r="CF10769" s="239"/>
      <c r="CM10769" s="336"/>
    </row>
    <row r="10770" spans="84:91" s="51" customFormat="1">
      <c r="CF10770" s="239"/>
      <c r="CM10770" s="336"/>
    </row>
    <row r="10771" spans="84:91" s="51" customFormat="1">
      <c r="CF10771" s="239"/>
      <c r="CM10771" s="336"/>
    </row>
    <row r="10772" spans="84:91" s="51" customFormat="1">
      <c r="CF10772" s="239"/>
      <c r="CM10772" s="336"/>
    </row>
    <row r="10773" spans="84:91" s="51" customFormat="1">
      <c r="CF10773" s="239"/>
      <c r="CM10773" s="336"/>
    </row>
    <row r="10774" spans="84:91" s="51" customFormat="1">
      <c r="CF10774" s="239"/>
      <c r="CM10774" s="336"/>
    </row>
    <row r="10775" spans="84:91" s="51" customFormat="1">
      <c r="CF10775" s="239"/>
      <c r="CM10775" s="336"/>
    </row>
    <row r="10776" spans="84:91" s="51" customFormat="1">
      <c r="CF10776" s="239"/>
      <c r="CM10776" s="336"/>
    </row>
    <row r="10777" spans="84:91" s="51" customFormat="1">
      <c r="CF10777" s="239"/>
      <c r="CM10777" s="336"/>
    </row>
    <row r="10778" spans="84:91" s="51" customFormat="1">
      <c r="CF10778" s="239"/>
      <c r="CM10778" s="336"/>
    </row>
    <row r="10779" spans="84:91" s="51" customFormat="1">
      <c r="CF10779" s="239"/>
      <c r="CM10779" s="336"/>
    </row>
    <row r="10780" spans="84:91" s="51" customFormat="1">
      <c r="CF10780" s="239"/>
      <c r="CM10780" s="336"/>
    </row>
    <row r="10781" spans="84:91" s="51" customFormat="1">
      <c r="CF10781" s="239"/>
      <c r="CM10781" s="336"/>
    </row>
    <row r="10782" spans="84:91" s="51" customFormat="1">
      <c r="CF10782" s="239"/>
      <c r="CM10782" s="336"/>
    </row>
    <row r="10783" spans="84:91" s="51" customFormat="1">
      <c r="CF10783" s="239"/>
      <c r="CM10783" s="336"/>
    </row>
    <row r="10784" spans="84:91" s="51" customFormat="1">
      <c r="CF10784" s="239"/>
      <c r="CM10784" s="336"/>
    </row>
    <row r="10785" spans="84:91" s="51" customFormat="1">
      <c r="CF10785" s="239"/>
      <c r="CM10785" s="336"/>
    </row>
    <row r="10786" spans="84:91" s="51" customFormat="1">
      <c r="CF10786" s="239"/>
      <c r="CM10786" s="336"/>
    </row>
    <row r="10787" spans="84:91" s="51" customFormat="1">
      <c r="CF10787" s="239"/>
      <c r="CM10787" s="336"/>
    </row>
    <row r="10788" spans="84:91" s="51" customFormat="1">
      <c r="CF10788" s="239"/>
      <c r="CM10788" s="336"/>
    </row>
    <row r="10789" spans="84:91" s="51" customFormat="1">
      <c r="CF10789" s="239"/>
      <c r="CM10789" s="336"/>
    </row>
    <row r="10790" spans="84:91" s="51" customFormat="1">
      <c r="CF10790" s="239"/>
      <c r="CM10790" s="336"/>
    </row>
    <row r="10791" spans="84:91" s="51" customFormat="1">
      <c r="CF10791" s="239"/>
      <c r="CM10791" s="336"/>
    </row>
    <row r="10792" spans="84:91" s="51" customFormat="1">
      <c r="CF10792" s="239"/>
      <c r="CM10792" s="336"/>
    </row>
    <row r="10793" spans="84:91" s="51" customFormat="1">
      <c r="CF10793" s="239"/>
      <c r="CM10793" s="336"/>
    </row>
    <row r="10794" spans="84:91" s="51" customFormat="1">
      <c r="CF10794" s="239"/>
      <c r="CM10794" s="336"/>
    </row>
    <row r="10795" spans="84:91" s="51" customFormat="1">
      <c r="CF10795" s="239"/>
      <c r="CM10795" s="336"/>
    </row>
    <row r="10796" spans="84:91" s="51" customFormat="1">
      <c r="CF10796" s="239"/>
      <c r="CM10796" s="336"/>
    </row>
    <row r="10797" spans="84:91" s="51" customFormat="1">
      <c r="CF10797" s="239"/>
      <c r="CM10797" s="336"/>
    </row>
    <row r="10798" spans="84:91" s="51" customFormat="1">
      <c r="CF10798" s="239"/>
      <c r="CM10798" s="336"/>
    </row>
    <row r="10799" spans="84:91" s="51" customFormat="1">
      <c r="CF10799" s="239"/>
      <c r="CM10799" s="336"/>
    </row>
    <row r="10800" spans="84:91" s="51" customFormat="1">
      <c r="CF10800" s="239"/>
      <c r="CM10800" s="336"/>
    </row>
    <row r="10801" spans="84:91" s="51" customFormat="1">
      <c r="CF10801" s="239"/>
      <c r="CM10801" s="336"/>
    </row>
    <row r="10802" spans="84:91" s="51" customFormat="1">
      <c r="CF10802" s="239"/>
      <c r="CM10802" s="336"/>
    </row>
    <row r="10803" spans="84:91" s="51" customFormat="1">
      <c r="CF10803" s="239"/>
      <c r="CM10803" s="336"/>
    </row>
    <row r="10804" spans="84:91" s="51" customFormat="1">
      <c r="CF10804" s="239"/>
      <c r="CM10804" s="336"/>
    </row>
    <row r="10805" spans="84:91" s="51" customFormat="1">
      <c r="CF10805" s="239"/>
      <c r="CM10805" s="336"/>
    </row>
    <row r="10806" spans="84:91" s="51" customFormat="1">
      <c r="CF10806" s="239"/>
      <c r="CM10806" s="336"/>
    </row>
    <row r="10807" spans="84:91" s="51" customFormat="1">
      <c r="CF10807" s="239"/>
      <c r="CM10807" s="336"/>
    </row>
    <row r="10808" spans="84:91" s="51" customFormat="1">
      <c r="CF10808" s="239"/>
      <c r="CM10808" s="336"/>
    </row>
    <row r="10809" spans="84:91" s="51" customFormat="1">
      <c r="CF10809" s="239"/>
      <c r="CM10809" s="336"/>
    </row>
    <row r="10810" spans="84:91" s="51" customFormat="1">
      <c r="CF10810" s="239"/>
      <c r="CM10810" s="336"/>
    </row>
    <row r="10811" spans="84:91" s="51" customFormat="1">
      <c r="CF10811" s="239"/>
      <c r="CM10811" s="336"/>
    </row>
    <row r="10812" spans="84:91" s="51" customFormat="1">
      <c r="CF10812" s="239"/>
      <c r="CM10812" s="336"/>
    </row>
    <row r="10813" spans="84:91" s="51" customFormat="1">
      <c r="CF10813" s="239"/>
      <c r="CM10813" s="336"/>
    </row>
    <row r="10814" spans="84:91" s="51" customFormat="1">
      <c r="CF10814" s="239"/>
      <c r="CM10814" s="336"/>
    </row>
    <row r="10815" spans="84:91" s="51" customFormat="1">
      <c r="CF10815" s="239"/>
      <c r="CM10815" s="336"/>
    </row>
    <row r="10816" spans="84:91" s="51" customFormat="1">
      <c r="CF10816" s="239"/>
      <c r="CM10816" s="336"/>
    </row>
    <row r="10817" spans="84:91" s="51" customFormat="1">
      <c r="CF10817" s="239"/>
      <c r="CM10817" s="336"/>
    </row>
    <row r="10818" spans="84:91" s="51" customFormat="1">
      <c r="CF10818" s="239"/>
      <c r="CM10818" s="336"/>
    </row>
    <row r="10819" spans="84:91" s="51" customFormat="1">
      <c r="CF10819" s="239"/>
      <c r="CM10819" s="336"/>
    </row>
    <row r="10820" spans="84:91" s="51" customFormat="1">
      <c r="CF10820" s="239"/>
      <c r="CM10820" s="336"/>
    </row>
    <row r="10821" spans="84:91" s="51" customFormat="1">
      <c r="CF10821" s="239"/>
      <c r="CM10821" s="336"/>
    </row>
    <row r="10822" spans="84:91" s="51" customFormat="1">
      <c r="CF10822" s="239"/>
      <c r="CM10822" s="336"/>
    </row>
    <row r="10823" spans="84:91" s="51" customFormat="1">
      <c r="CF10823" s="239"/>
      <c r="CM10823" s="336"/>
    </row>
    <row r="10824" spans="84:91" s="51" customFormat="1">
      <c r="CF10824" s="239"/>
      <c r="CM10824" s="336"/>
    </row>
    <row r="10825" spans="84:91" s="51" customFormat="1">
      <c r="CF10825" s="239"/>
      <c r="CM10825" s="336"/>
    </row>
    <row r="10826" spans="84:91" s="51" customFormat="1">
      <c r="CF10826" s="239"/>
      <c r="CM10826" s="336"/>
    </row>
    <row r="10827" spans="84:91" s="51" customFormat="1">
      <c r="CF10827" s="239"/>
      <c r="CM10827" s="336"/>
    </row>
    <row r="10828" spans="84:91" s="51" customFormat="1">
      <c r="CF10828" s="239"/>
      <c r="CM10828" s="336"/>
    </row>
    <row r="10829" spans="84:91" s="51" customFormat="1">
      <c r="CF10829" s="239"/>
      <c r="CM10829" s="336"/>
    </row>
    <row r="10830" spans="84:91" s="51" customFormat="1">
      <c r="CF10830" s="239"/>
      <c r="CM10830" s="336"/>
    </row>
    <row r="10831" spans="84:91" s="51" customFormat="1">
      <c r="CF10831" s="239"/>
      <c r="CM10831" s="336"/>
    </row>
    <row r="10832" spans="84:91" s="51" customFormat="1">
      <c r="CF10832" s="239"/>
      <c r="CM10832" s="336"/>
    </row>
    <row r="10833" spans="84:91" s="51" customFormat="1">
      <c r="CF10833" s="239"/>
      <c r="CM10833" s="336"/>
    </row>
    <row r="10834" spans="84:91" s="51" customFormat="1">
      <c r="CF10834" s="239"/>
      <c r="CM10834" s="336"/>
    </row>
    <row r="10835" spans="84:91" s="51" customFormat="1">
      <c r="CF10835" s="239"/>
      <c r="CM10835" s="336"/>
    </row>
    <row r="10836" spans="84:91" s="51" customFormat="1">
      <c r="CF10836" s="239"/>
      <c r="CM10836" s="336"/>
    </row>
    <row r="10837" spans="84:91" s="51" customFormat="1">
      <c r="CF10837" s="239"/>
      <c r="CM10837" s="336"/>
    </row>
    <row r="10838" spans="84:91" s="51" customFormat="1">
      <c r="CF10838" s="239"/>
      <c r="CM10838" s="336"/>
    </row>
    <row r="10839" spans="84:91" s="51" customFormat="1">
      <c r="CF10839" s="239"/>
      <c r="CM10839" s="336"/>
    </row>
    <row r="10840" spans="84:91" s="51" customFormat="1">
      <c r="CF10840" s="239"/>
      <c r="CM10840" s="336"/>
    </row>
    <row r="10841" spans="84:91" s="51" customFormat="1">
      <c r="CF10841" s="239"/>
      <c r="CM10841" s="336"/>
    </row>
    <row r="10842" spans="84:91" s="51" customFormat="1">
      <c r="CF10842" s="239"/>
      <c r="CM10842" s="336"/>
    </row>
    <row r="10843" spans="84:91" s="51" customFormat="1">
      <c r="CF10843" s="239"/>
      <c r="CM10843" s="336"/>
    </row>
    <row r="10844" spans="84:91" s="51" customFormat="1">
      <c r="CF10844" s="239"/>
      <c r="CM10844" s="336"/>
    </row>
    <row r="10845" spans="84:91" s="51" customFormat="1">
      <c r="CF10845" s="239"/>
      <c r="CM10845" s="336"/>
    </row>
    <row r="10846" spans="84:91" s="51" customFormat="1">
      <c r="CF10846" s="239"/>
      <c r="CM10846" s="336"/>
    </row>
    <row r="10847" spans="84:91" s="51" customFormat="1">
      <c r="CF10847" s="239"/>
      <c r="CM10847" s="336"/>
    </row>
    <row r="10848" spans="84:91" s="51" customFormat="1">
      <c r="CF10848" s="239"/>
      <c r="CM10848" s="336"/>
    </row>
    <row r="10849" spans="84:91" s="51" customFormat="1">
      <c r="CF10849" s="239"/>
      <c r="CM10849" s="336"/>
    </row>
    <row r="10850" spans="84:91" s="51" customFormat="1">
      <c r="CF10850" s="239"/>
      <c r="CM10850" s="336"/>
    </row>
    <row r="10851" spans="84:91" s="51" customFormat="1">
      <c r="CF10851" s="239"/>
      <c r="CM10851" s="336"/>
    </row>
    <row r="10852" spans="84:91" s="51" customFormat="1">
      <c r="CF10852" s="239"/>
      <c r="CM10852" s="336"/>
    </row>
    <row r="10853" spans="84:91" s="51" customFormat="1">
      <c r="CF10853" s="239"/>
      <c r="CM10853" s="336"/>
    </row>
    <row r="10854" spans="84:91" s="51" customFormat="1">
      <c r="CF10854" s="239"/>
      <c r="CM10854" s="336"/>
    </row>
    <row r="10855" spans="84:91" s="51" customFormat="1">
      <c r="CF10855" s="239"/>
      <c r="CM10855" s="336"/>
    </row>
    <row r="10856" spans="84:91" s="51" customFormat="1">
      <c r="CF10856" s="239"/>
      <c r="CM10856" s="336"/>
    </row>
    <row r="10857" spans="84:91" s="51" customFormat="1">
      <c r="CF10857" s="239"/>
      <c r="CM10857" s="336"/>
    </row>
    <row r="10858" spans="84:91" s="51" customFormat="1">
      <c r="CF10858" s="239"/>
      <c r="CM10858" s="336"/>
    </row>
    <row r="10859" spans="84:91" s="51" customFormat="1">
      <c r="CF10859" s="239"/>
      <c r="CM10859" s="336"/>
    </row>
    <row r="10860" spans="84:91" s="51" customFormat="1">
      <c r="CF10860" s="239"/>
      <c r="CM10860" s="336"/>
    </row>
    <row r="10861" spans="84:91" s="51" customFormat="1">
      <c r="CF10861" s="239"/>
      <c r="CM10861" s="336"/>
    </row>
    <row r="10862" spans="84:91" s="51" customFormat="1">
      <c r="CF10862" s="239"/>
      <c r="CM10862" s="336"/>
    </row>
    <row r="10863" spans="84:91" s="51" customFormat="1">
      <c r="CF10863" s="239"/>
      <c r="CM10863" s="336"/>
    </row>
    <row r="10864" spans="84:91" s="51" customFormat="1">
      <c r="CF10864" s="239"/>
      <c r="CM10864" s="336"/>
    </row>
    <row r="10865" spans="84:91" s="51" customFormat="1">
      <c r="CF10865" s="239"/>
      <c r="CM10865" s="336"/>
    </row>
    <row r="10866" spans="84:91" s="51" customFormat="1">
      <c r="CF10866" s="239"/>
      <c r="CM10866" s="336"/>
    </row>
    <row r="10867" spans="84:91" s="51" customFormat="1">
      <c r="CF10867" s="239"/>
      <c r="CM10867" s="336"/>
    </row>
    <row r="10868" spans="84:91" s="51" customFormat="1">
      <c r="CF10868" s="239"/>
      <c r="CM10868" s="336"/>
    </row>
    <row r="10869" spans="84:91" s="51" customFormat="1">
      <c r="CF10869" s="239"/>
      <c r="CM10869" s="336"/>
    </row>
    <row r="10870" spans="84:91" s="51" customFormat="1">
      <c r="CF10870" s="239"/>
      <c r="CM10870" s="336"/>
    </row>
    <row r="10871" spans="84:91" s="51" customFormat="1">
      <c r="CF10871" s="239"/>
      <c r="CM10871" s="336"/>
    </row>
    <row r="10872" spans="84:91" s="51" customFormat="1">
      <c r="CF10872" s="239"/>
      <c r="CM10872" s="336"/>
    </row>
    <row r="10873" spans="84:91" s="51" customFormat="1">
      <c r="CF10873" s="239"/>
      <c r="CM10873" s="336"/>
    </row>
    <row r="10874" spans="84:91" s="51" customFormat="1">
      <c r="CF10874" s="239"/>
      <c r="CM10874" s="336"/>
    </row>
    <row r="10875" spans="84:91" s="51" customFormat="1">
      <c r="CF10875" s="239"/>
      <c r="CM10875" s="336"/>
    </row>
    <row r="10876" spans="84:91" s="51" customFormat="1">
      <c r="CF10876" s="239"/>
      <c r="CM10876" s="336"/>
    </row>
    <row r="10877" spans="84:91" s="51" customFormat="1">
      <c r="CF10877" s="239"/>
      <c r="CM10877" s="336"/>
    </row>
    <row r="10878" spans="84:91" s="51" customFormat="1">
      <c r="CF10878" s="239"/>
      <c r="CM10878" s="336"/>
    </row>
    <row r="10879" spans="84:91" s="51" customFormat="1">
      <c r="CF10879" s="239"/>
      <c r="CM10879" s="336"/>
    </row>
    <row r="10880" spans="84:91" s="51" customFormat="1">
      <c r="CF10880" s="239"/>
      <c r="CM10880" s="336"/>
    </row>
    <row r="10881" spans="84:91" s="51" customFormat="1">
      <c r="CF10881" s="239"/>
      <c r="CM10881" s="336"/>
    </row>
    <row r="10882" spans="84:91" s="51" customFormat="1">
      <c r="CF10882" s="239"/>
      <c r="CM10882" s="336"/>
    </row>
    <row r="10883" spans="84:91" s="51" customFormat="1">
      <c r="CF10883" s="239"/>
      <c r="CM10883" s="336"/>
    </row>
    <row r="10884" spans="84:91" s="51" customFormat="1">
      <c r="CF10884" s="239"/>
      <c r="CM10884" s="336"/>
    </row>
    <row r="10885" spans="84:91" s="51" customFormat="1">
      <c r="CF10885" s="239"/>
      <c r="CM10885" s="336"/>
    </row>
    <row r="10886" spans="84:91" s="51" customFormat="1">
      <c r="CF10886" s="239"/>
      <c r="CM10886" s="336"/>
    </row>
    <row r="10887" spans="84:91" s="51" customFormat="1">
      <c r="CF10887" s="239"/>
      <c r="CM10887" s="336"/>
    </row>
    <row r="10888" spans="84:91" s="51" customFormat="1">
      <c r="CF10888" s="239"/>
      <c r="CM10888" s="336"/>
    </row>
    <row r="10889" spans="84:91" s="51" customFormat="1">
      <c r="CF10889" s="239"/>
      <c r="CM10889" s="336"/>
    </row>
    <row r="10890" spans="84:91" s="51" customFormat="1">
      <c r="CF10890" s="239"/>
      <c r="CM10890" s="336"/>
    </row>
    <row r="10891" spans="84:91" s="51" customFormat="1">
      <c r="CF10891" s="239"/>
      <c r="CM10891" s="336"/>
    </row>
    <row r="10892" spans="84:91" s="51" customFormat="1">
      <c r="CF10892" s="239"/>
      <c r="CM10892" s="336"/>
    </row>
    <row r="10893" spans="84:91" s="51" customFormat="1">
      <c r="CF10893" s="239"/>
      <c r="CM10893" s="336"/>
    </row>
    <row r="10894" spans="84:91" s="51" customFormat="1">
      <c r="CF10894" s="239"/>
      <c r="CM10894" s="336"/>
    </row>
    <row r="10895" spans="84:91" s="51" customFormat="1">
      <c r="CF10895" s="239"/>
      <c r="CM10895" s="336"/>
    </row>
    <row r="10896" spans="84:91" s="51" customFormat="1">
      <c r="CF10896" s="239"/>
      <c r="CM10896" s="336"/>
    </row>
    <row r="10897" spans="84:91" s="51" customFormat="1">
      <c r="CF10897" s="239"/>
      <c r="CM10897" s="336"/>
    </row>
    <row r="10898" spans="84:91" s="51" customFormat="1">
      <c r="CF10898" s="239"/>
      <c r="CM10898" s="336"/>
    </row>
    <row r="10899" spans="84:91" s="51" customFormat="1">
      <c r="CF10899" s="239"/>
      <c r="CM10899" s="336"/>
    </row>
    <row r="10900" spans="84:91" s="51" customFormat="1">
      <c r="CF10900" s="239"/>
      <c r="CM10900" s="336"/>
    </row>
    <row r="10901" spans="84:91" s="51" customFormat="1">
      <c r="CF10901" s="239"/>
      <c r="CM10901" s="336"/>
    </row>
    <row r="10902" spans="84:91" s="51" customFormat="1">
      <c r="CF10902" s="239"/>
      <c r="CM10902" s="336"/>
    </row>
    <row r="10903" spans="84:91" s="51" customFormat="1">
      <c r="CF10903" s="239"/>
      <c r="CM10903" s="336"/>
    </row>
    <row r="10904" spans="84:91" s="51" customFormat="1">
      <c r="CF10904" s="239"/>
      <c r="CM10904" s="336"/>
    </row>
    <row r="10905" spans="84:91" s="51" customFormat="1">
      <c r="CF10905" s="239"/>
      <c r="CM10905" s="336"/>
    </row>
    <row r="10906" spans="84:91" s="51" customFormat="1">
      <c r="CF10906" s="239"/>
      <c r="CM10906" s="336"/>
    </row>
    <row r="10907" spans="84:91" s="51" customFormat="1">
      <c r="CF10907" s="239"/>
      <c r="CM10907" s="336"/>
    </row>
    <row r="10908" spans="84:91" s="51" customFormat="1">
      <c r="CF10908" s="239"/>
      <c r="CM10908" s="336"/>
    </row>
    <row r="10909" spans="84:91" s="51" customFormat="1">
      <c r="CF10909" s="239"/>
      <c r="CM10909" s="336"/>
    </row>
    <row r="10910" spans="84:91" s="51" customFormat="1">
      <c r="CF10910" s="239"/>
      <c r="CM10910" s="336"/>
    </row>
    <row r="10911" spans="84:91" s="51" customFormat="1">
      <c r="CF10911" s="239"/>
      <c r="CM10911" s="336"/>
    </row>
    <row r="10912" spans="84:91" s="51" customFormat="1">
      <c r="CF10912" s="239"/>
      <c r="CM10912" s="336"/>
    </row>
    <row r="10913" spans="84:91" s="51" customFormat="1">
      <c r="CF10913" s="239"/>
      <c r="CM10913" s="336"/>
    </row>
    <row r="10914" spans="84:91" s="51" customFormat="1">
      <c r="CF10914" s="239"/>
      <c r="CM10914" s="336"/>
    </row>
    <row r="10915" spans="84:91" s="51" customFormat="1">
      <c r="CF10915" s="239"/>
      <c r="CM10915" s="336"/>
    </row>
    <row r="10916" spans="84:91" s="51" customFormat="1">
      <c r="CF10916" s="239"/>
      <c r="CM10916" s="336"/>
    </row>
    <row r="10917" spans="84:91" s="51" customFormat="1">
      <c r="CF10917" s="239"/>
      <c r="CM10917" s="336"/>
    </row>
    <row r="10918" spans="84:91" s="51" customFormat="1">
      <c r="CF10918" s="239"/>
      <c r="CM10918" s="336"/>
    </row>
    <row r="10919" spans="84:91" s="51" customFormat="1">
      <c r="CF10919" s="239"/>
      <c r="CM10919" s="336"/>
    </row>
    <row r="10920" spans="84:91" s="51" customFormat="1">
      <c r="CF10920" s="239"/>
      <c r="CM10920" s="336"/>
    </row>
    <row r="10921" spans="84:91" s="51" customFormat="1">
      <c r="CF10921" s="239"/>
      <c r="CM10921" s="336"/>
    </row>
    <row r="10922" spans="84:91" s="51" customFormat="1">
      <c r="CF10922" s="239"/>
      <c r="CM10922" s="336"/>
    </row>
    <row r="10923" spans="84:91" s="51" customFormat="1">
      <c r="CF10923" s="239"/>
      <c r="CM10923" s="336"/>
    </row>
    <row r="10924" spans="84:91" s="51" customFormat="1">
      <c r="CF10924" s="239"/>
      <c r="CM10924" s="336"/>
    </row>
    <row r="10925" spans="84:91" s="51" customFormat="1">
      <c r="CF10925" s="239"/>
      <c r="CM10925" s="336"/>
    </row>
    <row r="10926" spans="84:91" s="51" customFormat="1">
      <c r="CF10926" s="239"/>
      <c r="CM10926" s="336"/>
    </row>
    <row r="10927" spans="84:91" s="51" customFormat="1">
      <c r="CF10927" s="239"/>
      <c r="CM10927" s="336"/>
    </row>
    <row r="10928" spans="84:91" s="51" customFormat="1">
      <c r="CF10928" s="239"/>
      <c r="CM10928" s="336"/>
    </row>
    <row r="10929" spans="84:91" s="51" customFormat="1">
      <c r="CF10929" s="239"/>
      <c r="CM10929" s="336"/>
    </row>
    <row r="10930" spans="84:91" s="51" customFormat="1">
      <c r="CF10930" s="239"/>
      <c r="CM10930" s="336"/>
    </row>
    <row r="10931" spans="84:91" s="51" customFormat="1">
      <c r="CF10931" s="239"/>
      <c r="CM10931" s="336"/>
    </row>
    <row r="10932" spans="84:91" s="51" customFormat="1">
      <c r="CF10932" s="239"/>
      <c r="CM10932" s="336"/>
    </row>
    <row r="10933" spans="84:91" s="51" customFormat="1">
      <c r="CF10933" s="239"/>
      <c r="CM10933" s="336"/>
    </row>
    <row r="10934" spans="84:91" s="51" customFormat="1">
      <c r="CF10934" s="239"/>
      <c r="CM10934" s="336"/>
    </row>
    <row r="10935" spans="84:91" s="51" customFormat="1">
      <c r="CF10935" s="239"/>
      <c r="CM10935" s="336"/>
    </row>
    <row r="10936" spans="84:91" s="51" customFormat="1">
      <c r="CF10936" s="239"/>
      <c r="CM10936" s="336"/>
    </row>
    <row r="10937" spans="84:91" s="51" customFormat="1">
      <c r="CF10937" s="239"/>
      <c r="CM10937" s="336"/>
    </row>
    <row r="10938" spans="84:91" s="51" customFormat="1">
      <c r="CF10938" s="239"/>
      <c r="CM10938" s="336"/>
    </row>
    <row r="10939" spans="84:91" s="51" customFormat="1">
      <c r="CF10939" s="239"/>
      <c r="CM10939" s="336"/>
    </row>
    <row r="10940" spans="84:91" s="51" customFormat="1">
      <c r="CF10940" s="239"/>
      <c r="CM10940" s="336"/>
    </row>
    <row r="10941" spans="84:91" s="51" customFormat="1">
      <c r="CF10941" s="239"/>
      <c r="CM10941" s="336"/>
    </row>
    <row r="10942" spans="84:91" s="51" customFormat="1">
      <c r="CF10942" s="239"/>
      <c r="CM10942" s="336"/>
    </row>
    <row r="10943" spans="84:91" s="51" customFormat="1">
      <c r="CF10943" s="239"/>
      <c r="CM10943" s="336"/>
    </row>
    <row r="10944" spans="84:91" s="51" customFormat="1">
      <c r="CF10944" s="239"/>
      <c r="CM10944" s="336"/>
    </row>
    <row r="10945" spans="84:91" s="51" customFormat="1">
      <c r="CF10945" s="239"/>
      <c r="CM10945" s="336"/>
    </row>
    <row r="10946" spans="84:91" s="51" customFormat="1">
      <c r="CF10946" s="239"/>
      <c r="CM10946" s="336"/>
    </row>
    <row r="10947" spans="84:91" s="51" customFormat="1">
      <c r="CF10947" s="239"/>
      <c r="CM10947" s="336"/>
    </row>
    <row r="10948" spans="84:91" s="51" customFormat="1">
      <c r="CF10948" s="239"/>
      <c r="CM10948" s="336"/>
    </row>
    <row r="10949" spans="84:91" s="51" customFormat="1">
      <c r="CF10949" s="239"/>
      <c r="CM10949" s="336"/>
    </row>
    <row r="10950" spans="84:91" s="51" customFormat="1">
      <c r="CF10950" s="239"/>
      <c r="CM10950" s="336"/>
    </row>
    <row r="10951" spans="84:91" s="51" customFormat="1">
      <c r="CF10951" s="239"/>
      <c r="CM10951" s="336"/>
    </row>
    <row r="10952" spans="84:91" s="51" customFormat="1">
      <c r="CF10952" s="239"/>
      <c r="CM10952" s="336"/>
    </row>
    <row r="10953" spans="84:91" s="51" customFormat="1">
      <c r="CF10953" s="239"/>
      <c r="CM10953" s="336"/>
    </row>
    <row r="10954" spans="84:91" s="51" customFormat="1">
      <c r="CF10954" s="239"/>
      <c r="CM10954" s="336"/>
    </row>
    <row r="10955" spans="84:91" s="51" customFormat="1">
      <c r="CF10955" s="239"/>
      <c r="CM10955" s="336"/>
    </row>
    <row r="10956" spans="84:91" s="51" customFormat="1">
      <c r="CF10956" s="239"/>
      <c r="CM10956" s="336"/>
    </row>
    <row r="10957" spans="84:91" s="51" customFormat="1">
      <c r="CF10957" s="239"/>
      <c r="CM10957" s="336"/>
    </row>
    <row r="10958" spans="84:91" s="51" customFormat="1">
      <c r="CF10958" s="239"/>
      <c r="CM10958" s="336"/>
    </row>
    <row r="10959" spans="84:91" s="51" customFormat="1">
      <c r="CF10959" s="239"/>
      <c r="CM10959" s="336"/>
    </row>
    <row r="10960" spans="84:91" s="51" customFormat="1">
      <c r="CF10960" s="239"/>
      <c r="CM10960" s="336"/>
    </row>
    <row r="10961" spans="84:91" s="51" customFormat="1">
      <c r="CF10961" s="239"/>
      <c r="CM10961" s="336"/>
    </row>
    <row r="10962" spans="84:91" s="51" customFormat="1">
      <c r="CF10962" s="239"/>
      <c r="CM10962" s="336"/>
    </row>
    <row r="10963" spans="84:91" s="51" customFormat="1">
      <c r="CF10963" s="239"/>
      <c r="CM10963" s="336"/>
    </row>
    <row r="10964" spans="84:91" s="51" customFormat="1">
      <c r="CF10964" s="239"/>
      <c r="CM10964" s="336"/>
    </row>
    <row r="10965" spans="84:91" s="51" customFormat="1">
      <c r="CF10965" s="239"/>
      <c r="CM10965" s="336"/>
    </row>
    <row r="10966" spans="84:91" s="51" customFormat="1">
      <c r="CF10966" s="239"/>
      <c r="CM10966" s="336"/>
    </row>
    <row r="10967" spans="84:91" s="51" customFormat="1">
      <c r="CF10967" s="239"/>
      <c r="CM10967" s="336"/>
    </row>
    <row r="10968" spans="84:91" s="51" customFormat="1">
      <c r="CF10968" s="239"/>
      <c r="CM10968" s="336"/>
    </row>
    <row r="10969" spans="84:91" s="51" customFormat="1">
      <c r="CF10969" s="239"/>
      <c r="CM10969" s="336"/>
    </row>
    <row r="10970" spans="84:91" s="51" customFormat="1">
      <c r="CF10970" s="239"/>
      <c r="CM10970" s="336"/>
    </row>
    <row r="10971" spans="84:91" s="51" customFormat="1">
      <c r="CF10971" s="239"/>
      <c r="CM10971" s="336"/>
    </row>
    <row r="10972" spans="84:91" s="51" customFormat="1">
      <c r="CF10972" s="239"/>
      <c r="CM10972" s="336"/>
    </row>
    <row r="10973" spans="84:91" s="51" customFormat="1">
      <c r="CF10973" s="239"/>
      <c r="CM10973" s="336"/>
    </row>
    <row r="10974" spans="84:91" s="51" customFormat="1">
      <c r="CF10974" s="239"/>
      <c r="CM10974" s="336"/>
    </row>
    <row r="10975" spans="84:91" s="51" customFormat="1">
      <c r="CF10975" s="239"/>
      <c r="CM10975" s="336"/>
    </row>
    <row r="10976" spans="84:91" s="51" customFormat="1">
      <c r="CF10976" s="239"/>
      <c r="CM10976" s="336"/>
    </row>
    <row r="10977" spans="84:91" s="51" customFormat="1">
      <c r="CF10977" s="239"/>
      <c r="CM10977" s="336"/>
    </row>
    <row r="10978" spans="84:91" s="51" customFormat="1">
      <c r="CF10978" s="239"/>
      <c r="CM10978" s="336"/>
    </row>
    <row r="10979" spans="84:91" s="51" customFormat="1">
      <c r="CF10979" s="239"/>
      <c r="CM10979" s="336"/>
    </row>
    <row r="10980" spans="84:91" s="51" customFormat="1">
      <c r="CF10980" s="239"/>
      <c r="CM10980" s="336"/>
    </row>
    <row r="10981" spans="84:91" s="51" customFormat="1">
      <c r="CF10981" s="239"/>
      <c r="CM10981" s="336"/>
    </row>
    <row r="10982" spans="84:91" s="51" customFormat="1">
      <c r="CF10982" s="239"/>
      <c r="CM10982" s="336"/>
    </row>
    <row r="10983" spans="84:91" s="51" customFormat="1">
      <c r="CF10983" s="239"/>
      <c r="CM10983" s="336"/>
    </row>
    <row r="10984" spans="84:91" s="51" customFormat="1">
      <c r="CF10984" s="239"/>
      <c r="CM10984" s="336"/>
    </row>
    <row r="10985" spans="84:91" s="51" customFormat="1">
      <c r="CF10985" s="239"/>
      <c r="CM10985" s="336"/>
    </row>
    <row r="10986" spans="84:91" s="51" customFormat="1">
      <c r="CF10986" s="239"/>
      <c r="CM10986" s="336"/>
    </row>
    <row r="10987" spans="84:91" s="51" customFormat="1">
      <c r="CF10987" s="239"/>
      <c r="CM10987" s="336"/>
    </row>
    <row r="10988" spans="84:91" s="51" customFormat="1">
      <c r="CF10988" s="239"/>
      <c r="CM10988" s="336"/>
    </row>
    <row r="10989" spans="84:91" s="51" customFormat="1">
      <c r="CF10989" s="239"/>
      <c r="CM10989" s="336"/>
    </row>
    <row r="10990" spans="84:91" s="51" customFormat="1">
      <c r="CF10990" s="239"/>
      <c r="CM10990" s="336"/>
    </row>
    <row r="10991" spans="84:91" s="51" customFormat="1">
      <c r="CF10991" s="239"/>
      <c r="CM10991" s="336"/>
    </row>
    <row r="10992" spans="84:91" s="51" customFormat="1">
      <c r="CF10992" s="239"/>
      <c r="CM10992" s="336"/>
    </row>
    <row r="10993" spans="84:91" s="51" customFormat="1">
      <c r="CF10993" s="239"/>
      <c r="CM10993" s="336"/>
    </row>
    <row r="10994" spans="84:91" s="51" customFormat="1">
      <c r="CF10994" s="239"/>
      <c r="CM10994" s="336"/>
    </row>
    <row r="10995" spans="84:91" s="51" customFormat="1">
      <c r="CF10995" s="239"/>
      <c r="CM10995" s="336"/>
    </row>
    <row r="10996" spans="84:91" s="51" customFormat="1">
      <c r="CF10996" s="239"/>
      <c r="CM10996" s="336"/>
    </row>
    <row r="10997" spans="84:91" s="51" customFormat="1">
      <c r="CF10997" s="239"/>
      <c r="CM10997" s="336"/>
    </row>
    <row r="10998" spans="84:91" s="51" customFormat="1">
      <c r="CF10998" s="239"/>
      <c r="CM10998" s="336"/>
    </row>
    <row r="10999" spans="84:91" s="51" customFormat="1">
      <c r="CF10999" s="239"/>
      <c r="CM10999" s="336"/>
    </row>
    <row r="11000" spans="84:91" s="51" customFormat="1">
      <c r="CF11000" s="239"/>
      <c r="CM11000" s="336"/>
    </row>
    <row r="11001" spans="84:91" s="51" customFormat="1">
      <c r="CF11001" s="239"/>
      <c r="CM11001" s="336"/>
    </row>
    <row r="11002" spans="84:91" s="51" customFormat="1">
      <c r="CF11002" s="239"/>
      <c r="CM11002" s="336"/>
    </row>
    <row r="11003" spans="84:91" s="51" customFormat="1">
      <c r="CF11003" s="239"/>
      <c r="CM11003" s="336"/>
    </row>
    <row r="11004" spans="84:91" s="51" customFormat="1">
      <c r="CF11004" s="239"/>
      <c r="CM11004" s="336"/>
    </row>
    <row r="11005" spans="84:91" s="51" customFormat="1">
      <c r="CF11005" s="239"/>
      <c r="CM11005" s="336"/>
    </row>
    <row r="11006" spans="84:91" s="51" customFormat="1">
      <c r="CF11006" s="239"/>
      <c r="CM11006" s="336"/>
    </row>
    <row r="11007" spans="84:91" s="51" customFormat="1">
      <c r="CF11007" s="239"/>
      <c r="CM11007" s="336"/>
    </row>
    <row r="11008" spans="84:91" s="51" customFormat="1">
      <c r="CF11008" s="239"/>
      <c r="CM11008" s="336"/>
    </row>
    <row r="11009" spans="84:91" s="51" customFormat="1">
      <c r="CF11009" s="239"/>
      <c r="CM11009" s="336"/>
    </row>
    <row r="11010" spans="84:91" s="51" customFormat="1">
      <c r="CF11010" s="239"/>
      <c r="CM11010" s="336"/>
    </row>
    <row r="11011" spans="84:91" s="51" customFormat="1">
      <c r="CF11011" s="239"/>
      <c r="CM11011" s="336"/>
    </row>
    <row r="11012" spans="84:91" s="51" customFormat="1">
      <c r="CF11012" s="239"/>
      <c r="CM11012" s="336"/>
    </row>
    <row r="11013" spans="84:91" s="51" customFormat="1">
      <c r="CF11013" s="239"/>
      <c r="CM11013" s="336"/>
    </row>
    <row r="11014" spans="84:91" s="51" customFormat="1">
      <c r="CF11014" s="239"/>
      <c r="CM11014" s="336"/>
    </row>
    <row r="11015" spans="84:91" s="51" customFormat="1">
      <c r="CF11015" s="239"/>
      <c r="CM11015" s="336"/>
    </row>
    <row r="11016" spans="84:91" s="51" customFormat="1">
      <c r="CF11016" s="239"/>
      <c r="CM11016" s="336"/>
    </row>
    <row r="11017" spans="84:91" s="51" customFormat="1">
      <c r="CF11017" s="239"/>
      <c r="CM11017" s="336"/>
    </row>
    <row r="11018" spans="84:91" s="51" customFormat="1">
      <c r="CF11018" s="239"/>
      <c r="CM11018" s="336"/>
    </row>
    <row r="11019" spans="84:91" s="51" customFormat="1">
      <c r="CF11019" s="239"/>
      <c r="CM11019" s="336"/>
    </row>
    <row r="11020" spans="84:91" s="51" customFormat="1">
      <c r="CF11020" s="239"/>
      <c r="CM11020" s="336"/>
    </row>
    <row r="11021" spans="84:91" s="51" customFormat="1">
      <c r="CF11021" s="239"/>
      <c r="CM11021" s="336"/>
    </row>
    <row r="11022" spans="84:91" s="51" customFormat="1">
      <c r="CF11022" s="239"/>
      <c r="CM11022" s="336"/>
    </row>
    <row r="11023" spans="84:91" s="51" customFormat="1">
      <c r="CF11023" s="239"/>
      <c r="CM11023" s="336"/>
    </row>
    <row r="11024" spans="84:91" s="51" customFormat="1">
      <c r="CF11024" s="239"/>
      <c r="CM11024" s="336"/>
    </row>
    <row r="11025" spans="84:91" s="51" customFormat="1">
      <c r="CF11025" s="239"/>
      <c r="CM11025" s="336"/>
    </row>
    <row r="11026" spans="84:91" s="51" customFormat="1">
      <c r="CF11026" s="239"/>
      <c r="CM11026" s="336"/>
    </row>
    <row r="11027" spans="84:91" s="51" customFormat="1">
      <c r="CF11027" s="239"/>
      <c r="CM11027" s="336"/>
    </row>
    <row r="11028" spans="84:91" s="51" customFormat="1">
      <c r="CF11028" s="239"/>
      <c r="CM11028" s="336"/>
    </row>
    <row r="11029" spans="84:91" s="51" customFormat="1">
      <c r="CF11029" s="239"/>
      <c r="CM11029" s="336"/>
    </row>
    <row r="11030" spans="84:91" s="51" customFormat="1">
      <c r="CF11030" s="239"/>
      <c r="CM11030" s="336"/>
    </row>
    <row r="11031" spans="84:91" s="51" customFormat="1">
      <c r="CF11031" s="239"/>
      <c r="CM11031" s="336"/>
    </row>
    <row r="11032" spans="84:91" s="51" customFormat="1">
      <c r="CF11032" s="239"/>
      <c r="CM11032" s="336"/>
    </row>
    <row r="11033" spans="84:91" s="51" customFormat="1">
      <c r="CF11033" s="239"/>
      <c r="CM11033" s="336"/>
    </row>
    <row r="11034" spans="84:91" s="51" customFormat="1">
      <c r="CF11034" s="239"/>
      <c r="CM11034" s="336"/>
    </row>
    <row r="11035" spans="84:91" s="51" customFormat="1">
      <c r="CF11035" s="239"/>
      <c r="CM11035" s="336"/>
    </row>
    <row r="11036" spans="84:91" s="51" customFormat="1">
      <c r="CF11036" s="239"/>
      <c r="CM11036" s="336"/>
    </row>
    <row r="11037" spans="84:91" s="51" customFormat="1">
      <c r="CF11037" s="239"/>
      <c r="CM11037" s="336"/>
    </row>
    <row r="11038" spans="84:91" s="51" customFormat="1">
      <c r="CF11038" s="239"/>
      <c r="CM11038" s="336"/>
    </row>
    <row r="11039" spans="84:91" s="51" customFormat="1">
      <c r="CF11039" s="239"/>
      <c r="CM11039" s="336"/>
    </row>
    <row r="11040" spans="84:91" s="51" customFormat="1">
      <c r="CF11040" s="239"/>
      <c r="CM11040" s="336"/>
    </row>
    <row r="11041" spans="84:91" s="51" customFormat="1">
      <c r="CF11041" s="239"/>
      <c r="CM11041" s="336"/>
    </row>
    <row r="11042" spans="84:91" s="51" customFormat="1">
      <c r="CF11042" s="239"/>
      <c r="CM11042" s="336"/>
    </row>
    <row r="11043" spans="84:91" s="51" customFormat="1">
      <c r="CF11043" s="239"/>
      <c r="CM11043" s="336"/>
    </row>
    <row r="11044" spans="84:91" s="51" customFormat="1">
      <c r="CF11044" s="239"/>
      <c r="CM11044" s="336"/>
    </row>
    <row r="11045" spans="84:91" s="51" customFormat="1">
      <c r="CF11045" s="239"/>
      <c r="CM11045" s="336"/>
    </row>
    <row r="11046" spans="84:91" s="51" customFormat="1">
      <c r="CF11046" s="239"/>
      <c r="CM11046" s="336"/>
    </row>
    <row r="11047" spans="84:91" s="51" customFormat="1">
      <c r="CF11047" s="239"/>
      <c r="CM11047" s="336"/>
    </row>
    <row r="11048" spans="84:91" s="51" customFormat="1">
      <c r="CF11048" s="239"/>
      <c r="CM11048" s="336"/>
    </row>
    <row r="11049" spans="84:91" s="51" customFormat="1">
      <c r="CF11049" s="239"/>
      <c r="CM11049" s="336"/>
    </row>
    <row r="11050" spans="84:91" s="51" customFormat="1">
      <c r="CF11050" s="239"/>
      <c r="CM11050" s="336"/>
    </row>
    <row r="11051" spans="84:91" s="51" customFormat="1">
      <c r="CF11051" s="239"/>
      <c r="CM11051" s="336"/>
    </row>
    <row r="11052" spans="84:91" s="51" customFormat="1">
      <c r="CF11052" s="239"/>
      <c r="CM11052" s="336"/>
    </row>
    <row r="11053" spans="84:91" s="51" customFormat="1">
      <c r="CF11053" s="239"/>
      <c r="CM11053" s="336"/>
    </row>
    <row r="11054" spans="84:91" s="51" customFormat="1">
      <c r="CF11054" s="239"/>
      <c r="CM11054" s="336"/>
    </row>
    <row r="11055" spans="84:91" s="51" customFormat="1">
      <c r="CF11055" s="239"/>
      <c r="CM11055" s="336"/>
    </row>
    <row r="11056" spans="84:91" s="51" customFormat="1">
      <c r="CF11056" s="239"/>
      <c r="CM11056" s="336"/>
    </row>
    <row r="11057" spans="84:91" s="51" customFormat="1">
      <c r="CF11057" s="239"/>
      <c r="CM11057" s="336"/>
    </row>
    <row r="11058" spans="84:91" s="51" customFormat="1">
      <c r="CF11058" s="239"/>
      <c r="CM11058" s="336"/>
    </row>
    <row r="11059" spans="84:91" s="51" customFormat="1">
      <c r="CF11059" s="239"/>
      <c r="CM11059" s="336"/>
    </row>
    <row r="11060" spans="84:91" s="51" customFormat="1">
      <c r="CF11060" s="239"/>
      <c r="CM11060" s="336"/>
    </row>
    <row r="11061" spans="84:91" s="51" customFormat="1">
      <c r="CF11061" s="239"/>
      <c r="CM11061" s="336"/>
    </row>
    <row r="11062" spans="84:91" s="51" customFormat="1">
      <c r="CF11062" s="239"/>
      <c r="CM11062" s="336"/>
    </row>
    <row r="11063" spans="84:91" s="51" customFormat="1">
      <c r="CF11063" s="239"/>
      <c r="CM11063" s="336"/>
    </row>
    <row r="11064" spans="84:91" s="51" customFormat="1">
      <c r="CF11064" s="239"/>
      <c r="CM11064" s="336"/>
    </row>
    <row r="11065" spans="84:91" s="51" customFormat="1">
      <c r="CF11065" s="239"/>
      <c r="CM11065" s="336"/>
    </row>
    <row r="11066" spans="84:91" s="51" customFormat="1">
      <c r="CF11066" s="239"/>
      <c r="CM11066" s="336"/>
    </row>
    <row r="11067" spans="84:91" s="51" customFormat="1">
      <c r="CF11067" s="239"/>
      <c r="CM11067" s="336"/>
    </row>
    <row r="11068" spans="84:91" s="51" customFormat="1">
      <c r="CF11068" s="239"/>
      <c r="CM11068" s="336"/>
    </row>
    <row r="11069" spans="84:91" s="51" customFormat="1">
      <c r="CF11069" s="239"/>
      <c r="CM11069" s="336"/>
    </row>
    <row r="11070" spans="84:91" s="51" customFormat="1">
      <c r="CF11070" s="239"/>
      <c r="CM11070" s="336"/>
    </row>
    <row r="11071" spans="84:91" s="51" customFormat="1">
      <c r="CF11071" s="239"/>
      <c r="CM11071" s="336"/>
    </row>
    <row r="11072" spans="84:91" s="51" customFormat="1">
      <c r="CF11072" s="239"/>
      <c r="CM11072" s="336"/>
    </row>
    <row r="11073" spans="84:91" s="51" customFormat="1">
      <c r="CF11073" s="239"/>
      <c r="CM11073" s="336"/>
    </row>
    <row r="11074" spans="84:91" s="51" customFormat="1">
      <c r="CF11074" s="239"/>
      <c r="CM11074" s="336"/>
    </row>
    <row r="11075" spans="84:91" s="51" customFormat="1">
      <c r="CF11075" s="239"/>
      <c r="CM11075" s="336"/>
    </row>
    <row r="11076" spans="84:91" s="51" customFormat="1">
      <c r="CF11076" s="239"/>
      <c r="CM11076" s="336"/>
    </row>
    <row r="11077" spans="84:91" s="51" customFormat="1">
      <c r="CF11077" s="239"/>
      <c r="CM11077" s="336"/>
    </row>
    <row r="11078" spans="84:91" s="51" customFormat="1">
      <c r="CF11078" s="239"/>
      <c r="CM11078" s="336"/>
    </row>
    <row r="11079" spans="84:91" s="51" customFormat="1">
      <c r="CF11079" s="239"/>
      <c r="CM11079" s="336"/>
    </row>
    <row r="11080" spans="84:91" s="51" customFormat="1">
      <c r="CF11080" s="239"/>
      <c r="CM11080" s="336"/>
    </row>
    <row r="11081" spans="84:91" s="51" customFormat="1">
      <c r="CF11081" s="239"/>
      <c r="CM11081" s="336"/>
    </row>
    <row r="11082" spans="84:91" s="51" customFormat="1">
      <c r="CF11082" s="239"/>
      <c r="CM11082" s="336"/>
    </row>
    <row r="11083" spans="84:91" s="51" customFormat="1">
      <c r="CF11083" s="239"/>
      <c r="CM11083" s="336"/>
    </row>
    <row r="11084" spans="84:91" s="51" customFormat="1">
      <c r="CF11084" s="239"/>
      <c r="CM11084" s="336"/>
    </row>
    <row r="11085" spans="84:91" s="51" customFormat="1">
      <c r="CF11085" s="239"/>
      <c r="CM11085" s="336"/>
    </row>
    <row r="11086" spans="84:91" s="51" customFormat="1">
      <c r="CF11086" s="239"/>
      <c r="CM11086" s="336"/>
    </row>
    <row r="11087" spans="84:91" s="51" customFormat="1">
      <c r="CF11087" s="239"/>
      <c r="CM11087" s="336"/>
    </row>
    <row r="11088" spans="84:91" s="51" customFormat="1">
      <c r="CF11088" s="239"/>
      <c r="CM11088" s="336"/>
    </row>
    <row r="11089" spans="84:91" s="51" customFormat="1">
      <c r="CF11089" s="239"/>
      <c r="CM11089" s="336"/>
    </row>
    <row r="11090" spans="84:91" s="51" customFormat="1">
      <c r="CF11090" s="239"/>
      <c r="CM11090" s="336"/>
    </row>
    <row r="11091" spans="84:91" s="51" customFormat="1">
      <c r="CF11091" s="239"/>
      <c r="CM11091" s="336"/>
    </row>
    <row r="11092" spans="84:91" s="51" customFormat="1">
      <c r="CF11092" s="239"/>
      <c r="CM11092" s="336"/>
    </row>
    <row r="11093" spans="84:91" s="51" customFormat="1">
      <c r="CF11093" s="239"/>
      <c r="CM11093" s="336"/>
    </row>
    <row r="11094" spans="84:91" s="51" customFormat="1">
      <c r="CF11094" s="239"/>
      <c r="CM11094" s="336"/>
    </row>
    <row r="11095" spans="84:91" s="51" customFormat="1">
      <c r="CF11095" s="239"/>
      <c r="CM11095" s="336"/>
    </row>
    <row r="11096" spans="84:91" s="51" customFormat="1">
      <c r="CF11096" s="239"/>
      <c r="CM11096" s="336"/>
    </row>
    <row r="11097" spans="84:91" s="51" customFormat="1">
      <c r="CF11097" s="239"/>
      <c r="CM11097" s="336"/>
    </row>
    <row r="11098" spans="84:91" s="51" customFormat="1">
      <c r="CF11098" s="239"/>
      <c r="CM11098" s="336"/>
    </row>
    <row r="11099" spans="84:91" s="51" customFormat="1">
      <c r="CF11099" s="239"/>
      <c r="CM11099" s="336"/>
    </row>
    <row r="11100" spans="84:91" s="51" customFormat="1">
      <c r="CF11100" s="239"/>
      <c r="CM11100" s="336"/>
    </row>
    <row r="11101" spans="84:91" s="51" customFormat="1">
      <c r="CF11101" s="239"/>
      <c r="CM11101" s="336"/>
    </row>
    <row r="11102" spans="84:91" s="51" customFormat="1">
      <c r="CF11102" s="239"/>
      <c r="CM11102" s="336"/>
    </row>
    <row r="11103" spans="84:91" s="51" customFormat="1">
      <c r="CF11103" s="239"/>
      <c r="CM11103" s="336"/>
    </row>
    <row r="11104" spans="84:91" s="51" customFormat="1">
      <c r="CF11104" s="239"/>
      <c r="CM11104" s="336"/>
    </row>
    <row r="11105" spans="84:91" s="51" customFormat="1">
      <c r="CF11105" s="239"/>
      <c r="CM11105" s="336"/>
    </row>
    <row r="11106" spans="84:91" s="51" customFormat="1">
      <c r="CF11106" s="239"/>
      <c r="CM11106" s="336"/>
    </row>
    <row r="11107" spans="84:91" s="51" customFormat="1">
      <c r="CF11107" s="239"/>
      <c r="CM11107" s="336"/>
    </row>
    <row r="11108" spans="84:91" s="51" customFormat="1">
      <c r="CF11108" s="239"/>
      <c r="CM11108" s="336"/>
    </row>
    <row r="11109" spans="84:91" s="51" customFormat="1">
      <c r="CF11109" s="239"/>
      <c r="CM11109" s="336"/>
    </row>
    <row r="11110" spans="84:91" s="51" customFormat="1">
      <c r="CF11110" s="239"/>
      <c r="CM11110" s="336"/>
    </row>
    <row r="11111" spans="84:91" s="51" customFormat="1">
      <c r="CF11111" s="239"/>
      <c r="CM11111" s="336"/>
    </row>
    <row r="11112" spans="84:91" s="51" customFormat="1">
      <c r="CF11112" s="239"/>
      <c r="CM11112" s="336"/>
    </row>
    <row r="11113" spans="84:91" s="51" customFormat="1">
      <c r="CF11113" s="239"/>
      <c r="CM11113" s="336"/>
    </row>
    <row r="11114" spans="84:91" s="51" customFormat="1">
      <c r="CF11114" s="239"/>
      <c r="CM11114" s="336"/>
    </row>
    <row r="11115" spans="84:91" s="51" customFormat="1">
      <c r="CF11115" s="239"/>
      <c r="CM11115" s="336"/>
    </row>
    <row r="11116" spans="84:91" s="51" customFormat="1">
      <c r="CF11116" s="239"/>
      <c r="CM11116" s="336"/>
    </row>
    <row r="11117" spans="84:91" s="51" customFormat="1">
      <c r="CF11117" s="239"/>
      <c r="CM11117" s="336"/>
    </row>
    <row r="11118" spans="84:91" s="51" customFormat="1">
      <c r="CF11118" s="239"/>
      <c r="CM11118" s="336"/>
    </row>
    <row r="11119" spans="84:91" s="51" customFormat="1">
      <c r="CF11119" s="239"/>
      <c r="CM11119" s="336"/>
    </row>
    <row r="11120" spans="84:91" s="51" customFormat="1">
      <c r="CF11120" s="239"/>
      <c r="CM11120" s="336"/>
    </row>
    <row r="11121" spans="84:91" s="51" customFormat="1">
      <c r="CF11121" s="239"/>
      <c r="CM11121" s="336"/>
    </row>
    <row r="11122" spans="84:91" s="51" customFormat="1">
      <c r="CF11122" s="239"/>
      <c r="CM11122" s="336"/>
    </row>
    <row r="11123" spans="84:91" s="51" customFormat="1">
      <c r="CF11123" s="239"/>
      <c r="CM11123" s="336"/>
    </row>
    <row r="11124" spans="84:91" s="51" customFormat="1">
      <c r="CF11124" s="239"/>
      <c r="CM11124" s="336"/>
    </row>
    <row r="11125" spans="84:91" s="51" customFormat="1">
      <c r="CF11125" s="239"/>
      <c r="CM11125" s="336"/>
    </row>
    <row r="11126" spans="84:91" s="51" customFormat="1">
      <c r="CF11126" s="239"/>
      <c r="CM11126" s="336"/>
    </row>
    <row r="11127" spans="84:91" s="51" customFormat="1">
      <c r="CF11127" s="239"/>
      <c r="CM11127" s="336"/>
    </row>
    <row r="11128" spans="84:91" s="51" customFormat="1">
      <c r="CF11128" s="239"/>
      <c r="CM11128" s="336"/>
    </row>
    <row r="11129" spans="84:91" s="51" customFormat="1">
      <c r="CF11129" s="239"/>
      <c r="CM11129" s="336"/>
    </row>
    <row r="11130" spans="84:91" s="51" customFormat="1">
      <c r="CF11130" s="239"/>
      <c r="CM11130" s="336"/>
    </row>
    <row r="11131" spans="84:91" s="51" customFormat="1">
      <c r="CF11131" s="239"/>
      <c r="CM11131" s="336"/>
    </row>
    <row r="11132" spans="84:91" s="51" customFormat="1">
      <c r="CF11132" s="239"/>
      <c r="CM11132" s="336"/>
    </row>
    <row r="11133" spans="84:91" s="51" customFormat="1">
      <c r="CF11133" s="239"/>
      <c r="CM11133" s="336"/>
    </row>
    <row r="11134" spans="84:91" s="51" customFormat="1">
      <c r="CF11134" s="239"/>
      <c r="CM11134" s="336"/>
    </row>
    <row r="11135" spans="84:91" s="51" customFormat="1">
      <c r="CF11135" s="239"/>
      <c r="CM11135" s="336"/>
    </row>
    <row r="11136" spans="84:91" s="51" customFormat="1">
      <c r="CF11136" s="239"/>
      <c r="CM11136" s="336"/>
    </row>
    <row r="11137" spans="84:91" s="51" customFormat="1">
      <c r="CF11137" s="239"/>
      <c r="CM11137" s="336"/>
    </row>
    <row r="11138" spans="84:91" s="51" customFormat="1">
      <c r="CF11138" s="239"/>
      <c r="CM11138" s="336"/>
    </row>
    <row r="11139" spans="84:91" s="51" customFormat="1">
      <c r="CF11139" s="239"/>
      <c r="CM11139" s="336"/>
    </row>
    <row r="11140" spans="84:91" s="51" customFormat="1">
      <c r="CF11140" s="239"/>
      <c r="CM11140" s="336"/>
    </row>
    <row r="11141" spans="84:91" s="51" customFormat="1">
      <c r="CF11141" s="239"/>
      <c r="CM11141" s="336"/>
    </row>
    <row r="11142" spans="84:91" s="51" customFormat="1">
      <c r="CF11142" s="239"/>
      <c r="CM11142" s="336"/>
    </row>
    <row r="11143" spans="84:91" s="51" customFormat="1">
      <c r="CF11143" s="239"/>
      <c r="CM11143" s="336"/>
    </row>
    <row r="11144" spans="84:91" s="51" customFormat="1">
      <c r="CF11144" s="239"/>
      <c r="CM11144" s="336"/>
    </row>
    <row r="11145" spans="84:91" s="51" customFormat="1">
      <c r="CF11145" s="239"/>
      <c r="CM11145" s="336"/>
    </row>
    <row r="11146" spans="84:91" s="51" customFormat="1">
      <c r="CF11146" s="239"/>
      <c r="CM11146" s="336"/>
    </row>
    <row r="11147" spans="84:91" s="51" customFormat="1">
      <c r="CF11147" s="239"/>
      <c r="CM11147" s="336"/>
    </row>
    <row r="11148" spans="84:91" s="51" customFormat="1">
      <c r="CF11148" s="239"/>
      <c r="CM11148" s="336"/>
    </row>
    <row r="11149" spans="84:91" s="51" customFormat="1">
      <c r="CF11149" s="239"/>
      <c r="CM11149" s="336"/>
    </row>
    <row r="11150" spans="84:91" s="51" customFormat="1">
      <c r="CF11150" s="239"/>
      <c r="CM11150" s="336"/>
    </row>
    <row r="11151" spans="84:91" s="51" customFormat="1">
      <c r="CF11151" s="239"/>
      <c r="CM11151" s="336"/>
    </row>
    <row r="11152" spans="84:91" s="51" customFormat="1">
      <c r="CF11152" s="239"/>
      <c r="CM11152" s="336"/>
    </row>
    <row r="11153" spans="84:91" s="51" customFormat="1">
      <c r="CF11153" s="239"/>
      <c r="CM11153" s="336"/>
    </row>
    <row r="11154" spans="84:91" s="51" customFormat="1">
      <c r="CF11154" s="239"/>
      <c r="CM11154" s="336"/>
    </row>
    <row r="11155" spans="84:91" s="51" customFormat="1">
      <c r="CF11155" s="239"/>
      <c r="CM11155" s="336"/>
    </row>
    <row r="11156" spans="84:91" s="51" customFormat="1">
      <c r="CF11156" s="239"/>
      <c r="CM11156" s="336"/>
    </row>
    <row r="11157" spans="84:91" s="51" customFormat="1">
      <c r="CF11157" s="239"/>
      <c r="CM11157" s="336"/>
    </row>
    <row r="11158" spans="84:91" s="51" customFormat="1">
      <c r="CF11158" s="239"/>
      <c r="CM11158" s="336"/>
    </row>
    <row r="11159" spans="84:91" s="51" customFormat="1">
      <c r="CF11159" s="239"/>
      <c r="CM11159" s="336"/>
    </row>
    <row r="11160" spans="84:91" s="51" customFormat="1">
      <c r="CF11160" s="239"/>
      <c r="CM11160" s="336"/>
    </row>
    <row r="11161" spans="84:91" s="51" customFormat="1">
      <c r="CF11161" s="239"/>
      <c r="CM11161" s="336"/>
    </row>
    <row r="11162" spans="84:91" s="51" customFormat="1">
      <c r="CF11162" s="239"/>
      <c r="CM11162" s="336"/>
    </row>
    <row r="11163" spans="84:91" s="51" customFormat="1">
      <c r="CF11163" s="239"/>
      <c r="CM11163" s="336"/>
    </row>
    <row r="11164" spans="84:91" s="51" customFormat="1">
      <c r="CF11164" s="239"/>
      <c r="CM11164" s="336"/>
    </row>
    <row r="11165" spans="84:91" s="51" customFormat="1">
      <c r="CF11165" s="239"/>
      <c r="CM11165" s="336"/>
    </row>
    <row r="11166" spans="84:91" s="51" customFormat="1">
      <c r="CF11166" s="239"/>
      <c r="CM11166" s="336"/>
    </row>
    <row r="11167" spans="84:91" s="51" customFormat="1">
      <c r="CF11167" s="239"/>
      <c r="CM11167" s="336"/>
    </row>
    <row r="11168" spans="84:91" s="51" customFormat="1">
      <c r="CF11168" s="239"/>
      <c r="CM11168" s="336"/>
    </row>
    <row r="11169" spans="84:91" s="51" customFormat="1">
      <c r="CF11169" s="239"/>
      <c r="CM11169" s="336"/>
    </row>
    <row r="11170" spans="84:91" s="51" customFormat="1">
      <c r="CF11170" s="239"/>
      <c r="CM11170" s="336"/>
    </row>
    <row r="11171" spans="84:91" s="51" customFormat="1">
      <c r="CF11171" s="239"/>
      <c r="CM11171" s="336"/>
    </row>
    <row r="11172" spans="84:91" s="51" customFormat="1">
      <c r="CF11172" s="239"/>
      <c r="CM11172" s="336"/>
    </row>
    <row r="11173" spans="84:91" s="51" customFormat="1">
      <c r="CF11173" s="239"/>
      <c r="CM11173" s="336"/>
    </row>
    <row r="11174" spans="84:91" s="51" customFormat="1">
      <c r="CF11174" s="239"/>
      <c r="CM11174" s="336"/>
    </row>
    <row r="11175" spans="84:91" s="51" customFormat="1">
      <c r="CF11175" s="239"/>
      <c r="CM11175" s="336"/>
    </row>
    <row r="11176" spans="84:91" s="51" customFormat="1">
      <c r="CF11176" s="239"/>
      <c r="CM11176" s="336"/>
    </row>
    <row r="11177" spans="84:91" s="51" customFormat="1">
      <c r="CF11177" s="239"/>
      <c r="CM11177" s="336"/>
    </row>
    <row r="11178" spans="84:91" s="51" customFormat="1">
      <c r="CF11178" s="239"/>
      <c r="CM11178" s="336"/>
    </row>
    <row r="11179" spans="84:91" s="51" customFormat="1">
      <c r="CF11179" s="239"/>
      <c r="CM11179" s="336"/>
    </row>
    <row r="11180" spans="84:91" s="51" customFormat="1">
      <c r="CF11180" s="239"/>
      <c r="CM11180" s="336"/>
    </row>
    <row r="11181" spans="84:91" s="51" customFormat="1">
      <c r="CF11181" s="239"/>
      <c r="CM11181" s="336"/>
    </row>
    <row r="11182" spans="84:91" s="51" customFormat="1">
      <c r="CF11182" s="239"/>
      <c r="CM11182" s="336"/>
    </row>
    <row r="11183" spans="84:91" s="51" customFormat="1">
      <c r="CF11183" s="239"/>
      <c r="CM11183" s="336"/>
    </row>
    <row r="11184" spans="84:91" s="51" customFormat="1">
      <c r="CF11184" s="239"/>
      <c r="CM11184" s="336"/>
    </row>
    <row r="11185" spans="84:91" s="51" customFormat="1">
      <c r="CF11185" s="239"/>
      <c r="CM11185" s="336"/>
    </row>
    <row r="11186" spans="84:91" s="51" customFormat="1">
      <c r="CF11186" s="239"/>
      <c r="CM11186" s="336"/>
    </row>
    <row r="11187" spans="84:91" s="51" customFormat="1">
      <c r="CF11187" s="239"/>
      <c r="CM11187" s="336"/>
    </row>
    <row r="11188" spans="84:91" s="51" customFormat="1">
      <c r="CF11188" s="239"/>
      <c r="CM11188" s="336"/>
    </row>
    <row r="11189" spans="84:91" s="51" customFormat="1">
      <c r="CF11189" s="239"/>
      <c r="CM11189" s="336"/>
    </row>
    <row r="11190" spans="84:91" s="51" customFormat="1">
      <c r="CF11190" s="239"/>
      <c r="CM11190" s="336"/>
    </row>
    <row r="11191" spans="84:91" s="51" customFormat="1">
      <c r="CF11191" s="239"/>
      <c r="CM11191" s="336"/>
    </row>
    <row r="11192" spans="84:91" s="51" customFormat="1">
      <c r="CF11192" s="239"/>
      <c r="CM11192" s="336"/>
    </row>
    <row r="11193" spans="84:91" s="51" customFormat="1">
      <c r="CF11193" s="239"/>
      <c r="CM11193" s="336"/>
    </row>
    <row r="11194" spans="84:91" s="51" customFormat="1">
      <c r="CF11194" s="239"/>
      <c r="CM11194" s="336"/>
    </row>
    <row r="11195" spans="84:91" s="51" customFormat="1">
      <c r="CF11195" s="239"/>
      <c r="CM11195" s="336"/>
    </row>
    <row r="11196" spans="84:91" s="51" customFormat="1">
      <c r="CF11196" s="239"/>
      <c r="CM11196" s="336"/>
    </row>
    <row r="11197" spans="84:91" s="51" customFormat="1">
      <c r="CF11197" s="239"/>
      <c r="CM11197" s="336"/>
    </row>
    <row r="11198" spans="84:91" s="51" customFormat="1">
      <c r="CF11198" s="239"/>
      <c r="CM11198" s="336"/>
    </row>
    <row r="11199" spans="84:91" s="51" customFormat="1">
      <c r="CF11199" s="239"/>
      <c r="CM11199" s="336"/>
    </row>
    <row r="11200" spans="84:91" s="51" customFormat="1">
      <c r="CF11200" s="239"/>
      <c r="CM11200" s="336"/>
    </row>
    <row r="11201" spans="84:91" s="51" customFormat="1">
      <c r="CF11201" s="239"/>
      <c r="CM11201" s="336"/>
    </row>
    <row r="11202" spans="84:91" s="51" customFormat="1">
      <c r="CF11202" s="239"/>
      <c r="CM11202" s="336"/>
    </row>
    <row r="11203" spans="84:91" s="51" customFormat="1">
      <c r="CF11203" s="239"/>
      <c r="CM11203" s="336"/>
    </row>
    <row r="11204" spans="84:91" s="51" customFormat="1">
      <c r="CF11204" s="239"/>
      <c r="CM11204" s="336"/>
    </row>
    <row r="11205" spans="84:91" s="51" customFormat="1">
      <c r="CF11205" s="239"/>
      <c r="CM11205" s="336"/>
    </row>
    <row r="11206" spans="84:91" s="51" customFormat="1">
      <c r="CF11206" s="239"/>
      <c r="CM11206" s="336"/>
    </row>
    <row r="11207" spans="84:91" s="51" customFormat="1">
      <c r="CF11207" s="239"/>
      <c r="CM11207" s="336"/>
    </row>
    <row r="11208" spans="84:91" s="51" customFormat="1">
      <c r="CF11208" s="239"/>
      <c r="CM11208" s="336"/>
    </row>
    <row r="11209" spans="84:91" s="51" customFormat="1">
      <c r="CF11209" s="239"/>
      <c r="CM11209" s="336"/>
    </row>
    <row r="11210" spans="84:91" s="51" customFormat="1">
      <c r="CF11210" s="239"/>
      <c r="CM11210" s="336"/>
    </row>
    <row r="11211" spans="84:91" s="51" customFormat="1">
      <c r="CF11211" s="239"/>
      <c r="CM11211" s="336"/>
    </row>
    <row r="11212" spans="84:91" s="51" customFormat="1">
      <c r="CF11212" s="239"/>
      <c r="CM11212" s="336"/>
    </row>
    <row r="11213" spans="84:91" s="51" customFormat="1">
      <c r="CF11213" s="239"/>
      <c r="CM11213" s="336"/>
    </row>
    <row r="11214" spans="84:91" s="51" customFormat="1">
      <c r="CF11214" s="239"/>
      <c r="CM11214" s="336"/>
    </row>
    <row r="11215" spans="84:91" s="51" customFormat="1">
      <c r="CF11215" s="239"/>
      <c r="CM11215" s="336"/>
    </row>
    <row r="11216" spans="84:91" s="51" customFormat="1">
      <c r="CF11216" s="239"/>
      <c r="CM11216" s="336"/>
    </row>
    <row r="11217" spans="84:91" s="51" customFormat="1">
      <c r="CF11217" s="239"/>
      <c r="CM11217" s="336"/>
    </row>
    <row r="11218" spans="84:91" s="51" customFormat="1">
      <c r="CF11218" s="239"/>
      <c r="CM11218" s="336"/>
    </row>
    <row r="11219" spans="84:91" s="51" customFormat="1">
      <c r="CF11219" s="239"/>
      <c r="CM11219" s="336"/>
    </row>
    <row r="11220" spans="84:91" s="51" customFormat="1">
      <c r="CF11220" s="239"/>
      <c r="CM11220" s="336"/>
    </row>
    <row r="11221" spans="84:91" s="51" customFormat="1">
      <c r="CF11221" s="239"/>
      <c r="CM11221" s="336"/>
    </row>
    <row r="11222" spans="84:91" s="51" customFormat="1">
      <c r="CF11222" s="239"/>
      <c r="CM11222" s="336"/>
    </row>
    <row r="11223" spans="84:91" s="51" customFormat="1">
      <c r="CF11223" s="239"/>
      <c r="CM11223" s="336"/>
    </row>
    <row r="11224" spans="84:91" s="51" customFormat="1">
      <c r="CF11224" s="239"/>
      <c r="CM11224" s="336"/>
    </row>
    <row r="11225" spans="84:91" s="51" customFormat="1">
      <c r="CF11225" s="239"/>
      <c r="CM11225" s="336"/>
    </row>
    <row r="11226" spans="84:91" s="51" customFormat="1">
      <c r="CF11226" s="239"/>
      <c r="CM11226" s="336"/>
    </row>
    <row r="11227" spans="84:91" s="51" customFormat="1">
      <c r="CF11227" s="239"/>
      <c r="CM11227" s="336"/>
    </row>
    <row r="11228" spans="84:91" s="51" customFormat="1">
      <c r="CF11228" s="239"/>
      <c r="CM11228" s="336"/>
    </row>
    <row r="11229" spans="84:91" s="51" customFormat="1">
      <c r="CF11229" s="239"/>
      <c r="CM11229" s="336"/>
    </row>
    <row r="11230" spans="84:91" s="51" customFormat="1">
      <c r="CF11230" s="239"/>
      <c r="CM11230" s="336"/>
    </row>
    <row r="11231" spans="84:91" s="51" customFormat="1">
      <c r="CF11231" s="239"/>
      <c r="CM11231" s="336"/>
    </row>
    <row r="11232" spans="84:91" s="51" customFormat="1">
      <c r="CF11232" s="239"/>
      <c r="CM11232" s="336"/>
    </row>
    <row r="11233" spans="84:91" s="51" customFormat="1">
      <c r="CF11233" s="239"/>
      <c r="CM11233" s="336"/>
    </row>
    <row r="11234" spans="84:91" s="51" customFormat="1">
      <c r="CF11234" s="239"/>
      <c r="CM11234" s="336"/>
    </row>
    <row r="11235" spans="84:91" s="51" customFormat="1">
      <c r="CF11235" s="239"/>
      <c r="CM11235" s="336"/>
    </row>
    <row r="11236" spans="84:91" s="51" customFormat="1">
      <c r="CF11236" s="239"/>
      <c r="CM11236" s="336"/>
    </row>
    <row r="11237" spans="84:91" s="51" customFormat="1">
      <c r="CF11237" s="239"/>
      <c r="CM11237" s="336"/>
    </row>
    <row r="11238" spans="84:91" s="51" customFormat="1">
      <c r="CF11238" s="239"/>
      <c r="CM11238" s="336"/>
    </row>
    <row r="11239" spans="84:91" s="51" customFormat="1">
      <c r="CF11239" s="239"/>
      <c r="CM11239" s="336"/>
    </row>
    <row r="11240" spans="84:91" s="51" customFormat="1">
      <c r="CF11240" s="239"/>
      <c r="CM11240" s="336"/>
    </row>
    <row r="11241" spans="84:91" s="51" customFormat="1">
      <c r="CF11241" s="239"/>
      <c r="CM11241" s="336"/>
    </row>
    <row r="11242" spans="84:91" s="51" customFormat="1">
      <c r="CF11242" s="239"/>
      <c r="CM11242" s="336"/>
    </row>
    <row r="11243" spans="84:91" s="51" customFormat="1">
      <c r="CF11243" s="239"/>
      <c r="CM11243" s="336"/>
    </row>
    <row r="11244" spans="84:91" s="51" customFormat="1">
      <c r="CF11244" s="239"/>
      <c r="CM11244" s="336"/>
    </row>
    <row r="11245" spans="84:91" s="51" customFormat="1">
      <c r="CF11245" s="239"/>
      <c r="CM11245" s="336"/>
    </row>
    <row r="11246" spans="84:91" s="51" customFormat="1">
      <c r="CF11246" s="239"/>
      <c r="CM11246" s="336"/>
    </row>
    <row r="11247" spans="84:91" s="51" customFormat="1">
      <c r="CF11247" s="239"/>
      <c r="CM11247" s="336"/>
    </row>
    <row r="11248" spans="84:91" s="51" customFormat="1">
      <c r="CF11248" s="239"/>
      <c r="CM11248" s="336"/>
    </row>
    <row r="11249" spans="84:91" s="51" customFormat="1">
      <c r="CF11249" s="239"/>
      <c r="CM11249" s="336"/>
    </row>
    <row r="11250" spans="84:91" s="51" customFormat="1">
      <c r="CF11250" s="239"/>
      <c r="CM11250" s="336"/>
    </row>
    <row r="11251" spans="84:91" s="51" customFormat="1">
      <c r="CF11251" s="239"/>
      <c r="CM11251" s="336"/>
    </row>
    <row r="11252" spans="84:91" s="51" customFormat="1">
      <c r="CF11252" s="239"/>
      <c r="CM11252" s="336"/>
    </row>
    <row r="11253" spans="84:91" s="51" customFormat="1">
      <c r="CF11253" s="239"/>
      <c r="CM11253" s="336"/>
    </row>
    <row r="11254" spans="84:91" s="51" customFormat="1">
      <c r="CF11254" s="239"/>
      <c r="CM11254" s="336"/>
    </row>
    <row r="11255" spans="84:91" s="51" customFormat="1">
      <c r="CF11255" s="239"/>
      <c r="CM11255" s="336"/>
    </row>
    <row r="11256" spans="84:91" s="51" customFormat="1">
      <c r="CF11256" s="239"/>
      <c r="CM11256" s="336"/>
    </row>
    <row r="11257" spans="84:91" s="51" customFormat="1">
      <c r="CF11257" s="239"/>
      <c r="CM11257" s="336"/>
    </row>
    <row r="11258" spans="84:91" s="51" customFormat="1">
      <c r="CF11258" s="239"/>
      <c r="CM11258" s="336"/>
    </row>
    <row r="11259" spans="84:91" s="51" customFormat="1">
      <c r="CF11259" s="239"/>
      <c r="CM11259" s="336"/>
    </row>
    <row r="11260" spans="84:91" s="51" customFormat="1">
      <c r="CF11260" s="239"/>
      <c r="CM11260" s="336"/>
    </row>
    <row r="11261" spans="84:91" s="51" customFormat="1">
      <c r="CF11261" s="239"/>
      <c r="CM11261" s="336"/>
    </row>
    <row r="11262" spans="84:91" s="51" customFormat="1">
      <c r="CF11262" s="239"/>
      <c r="CM11262" s="336"/>
    </row>
    <row r="11263" spans="84:91" s="51" customFormat="1">
      <c r="CF11263" s="239"/>
      <c r="CM11263" s="336"/>
    </row>
    <row r="11264" spans="84:91" s="51" customFormat="1">
      <c r="CF11264" s="239"/>
      <c r="CM11264" s="336"/>
    </row>
    <row r="11265" spans="84:91" s="51" customFormat="1">
      <c r="CF11265" s="239"/>
      <c r="CM11265" s="336"/>
    </row>
    <row r="11266" spans="84:91" s="51" customFormat="1">
      <c r="CF11266" s="239"/>
      <c r="CM11266" s="336"/>
    </row>
    <row r="11267" spans="84:91" s="51" customFormat="1">
      <c r="CF11267" s="239"/>
      <c r="CM11267" s="336"/>
    </row>
    <row r="11268" spans="84:91" s="51" customFormat="1">
      <c r="CF11268" s="239"/>
      <c r="CM11268" s="336"/>
    </row>
    <row r="11269" spans="84:91" s="51" customFormat="1">
      <c r="CF11269" s="239"/>
      <c r="CM11269" s="336"/>
    </row>
    <row r="11270" spans="84:91" s="51" customFormat="1">
      <c r="CF11270" s="239"/>
      <c r="CM11270" s="336"/>
    </row>
    <row r="11271" spans="84:91" s="51" customFormat="1">
      <c r="CF11271" s="239"/>
      <c r="CM11271" s="336"/>
    </row>
    <row r="11272" spans="84:91" s="51" customFormat="1">
      <c r="CF11272" s="239"/>
      <c r="CM11272" s="336"/>
    </row>
    <row r="11273" spans="84:91" s="51" customFormat="1">
      <c r="CF11273" s="239"/>
      <c r="CM11273" s="336"/>
    </row>
    <row r="11274" spans="84:91" s="51" customFormat="1">
      <c r="CF11274" s="239"/>
      <c r="CM11274" s="336"/>
    </row>
    <row r="11275" spans="84:91" s="51" customFormat="1">
      <c r="CF11275" s="239"/>
      <c r="CM11275" s="336"/>
    </row>
    <row r="11276" spans="84:91" s="51" customFormat="1">
      <c r="CF11276" s="239"/>
      <c r="CM11276" s="336"/>
    </row>
    <row r="11277" spans="84:91" s="51" customFormat="1">
      <c r="CF11277" s="239"/>
      <c r="CM11277" s="336"/>
    </row>
    <row r="11278" spans="84:91" s="51" customFormat="1">
      <c r="CF11278" s="239"/>
      <c r="CM11278" s="336"/>
    </row>
    <row r="11279" spans="84:91" s="51" customFormat="1">
      <c r="CF11279" s="239"/>
      <c r="CM11279" s="336"/>
    </row>
    <row r="11280" spans="84:91" s="51" customFormat="1">
      <c r="CF11280" s="239"/>
      <c r="CM11280" s="336"/>
    </row>
    <row r="11281" spans="84:91" s="51" customFormat="1">
      <c r="CF11281" s="239"/>
      <c r="CM11281" s="336"/>
    </row>
    <row r="11282" spans="84:91" s="51" customFormat="1">
      <c r="CF11282" s="239"/>
      <c r="CM11282" s="336"/>
    </row>
    <row r="11283" spans="84:91" s="51" customFormat="1">
      <c r="CF11283" s="239"/>
      <c r="CM11283" s="336"/>
    </row>
    <row r="11284" spans="84:91" s="51" customFormat="1">
      <c r="CF11284" s="239"/>
      <c r="CM11284" s="336"/>
    </row>
    <row r="11285" spans="84:91" s="51" customFormat="1">
      <c r="CF11285" s="239"/>
      <c r="CM11285" s="336"/>
    </row>
    <row r="11286" spans="84:91" s="51" customFormat="1">
      <c r="CF11286" s="239"/>
      <c r="CM11286" s="336"/>
    </row>
    <row r="11287" spans="84:91" s="51" customFormat="1">
      <c r="CF11287" s="239"/>
      <c r="CM11287" s="336"/>
    </row>
    <row r="11288" spans="84:91" s="51" customFormat="1">
      <c r="CF11288" s="239"/>
      <c r="CM11288" s="336"/>
    </row>
    <row r="11289" spans="84:91" s="51" customFormat="1">
      <c r="CF11289" s="239"/>
      <c r="CM11289" s="336"/>
    </row>
    <row r="11290" spans="84:91" s="51" customFormat="1">
      <c r="CF11290" s="239"/>
      <c r="CM11290" s="336"/>
    </row>
    <row r="11291" spans="84:91" s="51" customFormat="1">
      <c r="CF11291" s="239"/>
      <c r="CM11291" s="336"/>
    </row>
    <row r="11292" spans="84:91" s="51" customFormat="1">
      <c r="CF11292" s="239"/>
      <c r="CM11292" s="336"/>
    </row>
    <row r="11293" spans="84:91" s="51" customFormat="1">
      <c r="CF11293" s="239"/>
      <c r="CM11293" s="336"/>
    </row>
    <row r="11294" spans="84:91" s="51" customFormat="1">
      <c r="CF11294" s="239"/>
      <c r="CM11294" s="336"/>
    </row>
    <row r="11295" spans="84:91" s="51" customFormat="1">
      <c r="CF11295" s="239"/>
      <c r="CM11295" s="336"/>
    </row>
    <row r="11296" spans="84:91" s="51" customFormat="1">
      <c r="CF11296" s="239"/>
      <c r="CM11296" s="336"/>
    </row>
    <row r="11297" spans="84:91" s="51" customFormat="1">
      <c r="CF11297" s="239"/>
      <c r="CM11297" s="336"/>
    </row>
    <row r="11298" spans="84:91" s="51" customFormat="1">
      <c r="CF11298" s="239"/>
      <c r="CM11298" s="336"/>
    </row>
    <row r="11299" spans="84:91" s="51" customFormat="1">
      <c r="CF11299" s="239"/>
      <c r="CM11299" s="336"/>
    </row>
    <row r="11300" spans="84:91" s="51" customFormat="1">
      <c r="CF11300" s="239"/>
      <c r="CM11300" s="336"/>
    </row>
    <row r="11301" spans="84:91" s="51" customFormat="1">
      <c r="CF11301" s="239"/>
      <c r="CM11301" s="336"/>
    </row>
    <row r="11302" spans="84:91" s="51" customFormat="1">
      <c r="CF11302" s="239"/>
      <c r="CM11302" s="336"/>
    </row>
    <row r="11303" spans="84:91" s="51" customFormat="1">
      <c r="CF11303" s="239"/>
      <c r="CM11303" s="336"/>
    </row>
    <row r="11304" spans="84:91" s="51" customFormat="1">
      <c r="CF11304" s="239"/>
      <c r="CM11304" s="336"/>
    </row>
    <row r="11305" spans="84:91" s="51" customFormat="1">
      <c r="CF11305" s="239"/>
      <c r="CM11305" s="336"/>
    </row>
    <row r="11306" spans="84:91" s="51" customFormat="1">
      <c r="CF11306" s="239"/>
      <c r="CM11306" s="336"/>
    </row>
    <row r="11307" spans="84:91" s="51" customFormat="1">
      <c r="CF11307" s="239"/>
      <c r="CM11307" s="336"/>
    </row>
    <row r="11308" spans="84:91" s="51" customFormat="1">
      <c r="CF11308" s="239"/>
      <c r="CM11308" s="336"/>
    </row>
    <row r="11309" spans="84:91" s="51" customFormat="1">
      <c r="CF11309" s="239"/>
      <c r="CM11309" s="336"/>
    </row>
    <row r="11310" spans="84:91" s="51" customFormat="1">
      <c r="CF11310" s="239"/>
      <c r="CM11310" s="336"/>
    </row>
    <row r="11311" spans="84:91" s="51" customFormat="1">
      <c r="CF11311" s="239"/>
      <c r="CM11311" s="336"/>
    </row>
    <row r="11312" spans="84:91" s="51" customFormat="1">
      <c r="CF11312" s="239"/>
      <c r="CM11312" s="336"/>
    </row>
    <row r="11313" spans="84:91" s="51" customFormat="1">
      <c r="CF11313" s="239"/>
      <c r="CM11313" s="336"/>
    </row>
    <row r="11314" spans="84:91" s="51" customFormat="1">
      <c r="CF11314" s="239"/>
      <c r="CM11314" s="336"/>
    </row>
    <row r="11315" spans="84:91" s="51" customFormat="1">
      <c r="CF11315" s="239"/>
      <c r="CM11315" s="336"/>
    </row>
    <row r="11316" spans="84:91" s="51" customFormat="1">
      <c r="CF11316" s="239"/>
      <c r="CM11316" s="336"/>
    </row>
    <row r="11317" spans="84:91" s="51" customFormat="1">
      <c r="CF11317" s="239"/>
      <c r="CM11317" s="336"/>
    </row>
    <row r="11318" spans="84:91" s="51" customFormat="1">
      <c r="CF11318" s="239"/>
      <c r="CM11318" s="336"/>
    </row>
    <row r="11319" spans="84:91" s="51" customFormat="1">
      <c r="CF11319" s="239"/>
      <c r="CM11319" s="336"/>
    </row>
    <row r="11320" spans="84:91" s="51" customFormat="1">
      <c r="CF11320" s="239"/>
      <c r="CM11320" s="336"/>
    </row>
    <row r="11321" spans="84:91" s="51" customFormat="1">
      <c r="CF11321" s="239"/>
      <c r="CM11321" s="336"/>
    </row>
    <row r="11322" spans="84:91" s="51" customFormat="1">
      <c r="CF11322" s="239"/>
      <c r="CM11322" s="336"/>
    </row>
    <row r="11323" spans="84:91" s="51" customFormat="1">
      <c r="CF11323" s="239"/>
      <c r="CM11323" s="336"/>
    </row>
    <row r="11324" spans="84:91" s="51" customFormat="1">
      <c r="CF11324" s="239"/>
      <c r="CM11324" s="336"/>
    </row>
    <row r="11325" spans="84:91" s="51" customFormat="1">
      <c r="CF11325" s="239"/>
      <c r="CM11325" s="336"/>
    </row>
    <row r="11326" spans="84:91" s="51" customFormat="1">
      <c r="CF11326" s="239"/>
      <c r="CM11326" s="336"/>
    </row>
    <row r="11327" spans="84:91" s="51" customFormat="1">
      <c r="CF11327" s="239"/>
      <c r="CM11327" s="336"/>
    </row>
    <row r="11328" spans="84:91" s="51" customFormat="1">
      <c r="CF11328" s="239"/>
      <c r="CM11328" s="336"/>
    </row>
    <row r="11329" spans="84:91" s="51" customFormat="1">
      <c r="CF11329" s="239"/>
      <c r="CM11329" s="336"/>
    </row>
    <row r="11330" spans="84:91" s="51" customFormat="1">
      <c r="CF11330" s="239"/>
      <c r="CM11330" s="336"/>
    </row>
    <row r="11331" spans="84:91" s="51" customFormat="1">
      <c r="CF11331" s="239"/>
      <c r="CM11331" s="336"/>
    </row>
    <row r="11332" spans="84:91" s="51" customFormat="1">
      <c r="CF11332" s="239"/>
      <c r="CM11332" s="336"/>
    </row>
    <row r="11333" spans="84:91" s="51" customFormat="1">
      <c r="CF11333" s="239"/>
      <c r="CM11333" s="336"/>
    </row>
    <row r="11334" spans="84:91" s="51" customFormat="1">
      <c r="CF11334" s="239"/>
      <c r="CM11334" s="336"/>
    </row>
    <row r="11335" spans="84:91" s="51" customFormat="1">
      <c r="CF11335" s="239"/>
      <c r="CM11335" s="336"/>
    </row>
    <row r="11336" spans="84:91" s="51" customFormat="1">
      <c r="CF11336" s="239"/>
      <c r="CM11336" s="336"/>
    </row>
    <row r="11337" spans="84:91" s="51" customFormat="1">
      <c r="CF11337" s="239"/>
      <c r="CM11337" s="336"/>
    </row>
    <row r="11338" spans="84:91" s="51" customFormat="1">
      <c r="CF11338" s="239"/>
      <c r="CM11338" s="336"/>
    </row>
    <row r="11339" spans="84:91" s="51" customFormat="1">
      <c r="CF11339" s="239"/>
      <c r="CM11339" s="336"/>
    </row>
    <row r="11340" spans="84:91" s="51" customFormat="1">
      <c r="CF11340" s="239"/>
      <c r="CM11340" s="336"/>
    </row>
    <row r="11341" spans="84:91" s="51" customFormat="1">
      <c r="CF11341" s="239"/>
      <c r="CM11341" s="336"/>
    </row>
    <row r="11342" spans="84:91" s="51" customFormat="1">
      <c r="CF11342" s="239"/>
      <c r="CM11342" s="336"/>
    </row>
    <row r="11343" spans="84:91" s="51" customFormat="1">
      <c r="CF11343" s="239"/>
      <c r="CM11343" s="336"/>
    </row>
    <row r="11344" spans="84:91" s="51" customFormat="1">
      <c r="CF11344" s="239"/>
      <c r="CM11344" s="336"/>
    </row>
    <row r="11345" spans="84:91" s="51" customFormat="1">
      <c r="CF11345" s="239"/>
      <c r="CM11345" s="336"/>
    </row>
    <row r="11346" spans="84:91" s="51" customFormat="1">
      <c r="CF11346" s="239"/>
      <c r="CM11346" s="336"/>
    </row>
    <row r="11347" spans="84:91" s="51" customFormat="1">
      <c r="CF11347" s="239"/>
      <c r="CM11347" s="336"/>
    </row>
    <row r="11348" spans="84:91" s="51" customFormat="1">
      <c r="CF11348" s="239"/>
      <c r="CM11348" s="336"/>
    </row>
    <row r="11349" spans="84:91" s="51" customFormat="1">
      <c r="CF11349" s="239"/>
      <c r="CM11349" s="336"/>
    </row>
    <row r="11350" spans="84:91" s="51" customFormat="1">
      <c r="CF11350" s="239"/>
      <c r="CM11350" s="336"/>
    </row>
    <row r="11351" spans="84:91" s="51" customFormat="1">
      <c r="CF11351" s="239"/>
      <c r="CM11351" s="336"/>
    </row>
    <row r="11352" spans="84:91" s="51" customFormat="1">
      <c r="CF11352" s="239"/>
      <c r="CM11352" s="336"/>
    </row>
    <row r="11353" spans="84:91" s="51" customFormat="1">
      <c r="CF11353" s="239"/>
      <c r="CM11353" s="336"/>
    </row>
    <row r="11354" spans="84:91" s="51" customFormat="1">
      <c r="CF11354" s="239"/>
      <c r="CM11354" s="336"/>
    </row>
    <row r="11355" spans="84:91" s="51" customFormat="1">
      <c r="CF11355" s="239"/>
      <c r="CM11355" s="336"/>
    </row>
    <row r="11356" spans="84:91" s="51" customFormat="1">
      <c r="CF11356" s="239"/>
      <c r="CM11356" s="336"/>
    </row>
    <row r="11357" spans="84:91" s="51" customFormat="1">
      <c r="CF11357" s="239"/>
      <c r="CM11357" s="336"/>
    </row>
    <row r="11358" spans="84:91" s="51" customFormat="1">
      <c r="CF11358" s="239"/>
      <c r="CM11358" s="336"/>
    </row>
    <row r="11359" spans="84:91" s="51" customFormat="1">
      <c r="CF11359" s="239"/>
      <c r="CM11359" s="336"/>
    </row>
    <row r="11360" spans="84:91" s="51" customFormat="1">
      <c r="CF11360" s="239"/>
      <c r="CM11360" s="336"/>
    </row>
    <row r="11361" spans="84:91" s="51" customFormat="1">
      <c r="CF11361" s="239"/>
      <c r="CM11361" s="336"/>
    </row>
    <row r="11362" spans="84:91" s="51" customFormat="1">
      <c r="CF11362" s="239"/>
      <c r="CM11362" s="336"/>
    </row>
    <row r="11363" spans="84:91" s="51" customFormat="1">
      <c r="CF11363" s="239"/>
      <c r="CM11363" s="336"/>
    </row>
    <row r="11364" spans="84:91" s="51" customFormat="1">
      <c r="CF11364" s="239"/>
      <c r="CM11364" s="336"/>
    </row>
    <row r="11365" spans="84:91" s="51" customFormat="1">
      <c r="CF11365" s="239"/>
      <c r="CM11365" s="336"/>
    </row>
    <row r="11366" spans="84:91" s="51" customFormat="1">
      <c r="CF11366" s="239"/>
      <c r="CM11366" s="336"/>
    </row>
    <row r="11367" spans="84:91" s="51" customFormat="1">
      <c r="CF11367" s="239"/>
      <c r="CM11367" s="336"/>
    </row>
    <row r="11368" spans="84:91" s="51" customFormat="1">
      <c r="CF11368" s="239"/>
      <c r="CM11368" s="336"/>
    </row>
    <row r="11369" spans="84:91" s="51" customFormat="1">
      <c r="CF11369" s="239"/>
      <c r="CM11369" s="336"/>
    </row>
    <row r="11370" spans="84:91" s="51" customFormat="1">
      <c r="CF11370" s="239"/>
      <c r="CM11370" s="336"/>
    </row>
    <row r="11371" spans="84:91" s="51" customFormat="1">
      <c r="CF11371" s="239"/>
      <c r="CM11371" s="336"/>
    </row>
    <row r="11372" spans="84:91" s="51" customFormat="1">
      <c r="CF11372" s="239"/>
      <c r="CM11372" s="336"/>
    </row>
    <row r="11373" spans="84:91" s="51" customFormat="1">
      <c r="CF11373" s="239"/>
      <c r="CM11373" s="336"/>
    </row>
    <row r="11374" spans="84:91" s="51" customFormat="1">
      <c r="CF11374" s="239"/>
      <c r="CM11374" s="336"/>
    </row>
    <row r="11375" spans="84:91" s="51" customFormat="1">
      <c r="CF11375" s="239"/>
      <c r="CM11375" s="336"/>
    </row>
    <row r="11376" spans="84:91" s="51" customFormat="1">
      <c r="CF11376" s="239"/>
      <c r="CM11376" s="336"/>
    </row>
    <row r="11377" spans="84:91" s="51" customFormat="1">
      <c r="CF11377" s="239"/>
      <c r="CM11377" s="336"/>
    </row>
    <row r="11378" spans="84:91" s="51" customFormat="1">
      <c r="CF11378" s="239"/>
      <c r="CM11378" s="336"/>
    </row>
    <row r="11379" spans="84:91" s="51" customFormat="1">
      <c r="CF11379" s="239"/>
      <c r="CM11379" s="336"/>
    </row>
    <row r="11380" spans="84:91" s="51" customFormat="1">
      <c r="CF11380" s="239"/>
      <c r="CM11380" s="336"/>
    </row>
    <row r="11381" spans="84:91" s="51" customFormat="1">
      <c r="CF11381" s="239"/>
      <c r="CM11381" s="336"/>
    </row>
    <row r="11382" spans="84:91" s="51" customFormat="1">
      <c r="CF11382" s="239"/>
      <c r="CM11382" s="336"/>
    </row>
    <row r="11383" spans="84:91" s="51" customFormat="1">
      <c r="CF11383" s="239"/>
      <c r="CM11383" s="336"/>
    </row>
    <row r="11384" spans="84:91" s="51" customFormat="1">
      <c r="CF11384" s="239"/>
      <c r="CM11384" s="336"/>
    </row>
    <row r="11385" spans="84:91" s="51" customFormat="1">
      <c r="CF11385" s="239"/>
      <c r="CM11385" s="336"/>
    </row>
    <row r="11386" spans="84:91" s="51" customFormat="1">
      <c r="CF11386" s="239"/>
      <c r="CM11386" s="336"/>
    </row>
    <row r="11387" spans="84:91" s="51" customFormat="1">
      <c r="CF11387" s="239"/>
      <c r="CM11387" s="336"/>
    </row>
    <row r="11388" spans="84:91" s="51" customFormat="1">
      <c r="CF11388" s="239"/>
      <c r="CM11388" s="336"/>
    </row>
    <row r="11389" spans="84:91" s="51" customFormat="1">
      <c r="CF11389" s="239"/>
      <c r="CM11389" s="336"/>
    </row>
    <row r="11390" spans="84:91" s="51" customFormat="1">
      <c r="CF11390" s="239"/>
      <c r="CM11390" s="336"/>
    </row>
    <row r="11391" spans="84:91" s="51" customFormat="1">
      <c r="CF11391" s="239"/>
      <c r="CM11391" s="336"/>
    </row>
    <row r="11392" spans="84:91" s="51" customFormat="1">
      <c r="CF11392" s="239"/>
      <c r="CM11392" s="336"/>
    </row>
    <row r="11393" spans="84:91" s="51" customFormat="1">
      <c r="CF11393" s="239"/>
      <c r="CM11393" s="336"/>
    </row>
    <row r="11394" spans="84:91" s="51" customFormat="1">
      <c r="CF11394" s="239"/>
      <c r="CM11394" s="336"/>
    </row>
    <row r="11395" spans="84:91" s="51" customFormat="1">
      <c r="CF11395" s="239"/>
      <c r="CM11395" s="336"/>
    </row>
    <row r="11396" spans="84:91" s="51" customFormat="1">
      <c r="CF11396" s="239"/>
      <c r="CM11396" s="336"/>
    </row>
    <row r="11397" spans="84:91" s="51" customFormat="1">
      <c r="CF11397" s="239"/>
      <c r="CM11397" s="336"/>
    </row>
    <row r="11398" spans="84:91" s="51" customFormat="1">
      <c r="CF11398" s="239"/>
      <c r="CM11398" s="336"/>
    </row>
    <row r="11399" spans="84:91" s="51" customFormat="1">
      <c r="CF11399" s="239"/>
      <c r="CM11399" s="336"/>
    </row>
    <row r="11400" spans="84:91" s="51" customFormat="1">
      <c r="CF11400" s="239"/>
      <c r="CM11400" s="336"/>
    </row>
    <row r="11401" spans="84:91" s="51" customFormat="1">
      <c r="CF11401" s="239"/>
      <c r="CM11401" s="336"/>
    </row>
    <row r="11402" spans="84:91" s="51" customFormat="1">
      <c r="CF11402" s="239"/>
      <c r="CM11402" s="336"/>
    </row>
    <row r="11403" spans="84:91" s="51" customFormat="1">
      <c r="CF11403" s="239"/>
      <c r="CM11403" s="336"/>
    </row>
    <row r="11404" spans="84:91" s="51" customFormat="1">
      <c r="CF11404" s="239"/>
      <c r="CM11404" s="336"/>
    </row>
    <row r="11405" spans="84:91" s="51" customFormat="1">
      <c r="CF11405" s="239"/>
      <c r="CM11405" s="336"/>
    </row>
    <row r="11406" spans="84:91" s="51" customFormat="1">
      <c r="CF11406" s="239"/>
      <c r="CM11406" s="336"/>
    </row>
    <row r="11407" spans="84:91" s="51" customFormat="1">
      <c r="CF11407" s="239"/>
      <c r="CM11407" s="336"/>
    </row>
    <row r="11408" spans="84:91" s="51" customFormat="1">
      <c r="CF11408" s="239"/>
      <c r="CM11408" s="336"/>
    </row>
    <row r="11409" spans="84:91" s="51" customFormat="1">
      <c r="CF11409" s="239"/>
      <c r="CM11409" s="336"/>
    </row>
    <row r="11410" spans="84:91" s="51" customFormat="1">
      <c r="CF11410" s="239"/>
      <c r="CM11410" s="336"/>
    </row>
    <row r="11411" spans="84:91" s="51" customFormat="1">
      <c r="CF11411" s="239"/>
      <c r="CM11411" s="336"/>
    </row>
    <row r="11412" spans="84:91" s="51" customFormat="1">
      <c r="CF11412" s="239"/>
      <c r="CM11412" s="336"/>
    </row>
    <row r="11413" spans="84:91" s="51" customFormat="1">
      <c r="CF11413" s="239"/>
      <c r="CM11413" s="336"/>
    </row>
    <row r="11414" spans="84:91" s="51" customFormat="1">
      <c r="CF11414" s="239"/>
      <c r="CM11414" s="336"/>
    </row>
    <row r="11415" spans="84:91" s="51" customFormat="1">
      <c r="CF11415" s="239"/>
      <c r="CM11415" s="336"/>
    </row>
    <row r="11416" spans="84:91" s="51" customFormat="1">
      <c r="CF11416" s="239"/>
      <c r="CM11416" s="336"/>
    </row>
    <row r="11417" spans="84:91" s="51" customFormat="1">
      <c r="CF11417" s="239"/>
      <c r="CM11417" s="336"/>
    </row>
    <row r="11418" spans="84:91" s="51" customFormat="1">
      <c r="CF11418" s="239"/>
      <c r="CM11418" s="336"/>
    </row>
    <row r="11419" spans="84:91" s="51" customFormat="1">
      <c r="CF11419" s="239"/>
      <c r="CM11419" s="336"/>
    </row>
    <row r="11420" spans="84:91" s="51" customFormat="1">
      <c r="CF11420" s="239"/>
      <c r="CM11420" s="336"/>
    </row>
    <row r="11421" spans="84:91" s="51" customFormat="1">
      <c r="CF11421" s="239"/>
      <c r="CM11421" s="336"/>
    </row>
    <row r="11422" spans="84:91" s="51" customFormat="1">
      <c r="CF11422" s="239"/>
      <c r="CM11422" s="336"/>
    </row>
    <row r="11423" spans="84:91" s="51" customFormat="1">
      <c r="CF11423" s="239"/>
      <c r="CM11423" s="336"/>
    </row>
    <row r="11424" spans="84:91" s="51" customFormat="1">
      <c r="CF11424" s="239"/>
      <c r="CM11424" s="336"/>
    </row>
    <row r="11425" spans="84:91" s="51" customFormat="1">
      <c r="CF11425" s="239"/>
      <c r="CM11425" s="336"/>
    </row>
    <row r="11426" spans="84:91" s="51" customFormat="1">
      <c r="CF11426" s="239"/>
      <c r="CM11426" s="336"/>
    </row>
    <row r="11427" spans="84:91" s="51" customFormat="1">
      <c r="CF11427" s="239"/>
      <c r="CM11427" s="336"/>
    </row>
    <row r="11428" spans="84:91" s="51" customFormat="1">
      <c r="CF11428" s="239"/>
      <c r="CM11428" s="336"/>
    </row>
    <row r="11429" spans="84:91" s="51" customFormat="1">
      <c r="CF11429" s="239"/>
      <c r="CM11429" s="336"/>
    </row>
    <row r="11430" spans="84:91" s="51" customFormat="1">
      <c r="CF11430" s="239"/>
      <c r="CM11430" s="336"/>
    </row>
    <row r="11431" spans="84:91" s="51" customFormat="1">
      <c r="CF11431" s="239"/>
      <c r="CM11431" s="336"/>
    </row>
    <row r="11432" spans="84:91" s="51" customFormat="1">
      <c r="CF11432" s="239"/>
      <c r="CM11432" s="336"/>
    </row>
    <row r="11433" spans="84:91" s="51" customFormat="1">
      <c r="CF11433" s="239"/>
      <c r="CM11433" s="336"/>
    </row>
    <row r="11434" spans="84:91" s="51" customFormat="1">
      <c r="CF11434" s="239"/>
      <c r="CM11434" s="336"/>
    </row>
    <row r="11435" spans="84:91" s="51" customFormat="1">
      <c r="CF11435" s="239"/>
      <c r="CM11435" s="336"/>
    </row>
    <row r="11436" spans="84:91" s="51" customFormat="1">
      <c r="CF11436" s="239"/>
      <c r="CM11436" s="336"/>
    </row>
    <row r="11437" spans="84:91" s="51" customFormat="1">
      <c r="CF11437" s="239"/>
      <c r="CM11437" s="336"/>
    </row>
    <row r="11438" spans="84:91" s="51" customFormat="1">
      <c r="CF11438" s="239"/>
      <c r="CM11438" s="336"/>
    </row>
    <row r="11439" spans="84:91" s="51" customFormat="1">
      <c r="CF11439" s="239"/>
      <c r="CM11439" s="336"/>
    </row>
    <row r="11440" spans="84:91" s="51" customFormat="1">
      <c r="CF11440" s="239"/>
      <c r="CM11440" s="336"/>
    </row>
    <row r="11441" spans="84:91" s="51" customFormat="1">
      <c r="CF11441" s="239"/>
      <c r="CM11441" s="336"/>
    </row>
    <row r="11442" spans="84:91" s="51" customFormat="1">
      <c r="CF11442" s="239"/>
      <c r="CM11442" s="336"/>
    </row>
    <row r="11443" spans="84:91" s="51" customFormat="1">
      <c r="CF11443" s="239"/>
      <c r="CM11443" s="336"/>
    </row>
    <row r="11444" spans="84:91" s="51" customFormat="1">
      <c r="CF11444" s="239"/>
      <c r="CM11444" s="336"/>
    </row>
    <row r="11445" spans="84:91" s="51" customFormat="1">
      <c r="CF11445" s="239"/>
      <c r="CM11445" s="336"/>
    </row>
    <row r="11446" spans="84:91" s="51" customFormat="1">
      <c r="CF11446" s="239"/>
      <c r="CM11446" s="336"/>
    </row>
    <row r="11447" spans="84:91" s="51" customFormat="1">
      <c r="CF11447" s="239"/>
      <c r="CM11447" s="336"/>
    </row>
    <row r="11448" spans="84:91" s="51" customFormat="1">
      <c r="CF11448" s="239"/>
      <c r="CM11448" s="336"/>
    </row>
    <row r="11449" spans="84:91" s="51" customFormat="1">
      <c r="CF11449" s="239"/>
      <c r="CM11449" s="336"/>
    </row>
    <row r="11450" spans="84:91" s="51" customFormat="1">
      <c r="CF11450" s="239"/>
      <c r="CM11450" s="336"/>
    </row>
    <row r="11451" spans="84:91" s="51" customFormat="1">
      <c r="CF11451" s="239"/>
      <c r="CM11451" s="336"/>
    </row>
    <row r="11452" spans="84:91" s="51" customFormat="1">
      <c r="CF11452" s="239"/>
      <c r="CM11452" s="336"/>
    </row>
    <row r="11453" spans="84:91" s="51" customFormat="1">
      <c r="CF11453" s="239"/>
      <c r="CM11453" s="336"/>
    </row>
    <row r="11454" spans="84:91" s="51" customFormat="1">
      <c r="CF11454" s="239"/>
      <c r="CM11454" s="336"/>
    </row>
    <row r="11455" spans="84:91" s="51" customFormat="1">
      <c r="CF11455" s="239"/>
      <c r="CM11455" s="336"/>
    </row>
    <row r="11456" spans="84:91" s="51" customFormat="1">
      <c r="CF11456" s="239"/>
      <c r="CM11456" s="336"/>
    </row>
    <row r="11457" spans="84:91" s="51" customFormat="1">
      <c r="CF11457" s="239"/>
      <c r="CM11457" s="336"/>
    </row>
    <row r="11458" spans="84:91" s="51" customFormat="1">
      <c r="CF11458" s="239"/>
      <c r="CM11458" s="336"/>
    </row>
    <row r="11459" spans="84:91" s="51" customFormat="1">
      <c r="CF11459" s="239"/>
      <c r="CM11459" s="336"/>
    </row>
    <row r="11460" spans="84:91" s="51" customFormat="1">
      <c r="CF11460" s="239"/>
      <c r="CM11460" s="336"/>
    </row>
    <row r="11461" spans="84:91" s="51" customFormat="1">
      <c r="CF11461" s="239"/>
      <c r="CM11461" s="336"/>
    </row>
    <row r="11462" spans="84:91" s="51" customFormat="1">
      <c r="CF11462" s="239"/>
      <c r="CM11462" s="336"/>
    </row>
    <row r="11463" spans="84:91" s="51" customFormat="1">
      <c r="CF11463" s="239"/>
      <c r="CM11463" s="336"/>
    </row>
    <row r="11464" spans="84:91" s="51" customFormat="1">
      <c r="CF11464" s="239"/>
      <c r="CM11464" s="336"/>
    </row>
    <row r="11465" spans="84:91" s="51" customFormat="1">
      <c r="CF11465" s="239"/>
      <c r="CM11465" s="336"/>
    </row>
    <row r="11466" spans="84:91" s="51" customFormat="1">
      <c r="CF11466" s="239"/>
      <c r="CM11466" s="336"/>
    </row>
    <row r="11467" spans="84:91" s="51" customFormat="1">
      <c r="CF11467" s="239"/>
      <c r="CM11467" s="336"/>
    </row>
    <row r="11468" spans="84:91" s="51" customFormat="1">
      <c r="CF11468" s="239"/>
      <c r="CM11468" s="336"/>
    </row>
    <row r="11469" spans="84:91" s="51" customFormat="1">
      <c r="CF11469" s="239"/>
      <c r="CM11469" s="336"/>
    </row>
    <row r="11470" spans="84:91" s="51" customFormat="1">
      <c r="CF11470" s="239"/>
      <c r="CM11470" s="336"/>
    </row>
    <row r="11471" spans="84:91" s="51" customFormat="1">
      <c r="CF11471" s="239"/>
      <c r="CM11471" s="336"/>
    </row>
    <row r="11472" spans="84:91" s="51" customFormat="1">
      <c r="CF11472" s="239"/>
      <c r="CM11472" s="336"/>
    </row>
    <row r="11473" spans="84:91" s="51" customFormat="1">
      <c r="CF11473" s="239"/>
      <c r="CM11473" s="336"/>
    </row>
    <row r="11474" spans="84:91" s="51" customFormat="1">
      <c r="CF11474" s="239"/>
      <c r="CM11474" s="336"/>
    </row>
    <row r="11475" spans="84:91" s="51" customFormat="1">
      <c r="CF11475" s="239"/>
      <c r="CM11475" s="336"/>
    </row>
    <row r="11476" spans="84:91" s="51" customFormat="1">
      <c r="CF11476" s="239"/>
      <c r="CM11476" s="336"/>
    </row>
    <row r="11477" spans="84:91" s="51" customFormat="1">
      <c r="CF11477" s="239"/>
      <c r="CM11477" s="336"/>
    </row>
    <row r="11478" spans="84:91" s="51" customFormat="1">
      <c r="CF11478" s="239"/>
      <c r="CM11478" s="336"/>
    </row>
    <row r="11479" spans="84:91" s="51" customFormat="1">
      <c r="CF11479" s="239"/>
      <c r="CM11479" s="336"/>
    </row>
    <row r="11480" spans="84:91" s="51" customFormat="1">
      <c r="CF11480" s="239"/>
      <c r="CM11480" s="336"/>
    </row>
    <row r="11481" spans="84:91" s="51" customFormat="1">
      <c r="CF11481" s="239"/>
      <c r="CM11481" s="336"/>
    </row>
    <row r="11482" spans="84:91" s="51" customFormat="1">
      <c r="CF11482" s="239"/>
      <c r="CM11482" s="336"/>
    </row>
    <row r="11483" spans="84:91" s="51" customFormat="1">
      <c r="CF11483" s="239"/>
      <c r="CM11483" s="336"/>
    </row>
    <row r="11484" spans="84:91" s="51" customFormat="1">
      <c r="CF11484" s="239"/>
      <c r="CM11484" s="336"/>
    </row>
    <row r="11485" spans="84:91" s="51" customFormat="1">
      <c r="CF11485" s="239"/>
      <c r="CM11485" s="336"/>
    </row>
    <row r="11486" spans="84:91" s="51" customFormat="1">
      <c r="CF11486" s="239"/>
      <c r="CM11486" s="336"/>
    </row>
    <row r="11487" spans="84:91" s="51" customFormat="1">
      <c r="CF11487" s="239"/>
      <c r="CM11487" s="336"/>
    </row>
    <row r="11488" spans="84:91" s="51" customFormat="1">
      <c r="CF11488" s="239"/>
      <c r="CM11488" s="336"/>
    </row>
    <row r="11489" spans="84:91" s="51" customFormat="1">
      <c r="CF11489" s="239"/>
      <c r="CM11489" s="336"/>
    </row>
    <row r="11490" spans="84:91" s="51" customFormat="1">
      <c r="CF11490" s="239"/>
      <c r="CM11490" s="336"/>
    </row>
    <row r="11491" spans="84:91" s="51" customFormat="1">
      <c r="CF11491" s="239"/>
      <c r="CM11491" s="336"/>
    </row>
    <row r="11492" spans="84:91" s="51" customFormat="1">
      <c r="CF11492" s="239"/>
      <c r="CM11492" s="336"/>
    </row>
    <row r="11493" spans="84:91" s="51" customFormat="1">
      <c r="CF11493" s="239"/>
      <c r="CM11493" s="336"/>
    </row>
    <row r="11494" spans="84:91" s="51" customFormat="1">
      <c r="CF11494" s="239"/>
      <c r="CM11494" s="336"/>
    </row>
    <row r="11495" spans="84:91" s="51" customFormat="1">
      <c r="CF11495" s="239"/>
      <c r="CM11495" s="336"/>
    </row>
    <row r="11496" spans="84:91" s="51" customFormat="1">
      <c r="CF11496" s="239"/>
      <c r="CM11496" s="336"/>
    </row>
    <row r="11497" spans="84:91" s="51" customFormat="1">
      <c r="CF11497" s="239"/>
      <c r="CM11497" s="336"/>
    </row>
    <row r="11498" spans="84:91" s="51" customFormat="1">
      <c r="CF11498" s="239"/>
      <c r="CM11498" s="336"/>
    </row>
    <row r="11499" spans="84:91" s="51" customFormat="1">
      <c r="CF11499" s="239"/>
      <c r="CM11499" s="336"/>
    </row>
    <row r="11500" spans="84:91" s="51" customFormat="1">
      <c r="CF11500" s="239"/>
      <c r="CM11500" s="336"/>
    </row>
    <row r="11501" spans="84:91" s="51" customFormat="1">
      <c r="CF11501" s="239"/>
      <c r="CM11501" s="336"/>
    </row>
    <row r="11502" spans="84:91" s="51" customFormat="1">
      <c r="CF11502" s="239"/>
      <c r="CM11502" s="336"/>
    </row>
    <row r="11503" spans="84:91" s="51" customFormat="1">
      <c r="CF11503" s="239"/>
      <c r="CM11503" s="336"/>
    </row>
    <row r="11504" spans="84:91" s="51" customFormat="1">
      <c r="CF11504" s="239"/>
      <c r="CM11504" s="336"/>
    </row>
    <row r="11505" spans="84:91" s="51" customFormat="1">
      <c r="CF11505" s="239"/>
      <c r="CM11505" s="336"/>
    </row>
    <row r="11506" spans="84:91" s="51" customFormat="1">
      <c r="CF11506" s="239"/>
      <c r="CM11506" s="336"/>
    </row>
    <row r="11507" spans="84:91" s="51" customFormat="1">
      <c r="CF11507" s="239"/>
      <c r="CM11507" s="336"/>
    </row>
    <row r="11508" spans="84:91" s="51" customFormat="1">
      <c r="CF11508" s="239"/>
      <c r="CM11508" s="336"/>
    </row>
    <row r="11509" spans="84:91" s="51" customFormat="1">
      <c r="CF11509" s="239"/>
      <c r="CM11509" s="336"/>
    </row>
    <row r="11510" spans="84:91" s="51" customFormat="1">
      <c r="CF11510" s="239"/>
      <c r="CM11510" s="336"/>
    </row>
    <row r="11511" spans="84:91" s="51" customFormat="1">
      <c r="CF11511" s="239"/>
      <c r="CM11511" s="336"/>
    </row>
    <row r="11512" spans="84:91" s="51" customFormat="1">
      <c r="CF11512" s="239"/>
      <c r="CM11512" s="336"/>
    </row>
    <row r="11513" spans="84:91" s="51" customFormat="1">
      <c r="CF11513" s="239"/>
      <c r="CM11513" s="336"/>
    </row>
    <row r="11514" spans="84:91" s="51" customFormat="1">
      <c r="CF11514" s="239"/>
      <c r="CM11514" s="336"/>
    </row>
    <row r="11515" spans="84:91" s="51" customFormat="1">
      <c r="CF11515" s="239"/>
      <c r="CM11515" s="336"/>
    </row>
    <row r="11516" spans="84:91" s="51" customFormat="1">
      <c r="CF11516" s="239"/>
      <c r="CM11516" s="336"/>
    </row>
    <row r="11517" spans="84:91" s="51" customFormat="1">
      <c r="CF11517" s="239"/>
      <c r="CM11517" s="336"/>
    </row>
    <row r="11518" spans="84:91" s="51" customFormat="1">
      <c r="CF11518" s="239"/>
      <c r="CM11518" s="336"/>
    </row>
    <row r="11519" spans="84:91" s="51" customFormat="1">
      <c r="CF11519" s="239"/>
      <c r="CM11519" s="336"/>
    </row>
    <row r="11520" spans="84:91" s="51" customFormat="1">
      <c r="CF11520" s="239"/>
      <c r="CM11520" s="336"/>
    </row>
    <row r="11521" spans="84:91" s="51" customFormat="1">
      <c r="CF11521" s="239"/>
      <c r="CM11521" s="336"/>
    </row>
    <row r="11522" spans="84:91" s="51" customFormat="1">
      <c r="CF11522" s="239"/>
      <c r="CM11522" s="336"/>
    </row>
    <row r="11523" spans="84:91" s="51" customFormat="1">
      <c r="CF11523" s="239"/>
      <c r="CM11523" s="336"/>
    </row>
    <row r="11524" spans="84:91" s="51" customFormat="1">
      <c r="CF11524" s="239"/>
      <c r="CM11524" s="336"/>
    </row>
    <row r="11525" spans="84:91" s="51" customFormat="1">
      <c r="CF11525" s="239"/>
      <c r="CM11525" s="336"/>
    </row>
    <row r="11526" spans="84:91" s="51" customFormat="1">
      <c r="CF11526" s="239"/>
      <c r="CM11526" s="336"/>
    </row>
    <row r="11527" spans="84:91" s="51" customFormat="1">
      <c r="CF11527" s="239"/>
      <c r="CM11527" s="336"/>
    </row>
    <row r="11528" spans="84:91" s="51" customFormat="1">
      <c r="CF11528" s="239"/>
      <c r="CM11528" s="336"/>
    </row>
    <row r="11529" spans="84:91" s="51" customFormat="1">
      <c r="CF11529" s="239"/>
      <c r="CM11529" s="336"/>
    </row>
    <row r="11530" spans="84:91" s="51" customFormat="1">
      <c r="CF11530" s="239"/>
      <c r="CM11530" s="336"/>
    </row>
    <row r="11531" spans="84:91" s="51" customFormat="1">
      <c r="CF11531" s="239"/>
      <c r="CM11531" s="336"/>
    </row>
    <row r="11532" spans="84:91" s="51" customFormat="1">
      <c r="CF11532" s="239"/>
      <c r="CM11532" s="336"/>
    </row>
    <row r="11533" spans="84:91" s="51" customFormat="1">
      <c r="CF11533" s="239"/>
      <c r="CM11533" s="336"/>
    </row>
    <row r="11534" spans="84:91" s="51" customFormat="1">
      <c r="CF11534" s="239"/>
      <c r="CM11534" s="336"/>
    </row>
    <row r="11535" spans="84:91" s="51" customFormat="1">
      <c r="CF11535" s="239"/>
      <c r="CM11535" s="336"/>
    </row>
    <row r="11536" spans="84:91" s="51" customFormat="1">
      <c r="CF11536" s="239"/>
      <c r="CM11536" s="336"/>
    </row>
    <row r="11537" spans="84:91" s="51" customFormat="1">
      <c r="CF11537" s="239"/>
      <c r="CM11537" s="336"/>
    </row>
    <row r="11538" spans="84:91" s="51" customFormat="1">
      <c r="CF11538" s="239"/>
      <c r="CM11538" s="336"/>
    </row>
    <row r="11539" spans="84:91" s="51" customFormat="1">
      <c r="CF11539" s="239"/>
      <c r="CM11539" s="336"/>
    </row>
    <row r="11540" spans="84:91" s="51" customFormat="1">
      <c r="CF11540" s="239"/>
      <c r="CM11540" s="336"/>
    </row>
    <row r="11541" spans="84:91" s="51" customFormat="1">
      <c r="CF11541" s="239"/>
      <c r="CM11541" s="336"/>
    </row>
    <row r="11542" spans="84:91" s="51" customFormat="1">
      <c r="CF11542" s="239"/>
      <c r="CM11542" s="336"/>
    </row>
    <row r="11543" spans="84:91" s="51" customFormat="1">
      <c r="CF11543" s="239"/>
      <c r="CM11543" s="336"/>
    </row>
    <row r="11544" spans="84:91" s="51" customFormat="1">
      <c r="CF11544" s="239"/>
      <c r="CM11544" s="336"/>
    </row>
    <row r="11545" spans="84:91" s="51" customFormat="1">
      <c r="CF11545" s="239"/>
      <c r="CM11545" s="336"/>
    </row>
    <row r="11546" spans="84:91" s="51" customFormat="1">
      <c r="CF11546" s="239"/>
      <c r="CM11546" s="336"/>
    </row>
    <row r="11547" spans="84:91" s="51" customFormat="1">
      <c r="CF11547" s="239"/>
      <c r="CM11547" s="336"/>
    </row>
    <row r="11548" spans="84:91" s="51" customFormat="1">
      <c r="CF11548" s="239"/>
      <c r="CM11548" s="336"/>
    </row>
    <row r="11549" spans="84:91" s="51" customFormat="1">
      <c r="CF11549" s="239"/>
      <c r="CM11549" s="336"/>
    </row>
    <row r="11550" spans="84:91" s="51" customFormat="1">
      <c r="CF11550" s="239"/>
      <c r="CM11550" s="336"/>
    </row>
    <row r="11551" spans="84:91" s="51" customFormat="1">
      <c r="CF11551" s="239"/>
      <c r="CM11551" s="336"/>
    </row>
    <row r="11552" spans="84:91" s="51" customFormat="1">
      <c r="CF11552" s="239"/>
      <c r="CM11552" s="336"/>
    </row>
    <row r="11553" spans="84:91" s="51" customFormat="1">
      <c r="CF11553" s="239"/>
      <c r="CM11553" s="336"/>
    </row>
    <row r="11554" spans="84:91" s="51" customFormat="1">
      <c r="CF11554" s="239"/>
      <c r="CM11554" s="336"/>
    </row>
    <row r="11555" spans="84:91" s="51" customFormat="1">
      <c r="CF11555" s="239"/>
      <c r="CM11555" s="336"/>
    </row>
    <row r="11556" spans="84:91" s="51" customFormat="1">
      <c r="CF11556" s="239"/>
      <c r="CM11556" s="336"/>
    </row>
    <row r="11557" spans="84:91" s="51" customFormat="1">
      <c r="CF11557" s="239"/>
      <c r="CM11557" s="336"/>
    </row>
    <row r="11558" spans="84:91" s="51" customFormat="1">
      <c r="CF11558" s="239"/>
      <c r="CM11558" s="336"/>
    </row>
    <row r="11559" spans="84:91" s="51" customFormat="1">
      <c r="CF11559" s="239"/>
      <c r="CM11559" s="336"/>
    </row>
    <row r="11560" spans="84:91" s="51" customFormat="1">
      <c r="CF11560" s="239"/>
      <c r="CM11560" s="336"/>
    </row>
    <row r="11561" spans="84:91" s="51" customFormat="1">
      <c r="CF11561" s="239"/>
      <c r="CM11561" s="336"/>
    </row>
    <row r="11562" spans="84:91" s="51" customFormat="1">
      <c r="CF11562" s="239"/>
      <c r="CM11562" s="336"/>
    </row>
    <row r="11563" spans="84:91" s="51" customFormat="1">
      <c r="CF11563" s="239"/>
      <c r="CM11563" s="336"/>
    </row>
    <row r="11564" spans="84:91" s="51" customFormat="1">
      <c r="CF11564" s="239"/>
      <c r="CM11564" s="336"/>
    </row>
    <row r="11565" spans="84:91" s="51" customFormat="1">
      <c r="CF11565" s="239"/>
      <c r="CM11565" s="336"/>
    </row>
    <row r="11566" spans="84:91" s="51" customFormat="1">
      <c r="CF11566" s="239"/>
      <c r="CM11566" s="336"/>
    </row>
    <row r="11567" spans="84:91" s="51" customFormat="1">
      <c r="CF11567" s="239"/>
      <c r="CM11567" s="336"/>
    </row>
    <row r="11568" spans="84:91" s="51" customFormat="1">
      <c r="CF11568" s="239"/>
      <c r="CM11568" s="336"/>
    </row>
    <row r="11569" spans="84:91" s="51" customFormat="1">
      <c r="CF11569" s="239"/>
      <c r="CM11569" s="336"/>
    </row>
    <row r="11570" spans="84:91" s="51" customFormat="1">
      <c r="CF11570" s="239"/>
      <c r="CM11570" s="336"/>
    </row>
    <row r="11571" spans="84:91" s="51" customFormat="1">
      <c r="CF11571" s="239"/>
      <c r="CM11571" s="336"/>
    </row>
    <row r="11572" spans="84:91" s="51" customFormat="1">
      <c r="CF11572" s="239"/>
      <c r="CM11572" s="336"/>
    </row>
    <row r="11573" spans="84:91" s="51" customFormat="1">
      <c r="CF11573" s="239"/>
      <c r="CM11573" s="336"/>
    </row>
    <row r="11574" spans="84:91" s="51" customFormat="1">
      <c r="CF11574" s="239"/>
      <c r="CM11574" s="336"/>
    </row>
    <row r="11575" spans="84:91" s="51" customFormat="1">
      <c r="CF11575" s="239"/>
      <c r="CM11575" s="336"/>
    </row>
    <row r="11576" spans="84:91" s="51" customFormat="1">
      <c r="CF11576" s="239"/>
      <c r="CM11576" s="336"/>
    </row>
    <row r="11577" spans="84:91" s="51" customFormat="1">
      <c r="CF11577" s="239"/>
      <c r="CM11577" s="336"/>
    </row>
    <row r="11578" spans="84:91" s="51" customFormat="1">
      <c r="CF11578" s="239"/>
      <c r="CM11578" s="336"/>
    </row>
    <row r="11579" spans="84:91" s="51" customFormat="1">
      <c r="CF11579" s="239"/>
      <c r="CM11579" s="336"/>
    </row>
    <row r="11580" spans="84:91" s="51" customFormat="1">
      <c r="CF11580" s="239"/>
      <c r="CM11580" s="336"/>
    </row>
    <row r="11581" spans="84:91" s="51" customFormat="1">
      <c r="CF11581" s="239"/>
      <c r="CM11581" s="336"/>
    </row>
    <row r="11582" spans="84:91" s="51" customFormat="1">
      <c r="CF11582" s="239"/>
      <c r="CM11582" s="336"/>
    </row>
    <row r="11583" spans="84:91" s="51" customFormat="1">
      <c r="CF11583" s="239"/>
      <c r="CM11583" s="336"/>
    </row>
    <row r="11584" spans="84:91" s="51" customFormat="1">
      <c r="CF11584" s="239"/>
      <c r="CM11584" s="336"/>
    </row>
    <row r="11585" spans="84:91" s="51" customFormat="1">
      <c r="CF11585" s="239"/>
      <c r="CM11585" s="336"/>
    </row>
    <row r="11586" spans="84:91" s="51" customFormat="1">
      <c r="CF11586" s="239"/>
      <c r="CM11586" s="336"/>
    </row>
    <row r="11587" spans="84:91" s="51" customFormat="1">
      <c r="CF11587" s="239"/>
      <c r="CM11587" s="336"/>
    </row>
    <row r="11588" spans="84:91" s="51" customFormat="1">
      <c r="CF11588" s="239"/>
      <c r="CM11588" s="336"/>
    </row>
    <row r="11589" spans="84:91" s="51" customFormat="1">
      <c r="CF11589" s="239"/>
      <c r="CM11589" s="336"/>
    </row>
    <row r="11590" spans="84:91" s="51" customFormat="1">
      <c r="CF11590" s="239"/>
      <c r="CM11590" s="336"/>
    </row>
    <row r="11591" spans="84:91" s="51" customFormat="1">
      <c r="CF11591" s="239"/>
      <c r="CM11591" s="336"/>
    </row>
    <row r="11592" spans="84:91" s="51" customFormat="1">
      <c r="CF11592" s="239"/>
      <c r="CM11592" s="336"/>
    </row>
    <row r="11593" spans="84:91" s="51" customFormat="1">
      <c r="CF11593" s="239"/>
      <c r="CM11593" s="336"/>
    </row>
    <row r="11594" spans="84:91" s="51" customFormat="1">
      <c r="CF11594" s="239"/>
      <c r="CM11594" s="336"/>
    </row>
    <row r="11595" spans="84:91" s="51" customFormat="1">
      <c r="CF11595" s="239"/>
      <c r="CM11595" s="336"/>
    </row>
    <row r="11596" spans="84:91" s="51" customFormat="1">
      <c r="CF11596" s="239"/>
      <c r="CM11596" s="336"/>
    </row>
    <row r="11597" spans="84:91" s="51" customFormat="1">
      <c r="CF11597" s="239"/>
      <c r="CM11597" s="336"/>
    </row>
    <row r="11598" spans="84:91" s="51" customFormat="1">
      <c r="CF11598" s="239"/>
      <c r="CM11598" s="336"/>
    </row>
    <row r="11599" spans="84:91" s="51" customFormat="1">
      <c r="CF11599" s="239"/>
      <c r="CM11599" s="336"/>
    </row>
    <row r="11600" spans="84:91" s="51" customFormat="1">
      <c r="CF11600" s="239"/>
      <c r="CM11600" s="336"/>
    </row>
    <row r="11601" spans="84:91" s="51" customFormat="1">
      <c r="CF11601" s="239"/>
      <c r="CM11601" s="336"/>
    </row>
    <row r="11602" spans="84:91" s="51" customFormat="1">
      <c r="CF11602" s="239"/>
      <c r="CM11602" s="336"/>
    </row>
    <row r="11603" spans="84:91" s="51" customFormat="1">
      <c r="CF11603" s="239"/>
      <c r="CM11603" s="336"/>
    </row>
    <row r="11604" spans="84:91" s="51" customFormat="1">
      <c r="CF11604" s="239"/>
      <c r="CM11604" s="336"/>
    </row>
    <row r="11605" spans="84:91" s="51" customFormat="1">
      <c r="CF11605" s="239"/>
      <c r="CM11605" s="336"/>
    </row>
    <row r="11606" spans="84:91" s="51" customFormat="1">
      <c r="CF11606" s="239"/>
      <c r="CM11606" s="336"/>
    </row>
    <row r="11607" spans="84:91" s="51" customFormat="1">
      <c r="CF11607" s="239"/>
      <c r="CM11607" s="336"/>
    </row>
    <row r="11608" spans="84:91" s="51" customFormat="1">
      <c r="CF11608" s="239"/>
      <c r="CM11608" s="336"/>
    </row>
    <row r="11609" spans="84:91" s="51" customFormat="1">
      <c r="CF11609" s="239"/>
      <c r="CM11609" s="336"/>
    </row>
    <row r="11610" spans="84:91" s="51" customFormat="1">
      <c r="CF11610" s="239"/>
      <c r="CM11610" s="336"/>
    </row>
    <row r="11611" spans="84:91" s="51" customFormat="1">
      <c r="CF11611" s="239"/>
      <c r="CM11611" s="336"/>
    </row>
    <row r="11612" spans="84:91" s="51" customFormat="1">
      <c r="CF11612" s="239"/>
      <c r="CM11612" s="336"/>
    </row>
    <row r="11613" spans="84:91" s="51" customFormat="1">
      <c r="CF11613" s="239"/>
      <c r="CM11613" s="336"/>
    </row>
    <row r="11614" spans="84:91" s="51" customFormat="1">
      <c r="CF11614" s="239"/>
      <c r="CM11614" s="336"/>
    </row>
    <row r="11615" spans="84:91" s="51" customFormat="1">
      <c r="CF11615" s="239"/>
      <c r="CM11615" s="336"/>
    </row>
    <row r="11616" spans="84:91" s="51" customFormat="1">
      <c r="CF11616" s="239"/>
      <c r="CM11616" s="336"/>
    </row>
    <row r="11617" spans="84:91" s="51" customFormat="1">
      <c r="CF11617" s="239"/>
      <c r="CM11617" s="336"/>
    </row>
    <row r="11618" spans="84:91" s="51" customFormat="1">
      <c r="CF11618" s="239"/>
      <c r="CM11618" s="336"/>
    </row>
    <row r="11619" spans="84:91" s="51" customFormat="1">
      <c r="CF11619" s="239"/>
      <c r="CM11619" s="336"/>
    </row>
    <row r="11620" spans="84:91" s="51" customFormat="1">
      <c r="CF11620" s="239"/>
      <c r="CM11620" s="336"/>
    </row>
    <row r="11621" spans="84:91" s="51" customFormat="1">
      <c r="CF11621" s="239"/>
      <c r="CM11621" s="336"/>
    </row>
    <row r="11622" spans="84:91" s="51" customFormat="1">
      <c r="CF11622" s="239"/>
      <c r="CM11622" s="336"/>
    </row>
    <row r="11623" spans="84:91" s="51" customFormat="1">
      <c r="CF11623" s="239"/>
      <c r="CM11623" s="336"/>
    </row>
    <row r="11624" spans="84:91" s="51" customFormat="1">
      <c r="CF11624" s="239"/>
      <c r="CM11624" s="336"/>
    </row>
    <row r="11625" spans="84:91" s="51" customFormat="1">
      <c r="CF11625" s="239"/>
      <c r="CM11625" s="336"/>
    </row>
    <row r="11626" spans="84:91" s="51" customFormat="1">
      <c r="CF11626" s="239"/>
      <c r="CM11626" s="336"/>
    </row>
    <row r="11627" spans="84:91" s="51" customFormat="1">
      <c r="CF11627" s="239"/>
      <c r="CM11627" s="336"/>
    </row>
    <row r="11628" spans="84:91" s="51" customFormat="1">
      <c r="CF11628" s="239"/>
      <c r="CM11628" s="336"/>
    </row>
    <row r="11629" spans="84:91" s="51" customFormat="1">
      <c r="CF11629" s="239"/>
      <c r="CM11629" s="336"/>
    </row>
    <row r="11630" spans="84:91" s="51" customFormat="1">
      <c r="CF11630" s="239"/>
      <c r="CM11630" s="336"/>
    </row>
    <row r="11631" spans="84:91" s="51" customFormat="1">
      <c r="CF11631" s="239"/>
      <c r="CM11631" s="336"/>
    </row>
    <row r="11632" spans="84:91" s="51" customFormat="1">
      <c r="CF11632" s="239"/>
      <c r="CM11632" s="336"/>
    </row>
    <row r="11633" spans="84:91" s="51" customFormat="1">
      <c r="CF11633" s="239"/>
      <c r="CM11633" s="336"/>
    </row>
    <row r="11634" spans="84:91" s="51" customFormat="1">
      <c r="CF11634" s="239"/>
      <c r="CM11634" s="336"/>
    </row>
    <row r="11635" spans="84:91" s="51" customFormat="1">
      <c r="CF11635" s="239"/>
      <c r="CM11635" s="336"/>
    </row>
    <row r="11636" spans="84:91" s="51" customFormat="1">
      <c r="CF11636" s="239"/>
      <c r="CM11636" s="336"/>
    </row>
    <row r="11637" spans="84:91" s="51" customFormat="1">
      <c r="CF11637" s="239"/>
      <c r="CM11637" s="336"/>
    </row>
    <row r="11638" spans="84:91" s="51" customFormat="1">
      <c r="CF11638" s="239"/>
      <c r="CM11638" s="336"/>
    </row>
    <row r="11639" spans="84:91" s="51" customFormat="1">
      <c r="CF11639" s="239"/>
      <c r="CM11639" s="336"/>
    </row>
    <row r="11640" spans="84:91" s="51" customFormat="1">
      <c r="CF11640" s="239"/>
      <c r="CM11640" s="336"/>
    </row>
    <row r="11641" spans="84:91" s="51" customFormat="1">
      <c r="CF11641" s="239"/>
      <c r="CM11641" s="336"/>
    </row>
    <row r="11642" spans="84:91" s="51" customFormat="1">
      <c r="CF11642" s="239"/>
      <c r="CM11642" s="336"/>
    </row>
    <row r="11643" spans="84:91" s="51" customFormat="1">
      <c r="CF11643" s="239"/>
      <c r="CM11643" s="336"/>
    </row>
    <row r="11644" spans="84:91" s="51" customFormat="1">
      <c r="CF11644" s="239"/>
      <c r="CM11644" s="336"/>
    </row>
    <row r="11645" spans="84:91" s="51" customFormat="1">
      <c r="CF11645" s="239"/>
      <c r="CM11645" s="336"/>
    </row>
    <row r="11646" spans="84:91" s="51" customFormat="1">
      <c r="CF11646" s="239"/>
      <c r="CM11646" s="336"/>
    </row>
    <row r="11647" spans="84:91" s="51" customFormat="1">
      <c r="CF11647" s="239"/>
      <c r="CM11647" s="336"/>
    </row>
    <row r="11648" spans="84:91" s="51" customFormat="1">
      <c r="CF11648" s="239"/>
      <c r="CM11648" s="336"/>
    </row>
    <row r="11649" spans="84:91" s="51" customFormat="1">
      <c r="CF11649" s="239"/>
      <c r="CM11649" s="336"/>
    </row>
    <row r="11650" spans="84:91" s="51" customFormat="1">
      <c r="CF11650" s="239"/>
      <c r="CM11650" s="336"/>
    </row>
    <row r="11651" spans="84:91" s="51" customFormat="1">
      <c r="CF11651" s="239"/>
      <c r="CM11651" s="336"/>
    </row>
    <row r="11652" spans="84:91" s="51" customFormat="1">
      <c r="CF11652" s="239"/>
      <c r="CM11652" s="336"/>
    </row>
    <row r="11653" spans="84:91" s="51" customFormat="1">
      <c r="CF11653" s="239"/>
      <c r="CM11653" s="336"/>
    </row>
    <row r="11654" spans="84:91" s="51" customFormat="1">
      <c r="CF11654" s="239"/>
      <c r="CM11654" s="336"/>
    </row>
    <row r="11655" spans="84:91" s="51" customFormat="1">
      <c r="CF11655" s="239"/>
      <c r="CM11655" s="336"/>
    </row>
    <row r="11656" spans="84:91" s="51" customFormat="1">
      <c r="CF11656" s="239"/>
      <c r="CM11656" s="336"/>
    </row>
    <row r="11657" spans="84:91" s="51" customFormat="1">
      <c r="CF11657" s="239"/>
      <c r="CM11657" s="336"/>
    </row>
    <row r="11658" spans="84:91" s="51" customFormat="1">
      <c r="CF11658" s="239"/>
      <c r="CM11658" s="336"/>
    </row>
    <row r="11659" spans="84:91" s="51" customFormat="1">
      <c r="CF11659" s="239"/>
      <c r="CM11659" s="336"/>
    </row>
    <row r="11660" spans="84:91" s="51" customFormat="1">
      <c r="CF11660" s="239"/>
      <c r="CM11660" s="336"/>
    </row>
    <row r="11661" spans="84:91" s="51" customFormat="1">
      <c r="CF11661" s="239"/>
      <c r="CM11661" s="336"/>
    </row>
    <row r="11662" spans="84:91" s="51" customFormat="1">
      <c r="CF11662" s="239"/>
      <c r="CM11662" s="336"/>
    </row>
    <row r="11663" spans="84:91" s="51" customFormat="1">
      <c r="CF11663" s="239"/>
      <c r="CM11663" s="336"/>
    </row>
    <row r="11664" spans="84:91" s="51" customFormat="1">
      <c r="CF11664" s="239"/>
      <c r="CM11664" s="336"/>
    </row>
    <row r="11665" spans="84:91" s="51" customFormat="1">
      <c r="CF11665" s="239"/>
      <c r="CM11665" s="336"/>
    </row>
    <row r="11666" spans="84:91" s="51" customFormat="1">
      <c r="CF11666" s="239"/>
      <c r="CM11666" s="336"/>
    </row>
    <row r="11667" spans="84:91" s="51" customFormat="1">
      <c r="CF11667" s="239"/>
      <c r="CM11667" s="336"/>
    </row>
    <row r="11668" spans="84:91" s="51" customFormat="1">
      <c r="CF11668" s="239"/>
      <c r="CM11668" s="336"/>
    </row>
    <row r="11669" spans="84:91" s="51" customFormat="1">
      <c r="CF11669" s="239"/>
      <c r="CM11669" s="336"/>
    </row>
    <row r="11670" spans="84:91" s="51" customFormat="1">
      <c r="CF11670" s="239"/>
      <c r="CM11670" s="336"/>
    </row>
    <row r="11671" spans="84:91" s="51" customFormat="1">
      <c r="CF11671" s="239"/>
      <c r="CM11671" s="336"/>
    </row>
    <row r="11672" spans="84:91" s="51" customFormat="1">
      <c r="CF11672" s="239"/>
      <c r="CM11672" s="336"/>
    </row>
    <row r="11673" spans="84:91" s="51" customFormat="1">
      <c r="CF11673" s="239"/>
      <c r="CM11673" s="336"/>
    </row>
    <row r="11674" spans="84:91" s="51" customFormat="1">
      <c r="CF11674" s="239"/>
      <c r="CM11674" s="336"/>
    </row>
    <row r="11675" spans="84:91" s="51" customFormat="1">
      <c r="CF11675" s="239"/>
      <c r="CM11675" s="336"/>
    </row>
    <row r="11676" spans="84:91" s="51" customFormat="1">
      <c r="CF11676" s="239"/>
      <c r="CM11676" s="336"/>
    </row>
    <row r="11677" spans="84:91" s="51" customFormat="1">
      <c r="CF11677" s="239"/>
      <c r="CM11677" s="336"/>
    </row>
    <row r="11678" spans="84:91" s="51" customFormat="1">
      <c r="CF11678" s="239"/>
      <c r="CM11678" s="336"/>
    </row>
    <row r="11679" spans="84:91" s="51" customFormat="1">
      <c r="CF11679" s="239"/>
      <c r="CM11679" s="336"/>
    </row>
    <row r="11680" spans="84:91" s="51" customFormat="1">
      <c r="CF11680" s="239"/>
      <c r="CM11680" s="336"/>
    </row>
    <row r="11681" spans="84:91" s="51" customFormat="1">
      <c r="CF11681" s="239"/>
      <c r="CM11681" s="336"/>
    </row>
    <row r="11682" spans="84:91" s="51" customFormat="1">
      <c r="CF11682" s="239"/>
      <c r="CM11682" s="336"/>
    </row>
    <row r="11683" spans="84:91" s="51" customFormat="1">
      <c r="CF11683" s="239"/>
      <c r="CM11683" s="336"/>
    </row>
    <row r="11684" spans="84:91" s="51" customFormat="1">
      <c r="CF11684" s="239"/>
      <c r="CM11684" s="336"/>
    </row>
    <row r="11685" spans="84:91" s="51" customFormat="1">
      <c r="CF11685" s="239"/>
      <c r="CM11685" s="336"/>
    </row>
    <row r="11686" spans="84:91" s="51" customFormat="1">
      <c r="CF11686" s="239"/>
      <c r="CM11686" s="336"/>
    </row>
    <row r="11687" spans="84:91" s="51" customFormat="1">
      <c r="CF11687" s="239"/>
      <c r="CM11687" s="336"/>
    </row>
    <row r="11688" spans="84:91" s="51" customFormat="1">
      <c r="CF11688" s="239"/>
      <c r="CM11688" s="336"/>
    </row>
    <row r="11689" spans="84:91" s="51" customFormat="1">
      <c r="CF11689" s="239"/>
      <c r="CM11689" s="336"/>
    </row>
    <row r="11690" spans="84:91" s="51" customFormat="1">
      <c r="CF11690" s="239"/>
      <c r="CM11690" s="336"/>
    </row>
    <row r="11691" spans="84:91" s="51" customFormat="1">
      <c r="CF11691" s="239"/>
      <c r="CM11691" s="336"/>
    </row>
    <row r="11692" spans="84:91" s="51" customFormat="1">
      <c r="CF11692" s="239"/>
      <c r="CM11692" s="336"/>
    </row>
    <row r="11693" spans="84:91" s="51" customFormat="1">
      <c r="CF11693" s="239"/>
      <c r="CM11693" s="336"/>
    </row>
    <row r="11694" spans="84:91" s="51" customFormat="1">
      <c r="CF11694" s="239"/>
      <c r="CM11694" s="336"/>
    </row>
    <row r="11695" spans="84:91" s="51" customFormat="1">
      <c r="CF11695" s="239"/>
      <c r="CM11695" s="336"/>
    </row>
    <row r="11696" spans="84:91" s="51" customFormat="1">
      <c r="CF11696" s="239"/>
      <c r="CM11696" s="336"/>
    </row>
    <row r="11697" spans="84:91" s="51" customFormat="1">
      <c r="CF11697" s="239"/>
      <c r="CM11697" s="336"/>
    </row>
    <row r="11698" spans="84:91" s="51" customFormat="1">
      <c r="CF11698" s="239"/>
      <c r="CM11698" s="336"/>
    </row>
    <row r="11699" spans="84:91" s="51" customFormat="1">
      <c r="CF11699" s="239"/>
      <c r="CM11699" s="336"/>
    </row>
    <row r="11700" spans="84:91" s="51" customFormat="1">
      <c r="CF11700" s="239"/>
      <c r="CM11700" s="336"/>
    </row>
    <row r="11701" spans="84:91" s="51" customFormat="1">
      <c r="CF11701" s="239"/>
      <c r="CM11701" s="336"/>
    </row>
    <row r="11702" spans="84:91" s="51" customFormat="1">
      <c r="CF11702" s="239"/>
      <c r="CM11702" s="336"/>
    </row>
    <row r="11703" spans="84:91" s="51" customFormat="1">
      <c r="CF11703" s="239"/>
      <c r="CM11703" s="336"/>
    </row>
    <row r="11704" spans="84:91" s="51" customFormat="1">
      <c r="CF11704" s="239"/>
      <c r="CM11704" s="336"/>
    </row>
    <row r="11705" spans="84:91" s="51" customFormat="1">
      <c r="CF11705" s="239"/>
      <c r="CM11705" s="336"/>
    </row>
    <row r="11706" spans="84:91" s="51" customFormat="1">
      <c r="CF11706" s="239"/>
      <c r="CM11706" s="336"/>
    </row>
    <row r="11707" spans="84:91" s="51" customFormat="1">
      <c r="CF11707" s="239"/>
      <c r="CM11707" s="336"/>
    </row>
    <row r="11708" spans="84:91" s="51" customFormat="1">
      <c r="CF11708" s="239"/>
      <c r="CM11708" s="336"/>
    </row>
    <row r="11709" spans="84:91" s="51" customFormat="1">
      <c r="CF11709" s="239"/>
      <c r="CM11709" s="336"/>
    </row>
    <row r="11710" spans="84:91" s="51" customFormat="1">
      <c r="CF11710" s="239"/>
      <c r="CM11710" s="336"/>
    </row>
    <row r="11711" spans="84:91" s="51" customFormat="1">
      <c r="CF11711" s="239"/>
      <c r="CM11711" s="336"/>
    </row>
    <row r="11712" spans="84:91" s="51" customFormat="1">
      <c r="CF11712" s="239"/>
      <c r="CM11712" s="336"/>
    </row>
    <row r="11713" spans="84:91" s="51" customFormat="1">
      <c r="CF11713" s="239"/>
      <c r="CM11713" s="336"/>
    </row>
    <row r="11714" spans="84:91" s="51" customFormat="1">
      <c r="CF11714" s="239"/>
      <c r="CM11714" s="336"/>
    </row>
    <row r="11715" spans="84:91" s="51" customFormat="1">
      <c r="CF11715" s="239"/>
      <c r="CM11715" s="336"/>
    </row>
    <row r="11716" spans="84:91" s="51" customFormat="1">
      <c r="CF11716" s="239"/>
      <c r="CM11716" s="336"/>
    </row>
    <row r="11717" spans="84:91" s="51" customFormat="1">
      <c r="CF11717" s="239"/>
      <c r="CM11717" s="336"/>
    </row>
    <row r="11718" spans="84:91" s="51" customFormat="1">
      <c r="CF11718" s="239"/>
      <c r="CM11718" s="336"/>
    </row>
    <row r="11719" spans="84:91" s="51" customFormat="1">
      <c r="CF11719" s="239"/>
      <c r="CM11719" s="336"/>
    </row>
    <row r="11720" spans="84:91" s="51" customFormat="1">
      <c r="CF11720" s="239"/>
      <c r="CM11720" s="336"/>
    </row>
    <row r="11721" spans="84:91" s="51" customFormat="1">
      <c r="CF11721" s="239"/>
      <c r="CM11721" s="336"/>
    </row>
    <row r="11722" spans="84:91" s="51" customFormat="1">
      <c r="CF11722" s="239"/>
      <c r="CM11722" s="336"/>
    </row>
    <row r="11723" spans="84:91" s="51" customFormat="1">
      <c r="CF11723" s="239"/>
      <c r="CM11723" s="336"/>
    </row>
    <row r="11724" spans="84:91" s="51" customFormat="1">
      <c r="CF11724" s="239"/>
      <c r="CM11724" s="336"/>
    </row>
    <row r="11725" spans="84:91" s="51" customFormat="1">
      <c r="CF11725" s="239"/>
      <c r="CM11725" s="336"/>
    </row>
    <row r="11726" spans="84:91" s="51" customFormat="1">
      <c r="CF11726" s="239"/>
      <c r="CM11726" s="336"/>
    </row>
    <row r="11727" spans="84:91" s="51" customFormat="1">
      <c r="CF11727" s="239"/>
      <c r="CM11727" s="336"/>
    </row>
    <row r="11728" spans="84:91" s="51" customFormat="1">
      <c r="CF11728" s="239"/>
      <c r="CM11728" s="336"/>
    </row>
    <row r="11729" spans="84:91" s="51" customFormat="1">
      <c r="CF11729" s="239"/>
      <c r="CM11729" s="336"/>
    </row>
    <row r="11730" spans="84:91" s="51" customFormat="1">
      <c r="CF11730" s="239"/>
      <c r="CM11730" s="336"/>
    </row>
    <row r="11731" spans="84:91" s="51" customFormat="1">
      <c r="CF11731" s="239"/>
      <c r="CM11731" s="336"/>
    </row>
    <row r="11732" spans="84:91" s="51" customFormat="1">
      <c r="CF11732" s="239"/>
      <c r="CM11732" s="336"/>
    </row>
    <row r="11733" spans="84:91" s="51" customFormat="1">
      <c r="CF11733" s="239"/>
      <c r="CM11733" s="336"/>
    </row>
    <row r="11734" spans="84:91" s="51" customFormat="1">
      <c r="CF11734" s="239"/>
      <c r="CM11734" s="336"/>
    </row>
    <row r="11735" spans="84:91" s="51" customFormat="1">
      <c r="CF11735" s="239"/>
      <c r="CM11735" s="336"/>
    </row>
    <row r="11736" spans="84:91" s="51" customFormat="1">
      <c r="CF11736" s="239"/>
      <c r="CM11736" s="336"/>
    </row>
    <row r="11737" spans="84:91" s="51" customFormat="1">
      <c r="CF11737" s="239"/>
      <c r="CM11737" s="336"/>
    </row>
    <row r="11738" spans="84:91" s="51" customFormat="1">
      <c r="CF11738" s="239"/>
      <c r="CM11738" s="336"/>
    </row>
    <row r="11739" spans="84:91" s="51" customFormat="1">
      <c r="CF11739" s="239"/>
      <c r="CM11739" s="336"/>
    </row>
    <row r="11740" spans="84:91" s="51" customFormat="1">
      <c r="CF11740" s="239"/>
      <c r="CM11740" s="336"/>
    </row>
    <row r="11741" spans="84:91" s="51" customFormat="1">
      <c r="CF11741" s="239"/>
      <c r="CM11741" s="336"/>
    </row>
    <row r="11742" spans="84:91" s="51" customFormat="1">
      <c r="CF11742" s="239"/>
      <c r="CM11742" s="336"/>
    </row>
    <row r="11743" spans="84:91" s="51" customFormat="1">
      <c r="CF11743" s="239"/>
      <c r="CM11743" s="336"/>
    </row>
    <row r="11744" spans="84:91" s="51" customFormat="1">
      <c r="CF11744" s="239"/>
      <c r="CM11744" s="336"/>
    </row>
    <row r="11745" spans="84:91" s="51" customFormat="1">
      <c r="CF11745" s="239"/>
      <c r="CM11745" s="336"/>
    </row>
    <row r="11746" spans="84:91" s="51" customFormat="1">
      <c r="CF11746" s="239"/>
      <c r="CM11746" s="336"/>
    </row>
    <row r="11747" spans="84:91" s="51" customFormat="1">
      <c r="CF11747" s="239"/>
      <c r="CM11747" s="336"/>
    </row>
    <row r="11748" spans="84:91" s="51" customFormat="1">
      <c r="CF11748" s="239"/>
      <c r="CM11748" s="336"/>
    </row>
    <row r="11749" spans="84:91" s="51" customFormat="1">
      <c r="CF11749" s="239"/>
      <c r="CM11749" s="336"/>
    </row>
    <row r="11750" spans="84:91" s="51" customFormat="1">
      <c r="CF11750" s="239"/>
      <c r="CM11750" s="336"/>
    </row>
    <row r="11751" spans="84:91" s="51" customFormat="1">
      <c r="CF11751" s="239"/>
      <c r="CM11751" s="336"/>
    </row>
    <row r="11752" spans="84:91" s="51" customFormat="1">
      <c r="CF11752" s="239"/>
      <c r="CM11752" s="336"/>
    </row>
    <row r="11753" spans="84:91" s="51" customFormat="1">
      <c r="CF11753" s="239"/>
      <c r="CM11753" s="336"/>
    </row>
    <row r="11754" spans="84:91" s="51" customFormat="1">
      <c r="CF11754" s="239"/>
      <c r="CM11754" s="336"/>
    </row>
    <row r="11755" spans="84:91" s="51" customFormat="1">
      <c r="CF11755" s="239"/>
      <c r="CM11755" s="336"/>
    </row>
    <row r="11756" spans="84:91" s="51" customFormat="1">
      <c r="CF11756" s="239"/>
      <c r="CM11756" s="336"/>
    </row>
    <row r="11757" spans="84:91" s="51" customFormat="1">
      <c r="CF11757" s="239"/>
      <c r="CM11757" s="336"/>
    </row>
    <row r="11758" spans="84:91" s="51" customFormat="1">
      <c r="CF11758" s="239"/>
      <c r="CM11758" s="336"/>
    </row>
    <row r="11759" spans="84:91" s="51" customFormat="1">
      <c r="CF11759" s="239"/>
      <c r="CM11759" s="336"/>
    </row>
    <row r="11760" spans="84:91" s="51" customFormat="1">
      <c r="CF11760" s="239"/>
      <c r="CM11760" s="336"/>
    </row>
    <row r="11761" spans="84:91" s="51" customFormat="1">
      <c r="CF11761" s="239"/>
      <c r="CM11761" s="336"/>
    </row>
    <row r="11762" spans="84:91" s="51" customFormat="1">
      <c r="CF11762" s="239"/>
      <c r="CM11762" s="336"/>
    </row>
    <row r="11763" spans="84:91" s="51" customFormat="1">
      <c r="CF11763" s="239"/>
      <c r="CM11763" s="336"/>
    </row>
    <row r="11764" spans="84:91" s="51" customFormat="1">
      <c r="CF11764" s="239"/>
      <c r="CM11764" s="336"/>
    </row>
    <row r="11765" spans="84:91" s="51" customFormat="1">
      <c r="CF11765" s="239"/>
      <c r="CM11765" s="336"/>
    </row>
    <row r="11766" spans="84:91" s="51" customFormat="1">
      <c r="CF11766" s="239"/>
      <c r="CM11766" s="336"/>
    </row>
    <row r="11767" spans="84:91" s="51" customFormat="1">
      <c r="CF11767" s="239"/>
      <c r="CM11767" s="336"/>
    </row>
    <row r="11768" spans="84:91" s="51" customFormat="1">
      <c r="CF11768" s="239"/>
      <c r="CM11768" s="336"/>
    </row>
    <row r="11769" spans="84:91" s="51" customFormat="1">
      <c r="CF11769" s="239"/>
      <c r="CM11769" s="336"/>
    </row>
    <row r="11770" spans="84:91" s="51" customFormat="1">
      <c r="CF11770" s="239"/>
      <c r="CM11770" s="336"/>
    </row>
    <row r="11771" spans="84:91" s="51" customFormat="1">
      <c r="CF11771" s="239"/>
      <c r="CM11771" s="336"/>
    </row>
    <row r="11772" spans="84:91" s="51" customFormat="1">
      <c r="CF11772" s="239"/>
      <c r="CM11772" s="336"/>
    </row>
    <row r="11773" spans="84:91" s="51" customFormat="1">
      <c r="CF11773" s="239"/>
      <c r="CM11773" s="336"/>
    </row>
    <row r="11774" spans="84:91" s="51" customFormat="1">
      <c r="CF11774" s="239"/>
      <c r="CM11774" s="336"/>
    </row>
    <row r="11775" spans="84:91" s="51" customFormat="1">
      <c r="CF11775" s="239"/>
      <c r="CM11775" s="336"/>
    </row>
    <row r="11776" spans="84:91" s="51" customFormat="1">
      <c r="CF11776" s="239"/>
      <c r="CM11776" s="336"/>
    </row>
    <row r="11777" spans="84:91" s="51" customFormat="1">
      <c r="CF11777" s="239"/>
      <c r="CM11777" s="336"/>
    </row>
    <row r="11778" spans="84:91" s="51" customFormat="1">
      <c r="CF11778" s="239"/>
      <c r="CM11778" s="336"/>
    </row>
    <row r="11779" spans="84:91" s="51" customFormat="1">
      <c r="CF11779" s="239"/>
      <c r="CM11779" s="336"/>
    </row>
    <row r="11780" spans="84:91" s="51" customFormat="1">
      <c r="CF11780" s="239"/>
      <c r="CM11780" s="336"/>
    </row>
    <row r="11781" spans="84:91" s="51" customFormat="1">
      <c r="CF11781" s="239"/>
      <c r="CM11781" s="336"/>
    </row>
    <row r="11782" spans="84:91" s="51" customFormat="1">
      <c r="CF11782" s="239"/>
      <c r="CM11782" s="336"/>
    </row>
    <row r="11783" spans="84:91" s="51" customFormat="1">
      <c r="CF11783" s="239"/>
      <c r="CM11783" s="336"/>
    </row>
    <row r="11784" spans="84:91" s="51" customFormat="1">
      <c r="CF11784" s="239"/>
      <c r="CM11784" s="336"/>
    </row>
    <row r="11785" spans="84:91" s="51" customFormat="1">
      <c r="CF11785" s="239"/>
      <c r="CM11785" s="336"/>
    </row>
    <row r="11786" spans="84:91" s="51" customFormat="1">
      <c r="CF11786" s="239"/>
      <c r="CM11786" s="336"/>
    </row>
    <row r="11787" spans="84:91" s="51" customFormat="1">
      <c r="CF11787" s="239"/>
      <c r="CM11787" s="336"/>
    </row>
    <row r="11788" spans="84:91" s="51" customFormat="1">
      <c r="CF11788" s="239"/>
      <c r="CM11788" s="336"/>
    </row>
    <row r="11789" spans="84:91" s="51" customFormat="1">
      <c r="CF11789" s="239"/>
      <c r="CM11789" s="336"/>
    </row>
    <row r="11790" spans="84:91" s="51" customFormat="1">
      <c r="CF11790" s="239"/>
      <c r="CM11790" s="336"/>
    </row>
    <row r="11791" spans="84:91" s="51" customFormat="1">
      <c r="CF11791" s="239"/>
      <c r="CM11791" s="336"/>
    </row>
    <row r="11792" spans="84:91" s="51" customFormat="1">
      <c r="CF11792" s="239"/>
      <c r="CM11792" s="336"/>
    </row>
    <row r="11793" spans="84:91" s="51" customFormat="1">
      <c r="CF11793" s="239"/>
      <c r="CM11793" s="336"/>
    </row>
    <row r="11794" spans="84:91" s="51" customFormat="1">
      <c r="CF11794" s="239"/>
      <c r="CM11794" s="336"/>
    </row>
    <row r="11795" spans="84:91" s="51" customFormat="1">
      <c r="CF11795" s="239"/>
      <c r="CM11795" s="336"/>
    </row>
    <row r="11796" spans="84:91" s="51" customFormat="1">
      <c r="CF11796" s="239"/>
      <c r="CM11796" s="336"/>
    </row>
    <row r="11797" spans="84:91" s="51" customFormat="1">
      <c r="CF11797" s="239"/>
      <c r="CM11797" s="336"/>
    </row>
    <row r="11798" spans="84:91" s="51" customFormat="1">
      <c r="CF11798" s="239"/>
      <c r="CM11798" s="336"/>
    </row>
    <row r="11799" spans="84:91" s="51" customFormat="1">
      <c r="CF11799" s="239"/>
      <c r="CM11799" s="336"/>
    </row>
    <row r="11800" spans="84:91" s="51" customFormat="1">
      <c r="CF11800" s="239"/>
      <c r="CM11800" s="336"/>
    </row>
    <row r="11801" spans="84:91" s="51" customFormat="1">
      <c r="CF11801" s="239"/>
      <c r="CM11801" s="336"/>
    </row>
    <row r="11802" spans="84:91" s="51" customFormat="1">
      <c r="CF11802" s="239"/>
      <c r="CM11802" s="336"/>
    </row>
    <row r="11803" spans="84:91" s="51" customFormat="1">
      <c r="CF11803" s="239"/>
      <c r="CM11803" s="336"/>
    </row>
    <row r="11804" spans="84:91" s="51" customFormat="1">
      <c r="CF11804" s="239"/>
      <c r="CM11804" s="336"/>
    </row>
    <row r="11805" spans="84:91" s="51" customFormat="1">
      <c r="CF11805" s="239"/>
      <c r="CM11805" s="336"/>
    </row>
    <row r="11806" spans="84:91" s="51" customFormat="1">
      <c r="CF11806" s="239"/>
      <c r="CM11806" s="336"/>
    </row>
    <row r="11807" spans="84:91" s="51" customFormat="1">
      <c r="CF11807" s="239"/>
      <c r="CM11807" s="336"/>
    </row>
    <row r="11808" spans="84:91" s="51" customFormat="1">
      <c r="CF11808" s="239"/>
      <c r="CM11808" s="336"/>
    </row>
    <row r="11809" spans="84:91" s="51" customFormat="1">
      <c r="CF11809" s="239"/>
      <c r="CM11809" s="336"/>
    </row>
    <row r="11810" spans="84:91" s="51" customFormat="1">
      <c r="CF11810" s="239"/>
      <c r="CM11810" s="336"/>
    </row>
    <row r="11811" spans="84:91" s="51" customFormat="1">
      <c r="CF11811" s="239"/>
      <c r="CM11811" s="336"/>
    </row>
    <row r="11812" spans="84:91" s="51" customFormat="1">
      <c r="CF11812" s="239"/>
      <c r="CM11812" s="336"/>
    </row>
    <row r="11813" spans="84:91" s="51" customFormat="1">
      <c r="CF11813" s="239"/>
      <c r="CM11813" s="336"/>
    </row>
    <row r="11814" spans="84:91" s="51" customFormat="1">
      <c r="CF11814" s="239"/>
      <c r="CM11814" s="336"/>
    </row>
    <row r="11815" spans="84:91" s="51" customFormat="1">
      <c r="CF11815" s="239"/>
      <c r="CM11815" s="336"/>
    </row>
    <row r="11816" spans="84:91" s="51" customFormat="1">
      <c r="CF11816" s="239"/>
      <c r="CM11816" s="336"/>
    </row>
    <row r="11817" spans="84:91" s="51" customFormat="1">
      <c r="CF11817" s="239"/>
      <c r="CM11817" s="336"/>
    </row>
    <row r="11818" spans="84:91" s="51" customFormat="1">
      <c r="CF11818" s="239"/>
      <c r="CM11818" s="336"/>
    </row>
    <row r="11819" spans="84:91" s="51" customFormat="1">
      <c r="CF11819" s="239"/>
      <c r="CM11819" s="336"/>
    </row>
    <row r="11820" spans="84:91" s="51" customFormat="1">
      <c r="CF11820" s="239"/>
      <c r="CM11820" s="336"/>
    </row>
    <row r="11821" spans="84:91" s="51" customFormat="1">
      <c r="CF11821" s="239"/>
      <c r="CM11821" s="336"/>
    </row>
    <row r="11822" spans="84:91" s="51" customFormat="1">
      <c r="CF11822" s="239"/>
      <c r="CM11822" s="336"/>
    </row>
    <row r="11823" spans="84:91" s="51" customFormat="1">
      <c r="CF11823" s="239"/>
      <c r="CM11823" s="336"/>
    </row>
    <row r="11824" spans="84:91" s="51" customFormat="1">
      <c r="CF11824" s="239"/>
      <c r="CM11824" s="336"/>
    </row>
    <row r="11825" spans="84:91" s="51" customFormat="1">
      <c r="CF11825" s="239"/>
      <c r="CM11825" s="336"/>
    </row>
    <row r="11826" spans="84:91" s="51" customFormat="1">
      <c r="CF11826" s="239"/>
      <c r="CM11826" s="336"/>
    </row>
    <row r="11827" spans="84:91" s="51" customFormat="1">
      <c r="CF11827" s="239"/>
      <c r="CM11827" s="336"/>
    </row>
    <row r="11828" spans="84:91" s="51" customFormat="1">
      <c r="CF11828" s="239"/>
      <c r="CM11828" s="336"/>
    </row>
    <row r="11829" spans="84:91" s="51" customFormat="1">
      <c r="CF11829" s="239"/>
      <c r="CM11829" s="336"/>
    </row>
    <row r="11830" spans="84:91" s="51" customFormat="1">
      <c r="CF11830" s="239"/>
      <c r="CM11830" s="336"/>
    </row>
    <row r="11831" spans="84:91" s="51" customFormat="1">
      <c r="CF11831" s="239"/>
      <c r="CM11831" s="336"/>
    </row>
    <row r="11832" spans="84:91" s="51" customFormat="1">
      <c r="CF11832" s="239"/>
      <c r="CM11832" s="336"/>
    </row>
    <row r="11833" spans="84:91" s="51" customFormat="1">
      <c r="CF11833" s="239"/>
      <c r="CM11833" s="336"/>
    </row>
    <row r="11834" spans="84:91" s="51" customFormat="1">
      <c r="CF11834" s="239"/>
      <c r="CM11834" s="336"/>
    </row>
    <row r="11835" spans="84:91" s="51" customFormat="1">
      <c r="CF11835" s="239"/>
      <c r="CM11835" s="336"/>
    </row>
    <row r="11836" spans="84:91" s="51" customFormat="1">
      <c r="CF11836" s="239"/>
      <c r="CM11836" s="336"/>
    </row>
    <row r="11837" spans="84:91" s="51" customFormat="1">
      <c r="CF11837" s="239"/>
      <c r="CM11837" s="336"/>
    </row>
    <row r="11838" spans="84:91" s="51" customFormat="1">
      <c r="CF11838" s="239"/>
      <c r="CM11838" s="336"/>
    </row>
    <row r="11839" spans="84:91" s="51" customFormat="1">
      <c r="CF11839" s="239"/>
      <c r="CM11839" s="336"/>
    </row>
    <row r="11840" spans="84:91" s="51" customFormat="1">
      <c r="CF11840" s="239"/>
      <c r="CM11840" s="336"/>
    </row>
    <row r="11841" spans="84:91" s="51" customFormat="1">
      <c r="CF11841" s="239"/>
      <c r="CM11841" s="336"/>
    </row>
    <row r="11842" spans="84:91" s="51" customFormat="1">
      <c r="CF11842" s="239"/>
      <c r="CM11842" s="336"/>
    </row>
    <row r="11843" spans="84:91" s="51" customFormat="1">
      <c r="CF11843" s="239"/>
      <c r="CM11843" s="336"/>
    </row>
    <row r="11844" spans="84:91" s="51" customFormat="1">
      <c r="CF11844" s="239"/>
      <c r="CM11844" s="336"/>
    </row>
    <row r="11845" spans="84:91" s="51" customFormat="1">
      <c r="CF11845" s="239"/>
      <c r="CM11845" s="336"/>
    </row>
    <row r="11846" spans="84:91" s="51" customFormat="1">
      <c r="CF11846" s="239"/>
      <c r="CM11846" s="336"/>
    </row>
    <row r="11847" spans="84:91" s="51" customFormat="1">
      <c r="CF11847" s="239"/>
      <c r="CM11847" s="336"/>
    </row>
    <row r="11848" spans="84:91" s="51" customFormat="1">
      <c r="CF11848" s="239"/>
      <c r="CM11848" s="336"/>
    </row>
    <row r="11849" spans="84:91" s="51" customFormat="1">
      <c r="CF11849" s="239"/>
      <c r="CM11849" s="336"/>
    </row>
    <row r="11850" spans="84:91" s="51" customFormat="1">
      <c r="CF11850" s="239"/>
      <c r="CM11850" s="336"/>
    </row>
    <row r="11851" spans="84:91" s="51" customFormat="1">
      <c r="CF11851" s="239"/>
      <c r="CM11851" s="336"/>
    </row>
    <row r="11852" spans="84:91" s="51" customFormat="1">
      <c r="CF11852" s="239"/>
      <c r="CM11852" s="336"/>
    </row>
    <row r="11853" spans="84:91" s="51" customFormat="1">
      <c r="CF11853" s="239"/>
      <c r="CM11853" s="336"/>
    </row>
    <row r="11854" spans="84:91" s="51" customFormat="1">
      <c r="CF11854" s="239"/>
      <c r="CM11854" s="336"/>
    </row>
    <row r="11855" spans="84:91" s="51" customFormat="1">
      <c r="CF11855" s="239"/>
      <c r="CM11855" s="336"/>
    </row>
    <row r="11856" spans="84:91" s="51" customFormat="1">
      <c r="CF11856" s="239"/>
      <c r="CM11856" s="336"/>
    </row>
    <row r="11857" spans="84:91" s="51" customFormat="1">
      <c r="CF11857" s="239"/>
      <c r="CM11857" s="336"/>
    </row>
    <row r="11858" spans="84:91" s="51" customFormat="1">
      <c r="CF11858" s="239"/>
      <c r="CM11858" s="336"/>
    </row>
    <row r="11859" spans="84:91" s="51" customFormat="1">
      <c r="CF11859" s="239"/>
      <c r="CM11859" s="336"/>
    </row>
    <row r="11860" spans="84:91" s="51" customFormat="1">
      <c r="CF11860" s="239"/>
      <c r="CM11860" s="336"/>
    </row>
    <row r="11861" spans="84:91" s="51" customFormat="1">
      <c r="CF11861" s="239"/>
      <c r="CM11861" s="336"/>
    </row>
    <row r="11862" spans="84:91" s="51" customFormat="1">
      <c r="CF11862" s="239"/>
      <c r="CM11862" s="336"/>
    </row>
    <row r="11863" spans="84:91" s="51" customFormat="1">
      <c r="CF11863" s="239"/>
      <c r="CM11863" s="336"/>
    </row>
    <row r="11864" spans="84:91" s="51" customFormat="1">
      <c r="CF11864" s="239"/>
      <c r="CM11864" s="336"/>
    </row>
    <row r="11865" spans="84:91" s="51" customFormat="1">
      <c r="CF11865" s="239"/>
      <c r="CM11865" s="336"/>
    </row>
    <row r="11866" spans="84:91" s="51" customFormat="1">
      <c r="CF11866" s="239"/>
      <c r="CM11866" s="336"/>
    </row>
    <row r="11867" spans="84:91" s="51" customFormat="1">
      <c r="CF11867" s="239"/>
      <c r="CM11867" s="336"/>
    </row>
    <row r="11868" spans="84:91" s="51" customFormat="1">
      <c r="CF11868" s="239"/>
      <c r="CM11868" s="336"/>
    </row>
    <row r="11869" spans="84:91" s="51" customFormat="1">
      <c r="CF11869" s="239"/>
      <c r="CM11869" s="336"/>
    </row>
    <row r="11870" spans="84:91" s="51" customFormat="1">
      <c r="CF11870" s="239"/>
      <c r="CM11870" s="336"/>
    </row>
    <row r="11871" spans="84:91" s="51" customFormat="1">
      <c r="CF11871" s="239"/>
      <c r="CM11871" s="336"/>
    </row>
    <row r="11872" spans="84:91" s="51" customFormat="1">
      <c r="CF11872" s="239"/>
      <c r="CM11872" s="336"/>
    </row>
    <row r="11873" spans="84:91" s="51" customFormat="1">
      <c r="CF11873" s="239"/>
      <c r="CM11873" s="336"/>
    </row>
    <row r="11874" spans="84:91" s="51" customFormat="1">
      <c r="CF11874" s="239"/>
      <c r="CM11874" s="336"/>
    </row>
    <row r="11875" spans="84:91" s="51" customFormat="1">
      <c r="CF11875" s="239"/>
      <c r="CM11875" s="336"/>
    </row>
    <row r="11876" spans="84:91" s="51" customFormat="1">
      <c r="CF11876" s="239"/>
      <c r="CM11876" s="336"/>
    </row>
    <row r="11877" spans="84:91" s="51" customFormat="1">
      <c r="CF11877" s="239"/>
      <c r="CM11877" s="336"/>
    </row>
    <row r="11878" spans="84:91" s="51" customFormat="1">
      <c r="CF11878" s="239"/>
      <c r="CM11878" s="336"/>
    </row>
    <row r="11879" spans="84:91" s="51" customFormat="1">
      <c r="CF11879" s="239"/>
      <c r="CM11879" s="336"/>
    </row>
    <row r="11880" spans="84:91" s="51" customFormat="1">
      <c r="CF11880" s="239"/>
      <c r="CM11880" s="336"/>
    </row>
    <row r="11881" spans="84:91" s="51" customFormat="1">
      <c r="CF11881" s="239"/>
      <c r="CM11881" s="336"/>
    </row>
    <row r="11882" spans="84:91" s="51" customFormat="1">
      <c r="CF11882" s="239"/>
      <c r="CM11882" s="336"/>
    </row>
    <row r="11883" spans="84:91" s="51" customFormat="1">
      <c r="CF11883" s="239"/>
      <c r="CM11883" s="336"/>
    </row>
    <row r="11884" spans="84:91" s="51" customFormat="1">
      <c r="CF11884" s="239"/>
      <c r="CM11884" s="336"/>
    </row>
    <row r="11885" spans="84:91" s="51" customFormat="1">
      <c r="CF11885" s="239"/>
      <c r="CM11885" s="336"/>
    </row>
    <row r="11886" spans="84:91" s="51" customFormat="1">
      <c r="CF11886" s="239"/>
      <c r="CM11886" s="336"/>
    </row>
    <row r="11887" spans="84:91" s="51" customFormat="1">
      <c r="CF11887" s="239"/>
      <c r="CM11887" s="336"/>
    </row>
    <row r="11888" spans="84:91" s="51" customFormat="1">
      <c r="CF11888" s="239"/>
      <c r="CM11888" s="336"/>
    </row>
    <row r="11889" spans="84:91" s="51" customFormat="1">
      <c r="CF11889" s="239"/>
      <c r="CM11889" s="336"/>
    </row>
    <row r="11890" spans="84:91" s="51" customFormat="1">
      <c r="CF11890" s="239"/>
      <c r="CM11890" s="336"/>
    </row>
    <row r="11891" spans="84:91" s="51" customFormat="1">
      <c r="CF11891" s="239"/>
      <c r="CM11891" s="336"/>
    </row>
    <row r="11892" spans="84:91" s="51" customFormat="1">
      <c r="CF11892" s="239"/>
      <c r="CM11892" s="336"/>
    </row>
    <row r="11893" spans="84:91" s="51" customFormat="1">
      <c r="CF11893" s="239"/>
      <c r="CM11893" s="336"/>
    </row>
    <row r="11894" spans="84:91" s="51" customFormat="1">
      <c r="CF11894" s="239"/>
      <c r="CM11894" s="336"/>
    </row>
    <row r="11895" spans="84:91" s="51" customFormat="1">
      <c r="CF11895" s="239"/>
      <c r="CM11895" s="336"/>
    </row>
    <row r="11896" spans="84:91" s="51" customFormat="1">
      <c r="CF11896" s="239"/>
      <c r="CM11896" s="336"/>
    </row>
    <row r="11897" spans="84:91" s="51" customFormat="1">
      <c r="CF11897" s="239"/>
      <c r="CM11897" s="336"/>
    </row>
    <row r="11898" spans="84:91" s="51" customFormat="1">
      <c r="CF11898" s="239"/>
      <c r="CM11898" s="336"/>
    </row>
    <row r="11899" spans="84:91" s="51" customFormat="1">
      <c r="CF11899" s="239"/>
      <c r="CM11899" s="336"/>
    </row>
    <row r="11900" spans="84:91" s="51" customFormat="1">
      <c r="CF11900" s="239"/>
      <c r="CM11900" s="336"/>
    </row>
    <row r="11901" spans="84:91" s="51" customFormat="1">
      <c r="CF11901" s="239"/>
      <c r="CM11901" s="336"/>
    </row>
    <row r="11902" spans="84:91" s="51" customFormat="1">
      <c r="CF11902" s="239"/>
      <c r="CM11902" s="336"/>
    </row>
    <row r="11903" spans="84:91" s="51" customFormat="1">
      <c r="CF11903" s="239"/>
      <c r="CM11903" s="336"/>
    </row>
    <row r="11904" spans="84:91" s="51" customFormat="1">
      <c r="CF11904" s="239"/>
      <c r="CM11904" s="336"/>
    </row>
    <row r="11905" spans="84:91" s="51" customFormat="1">
      <c r="CF11905" s="239"/>
      <c r="CM11905" s="336"/>
    </row>
    <row r="11906" spans="84:91" s="51" customFormat="1">
      <c r="CF11906" s="239"/>
      <c r="CM11906" s="336"/>
    </row>
    <row r="11907" spans="84:91" s="51" customFormat="1">
      <c r="CF11907" s="239"/>
      <c r="CM11907" s="336"/>
    </row>
    <row r="11908" spans="84:91" s="51" customFormat="1">
      <c r="CF11908" s="239"/>
      <c r="CM11908" s="336"/>
    </row>
    <row r="11909" spans="84:91" s="51" customFormat="1">
      <c r="CF11909" s="239"/>
      <c r="CM11909" s="336"/>
    </row>
    <row r="11910" spans="84:91" s="51" customFormat="1">
      <c r="CF11910" s="239"/>
      <c r="CM11910" s="336"/>
    </row>
    <row r="11911" spans="84:91" s="51" customFormat="1">
      <c r="CF11911" s="239"/>
      <c r="CM11911" s="336"/>
    </row>
    <row r="11912" spans="84:91" s="51" customFormat="1">
      <c r="CF11912" s="239"/>
      <c r="CM11912" s="336"/>
    </row>
    <row r="11913" spans="84:91" s="51" customFormat="1">
      <c r="CF11913" s="239"/>
      <c r="CM11913" s="336"/>
    </row>
    <row r="11914" spans="84:91" s="51" customFormat="1">
      <c r="CF11914" s="239"/>
      <c r="CM11914" s="336"/>
    </row>
    <row r="11915" spans="84:91" s="51" customFormat="1">
      <c r="CF11915" s="239"/>
      <c r="CM11915" s="336"/>
    </row>
    <row r="11916" spans="84:91" s="51" customFormat="1">
      <c r="CF11916" s="239"/>
      <c r="CM11916" s="336"/>
    </row>
    <row r="11917" spans="84:91" s="51" customFormat="1">
      <c r="CF11917" s="239"/>
      <c r="CM11917" s="336"/>
    </row>
    <row r="11918" spans="84:91" s="51" customFormat="1">
      <c r="CF11918" s="239"/>
      <c r="CM11918" s="336"/>
    </row>
    <row r="11919" spans="84:91" s="51" customFormat="1">
      <c r="CF11919" s="239"/>
      <c r="CM11919" s="336"/>
    </row>
    <row r="11920" spans="84:91" s="51" customFormat="1">
      <c r="CF11920" s="239"/>
      <c r="CM11920" s="336"/>
    </row>
    <row r="11921" spans="84:91" s="51" customFormat="1">
      <c r="CF11921" s="239"/>
      <c r="CM11921" s="336"/>
    </row>
    <row r="11922" spans="84:91" s="51" customFormat="1">
      <c r="CF11922" s="239"/>
      <c r="CM11922" s="336"/>
    </row>
    <row r="11923" spans="84:91" s="51" customFormat="1">
      <c r="CF11923" s="239"/>
      <c r="CM11923" s="336"/>
    </row>
    <row r="11924" spans="84:91" s="51" customFormat="1">
      <c r="CF11924" s="239"/>
      <c r="CM11924" s="336"/>
    </row>
    <row r="11925" spans="84:91" s="51" customFormat="1">
      <c r="CF11925" s="239"/>
      <c r="CM11925" s="336"/>
    </row>
    <row r="11926" spans="84:91" s="51" customFormat="1">
      <c r="CF11926" s="239"/>
      <c r="CM11926" s="336"/>
    </row>
    <row r="11927" spans="84:91" s="51" customFormat="1">
      <c r="CF11927" s="239"/>
      <c r="CM11927" s="336"/>
    </row>
    <row r="11928" spans="84:91" s="51" customFormat="1">
      <c r="CF11928" s="239"/>
      <c r="CM11928" s="336"/>
    </row>
    <row r="11929" spans="84:91" s="51" customFormat="1">
      <c r="CF11929" s="239"/>
      <c r="CM11929" s="336"/>
    </row>
    <row r="11930" spans="84:91" s="51" customFormat="1">
      <c r="CF11930" s="239"/>
      <c r="CM11930" s="336"/>
    </row>
    <row r="11931" spans="84:91" s="51" customFormat="1">
      <c r="CF11931" s="239"/>
      <c r="CM11931" s="336"/>
    </row>
    <row r="11932" spans="84:91" s="51" customFormat="1">
      <c r="CF11932" s="239"/>
      <c r="CM11932" s="336"/>
    </row>
    <row r="11933" spans="84:91" s="51" customFormat="1">
      <c r="CF11933" s="239"/>
      <c r="CM11933" s="336"/>
    </row>
    <row r="11934" spans="84:91" s="51" customFormat="1">
      <c r="CF11934" s="239"/>
      <c r="CM11934" s="336"/>
    </row>
    <row r="11935" spans="84:91" s="51" customFormat="1">
      <c r="CF11935" s="239"/>
      <c r="CM11935" s="336"/>
    </row>
    <row r="11936" spans="84:91" s="51" customFormat="1">
      <c r="CF11936" s="239"/>
      <c r="CM11936" s="336"/>
    </row>
    <row r="11937" spans="84:91" s="51" customFormat="1">
      <c r="CF11937" s="239"/>
      <c r="CM11937" s="336"/>
    </row>
    <row r="11938" spans="84:91" s="51" customFormat="1">
      <c r="CF11938" s="239"/>
      <c r="CM11938" s="336"/>
    </row>
    <row r="11939" spans="84:91" s="51" customFormat="1">
      <c r="CF11939" s="239"/>
      <c r="CM11939" s="336"/>
    </row>
    <row r="11940" spans="84:91" s="51" customFormat="1">
      <c r="CF11940" s="239"/>
      <c r="CM11940" s="336"/>
    </row>
    <row r="11941" spans="84:91" s="51" customFormat="1">
      <c r="CF11941" s="239"/>
      <c r="CM11941" s="336"/>
    </row>
    <row r="11942" spans="84:91" s="51" customFormat="1">
      <c r="CF11942" s="239"/>
      <c r="CM11942" s="336"/>
    </row>
    <row r="11943" spans="84:91" s="51" customFormat="1">
      <c r="CF11943" s="239"/>
      <c r="CM11943" s="336"/>
    </row>
    <row r="11944" spans="84:91" s="51" customFormat="1">
      <c r="CF11944" s="239"/>
      <c r="CM11944" s="336"/>
    </row>
    <row r="11945" spans="84:91" s="51" customFormat="1">
      <c r="CF11945" s="239"/>
      <c r="CM11945" s="336"/>
    </row>
    <row r="11946" spans="84:91" s="51" customFormat="1">
      <c r="CF11946" s="239"/>
      <c r="CM11946" s="336"/>
    </row>
    <row r="11947" spans="84:91" s="51" customFormat="1">
      <c r="CF11947" s="239"/>
      <c r="CM11947" s="336"/>
    </row>
    <row r="11948" spans="84:91" s="51" customFormat="1">
      <c r="CF11948" s="239"/>
      <c r="CM11948" s="336"/>
    </row>
    <row r="11949" spans="84:91" s="51" customFormat="1">
      <c r="CF11949" s="239"/>
      <c r="CM11949" s="336"/>
    </row>
    <row r="11950" spans="84:91" s="51" customFormat="1">
      <c r="CF11950" s="239"/>
      <c r="CM11950" s="336"/>
    </row>
    <row r="11951" spans="84:91" s="51" customFormat="1">
      <c r="CF11951" s="239"/>
      <c r="CM11951" s="336"/>
    </row>
    <row r="11952" spans="84:91" s="51" customFormat="1">
      <c r="CF11952" s="239"/>
      <c r="CM11952" s="336"/>
    </row>
    <row r="11953" spans="84:91" s="51" customFormat="1">
      <c r="CF11953" s="239"/>
      <c r="CM11953" s="336"/>
    </row>
    <row r="11954" spans="84:91" s="51" customFormat="1">
      <c r="CF11954" s="239"/>
      <c r="CM11954" s="336"/>
    </row>
    <row r="11955" spans="84:91" s="51" customFormat="1">
      <c r="CF11955" s="239"/>
      <c r="CM11955" s="336"/>
    </row>
    <row r="11956" spans="84:91" s="51" customFormat="1">
      <c r="CF11956" s="239"/>
      <c r="CM11956" s="336"/>
    </row>
    <row r="11957" spans="84:91" s="51" customFormat="1">
      <c r="CF11957" s="239"/>
      <c r="CM11957" s="336"/>
    </row>
    <row r="11958" spans="84:91" s="51" customFormat="1">
      <c r="CF11958" s="239"/>
      <c r="CM11958" s="336"/>
    </row>
    <row r="11959" spans="84:91" s="51" customFormat="1">
      <c r="CF11959" s="239"/>
      <c r="CM11959" s="336"/>
    </row>
    <row r="11960" spans="84:91" s="51" customFormat="1">
      <c r="CF11960" s="239"/>
      <c r="CM11960" s="336"/>
    </row>
    <row r="11961" spans="84:91" s="51" customFormat="1">
      <c r="CF11961" s="239"/>
      <c r="CM11961" s="336"/>
    </row>
    <row r="11962" spans="84:91" s="51" customFormat="1">
      <c r="CF11962" s="239"/>
      <c r="CM11962" s="336"/>
    </row>
    <row r="11963" spans="84:91" s="51" customFormat="1">
      <c r="CF11963" s="239"/>
      <c r="CM11963" s="336"/>
    </row>
    <row r="11964" spans="84:91" s="51" customFormat="1">
      <c r="CF11964" s="239"/>
      <c r="CM11964" s="336"/>
    </row>
    <row r="11965" spans="84:91" s="51" customFormat="1">
      <c r="CF11965" s="239"/>
      <c r="CM11965" s="336"/>
    </row>
    <row r="11966" spans="84:91" s="51" customFormat="1">
      <c r="CF11966" s="239"/>
      <c r="CM11966" s="336"/>
    </row>
    <row r="11967" spans="84:91" s="51" customFormat="1">
      <c r="CF11967" s="239"/>
      <c r="CM11967" s="336"/>
    </row>
    <row r="11968" spans="84:91" s="51" customFormat="1">
      <c r="CF11968" s="239"/>
      <c r="CM11968" s="336"/>
    </row>
    <row r="11969" spans="84:91" s="51" customFormat="1">
      <c r="CF11969" s="239"/>
      <c r="CM11969" s="336"/>
    </row>
    <row r="11970" spans="84:91" s="51" customFormat="1">
      <c r="CF11970" s="239"/>
      <c r="CM11970" s="336"/>
    </row>
    <row r="11971" spans="84:91" s="51" customFormat="1">
      <c r="CF11971" s="239"/>
      <c r="CM11971" s="336"/>
    </row>
    <row r="11972" spans="84:91" s="51" customFormat="1">
      <c r="CF11972" s="239"/>
      <c r="CM11972" s="336"/>
    </row>
    <row r="11973" spans="84:91" s="51" customFormat="1">
      <c r="CF11973" s="239"/>
      <c r="CM11973" s="336"/>
    </row>
    <row r="11974" spans="84:91" s="51" customFormat="1">
      <c r="CF11974" s="239"/>
      <c r="CM11974" s="336"/>
    </row>
    <row r="11975" spans="84:91" s="51" customFormat="1">
      <c r="CF11975" s="239"/>
      <c r="CM11975" s="336"/>
    </row>
    <row r="11976" spans="84:91" s="51" customFormat="1">
      <c r="CF11976" s="239"/>
      <c r="CM11976" s="336"/>
    </row>
    <row r="11977" spans="84:91" s="51" customFormat="1">
      <c r="CF11977" s="239"/>
      <c r="CM11977" s="336"/>
    </row>
    <row r="11978" spans="84:91" s="51" customFormat="1">
      <c r="CF11978" s="239"/>
      <c r="CM11978" s="336"/>
    </row>
    <row r="11979" spans="84:91" s="51" customFormat="1">
      <c r="CF11979" s="239"/>
      <c r="CM11979" s="336"/>
    </row>
    <row r="11980" spans="84:91" s="51" customFormat="1">
      <c r="CF11980" s="239"/>
      <c r="CM11980" s="336"/>
    </row>
    <row r="11981" spans="84:91" s="51" customFormat="1">
      <c r="CF11981" s="239"/>
      <c r="CM11981" s="336"/>
    </row>
    <row r="11982" spans="84:91" s="51" customFormat="1">
      <c r="CF11982" s="239"/>
      <c r="CM11982" s="336"/>
    </row>
    <row r="11983" spans="84:91" s="51" customFormat="1">
      <c r="CF11983" s="239"/>
      <c r="CM11983" s="336"/>
    </row>
    <row r="11984" spans="84:91" s="51" customFormat="1">
      <c r="CF11984" s="239"/>
      <c r="CM11984" s="336"/>
    </row>
    <row r="11985" spans="84:91" s="51" customFormat="1">
      <c r="CF11985" s="239"/>
      <c r="CM11985" s="336"/>
    </row>
    <row r="11986" spans="84:91" s="51" customFormat="1">
      <c r="CF11986" s="239"/>
      <c r="CM11986" s="336"/>
    </row>
    <row r="11987" spans="84:91" s="51" customFormat="1">
      <c r="CF11987" s="239"/>
      <c r="CM11987" s="336"/>
    </row>
    <row r="11988" spans="84:91" s="51" customFormat="1">
      <c r="CF11988" s="239"/>
      <c r="CM11988" s="336"/>
    </row>
    <row r="11989" spans="84:91" s="51" customFormat="1">
      <c r="CF11989" s="239"/>
      <c r="CM11989" s="336"/>
    </row>
    <row r="11990" spans="84:91" s="51" customFormat="1">
      <c r="CF11990" s="239"/>
      <c r="CM11990" s="336"/>
    </row>
    <row r="11991" spans="84:91" s="51" customFormat="1">
      <c r="CF11991" s="239"/>
      <c r="CM11991" s="336"/>
    </row>
    <row r="11992" spans="84:91" s="51" customFormat="1">
      <c r="CF11992" s="239"/>
      <c r="CM11992" s="336"/>
    </row>
    <row r="11993" spans="84:91" s="51" customFormat="1">
      <c r="CF11993" s="239"/>
      <c r="CM11993" s="336"/>
    </row>
    <row r="11994" spans="84:91" s="51" customFormat="1">
      <c r="CF11994" s="239"/>
      <c r="CM11994" s="336"/>
    </row>
    <row r="11995" spans="84:91" s="51" customFormat="1">
      <c r="CF11995" s="239"/>
      <c r="CM11995" s="336"/>
    </row>
    <row r="11996" spans="84:91" s="51" customFormat="1">
      <c r="CF11996" s="239"/>
      <c r="CM11996" s="336"/>
    </row>
    <row r="11997" spans="84:91" s="51" customFormat="1">
      <c r="CF11997" s="239"/>
      <c r="CM11997" s="336"/>
    </row>
    <row r="11998" spans="84:91" s="51" customFormat="1">
      <c r="CF11998" s="239"/>
      <c r="CM11998" s="336"/>
    </row>
    <row r="11999" spans="84:91" s="51" customFormat="1">
      <c r="CF11999" s="239"/>
      <c r="CM11999" s="336"/>
    </row>
    <row r="12000" spans="84:91" s="51" customFormat="1">
      <c r="CF12000" s="239"/>
      <c r="CM12000" s="336"/>
    </row>
    <row r="12001" spans="84:91" s="51" customFormat="1">
      <c r="CF12001" s="239"/>
      <c r="CM12001" s="336"/>
    </row>
    <row r="12002" spans="84:91" s="51" customFormat="1">
      <c r="CF12002" s="239"/>
      <c r="CM12002" s="336"/>
    </row>
    <row r="12003" spans="84:91" s="51" customFormat="1">
      <c r="CF12003" s="239"/>
      <c r="CM12003" s="336"/>
    </row>
    <row r="12004" spans="84:91" s="51" customFormat="1">
      <c r="CF12004" s="239"/>
      <c r="CM12004" s="336"/>
    </row>
    <row r="12005" spans="84:91" s="51" customFormat="1">
      <c r="CF12005" s="239"/>
      <c r="CM12005" s="336"/>
    </row>
    <row r="12006" spans="84:91" s="51" customFormat="1">
      <c r="CF12006" s="239"/>
      <c r="CM12006" s="336"/>
    </row>
    <row r="12007" spans="84:91" s="51" customFormat="1">
      <c r="CF12007" s="239"/>
      <c r="CM12007" s="336"/>
    </row>
    <row r="12008" spans="84:91" s="51" customFormat="1">
      <c r="CF12008" s="239"/>
      <c r="CM12008" s="336"/>
    </row>
    <row r="12009" spans="84:91" s="51" customFormat="1">
      <c r="CF12009" s="239"/>
      <c r="CM12009" s="336"/>
    </row>
    <row r="12010" spans="84:91" s="51" customFormat="1">
      <c r="CF12010" s="239"/>
      <c r="CM12010" s="336"/>
    </row>
    <row r="12011" spans="84:91" s="51" customFormat="1">
      <c r="CF12011" s="239"/>
      <c r="CM12011" s="336"/>
    </row>
    <row r="12012" spans="84:91" s="51" customFormat="1">
      <c r="CF12012" s="239"/>
      <c r="CM12012" s="336"/>
    </row>
    <row r="12013" spans="84:91" s="51" customFormat="1">
      <c r="CF12013" s="239"/>
      <c r="CM12013" s="336"/>
    </row>
    <row r="12014" spans="84:91" s="51" customFormat="1">
      <c r="CF12014" s="239"/>
      <c r="CM12014" s="336"/>
    </row>
    <row r="12015" spans="84:91" s="51" customFormat="1">
      <c r="CF12015" s="239"/>
      <c r="CM12015" s="336"/>
    </row>
    <row r="12016" spans="84:91" s="51" customFormat="1">
      <c r="CF12016" s="239"/>
      <c r="CM12016" s="336"/>
    </row>
    <row r="12017" spans="84:91" s="51" customFormat="1">
      <c r="CF12017" s="239"/>
      <c r="CM12017" s="336"/>
    </row>
    <row r="12018" spans="84:91" s="51" customFormat="1">
      <c r="CF12018" s="239"/>
      <c r="CM12018" s="336"/>
    </row>
    <row r="12019" spans="84:91" s="51" customFormat="1">
      <c r="CF12019" s="239"/>
      <c r="CM12019" s="336"/>
    </row>
    <row r="12020" spans="84:91" s="51" customFormat="1">
      <c r="CF12020" s="239"/>
      <c r="CM12020" s="336"/>
    </row>
    <row r="12021" spans="84:91" s="51" customFormat="1">
      <c r="CF12021" s="239"/>
      <c r="CM12021" s="336"/>
    </row>
    <row r="12022" spans="84:91" s="51" customFormat="1">
      <c r="CF12022" s="239"/>
      <c r="CM12022" s="336"/>
    </row>
    <row r="12023" spans="84:91" s="51" customFormat="1">
      <c r="CF12023" s="239"/>
      <c r="CM12023" s="336"/>
    </row>
    <row r="12024" spans="84:91" s="51" customFormat="1">
      <c r="CF12024" s="239"/>
      <c r="CM12024" s="336"/>
    </row>
    <row r="12025" spans="84:91" s="51" customFormat="1">
      <c r="CF12025" s="239"/>
      <c r="CM12025" s="336"/>
    </row>
    <row r="12026" spans="84:91" s="51" customFormat="1">
      <c r="CF12026" s="239"/>
      <c r="CM12026" s="336"/>
    </row>
    <row r="12027" spans="84:91" s="51" customFormat="1">
      <c r="CF12027" s="239"/>
      <c r="CM12027" s="336"/>
    </row>
    <row r="12028" spans="84:91" s="51" customFormat="1">
      <c r="CF12028" s="239"/>
      <c r="CM12028" s="336"/>
    </row>
    <row r="12029" spans="84:91" s="51" customFormat="1">
      <c r="CF12029" s="239"/>
      <c r="CM12029" s="336"/>
    </row>
    <row r="12030" spans="84:91" s="51" customFormat="1">
      <c r="CF12030" s="239"/>
      <c r="CM12030" s="336"/>
    </row>
    <row r="12031" spans="84:91" s="51" customFormat="1">
      <c r="CF12031" s="239"/>
      <c r="CM12031" s="336"/>
    </row>
    <row r="12032" spans="84:91" s="51" customFormat="1">
      <c r="CF12032" s="239"/>
      <c r="CM12032" s="336"/>
    </row>
    <row r="12033" spans="84:91" s="51" customFormat="1">
      <c r="CF12033" s="239"/>
      <c r="CM12033" s="336"/>
    </row>
    <row r="12034" spans="84:91" s="51" customFormat="1">
      <c r="CF12034" s="239"/>
      <c r="CM12034" s="336"/>
    </row>
    <row r="12035" spans="84:91" s="51" customFormat="1">
      <c r="CF12035" s="239"/>
      <c r="CM12035" s="336"/>
    </row>
    <row r="12036" spans="84:91" s="51" customFormat="1">
      <c r="CF12036" s="239"/>
      <c r="CM12036" s="336"/>
    </row>
    <row r="12037" spans="84:91" s="51" customFormat="1">
      <c r="CF12037" s="239"/>
      <c r="CM12037" s="336"/>
    </row>
    <row r="12038" spans="84:91" s="51" customFormat="1">
      <c r="CF12038" s="239"/>
      <c r="CM12038" s="336"/>
    </row>
    <row r="12039" spans="84:91" s="51" customFormat="1">
      <c r="CF12039" s="239"/>
      <c r="CM12039" s="336"/>
    </row>
    <row r="12040" spans="84:91" s="51" customFormat="1">
      <c r="CF12040" s="239"/>
      <c r="CM12040" s="336"/>
    </row>
    <row r="12041" spans="84:91" s="51" customFormat="1">
      <c r="CF12041" s="239"/>
      <c r="CM12041" s="336"/>
    </row>
    <row r="12042" spans="84:91" s="51" customFormat="1">
      <c r="CF12042" s="239"/>
      <c r="CM12042" s="336"/>
    </row>
    <row r="12043" spans="84:91" s="51" customFormat="1">
      <c r="CF12043" s="239"/>
      <c r="CM12043" s="336"/>
    </row>
    <row r="12044" spans="84:91" s="51" customFormat="1">
      <c r="CF12044" s="239"/>
      <c r="CM12044" s="336"/>
    </row>
    <row r="12045" spans="84:91" s="51" customFormat="1">
      <c r="CF12045" s="239"/>
      <c r="CM12045" s="336"/>
    </row>
    <row r="12046" spans="84:91" s="51" customFormat="1">
      <c r="CF12046" s="239"/>
      <c r="CM12046" s="336"/>
    </row>
    <row r="12047" spans="84:91" s="51" customFormat="1">
      <c r="CF12047" s="239"/>
      <c r="CM12047" s="336"/>
    </row>
    <row r="12048" spans="84:91" s="51" customFormat="1">
      <c r="CF12048" s="239"/>
      <c r="CM12048" s="336"/>
    </row>
    <row r="12049" spans="84:91" s="51" customFormat="1">
      <c r="CF12049" s="239"/>
      <c r="CM12049" s="336"/>
    </row>
    <row r="12050" spans="84:91" s="51" customFormat="1">
      <c r="CF12050" s="239"/>
      <c r="CM12050" s="336"/>
    </row>
    <row r="12051" spans="84:91" s="51" customFormat="1">
      <c r="CF12051" s="239"/>
      <c r="CM12051" s="336"/>
    </row>
    <row r="12052" spans="84:91" s="51" customFormat="1">
      <c r="CF12052" s="239"/>
      <c r="CM12052" s="336"/>
    </row>
    <row r="12053" spans="84:91" s="51" customFormat="1">
      <c r="CF12053" s="239"/>
      <c r="CM12053" s="336"/>
    </row>
    <row r="12054" spans="84:91" s="51" customFormat="1">
      <c r="CF12054" s="239"/>
      <c r="CM12054" s="336"/>
    </row>
    <row r="12055" spans="84:91" s="51" customFormat="1">
      <c r="CF12055" s="239"/>
      <c r="CM12055" s="336"/>
    </row>
    <row r="12056" spans="84:91" s="51" customFormat="1">
      <c r="CF12056" s="239"/>
      <c r="CM12056" s="336"/>
    </row>
    <row r="12057" spans="84:91" s="51" customFormat="1">
      <c r="CF12057" s="239"/>
      <c r="CM12057" s="336"/>
    </row>
    <row r="12058" spans="84:91" s="51" customFormat="1">
      <c r="CF12058" s="239"/>
      <c r="CM12058" s="336"/>
    </row>
    <row r="12059" spans="84:91" s="51" customFormat="1">
      <c r="CF12059" s="239"/>
      <c r="CM12059" s="336"/>
    </row>
    <row r="12060" spans="84:91" s="51" customFormat="1">
      <c r="CF12060" s="239"/>
      <c r="CM12060" s="336"/>
    </row>
    <row r="12061" spans="84:91" s="51" customFormat="1">
      <c r="CF12061" s="239"/>
      <c r="CM12061" s="336"/>
    </row>
    <row r="12062" spans="84:91" s="51" customFormat="1">
      <c r="CF12062" s="239"/>
      <c r="CM12062" s="336"/>
    </row>
    <row r="12063" spans="84:91" s="51" customFormat="1">
      <c r="CF12063" s="239"/>
      <c r="CM12063" s="336"/>
    </row>
    <row r="12064" spans="84:91" s="51" customFormat="1">
      <c r="CF12064" s="239"/>
      <c r="CM12064" s="336"/>
    </row>
    <row r="12065" spans="84:91" s="51" customFormat="1">
      <c r="CF12065" s="239"/>
      <c r="CM12065" s="336"/>
    </row>
    <row r="12066" spans="84:91" s="51" customFormat="1">
      <c r="CF12066" s="239"/>
      <c r="CM12066" s="336"/>
    </row>
    <row r="12067" spans="84:91" s="51" customFormat="1">
      <c r="CF12067" s="239"/>
      <c r="CM12067" s="336"/>
    </row>
    <row r="12068" spans="84:91" s="51" customFormat="1">
      <c r="CF12068" s="239"/>
      <c r="CM12068" s="336"/>
    </row>
    <row r="12069" spans="84:91" s="51" customFormat="1">
      <c r="CF12069" s="239"/>
      <c r="CM12069" s="336"/>
    </row>
    <row r="12070" spans="84:91" s="51" customFormat="1">
      <c r="CF12070" s="239"/>
      <c r="CM12070" s="336"/>
    </row>
    <row r="12071" spans="84:91" s="51" customFormat="1">
      <c r="CF12071" s="239"/>
      <c r="CM12071" s="336"/>
    </row>
    <row r="12072" spans="84:91" s="51" customFormat="1">
      <c r="CF12072" s="239"/>
      <c r="CM12072" s="336"/>
    </row>
    <row r="12073" spans="84:91" s="51" customFormat="1">
      <c r="CF12073" s="239"/>
      <c r="CM12073" s="336"/>
    </row>
    <row r="12074" spans="84:91" s="51" customFormat="1">
      <c r="CF12074" s="239"/>
      <c r="CM12074" s="336"/>
    </row>
    <row r="12075" spans="84:91" s="51" customFormat="1">
      <c r="CF12075" s="239"/>
      <c r="CM12075" s="336"/>
    </row>
    <row r="12076" spans="84:91" s="51" customFormat="1">
      <c r="CF12076" s="239"/>
      <c r="CM12076" s="336"/>
    </row>
    <row r="12077" spans="84:91" s="51" customFormat="1">
      <c r="CF12077" s="239"/>
      <c r="CM12077" s="336"/>
    </row>
    <row r="12078" spans="84:91" s="51" customFormat="1">
      <c r="CF12078" s="239"/>
      <c r="CM12078" s="336"/>
    </row>
    <row r="12079" spans="84:91" s="51" customFormat="1">
      <c r="CF12079" s="239"/>
      <c r="CM12079" s="336"/>
    </row>
    <row r="12080" spans="84:91" s="51" customFormat="1">
      <c r="CF12080" s="239"/>
      <c r="CM12080" s="336"/>
    </row>
    <row r="12081" spans="84:91" s="51" customFormat="1">
      <c r="CF12081" s="239"/>
      <c r="CM12081" s="336"/>
    </row>
    <row r="12082" spans="84:91" s="51" customFormat="1">
      <c r="CF12082" s="239"/>
      <c r="CM12082" s="336"/>
    </row>
    <row r="12083" spans="84:91" s="51" customFormat="1">
      <c r="CF12083" s="239"/>
      <c r="CM12083" s="336"/>
    </row>
    <row r="12084" spans="84:91" s="51" customFormat="1">
      <c r="CF12084" s="239"/>
      <c r="CM12084" s="336"/>
    </row>
    <row r="12085" spans="84:91" s="51" customFormat="1">
      <c r="CF12085" s="239"/>
      <c r="CM12085" s="336"/>
    </row>
    <row r="12086" spans="84:91" s="51" customFormat="1">
      <c r="CF12086" s="239"/>
      <c r="CM12086" s="336"/>
    </row>
    <row r="12087" spans="84:91" s="51" customFormat="1">
      <c r="CF12087" s="239"/>
      <c r="CM12087" s="336"/>
    </row>
    <row r="12088" spans="84:91" s="51" customFormat="1">
      <c r="CF12088" s="239"/>
      <c r="CM12088" s="336"/>
    </row>
    <row r="12089" spans="84:91" s="51" customFormat="1">
      <c r="CF12089" s="239"/>
      <c r="CM12089" s="336"/>
    </row>
    <row r="12090" spans="84:91" s="51" customFormat="1">
      <c r="CF12090" s="239"/>
      <c r="CM12090" s="336"/>
    </row>
    <row r="12091" spans="84:91" s="51" customFormat="1">
      <c r="CF12091" s="239"/>
      <c r="CM12091" s="336"/>
    </row>
    <row r="12092" spans="84:91" s="51" customFormat="1">
      <c r="CF12092" s="239"/>
      <c r="CM12092" s="336"/>
    </row>
    <row r="12093" spans="84:91" s="51" customFormat="1">
      <c r="CF12093" s="239"/>
      <c r="CM12093" s="336"/>
    </row>
    <row r="12094" spans="84:91" s="51" customFormat="1">
      <c r="CF12094" s="239"/>
      <c r="CM12094" s="336"/>
    </row>
    <row r="12095" spans="84:91" s="51" customFormat="1">
      <c r="CF12095" s="239"/>
      <c r="CM12095" s="336"/>
    </row>
    <row r="12096" spans="84:91" s="51" customFormat="1">
      <c r="CF12096" s="239"/>
      <c r="CM12096" s="336"/>
    </row>
    <row r="12097" spans="84:91" s="51" customFormat="1">
      <c r="CF12097" s="239"/>
      <c r="CM12097" s="336"/>
    </row>
    <row r="12098" spans="84:91" s="51" customFormat="1">
      <c r="CF12098" s="239"/>
      <c r="CM12098" s="336"/>
    </row>
    <row r="12099" spans="84:91" s="51" customFormat="1">
      <c r="CF12099" s="239"/>
      <c r="CM12099" s="336"/>
    </row>
    <row r="12100" spans="84:91" s="51" customFormat="1">
      <c r="CF12100" s="239"/>
      <c r="CM12100" s="336"/>
    </row>
    <row r="12101" spans="84:91" s="51" customFormat="1">
      <c r="CF12101" s="239"/>
      <c r="CM12101" s="336"/>
    </row>
    <row r="12102" spans="84:91" s="51" customFormat="1">
      <c r="CF12102" s="239"/>
      <c r="CM12102" s="336"/>
    </row>
    <row r="12103" spans="84:91" s="51" customFormat="1">
      <c r="CF12103" s="239"/>
      <c r="CM12103" s="336"/>
    </row>
    <row r="12104" spans="84:91" s="51" customFormat="1">
      <c r="CF12104" s="239"/>
      <c r="CM12104" s="336"/>
    </row>
    <row r="12105" spans="84:91" s="51" customFormat="1">
      <c r="CF12105" s="239"/>
      <c r="CM12105" s="336"/>
    </row>
    <row r="12106" spans="84:91" s="51" customFormat="1">
      <c r="CF12106" s="239"/>
      <c r="CM12106" s="336"/>
    </row>
    <row r="12107" spans="84:91" s="51" customFormat="1">
      <c r="CF12107" s="239"/>
      <c r="CM12107" s="336"/>
    </row>
    <row r="12108" spans="84:91" s="51" customFormat="1">
      <c r="CF12108" s="239"/>
      <c r="CM12108" s="336"/>
    </row>
    <row r="12109" spans="84:91" s="51" customFormat="1">
      <c r="CF12109" s="239"/>
      <c r="CM12109" s="336"/>
    </row>
    <row r="12110" spans="84:91" s="51" customFormat="1">
      <c r="CF12110" s="239"/>
      <c r="CM12110" s="336"/>
    </row>
    <row r="12111" spans="84:91" s="51" customFormat="1">
      <c r="CF12111" s="239"/>
      <c r="CM12111" s="336"/>
    </row>
    <row r="12112" spans="84:91" s="51" customFormat="1">
      <c r="CF12112" s="239"/>
      <c r="CM12112" s="336"/>
    </row>
    <row r="12113" spans="84:91" s="51" customFormat="1">
      <c r="CF12113" s="239"/>
      <c r="CM12113" s="336"/>
    </row>
    <row r="12114" spans="84:91" s="51" customFormat="1">
      <c r="CF12114" s="239"/>
      <c r="CM12114" s="336"/>
    </row>
    <row r="12115" spans="84:91" s="51" customFormat="1">
      <c r="CF12115" s="239"/>
      <c r="CM12115" s="336"/>
    </row>
    <row r="12116" spans="84:91" s="51" customFormat="1">
      <c r="CF12116" s="239"/>
      <c r="CM12116" s="336"/>
    </row>
    <row r="12117" spans="84:91" s="51" customFormat="1">
      <c r="CF12117" s="239"/>
      <c r="CM12117" s="336"/>
    </row>
    <row r="12118" spans="84:91" s="51" customFormat="1">
      <c r="CF12118" s="239"/>
      <c r="CM12118" s="336"/>
    </row>
    <row r="12119" spans="84:91" s="51" customFormat="1">
      <c r="CF12119" s="239"/>
      <c r="CM12119" s="336"/>
    </row>
    <row r="12120" spans="84:91" s="51" customFormat="1">
      <c r="CF12120" s="239"/>
      <c r="CM12120" s="336"/>
    </row>
    <row r="12121" spans="84:91" s="51" customFormat="1">
      <c r="CF12121" s="239"/>
      <c r="CM12121" s="336"/>
    </row>
    <row r="12122" spans="84:91" s="51" customFormat="1">
      <c r="CF12122" s="239"/>
      <c r="CM12122" s="336"/>
    </row>
    <row r="12123" spans="84:91" s="51" customFormat="1">
      <c r="CF12123" s="239"/>
      <c r="CM12123" s="336"/>
    </row>
    <row r="12124" spans="84:91" s="51" customFormat="1">
      <c r="CF12124" s="239"/>
      <c r="CM12124" s="336"/>
    </row>
    <row r="12125" spans="84:91" s="51" customFormat="1">
      <c r="CF12125" s="239"/>
      <c r="CM12125" s="336"/>
    </row>
    <row r="12126" spans="84:91" s="51" customFormat="1">
      <c r="CF12126" s="239"/>
      <c r="CM12126" s="336"/>
    </row>
    <row r="12127" spans="84:91" s="51" customFormat="1">
      <c r="CF12127" s="239"/>
      <c r="CM12127" s="336"/>
    </row>
    <row r="12128" spans="84:91" s="51" customFormat="1">
      <c r="CF12128" s="239"/>
      <c r="CM12128" s="336"/>
    </row>
    <row r="12129" spans="84:91" s="51" customFormat="1">
      <c r="CF12129" s="239"/>
      <c r="CM12129" s="336"/>
    </row>
    <row r="12130" spans="84:91" s="51" customFormat="1">
      <c r="CF12130" s="239"/>
      <c r="CM12130" s="336"/>
    </row>
    <row r="12131" spans="84:91" s="51" customFormat="1">
      <c r="CF12131" s="239"/>
      <c r="CM12131" s="336"/>
    </row>
    <row r="12132" spans="84:91" s="51" customFormat="1">
      <c r="CF12132" s="239"/>
      <c r="CM12132" s="336"/>
    </row>
    <row r="12133" spans="84:91" s="51" customFormat="1">
      <c r="CF12133" s="239"/>
      <c r="CM12133" s="336"/>
    </row>
    <row r="12134" spans="84:91" s="51" customFormat="1">
      <c r="CF12134" s="239"/>
      <c r="CM12134" s="336"/>
    </row>
    <row r="12135" spans="84:91" s="51" customFormat="1">
      <c r="CF12135" s="239"/>
      <c r="CM12135" s="336"/>
    </row>
    <row r="12136" spans="84:91" s="51" customFormat="1">
      <c r="CF12136" s="239"/>
      <c r="CM12136" s="336"/>
    </row>
    <row r="12137" spans="84:91" s="51" customFormat="1">
      <c r="CF12137" s="239"/>
      <c r="CM12137" s="336"/>
    </row>
    <row r="12138" spans="84:91" s="51" customFormat="1">
      <c r="CF12138" s="239"/>
      <c r="CM12138" s="336"/>
    </row>
    <row r="12139" spans="84:91" s="51" customFormat="1">
      <c r="CF12139" s="239"/>
      <c r="CM12139" s="336"/>
    </row>
    <row r="12140" spans="84:91" s="51" customFormat="1">
      <c r="CF12140" s="239"/>
      <c r="CM12140" s="336"/>
    </row>
    <row r="12141" spans="84:91" s="51" customFormat="1">
      <c r="CF12141" s="239"/>
      <c r="CM12141" s="336"/>
    </row>
    <row r="12142" spans="84:91" s="51" customFormat="1">
      <c r="CF12142" s="239"/>
      <c r="CM12142" s="336"/>
    </row>
    <row r="12143" spans="84:91" s="51" customFormat="1">
      <c r="CF12143" s="239"/>
      <c r="CM12143" s="336"/>
    </row>
    <row r="12144" spans="84:91" s="51" customFormat="1">
      <c r="CF12144" s="239"/>
      <c r="CM12144" s="336"/>
    </row>
    <row r="12145" spans="84:91" s="51" customFormat="1">
      <c r="CF12145" s="239"/>
      <c r="CM12145" s="336"/>
    </row>
    <row r="12146" spans="84:91" s="51" customFormat="1">
      <c r="CF12146" s="239"/>
      <c r="CM12146" s="336"/>
    </row>
    <row r="12147" spans="84:91" s="51" customFormat="1">
      <c r="CF12147" s="239"/>
      <c r="CM12147" s="336"/>
    </row>
    <row r="12148" spans="84:91" s="51" customFormat="1">
      <c r="CF12148" s="239"/>
      <c r="CM12148" s="336"/>
    </row>
    <row r="12149" spans="84:91" s="51" customFormat="1">
      <c r="CF12149" s="239"/>
      <c r="CM12149" s="336"/>
    </row>
    <row r="12150" spans="84:91" s="51" customFormat="1">
      <c r="CF12150" s="239"/>
      <c r="CM12150" s="336"/>
    </row>
    <row r="12151" spans="84:91" s="51" customFormat="1">
      <c r="CF12151" s="239"/>
      <c r="CM12151" s="336"/>
    </row>
    <row r="12152" spans="84:91" s="51" customFormat="1">
      <c r="CF12152" s="239"/>
      <c r="CM12152" s="336"/>
    </row>
    <row r="12153" spans="84:91" s="51" customFormat="1">
      <c r="CF12153" s="239"/>
      <c r="CM12153" s="336"/>
    </row>
    <row r="12154" spans="84:91" s="51" customFormat="1">
      <c r="CF12154" s="239"/>
      <c r="CM12154" s="336"/>
    </row>
    <row r="12155" spans="84:91" s="51" customFormat="1">
      <c r="CF12155" s="239"/>
      <c r="CM12155" s="336"/>
    </row>
    <row r="12156" spans="84:91" s="51" customFormat="1">
      <c r="CF12156" s="239"/>
      <c r="CM12156" s="336"/>
    </row>
    <row r="12157" spans="84:91" s="51" customFormat="1">
      <c r="CF12157" s="239"/>
      <c r="CM12157" s="336"/>
    </row>
    <row r="12158" spans="84:91" s="51" customFormat="1">
      <c r="CF12158" s="239"/>
      <c r="CM12158" s="336"/>
    </row>
    <row r="12159" spans="84:91" s="51" customFormat="1">
      <c r="CF12159" s="239"/>
      <c r="CM12159" s="336"/>
    </row>
    <row r="12160" spans="84:91" s="51" customFormat="1">
      <c r="CF12160" s="239"/>
      <c r="CM12160" s="336"/>
    </row>
    <row r="12161" spans="84:91" s="51" customFormat="1">
      <c r="CF12161" s="239"/>
      <c r="CM12161" s="336"/>
    </row>
    <row r="12162" spans="84:91" s="51" customFormat="1">
      <c r="CF12162" s="239"/>
      <c r="CM12162" s="336"/>
    </row>
    <row r="12163" spans="84:91" s="51" customFormat="1">
      <c r="CF12163" s="239"/>
      <c r="CM12163" s="336"/>
    </row>
    <row r="12164" spans="84:91" s="51" customFormat="1">
      <c r="CF12164" s="239"/>
      <c r="CM12164" s="336"/>
    </row>
    <row r="12165" spans="84:91" s="51" customFormat="1">
      <c r="CF12165" s="239"/>
      <c r="CM12165" s="336"/>
    </row>
    <row r="12166" spans="84:91" s="51" customFormat="1">
      <c r="CF12166" s="239"/>
      <c r="CM12166" s="336"/>
    </row>
    <row r="12167" spans="84:91" s="51" customFormat="1">
      <c r="CF12167" s="239"/>
      <c r="CM12167" s="336"/>
    </row>
    <row r="12168" spans="84:91" s="51" customFormat="1">
      <c r="CF12168" s="239"/>
      <c r="CM12168" s="336"/>
    </row>
    <row r="12169" spans="84:91" s="51" customFormat="1">
      <c r="CF12169" s="239"/>
      <c r="CM12169" s="336"/>
    </row>
    <row r="12170" spans="84:91" s="51" customFormat="1">
      <c r="CF12170" s="239"/>
      <c r="CM12170" s="336"/>
    </row>
    <row r="12171" spans="84:91" s="51" customFormat="1">
      <c r="CF12171" s="239"/>
      <c r="CM12171" s="336"/>
    </row>
    <row r="12172" spans="84:91" s="51" customFormat="1">
      <c r="CF12172" s="239"/>
      <c r="CM12172" s="336"/>
    </row>
    <row r="12173" spans="84:91" s="51" customFormat="1">
      <c r="CF12173" s="239"/>
      <c r="CM12173" s="336"/>
    </row>
    <row r="12174" spans="84:91" s="51" customFormat="1">
      <c r="CF12174" s="239"/>
      <c r="CM12174" s="336"/>
    </row>
    <row r="12175" spans="84:91" s="51" customFormat="1">
      <c r="CF12175" s="239"/>
      <c r="CM12175" s="336"/>
    </row>
    <row r="12176" spans="84:91" s="51" customFormat="1">
      <c r="CF12176" s="239"/>
      <c r="CM12176" s="336"/>
    </row>
    <row r="12177" spans="84:91" s="51" customFormat="1">
      <c r="CF12177" s="239"/>
      <c r="CM12177" s="336"/>
    </row>
    <row r="12178" spans="84:91" s="51" customFormat="1">
      <c r="CF12178" s="239"/>
      <c r="CM12178" s="336"/>
    </row>
    <row r="12179" spans="84:91" s="51" customFormat="1">
      <c r="CF12179" s="239"/>
      <c r="CM12179" s="336"/>
    </row>
    <row r="12180" spans="84:91" s="51" customFormat="1">
      <c r="CF12180" s="239"/>
      <c r="CM12180" s="336"/>
    </row>
    <row r="12181" spans="84:91" s="51" customFormat="1">
      <c r="CF12181" s="239"/>
      <c r="CM12181" s="336"/>
    </row>
    <row r="12182" spans="84:91" s="51" customFormat="1">
      <c r="CF12182" s="239"/>
      <c r="CM12182" s="336"/>
    </row>
    <row r="12183" spans="84:91" s="51" customFormat="1">
      <c r="CF12183" s="239"/>
      <c r="CM12183" s="336"/>
    </row>
    <row r="12184" spans="84:91" s="51" customFormat="1">
      <c r="CF12184" s="239"/>
      <c r="CM12184" s="336"/>
    </row>
    <row r="12185" spans="84:91" s="51" customFormat="1">
      <c r="CF12185" s="239"/>
      <c r="CM12185" s="336"/>
    </row>
    <row r="12186" spans="84:91" s="51" customFormat="1">
      <c r="CF12186" s="239"/>
      <c r="CM12186" s="336"/>
    </row>
    <row r="12187" spans="84:91" s="51" customFormat="1">
      <c r="CF12187" s="239"/>
      <c r="CM12187" s="336"/>
    </row>
    <row r="12188" spans="84:91" s="51" customFormat="1">
      <c r="CF12188" s="239"/>
      <c r="CM12188" s="336"/>
    </row>
    <row r="12189" spans="84:91" s="51" customFormat="1">
      <c r="CF12189" s="239"/>
      <c r="CM12189" s="336"/>
    </row>
    <row r="12190" spans="84:91" s="51" customFormat="1">
      <c r="CF12190" s="239"/>
      <c r="CM12190" s="336"/>
    </row>
    <row r="12191" spans="84:91" s="51" customFormat="1">
      <c r="CF12191" s="239"/>
      <c r="CM12191" s="336"/>
    </row>
    <row r="12192" spans="84:91" s="51" customFormat="1">
      <c r="CF12192" s="239"/>
      <c r="CM12192" s="336"/>
    </row>
    <row r="12193" spans="84:91" s="51" customFormat="1">
      <c r="CF12193" s="239"/>
      <c r="CM12193" s="336"/>
    </row>
    <row r="12194" spans="84:91" s="51" customFormat="1">
      <c r="CF12194" s="239"/>
      <c r="CM12194" s="336"/>
    </row>
    <row r="12195" spans="84:91" s="51" customFormat="1">
      <c r="CF12195" s="239"/>
      <c r="CM12195" s="336"/>
    </row>
    <row r="12196" spans="84:91" s="51" customFormat="1">
      <c r="CF12196" s="239"/>
      <c r="CM12196" s="336"/>
    </row>
    <row r="12197" spans="84:91" s="51" customFormat="1">
      <c r="CF12197" s="239"/>
      <c r="CM12197" s="336"/>
    </row>
    <row r="12198" spans="84:91" s="51" customFormat="1">
      <c r="CF12198" s="239"/>
      <c r="CM12198" s="336"/>
    </row>
    <row r="12199" spans="84:91" s="51" customFormat="1">
      <c r="CF12199" s="239"/>
      <c r="CM12199" s="336"/>
    </row>
    <row r="12200" spans="84:91" s="51" customFormat="1">
      <c r="CF12200" s="239"/>
      <c r="CM12200" s="336"/>
    </row>
    <row r="12201" spans="84:91" s="51" customFormat="1">
      <c r="CF12201" s="239"/>
      <c r="CM12201" s="336"/>
    </row>
    <row r="12202" spans="84:91" s="51" customFormat="1">
      <c r="CF12202" s="239"/>
      <c r="CM12202" s="336"/>
    </row>
    <row r="12203" spans="84:91" s="51" customFormat="1">
      <c r="CF12203" s="239"/>
      <c r="CM12203" s="336"/>
    </row>
    <row r="12204" spans="84:91" s="51" customFormat="1">
      <c r="CF12204" s="239"/>
      <c r="CM12204" s="336"/>
    </row>
    <row r="12205" spans="84:91" s="51" customFormat="1">
      <c r="CF12205" s="239"/>
      <c r="CM12205" s="336"/>
    </row>
    <row r="12206" spans="84:91" s="51" customFormat="1">
      <c r="CF12206" s="239"/>
      <c r="CM12206" s="336"/>
    </row>
    <row r="12207" spans="84:91" s="51" customFormat="1">
      <c r="CF12207" s="239"/>
      <c r="CM12207" s="336"/>
    </row>
    <row r="12208" spans="84:91" s="51" customFormat="1">
      <c r="CF12208" s="239"/>
      <c r="CM12208" s="336"/>
    </row>
    <row r="12209" spans="84:91" s="51" customFormat="1">
      <c r="CF12209" s="239"/>
      <c r="CM12209" s="336"/>
    </row>
    <row r="12210" spans="84:91" s="51" customFormat="1">
      <c r="CF12210" s="239"/>
      <c r="CM12210" s="336"/>
    </row>
    <row r="12211" spans="84:91" s="51" customFormat="1">
      <c r="CF12211" s="239"/>
      <c r="CM12211" s="336"/>
    </row>
    <row r="12212" spans="84:91" s="51" customFormat="1">
      <c r="CF12212" s="239"/>
      <c r="CM12212" s="336"/>
    </row>
    <row r="12213" spans="84:91" s="51" customFormat="1">
      <c r="CF12213" s="239"/>
      <c r="CM12213" s="336"/>
    </row>
    <row r="12214" spans="84:91" s="51" customFormat="1">
      <c r="CF12214" s="239"/>
      <c r="CM12214" s="336"/>
    </row>
    <row r="12215" spans="84:91" s="51" customFormat="1">
      <c r="CF12215" s="239"/>
      <c r="CM12215" s="336"/>
    </row>
    <row r="12216" spans="84:91" s="51" customFormat="1">
      <c r="CF12216" s="239"/>
      <c r="CM12216" s="336"/>
    </row>
    <row r="12217" spans="84:91" s="51" customFormat="1">
      <c r="CF12217" s="239"/>
      <c r="CM12217" s="336"/>
    </row>
    <row r="12218" spans="84:91" s="51" customFormat="1">
      <c r="CF12218" s="239"/>
      <c r="CM12218" s="336"/>
    </row>
    <row r="12219" spans="84:91" s="51" customFormat="1">
      <c r="CF12219" s="239"/>
      <c r="CM12219" s="336"/>
    </row>
    <row r="12220" spans="84:91" s="51" customFormat="1">
      <c r="CF12220" s="239"/>
      <c r="CM12220" s="336"/>
    </row>
    <row r="12221" spans="84:91" s="51" customFormat="1">
      <c r="CF12221" s="239"/>
      <c r="CM12221" s="336"/>
    </row>
    <row r="12222" spans="84:91" s="51" customFormat="1">
      <c r="CF12222" s="239"/>
      <c r="CM12222" s="336"/>
    </row>
    <row r="12223" spans="84:91" s="51" customFormat="1">
      <c r="CF12223" s="239"/>
      <c r="CM12223" s="336"/>
    </row>
    <row r="12224" spans="84:91" s="51" customFormat="1">
      <c r="CF12224" s="239"/>
      <c r="CM12224" s="336"/>
    </row>
    <row r="12225" spans="84:91" s="51" customFormat="1">
      <c r="CF12225" s="239"/>
      <c r="CM12225" s="336"/>
    </row>
    <row r="12226" spans="84:91" s="51" customFormat="1">
      <c r="CF12226" s="239"/>
      <c r="CM12226" s="336"/>
    </row>
    <row r="12227" spans="84:91" s="51" customFormat="1">
      <c r="CF12227" s="239"/>
      <c r="CM12227" s="336"/>
    </row>
    <row r="12228" spans="84:91" s="51" customFormat="1">
      <c r="CF12228" s="239"/>
      <c r="CM12228" s="336"/>
    </row>
    <row r="12229" spans="84:91" s="51" customFormat="1">
      <c r="CF12229" s="239"/>
      <c r="CM12229" s="336"/>
    </row>
    <row r="12230" spans="84:91" s="51" customFormat="1">
      <c r="CF12230" s="239"/>
      <c r="CM12230" s="336"/>
    </row>
    <row r="12231" spans="84:91" s="51" customFormat="1">
      <c r="CF12231" s="239"/>
      <c r="CM12231" s="336"/>
    </row>
    <row r="12232" spans="84:91" s="51" customFormat="1">
      <c r="CF12232" s="239"/>
      <c r="CM12232" s="336"/>
    </row>
    <row r="12233" spans="84:91" s="51" customFormat="1">
      <c r="CF12233" s="239"/>
      <c r="CM12233" s="336"/>
    </row>
    <row r="12234" spans="84:91" s="51" customFormat="1">
      <c r="CF12234" s="239"/>
      <c r="CM12234" s="336"/>
    </row>
    <row r="12235" spans="84:91" s="51" customFormat="1">
      <c r="CF12235" s="239"/>
      <c r="CM12235" s="336"/>
    </row>
    <row r="12236" spans="84:91" s="51" customFormat="1">
      <c r="CF12236" s="239"/>
      <c r="CM12236" s="336"/>
    </row>
    <row r="12237" spans="84:91" s="51" customFormat="1">
      <c r="CF12237" s="239"/>
      <c r="CM12237" s="336"/>
    </row>
    <row r="12238" spans="84:91" s="51" customFormat="1">
      <c r="CF12238" s="239"/>
      <c r="CM12238" s="336"/>
    </row>
    <row r="12239" spans="84:91" s="51" customFormat="1">
      <c r="CF12239" s="239"/>
      <c r="CM12239" s="336"/>
    </row>
    <row r="12240" spans="84:91" s="51" customFormat="1">
      <c r="CF12240" s="239"/>
      <c r="CM12240" s="336"/>
    </row>
    <row r="12241" spans="84:91" s="51" customFormat="1">
      <c r="CF12241" s="239"/>
      <c r="CM12241" s="336"/>
    </row>
    <row r="12242" spans="84:91" s="51" customFormat="1">
      <c r="CF12242" s="239"/>
      <c r="CM12242" s="336"/>
    </row>
    <row r="12243" spans="84:91" s="51" customFormat="1">
      <c r="CF12243" s="239"/>
      <c r="CM12243" s="336"/>
    </row>
    <row r="12244" spans="84:91" s="51" customFormat="1">
      <c r="CF12244" s="239"/>
      <c r="CM12244" s="336"/>
    </row>
    <row r="12245" spans="84:91" s="51" customFormat="1">
      <c r="CF12245" s="239"/>
      <c r="CM12245" s="336"/>
    </row>
    <row r="12246" spans="84:91" s="51" customFormat="1">
      <c r="CF12246" s="239"/>
      <c r="CM12246" s="336"/>
    </row>
    <row r="12247" spans="84:91" s="51" customFormat="1">
      <c r="CF12247" s="239"/>
      <c r="CM12247" s="336"/>
    </row>
    <row r="12248" spans="84:91" s="51" customFormat="1">
      <c r="CF12248" s="239"/>
      <c r="CM12248" s="336"/>
    </row>
    <row r="12249" spans="84:91" s="51" customFormat="1">
      <c r="CF12249" s="239"/>
      <c r="CM12249" s="336"/>
    </row>
    <row r="12250" spans="84:91" s="51" customFormat="1">
      <c r="CF12250" s="239"/>
      <c r="CM12250" s="336"/>
    </row>
    <row r="12251" spans="84:91" s="51" customFormat="1">
      <c r="CF12251" s="239"/>
      <c r="CM12251" s="336"/>
    </row>
    <row r="12252" spans="84:91" s="51" customFormat="1">
      <c r="CF12252" s="239"/>
      <c r="CM12252" s="336"/>
    </row>
    <row r="12253" spans="84:91" s="51" customFormat="1">
      <c r="CF12253" s="239"/>
      <c r="CM12253" s="336"/>
    </row>
    <row r="12254" spans="84:91" s="51" customFormat="1">
      <c r="CF12254" s="239"/>
      <c r="CM12254" s="336"/>
    </row>
    <row r="12255" spans="84:91" s="51" customFormat="1">
      <c r="CF12255" s="239"/>
      <c r="CM12255" s="336"/>
    </row>
    <row r="12256" spans="84:91" s="51" customFormat="1">
      <c r="CF12256" s="239"/>
      <c r="CM12256" s="336"/>
    </row>
    <row r="12257" spans="84:91" s="51" customFormat="1">
      <c r="CF12257" s="239"/>
      <c r="CM12257" s="336"/>
    </row>
    <row r="12258" spans="84:91" s="51" customFormat="1">
      <c r="CF12258" s="239"/>
      <c r="CM12258" s="336"/>
    </row>
    <row r="12259" spans="84:91" s="51" customFormat="1">
      <c r="CF12259" s="239"/>
      <c r="CM12259" s="336"/>
    </row>
    <row r="12260" spans="84:91" s="51" customFormat="1">
      <c r="CF12260" s="239"/>
      <c r="CM12260" s="336"/>
    </row>
    <row r="12261" spans="84:91" s="51" customFormat="1">
      <c r="CF12261" s="239"/>
      <c r="CM12261" s="336"/>
    </row>
    <row r="12262" spans="84:91" s="51" customFormat="1">
      <c r="CF12262" s="239"/>
      <c r="CM12262" s="336"/>
    </row>
    <row r="12263" spans="84:91" s="51" customFormat="1">
      <c r="CF12263" s="239"/>
      <c r="CM12263" s="336"/>
    </row>
    <row r="12264" spans="84:91" s="51" customFormat="1">
      <c r="CF12264" s="239"/>
      <c r="CM12264" s="336"/>
    </row>
    <row r="12265" spans="84:91" s="51" customFormat="1">
      <c r="CF12265" s="239"/>
      <c r="CM12265" s="336"/>
    </row>
    <row r="12266" spans="84:91" s="51" customFormat="1">
      <c r="CF12266" s="239"/>
      <c r="CM12266" s="336"/>
    </row>
    <row r="12267" spans="84:91" s="51" customFormat="1">
      <c r="CF12267" s="239"/>
      <c r="CM12267" s="336"/>
    </row>
    <row r="12268" spans="84:91" s="51" customFormat="1">
      <c r="CF12268" s="239"/>
      <c r="CM12268" s="336"/>
    </row>
    <row r="12269" spans="84:91" s="51" customFormat="1">
      <c r="CF12269" s="239"/>
      <c r="CM12269" s="336"/>
    </row>
    <row r="12270" spans="84:91" s="51" customFormat="1">
      <c r="CF12270" s="239"/>
      <c r="CM12270" s="336"/>
    </row>
    <row r="12271" spans="84:91" s="51" customFormat="1">
      <c r="CF12271" s="239"/>
      <c r="CM12271" s="336"/>
    </row>
    <row r="12272" spans="84:91" s="51" customFormat="1">
      <c r="CF12272" s="239"/>
      <c r="CM12272" s="336"/>
    </row>
    <row r="12273" spans="84:91" s="51" customFormat="1">
      <c r="CF12273" s="239"/>
      <c r="CM12273" s="336"/>
    </row>
    <row r="12274" spans="84:91" s="51" customFormat="1">
      <c r="CF12274" s="239"/>
      <c r="CM12274" s="336"/>
    </row>
    <row r="12275" spans="84:91" s="51" customFormat="1">
      <c r="CF12275" s="239"/>
      <c r="CM12275" s="336"/>
    </row>
    <row r="12276" spans="84:91" s="51" customFormat="1">
      <c r="CF12276" s="239"/>
      <c r="CM12276" s="336"/>
    </row>
    <row r="12277" spans="84:91" s="51" customFormat="1">
      <c r="CF12277" s="239"/>
      <c r="CM12277" s="336"/>
    </row>
    <row r="12278" spans="84:91" s="51" customFormat="1">
      <c r="CF12278" s="239"/>
      <c r="CM12278" s="336"/>
    </row>
    <row r="12279" spans="84:91" s="51" customFormat="1">
      <c r="CF12279" s="239"/>
      <c r="CM12279" s="336"/>
    </row>
    <row r="12280" spans="84:91" s="51" customFormat="1">
      <c r="CF12280" s="239"/>
      <c r="CM12280" s="336"/>
    </row>
    <row r="12281" spans="84:91" s="51" customFormat="1">
      <c r="CF12281" s="239"/>
      <c r="CM12281" s="336"/>
    </row>
    <row r="12282" spans="84:91" s="51" customFormat="1">
      <c r="CF12282" s="239"/>
      <c r="CM12282" s="336"/>
    </row>
    <row r="12283" spans="84:91" s="51" customFormat="1">
      <c r="CF12283" s="239"/>
      <c r="CM12283" s="336"/>
    </row>
    <row r="12284" spans="84:91" s="51" customFormat="1">
      <c r="CF12284" s="239"/>
      <c r="CM12284" s="336"/>
    </row>
    <row r="12285" spans="84:91" s="51" customFormat="1">
      <c r="CF12285" s="239"/>
      <c r="CM12285" s="336"/>
    </row>
    <row r="12286" spans="84:91" s="51" customFormat="1">
      <c r="CF12286" s="239"/>
      <c r="CM12286" s="336"/>
    </row>
    <row r="12287" spans="84:91" s="51" customFormat="1">
      <c r="CF12287" s="239"/>
      <c r="CM12287" s="336"/>
    </row>
    <row r="12288" spans="84:91" s="51" customFormat="1">
      <c r="CF12288" s="239"/>
      <c r="CM12288" s="336"/>
    </row>
    <row r="12289" spans="84:91" s="51" customFormat="1">
      <c r="CF12289" s="239"/>
      <c r="CM12289" s="336"/>
    </row>
    <row r="12290" spans="84:91" s="51" customFormat="1">
      <c r="CF12290" s="239"/>
      <c r="CM12290" s="336"/>
    </row>
    <row r="12291" spans="84:91" s="51" customFormat="1">
      <c r="CF12291" s="239"/>
      <c r="CM12291" s="336"/>
    </row>
    <row r="12292" spans="84:91" s="51" customFormat="1">
      <c r="CF12292" s="239"/>
      <c r="CM12292" s="336"/>
    </row>
    <row r="12293" spans="84:91" s="51" customFormat="1">
      <c r="CF12293" s="239"/>
      <c r="CM12293" s="336"/>
    </row>
    <row r="12294" spans="84:91" s="51" customFormat="1">
      <c r="CF12294" s="239"/>
      <c r="CM12294" s="336"/>
    </row>
    <row r="12295" spans="84:91" s="51" customFormat="1">
      <c r="CF12295" s="239"/>
      <c r="CM12295" s="336"/>
    </row>
    <row r="12296" spans="84:91" s="51" customFormat="1">
      <c r="CF12296" s="239"/>
      <c r="CM12296" s="336"/>
    </row>
    <row r="12297" spans="84:91" s="51" customFormat="1">
      <c r="CF12297" s="239"/>
      <c r="CM12297" s="336"/>
    </row>
    <row r="12298" spans="84:91" s="51" customFormat="1">
      <c r="CF12298" s="239"/>
      <c r="CM12298" s="336"/>
    </row>
    <row r="12299" spans="84:91" s="51" customFormat="1">
      <c r="CF12299" s="239"/>
      <c r="CM12299" s="336"/>
    </row>
    <row r="12300" spans="84:91" s="51" customFormat="1">
      <c r="CF12300" s="239"/>
      <c r="CM12300" s="336"/>
    </row>
    <row r="12301" spans="84:91" s="51" customFormat="1">
      <c r="CF12301" s="239"/>
      <c r="CM12301" s="336"/>
    </row>
    <row r="12302" spans="84:91" s="51" customFormat="1">
      <c r="CF12302" s="239"/>
      <c r="CM12302" s="336"/>
    </row>
    <row r="12303" spans="84:91" s="51" customFormat="1">
      <c r="CF12303" s="239"/>
      <c r="CM12303" s="336"/>
    </row>
    <row r="12304" spans="84:91" s="51" customFormat="1">
      <c r="CF12304" s="239"/>
      <c r="CM12304" s="336"/>
    </row>
    <row r="12305" spans="84:91" s="51" customFormat="1">
      <c r="CF12305" s="239"/>
      <c r="CM12305" s="336"/>
    </row>
    <row r="12306" spans="84:91" s="51" customFormat="1">
      <c r="CF12306" s="239"/>
      <c r="CM12306" s="336"/>
    </row>
    <row r="12307" spans="84:91" s="51" customFormat="1">
      <c r="CF12307" s="239"/>
      <c r="CM12307" s="336"/>
    </row>
    <row r="12308" spans="84:91" s="51" customFormat="1">
      <c r="CF12308" s="239"/>
      <c r="CM12308" s="336"/>
    </row>
    <row r="12309" spans="84:91" s="51" customFormat="1">
      <c r="CF12309" s="239"/>
      <c r="CM12309" s="336"/>
    </row>
    <row r="12310" spans="84:91" s="51" customFormat="1">
      <c r="CF12310" s="239"/>
      <c r="CM12310" s="336"/>
    </row>
    <row r="12311" spans="84:91" s="51" customFormat="1">
      <c r="CF12311" s="239"/>
      <c r="CM12311" s="336"/>
    </row>
    <row r="12312" spans="84:91" s="51" customFormat="1">
      <c r="CF12312" s="239"/>
      <c r="CM12312" s="336"/>
    </row>
    <row r="12313" spans="84:91" s="51" customFormat="1">
      <c r="CF12313" s="239"/>
      <c r="CM12313" s="336"/>
    </row>
    <row r="12314" spans="84:91" s="51" customFormat="1">
      <c r="CF12314" s="239"/>
      <c r="CM12314" s="336"/>
    </row>
    <row r="12315" spans="84:91" s="51" customFormat="1">
      <c r="CF12315" s="239"/>
      <c r="CM12315" s="336"/>
    </row>
    <row r="12316" spans="84:91" s="51" customFormat="1">
      <c r="CF12316" s="239"/>
      <c r="CM12316" s="336"/>
    </row>
    <row r="12317" spans="84:91" s="51" customFormat="1">
      <c r="CF12317" s="239"/>
      <c r="CM12317" s="336"/>
    </row>
    <row r="12318" spans="84:91" s="51" customFormat="1">
      <c r="CF12318" s="239"/>
      <c r="CM12318" s="336"/>
    </row>
    <row r="12319" spans="84:91" s="51" customFormat="1">
      <c r="CF12319" s="239"/>
      <c r="CM12319" s="336"/>
    </row>
    <row r="12320" spans="84:91" s="51" customFormat="1">
      <c r="CF12320" s="239"/>
      <c r="CM12320" s="336"/>
    </row>
    <row r="12321" spans="84:91" s="51" customFormat="1">
      <c r="CF12321" s="239"/>
      <c r="CM12321" s="336"/>
    </row>
    <row r="12322" spans="84:91" s="51" customFormat="1">
      <c r="CF12322" s="239"/>
      <c r="CM12322" s="336"/>
    </row>
    <row r="12323" spans="84:91" s="51" customFormat="1">
      <c r="CF12323" s="239"/>
      <c r="CM12323" s="336"/>
    </row>
    <row r="12324" spans="84:91" s="51" customFormat="1">
      <c r="CF12324" s="239"/>
      <c r="CM12324" s="336"/>
    </row>
    <row r="12325" spans="84:91" s="51" customFormat="1">
      <c r="CF12325" s="239"/>
      <c r="CM12325" s="336"/>
    </row>
    <row r="12326" spans="84:91" s="51" customFormat="1">
      <c r="CF12326" s="239"/>
      <c r="CM12326" s="336"/>
    </row>
    <row r="12327" spans="84:91" s="51" customFormat="1">
      <c r="CF12327" s="239"/>
      <c r="CM12327" s="336"/>
    </row>
    <row r="12328" spans="84:91" s="51" customFormat="1">
      <c r="CF12328" s="239"/>
      <c r="CM12328" s="336"/>
    </row>
    <row r="12329" spans="84:91" s="51" customFormat="1">
      <c r="CF12329" s="239"/>
      <c r="CM12329" s="336"/>
    </row>
    <row r="12330" spans="84:91" s="51" customFormat="1">
      <c r="CF12330" s="239"/>
      <c r="CM12330" s="336"/>
    </row>
    <row r="12331" spans="84:91" s="51" customFormat="1">
      <c r="CF12331" s="239"/>
      <c r="CM12331" s="336"/>
    </row>
    <row r="12332" spans="84:91" s="51" customFormat="1">
      <c r="CF12332" s="239"/>
      <c r="CM12332" s="336"/>
    </row>
    <row r="12333" spans="84:91" s="51" customFormat="1">
      <c r="CF12333" s="239"/>
      <c r="CM12333" s="336"/>
    </row>
    <row r="12334" spans="84:91" s="51" customFormat="1">
      <c r="CF12334" s="239"/>
      <c r="CM12334" s="336"/>
    </row>
    <row r="12335" spans="84:91" s="51" customFormat="1">
      <c r="CF12335" s="239"/>
      <c r="CM12335" s="336"/>
    </row>
    <row r="12336" spans="84:91" s="51" customFormat="1">
      <c r="CF12336" s="239"/>
      <c r="CM12336" s="336"/>
    </row>
    <row r="12337" spans="84:91" s="51" customFormat="1">
      <c r="CF12337" s="239"/>
      <c r="CM12337" s="336"/>
    </row>
    <row r="12338" spans="84:91" s="51" customFormat="1">
      <c r="CF12338" s="239"/>
      <c r="CM12338" s="336"/>
    </row>
    <row r="12339" spans="84:91" s="51" customFormat="1">
      <c r="CF12339" s="239"/>
      <c r="CM12339" s="336"/>
    </row>
    <row r="12340" spans="84:91" s="51" customFormat="1">
      <c r="CF12340" s="239"/>
      <c r="CM12340" s="336"/>
    </row>
    <row r="12341" spans="84:91" s="51" customFormat="1">
      <c r="CF12341" s="239"/>
      <c r="CM12341" s="336"/>
    </row>
    <row r="12342" spans="84:91" s="51" customFormat="1">
      <c r="CF12342" s="239"/>
      <c r="CM12342" s="336"/>
    </row>
    <row r="12343" spans="84:91" s="51" customFormat="1">
      <c r="CF12343" s="239"/>
      <c r="CM12343" s="336"/>
    </row>
    <row r="12344" spans="84:91" s="51" customFormat="1">
      <c r="CF12344" s="239"/>
      <c r="CM12344" s="336"/>
    </row>
    <row r="12345" spans="84:91" s="51" customFormat="1">
      <c r="CF12345" s="239"/>
      <c r="CM12345" s="336"/>
    </row>
    <row r="12346" spans="84:91" s="51" customFormat="1">
      <c r="CF12346" s="239"/>
      <c r="CM12346" s="336"/>
    </row>
    <row r="12347" spans="84:91" s="51" customFormat="1">
      <c r="CF12347" s="239"/>
      <c r="CM12347" s="336"/>
    </row>
    <row r="12348" spans="84:91" s="51" customFormat="1">
      <c r="CF12348" s="239"/>
      <c r="CM12348" s="336"/>
    </row>
    <row r="12349" spans="84:91" s="51" customFormat="1">
      <c r="CF12349" s="239"/>
      <c r="CM12349" s="336"/>
    </row>
    <row r="12350" spans="84:91" s="51" customFormat="1">
      <c r="CF12350" s="239"/>
      <c r="CM12350" s="336"/>
    </row>
    <row r="12351" spans="84:91" s="51" customFormat="1">
      <c r="CF12351" s="239"/>
      <c r="CM12351" s="336"/>
    </row>
    <row r="12352" spans="84:91" s="51" customFormat="1">
      <c r="CF12352" s="239"/>
      <c r="CM12352" s="336"/>
    </row>
    <row r="12353" spans="84:91" s="51" customFormat="1">
      <c r="CF12353" s="239"/>
      <c r="CM12353" s="336"/>
    </row>
    <row r="12354" spans="84:91" s="51" customFormat="1">
      <c r="CF12354" s="239"/>
      <c r="CM12354" s="336"/>
    </row>
    <row r="12355" spans="84:91" s="51" customFormat="1">
      <c r="CF12355" s="239"/>
      <c r="CM12355" s="336"/>
    </row>
    <row r="12356" spans="84:91" s="51" customFormat="1">
      <c r="CF12356" s="239"/>
      <c r="CM12356" s="336"/>
    </row>
    <row r="12357" spans="84:91" s="51" customFormat="1">
      <c r="CF12357" s="239"/>
      <c r="CM12357" s="336"/>
    </row>
    <row r="12358" spans="84:91" s="51" customFormat="1">
      <c r="CF12358" s="239"/>
      <c r="CM12358" s="336"/>
    </row>
    <row r="12359" spans="84:91" s="51" customFormat="1">
      <c r="CF12359" s="239"/>
      <c r="CM12359" s="336"/>
    </row>
    <row r="12360" spans="84:91" s="51" customFormat="1">
      <c r="CF12360" s="239"/>
      <c r="CM12360" s="336"/>
    </row>
    <row r="12361" spans="84:91" s="51" customFormat="1">
      <c r="CF12361" s="239"/>
      <c r="CM12361" s="336"/>
    </row>
    <row r="12362" spans="84:91" s="51" customFormat="1">
      <c r="CF12362" s="239"/>
      <c r="CM12362" s="336"/>
    </row>
    <row r="12363" spans="84:91" s="51" customFormat="1">
      <c r="CF12363" s="239"/>
      <c r="CM12363" s="336"/>
    </row>
    <row r="12364" spans="84:91" s="51" customFormat="1">
      <c r="CF12364" s="239"/>
      <c r="CM12364" s="336"/>
    </row>
    <row r="12365" spans="84:91" s="51" customFormat="1">
      <c r="CF12365" s="239"/>
      <c r="CM12365" s="336"/>
    </row>
    <row r="12366" spans="84:91" s="51" customFormat="1">
      <c r="CF12366" s="239"/>
      <c r="CM12366" s="336"/>
    </row>
    <row r="12367" spans="84:91" s="51" customFormat="1">
      <c r="CF12367" s="239"/>
      <c r="CM12367" s="336"/>
    </row>
    <row r="12368" spans="84:91" s="51" customFormat="1">
      <c r="CF12368" s="239"/>
      <c r="CM12368" s="336"/>
    </row>
    <row r="12369" spans="84:91" s="51" customFormat="1">
      <c r="CF12369" s="239"/>
      <c r="CM12369" s="336"/>
    </row>
    <row r="12370" spans="84:91" s="51" customFormat="1">
      <c r="CF12370" s="239"/>
      <c r="CM12370" s="336"/>
    </row>
    <row r="12371" spans="84:91" s="51" customFormat="1">
      <c r="CF12371" s="239"/>
      <c r="CM12371" s="336"/>
    </row>
    <row r="12372" spans="84:91" s="51" customFormat="1">
      <c r="CF12372" s="239"/>
      <c r="CM12372" s="336"/>
    </row>
    <row r="12373" spans="84:91" s="51" customFormat="1">
      <c r="CF12373" s="239"/>
      <c r="CM12373" s="336"/>
    </row>
    <row r="12374" spans="84:91" s="51" customFormat="1">
      <c r="CF12374" s="239"/>
      <c r="CM12374" s="336"/>
    </row>
    <row r="12375" spans="84:91" s="51" customFormat="1">
      <c r="CF12375" s="239"/>
      <c r="CM12375" s="336"/>
    </row>
    <row r="12376" spans="84:91" s="51" customFormat="1">
      <c r="CF12376" s="239"/>
      <c r="CM12376" s="336"/>
    </row>
    <row r="12377" spans="84:91" s="51" customFormat="1">
      <c r="CF12377" s="239"/>
      <c r="CM12377" s="336"/>
    </row>
    <row r="12378" spans="84:91" s="51" customFormat="1">
      <c r="CF12378" s="239"/>
      <c r="CM12378" s="336"/>
    </row>
    <row r="12379" spans="84:91" s="51" customFormat="1">
      <c r="CF12379" s="239"/>
      <c r="CM12379" s="336"/>
    </row>
    <row r="12380" spans="84:91" s="51" customFormat="1">
      <c r="CF12380" s="239"/>
      <c r="CM12380" s="336"/>
    </row>
    <row r="12381" spans="84:91" s="51" customFormat="1">
      <c r="CF12381" s="239"/>
      <c r="CM12381" s="336"/>
    </row>
    <row r="12382" spans="84:91" s="51" customFormat="1">
      <c r="CF12382" s="239"/>
      <c r="CM12382" s="336"/>
    </row>
    <row r="12383" spans="84:91" s="51" customFormat="1">
      <c r="CF12383" s="239"/>
      <c r="CM12383" s="336"/>
    </row>
    <row r="12384" spans="84:91" s="51" customFormat="1">
      <c r="CF12384" s="239"/>
      <c r="CM12384" s="336"/>
    </row>
    <row r="12385" spans="84:91" s="51" customFormat="1">
      <c r="CF12385" s="239"/>
      <c r="CM12385" s="336"/>
    </row>
    <row r="12386" spans="84:91" s="51" customFormat="1">
      <c r="CF12386" s="239"/>
      <c r="CM12386" s="336"/>
    </row>
    <row r="12387" spans="84:91" s="51" customFormat="1">
      <c r="CF12387" s="239"/>
      <c r="CM12387" s="336"/>
    </row>
    <row r="12388" spans="84:91" s="51" customFormat="1">
      <c r="CF12388" s="239"/>
      <c r="CM12388" s="336"/>
    </row>
    <row r="12389" spans="84:91" s="51" customFormat="1">
      <c r="CF12389" s="239"/>
      <c r="CM12389" s="336"/>
    </row>
    <row r="12390" spans="84:91" s="51" customFormat="1">
      <c r="CF12390" s="239"/>
      <c r="CM12390" s="336"/>
    </row>
    <row r="12391" spans="84:91" s="51" customFormat="1">
      <c r="CF12391" s="239"/>
      <c r="CM12391" s="336"/>
    </row>
    <row r="12392" spans="84:91" s="51" customFormat="1">
      <c r="CF12392" s="239"/>
      <c r="CM12392" s="336"/>
    </row>
    <row r="12393" spans="84:91" s="51" customFormat="1">
      <c r="CF12393" s="239"/>
      <c r="CM12393" s="336"/>
    </row>
    <row r="12394" spans="84:91" s="51" customFormat="1">
      <c r="CF12394" s="239"/>
      <c r="CM12394" s="336"/>
    </row>
    <row r="12395" spans="84:91" s="51" customFormat="1">
      <c r="CF12395" s="239"/>
      <c r="CM12395" s="336"/>
    </row>
    <row r="12396" spans="84:91" s="51" customFormat="1">
      <c r="CF12396" s="239"/>
      <c r="CM12396" s="336"/>
    </row>
    <row r="12397" spans="84:91" s="51" customFormat="1">
      <c r="CF12397" s="239"/>
      <c r="CM12397" s="336"/>
    </row>
    <row r="12398" spans="84:91" s="51" customFormat="1">
      <c r="CF12398" s="239"/>
      <c r="CM12398" s="336"/>
    </row>
    <row r="12399" spans="84:91" s="51" customFormat="1">
      <c r="CF12399" s="239"/>
      <c r="CM12399" s="336"/>
    </row>
    <row r="12400" spans="84:91" s="51" customFormat="1">
      <c r="CF12400" s="239"/>
      <c r="CM12400" s="336"/>
    </row>
    <row r="12401" spans="84:91" s="51" customFormat="1">
      <c r="CF12401" s="239"/>
      <c r="CM12401" s="336"/>
    </row>
    <row r="12402" spans="84:91" s="51" customFormat="1">
      <c r="CF12402" s="239"/>
      <c r="CM12402" s="336"/>
    </row>
    <row r="12403" spans="84:91" s="51" customFormat="1">
      <c r="CF12403" s="239"/>
      <c r="CM12403" s="336"/>
    </row>
    <row r="12404" spans="84:91" s="51" customFormat="1">
      <c r="CF12404" s="239"/>
      <c r="CM12404" s="336"/>
    </row>
    <row r="12405" spans="84:91" s="51" customFormat="1">
      <c r="CF12405" s="239"/>
      <c r="CM12405" s="336"/>
    </row>
    <row r="12406" spans="84:91" s="51" customFormat="1">
      <c r="CF12406" s="239"/>
      <c r="CM12406" s="336"/>
    </row>
    <row r="12407" spans="84:91" s="51" customFormat="1">
      <c r="CF12407" s="239"/>
      <c r="CM12407" s="336"/>
    </row>
    <row r="12408" spans="84:91" s="51" customFormat="1">
      <c r="CF12408" s="239"/>
      <c r="CM12408" s="336"/>
    </row>
    <row r="12409" spans="84:91" s="51" customFormat="1">
      <c r="CF12409" s="239"/>
      <c r="CM12409" s="336"/>
    </row>
    <row r="12410" spans="84:91" s="51" customFormat="1">
      <c r="CF12410" s="239"/>
      <c r="CM12410" s="336"/>
    </row>
    <row r="12411" spans="84:91" s="51" customFormat="1">
      <c r="CF12411" s="239"/>
      <c r="CM12411" s="336"/>
    </row>
    <row r="12412" spans="84:91" s="51" customFormat="1">
      <c r="CF12412" s="239"/>
      <c r="CM12412" s="336"/>
    </row>
    <row r="12413" spans="84:91" s="51" customFormat="1">
      <c r="CF12413" s="239"/>
      <c r="CM12413" s="336"/>
    </row>
    <row r="12414" spans="84:91" s="51" customFormat="1">
      <c r="CF12414" s="239"/>
      <c r="CM12414" s="336"/>
    </row>
    <row r="12415" spans="84:91" s="51" customFormat="1">
      <c r="CF12415" s="239"/>
      <c r="CM12415" s="336"/>
    </row>
    <row r="12416" spans="84:91" s="51" customFormat="1">
      <c r="CF12416" s="239"/>
      <c r="CM12416" s="336"/>
    </row>
    <row r="12417" spans="84:91" s="51" customFormat="1">
      <c r="CF12417" s="239"/>
      <c r="CM12417" s="336"/>
    </row>
    <row r="12418" spans="84:91" s="51" customFormat="1">
      <c r="CF12418" s="239"/>
      <c r="CM12418" s="336"/>
    </row>
    <row r="12419" spans="84:91" s="51" customFormat="1">
      <c r="CF12419" s="239"/>
      <c r="CM12419" s="336"/>
    </row>
    <row r="12420" spans="84:91" s="51" customFormat="1">
      <c r="CF12420" s="239"/>
      <c r="CM12420" s="336"/>
    </row>
    <row r="12421" spans="84:91" s="51" customFormat="1">
      <c r="CF12421" s="239"/>
      <c r="CM12421" s="336"/>
    </row>
    <row r="12422" spans="84:91" s="51" customFormat="1">
      <c r="CF12422" s="239"/>
      <c r="CM12422" s="336"/>
    </row>
    <row r="12423" spans="84:91" s="51" customFormat="1">
      <c r="CF12423" s="239"/>
      <c r="CM12423" s="336"/>
    </row>
    <row r="12424" spans="84:91" s="51" customFormat="1">
      <c r="CF12424" s="239"/>
      <c r="CM12424" s="336"/>
    </row>
    <row r="12425" spans="84:91" s="51" customFormat="1">
      <c r="CF12425" s="239"/>
      <c r="CM12425" s="336"/>
    </row>
    <row r="12426" spans="84:91" s="51" customFormat="1">
      <c r="CF12426" s="239"/>
      <c r="CM12426" s="336"/>
    </row>
    <row r="12427" spans="84:91" s="51" customFormat="1">
      <c r="CF12427" s="239"/>
      <c r="CM12427" s="336"/>
    </row>
    <row r="12428" spans="84:91" s="51" customFormat="1">
      <c r="CF12428" s="239"/>
      <c r="CM12428" s="336"/>
    </row>
    <row r="12429" spans="84:91" s="51" customFormat="1">
      <c r="CF12429" s="239"/>
      <c r="CM12429" s="336"/>
    </row>
    <row r="12430" spans="84:91" s="51" customFormat="1">
      <c r="CF12430" s="239"/>
      <c r="CM12430" s="336"/>
    </row>
    <row r="12431" spans="84:91" s="51" customFormat="1">
      <c r="CF12431" s="239"/>
      <c r="CM12431" s="336"/>
    </row>
    <row r="12432" spans="84:91" s="51" customFormat="1">
      <c r="CF12432" s="239"/>
      <c r="CM12432" s="336"/>
    </row>
    <row r="12433" spans="84:91" s="51" customFormat="1">
      <c r="CF12433" s="239"/>
      <c r="CM12433" s="336"/>
    </row>
    <row r="12434" spans="84:91" s="51" customFormat="1">
      <c r="CF12434" s="239"/>
      <c r="CM12434" s="336"/>
    </row>
    <row r="12435" spans="84:91" s="51" customFormat="1">
      <c r="CF12435" s="239"/>
      <c r="CM12435" s="336"/>
    </row>
    <row r="12436" spans="84:91" s="51" customFormat="1">
      <c r="CF12436" s="239"/>
      <c r="CM12436" s="336"/>
    </row>
    <row r="12437" spans="84:91" s="51" customFormat="1">
      <c r="CF12437" s="239"/>
      <c r="CM12437" s="336"/>
    </row>
    <row r="12438" spans="84:91" s="51" customFormat="1">
      <c r="CF12438" s="239"/>
      <c r="CM12438" s="336"/>
    </row>
    <row r="12439" spans="84:91" s="51" customFormat="1">
      <c r="CF12439" s="239"/>
      <c r="CM12439" s="336"/>
    </row>
    <row r="12440" spans="84:91" s="51" customFormat="1">
      <c r="CF12440" s="239"/>
      <c r="CM12440" s="336"/>
    </row>
    <row r="12441" spans="84:91" s="51" customFormat="1">
      <c r="CF12441" s="239"/>
      <c r="CM12441" s="336"/>
    </row>
    <row r="12442" spans="84:91" s="51" customFormat="1">
      <c r="CF12442" s="239"/>
      <c r="CM12442" s="336"/>
    </row>
    <row r="12443" spans="84:91" s="51" customFormat="1">
      <c r="CF12443" s="239"/>
      <c r="CM12443" s="336"/>
    </row>
    <row r="12444" spans="84:91" s="51" customFormat="1">
      <c r="CF12444" s="239"/>
      <c r="CM12444" s="336"/>
    </row>
    <row r="12445" spans="84:91" s="51" customFormat="1">
      <c r="CF12445" s="239"/>
      <c r="CM12445" s="336"/>
    </row>
    <row r="12446" spans="84:91" s="51" customFormat="1">
      <c r="CF12446" s="239"/>
      <c r="CM12446" s="336"/>
    </row>
    <row r="12447" spans="84:91" s="51" customFormat="1">
      <c r="CF12447" s="239"/>
      <c r="CM12447" s="336"/>
    </row>
    <row r="12448" spans="84:91" s="51" customFormat="1">
      <c r="CF12448" s="239"/>
      <c r="CM12448" s="336"/>
    </row>
    <row r="12449" spans="84:91" s="51" customFormat="1">
      <c r="CF12449" s="239"/>
      <c r="CM12449" s="336"/>
    </row>
    <row r="12450" spans="84:91" s="51" customFormat="1">
      <c r="CF12450" s="239"/>
      <c r="CM12450" s="336"/>
    </row>
    <row r="12451" spans="84:91" s="51" customFormat="1">
      <c r="CF12451" s="239"/>
      <c r="CM12451" s="336"/>
    </row>
    <row r="12452" spans="84:91" s="51" customFormat="1">
      <c r="CF12452" s="239"/>
      <c r="CM12452" s="336"/>
    </row>
    <row r="12453" spans="84:91" s="51" customFormat="1">
      <c r="CF12453" s="239"/>
      <c r="CM12453" s="336"/>
    </row>
    <row r="12454" spans="84:91" s="51" customFormat="1">
      <c r="CF12454" s="239"/>
      <c r="CM12454" s="336"/>
    </row>
    <row r="12455" spans="84:91" s="51" customFormat="1">
      <c r="CF12455" s="239"/>
      <c r="CM12455" s="336"/>
    </row>
    <row r="12456" spans="84:91" s="51" customFormat="1">
      <c r="CF12456" s="239"/>
      <c r="CM12456" s="336"/>
    </row>
    <row r="12457" spans="84:91" s="51" customFormat="1">
      <c r="CF12457" s="239"/>
      <c r="CM12457" s="336"/>
    </row>
    <row r="12458" spans="84:91" s="51" customFormat="1">
      <c r="CF12458" s="239"/>
      <c r="CM12458" s="336"/>
    </row>
    <row r="12459" spans="84:91" s="51" customFormat="1">
      <c r="CF12459" s="239"/>
      <c r="CM12459" s="336"/>
    </row>
    <row r="12460" spans="84:91" s="51" customFormat="1">
      <c r="CF12460" s="239"/>
      <c r="CM12460" s="336"/>
    </row>
    <row r="12461" spans="84:91" s="51" customFormat="1">
      <c r="CF12461" s="239"/>
      <c r="CM12461" s="336"/>
    </row>
    <row r="12462" spans="84:91" s="51" customFormat="1">
      <c r="CF12462" s="239"/>
      <c r="CM12462" s="336"/>
    </row>
    <row r="12463" spans="84:91" s="51" customFormat="1">
      <c r="CF12463" s="239"/>
      <c r="CM12463" s="336"/>
    </row>
    <row r="12464" spans="84:91" s="51" customFormat="1">
      <c r="CF12464" s="239"/>
      <c r="CM12464" s="336"/>
    </row>
    <row r="12465" spans="84:91" s="51" customFormat="1">
      <c r="CF12465" s="239"/>
      <c r="CM12465" s="336"/>
    </row>
    <row r="12466" spans="84:91" s="51" customFormat="1">
      <c r="CF12466" s="239"/>
      <c r="CM12466" s="336"/>
    </row>
    <row r="12467" spans="84:91" s="51" customFormat="1">
      <c r="CF12467" s="239"/>
      <c r="CM12467" s="336"/>
    </row>
    <row r="12468" spans="84:91" s="51" customFormat="1">
      <c r="CF12468" s="239"/>
      <c r="CM12468" s="336"/>
    </row>
    <row r="12469" spans="84:91" s="51" customFormat="1">
      <c r="CF12469" s="239"/>
      <c r="CM12469" s="336"/>
    </row>
    <row r="12470" spans="84:91" s="51" customFormat="1">
      <c r="CF12470" s="239"/>
      <c r="CM12470" s="336"/>
    </row>
    <row r="12471" spans="84:91" s="51" customFormat="1">
      <c r="CF12471" s="239"/>
      <c r="CM12471" s="336"/>
    </row>
    <row r="12472" spans="84:91" s="51" customFormat="1">
      <c r="CF12472" s="239"/>
      <c r="CM12472" s="336"/>
    </row>
    <row r="12473" spans="84:91" s="51" customFormat="1">
      <c r="CF12473" s="239"/>
      <c r="CM12473" s="336"/>
    </row>
    <row r="12474" spans="84:91" s="51" customFormat="1">
      <c r="CF12474" s="239"/>
      <c r="CM12474" s="336"/>
    </row>
    <row r="12475" spans="84:91" s="51" customFormat="1">
      <c r="CF12475" s="239"/>
      <c r="CM12475" s="336"/>
    </row>
    <row r="12476" spans="84:91" s="51" customFormat="1">
      <c r="CF12476" s="239"/>
      <c r="CM12476" s="336"/>
    </row>
    <row r="12477" spans="84:91" s="51" customFormat="1">
      <c r="CF12477" s="239"/>
      <c r="CM12477" s="336"/>
    </row>
    <row r="12478" spans="84:91" s="51" customFormat="1">
      <c r="CF12478" s="239"/>
      <c r="CM12478" s="336"/>
    </row>
    <row r="12479" spans="84:91" s="51" customFormat="1">
      <c r="CF12479" s="239"/>
      <c r="CM12479" s="336"/>
    </row>
    <row r="12480" spans="84:91" s="51" customFormat="1">
      <c r="CF12480" s="239"/>
      <c r="CM12480" s="336"/>
    </row>
    <row r="12481" spans="84:91" s="51" customFormat="1">
      <c r="CF12481" s="239"/>
      <c r="CM12481" s="336"/>
    </row>
    <row r="12482" spans="84:91" s="51" customFormat="1">
      <c r="CF12482" s="239"/>
      <c r="CM12482" s="336"/>
    </row>
    <row r="12483" spans="84:91" s="51" customFormat="1">
      <c r="CF12483" s="239"/>
      <c r="CM12483" s="336"/>
    </row>
    <row r="12484" spans="84:91" s="51" customFormat="1">
      <c r="CF12484" s="239"/>
      <c r="CM12484" s="336"/>
    </row>
    <row r="12485" spans="84:91" s="51" customFormat="1">
      <c r="CF12485" s="239"/>
      <c r="CM12485" s="336"/>
    </row>
    <row r="12486" spans="84:91" s="51" customFormat="1">
      <c r="CF12486" s="239"/>
      <c r="CM12486" s="336"/>
    </row>
    <row r="12487" spans="84:91" s="51" customFormat="1">
      <c r="CF12487" s="239"/>
      <c r="CM12487" s="336"/>
    </row>
    <row r="12488" spans="84:91" s="51" customFormat="1">
      <c r="CF12488" s="239"/>
      <c r="CM12488" s="336"/>
    </row>
    <row r="12489" spans="84:91" s="51" customFormat="1">
      <c r="CF12489" s="239"/>
      <c r="CM12489" s="336"/>
    </row>
    <row r="12490" spans="84:91" s="51" customFormat="1">
      <c r="CF12490" s="239"/>
      <c r="CM12490" s="336"/>
    </row>
    <row r="12491" spans="84:91" s="51" customFormat="1">
      <c r="CF12491" s="239"/>
      <c r="CM12491" s="336"/>
    </row>
    <row r="12492" spans="84:91" s="51" customFormat="1">
      <c r="CF12492" s="239"/>
      <c r="CM12492" s="336"/>
    </row>
    <row r="12493" spans="84:91" s="51" customFormat="1">
      <c r="CF12493" s="239"/>
      <c r="CM12493" s="336"/>
    </row>
    <row r="12494" spans="84:91" s="51" customFormat="1">
      <c r="CF12494" s="239"/>
      <c r="CM12494" s="336"/>
    </row>
    <row r="12495" spans="84:91" s="51" customFormat="1">
      <c r="CF12495" s="239"/>
      <c r="CM12495" s="336"/>
    </row>
    <row r="12496" spans="84:91" s="51" customFormat="1">
      <c r="CF12496" s="239"/>
      <c r="CM12496" s="336"/>
    </row>
    <row r="12497" spans="84:91" s="51" customFormat="1">
      <c r="CF12497" s="239"/>
      <c r="CM12497" s="336"/>
    </row>
    <row r="12498" spans="84:91" s="51" customFormat="1">
      <c r="CF12498" s="239"/>
      <c r="CM12498" s="336"/>
    </row>
    <row r="12499" spans="84:91" s="51" customFormat="1">
      <c r="CF12499" s="239"/>
      <c r="CM12499" s="336"/>
    </row>
    <row r="12500" spans="84:91" s="51" customFormat="1">
      <c r="CF12500" s="239"/>
      <c r="CM12500" s="336"/>
    </row>
    <row r="12501" spans="84:91" s="51" customFormat="1">
      <c r="CF12501" s="239"/>
      <c r="CM12501" s="336"/>
    </row>
    <row r="12502" spans="84:91" s="51" customFormat="1">
      <c r="CF12502" s="239"/>
      <c r="CM12502" s="336"/>
    </row>
    <row r="12503" spans="84:91" s="51" customFormat="1">
      <c r="CF12503" s="239"/>
      <c r="CM12503" s="336"/>
    </row>
    <row r="12504" spans="84:91" s="51" customFormat="1">
      <c r="CF12504" s="239"/>
      <c r="CM12504" s="336"/>
    </row>
    <row r="12505" spans="84:91" s="51" customFormat="1">
      <c r="CF12505" s="239"/>
      <c r="CM12505" s="336"/>
    </row>
    <row r="12506" spans="84:91" s="51" customFormat="1">
      <c r="CF12506" s="239"/>
      <c r="CM12506" s="336"/>
    </row>
    <row r="12507" spans="84:91" s="51" customFormat="1">
      <c r="CF12507" s="239"/>
      <c r="CM12507" s="336"/>
    </row>
    <row r="12508" spans="84:91" s="51" customFormat="1">
      <c r="CF12508" s="239"/>
      <c r="CM12508" s="336"/>
    </row>
    <row r="12509" spans="84:91" s="51" customFormat="1">
      <c r="CF12509" s="239"/>
      <c r="CM12509" s="336"/>
    </row>
    <row r="12510" spans="84:91" s="51" customFormat="1">
      <c r="CF12510" s="239"/>
      <c r="CM12510" s="336"/>
    </row>
    <row r="12511" spans="84:91" s="51" customFormat="1">
      <c r="CF12511" s="239"/>
      <c r="CM12511" s="336"/>
    </row>
    <row r="12512" spans="84:91" s="51" customFormat="1">
      <c r="CF12512" s="239"/>
      <c r="CM12512" s="336"/>
    </row>
    <row r="12513" spans="84:91" s="51" customFormat="1">
      <c r="CF12513" s="239"/>
      <c r="CM12513" s="336"/>
    </row>
    <row r="12514" spans="84:91" s="51" customFormat="1">
      <c r="CF12514" s="239"/>
      <c r="CM12514" s="336"/>
    </row>
    <row r="12515" spans="84:91" s="51" customFormat="1">
      <c r="CF12515" s="239"/>
      <c r="CM12515" s="336"/>
    </row>
    <row r="12516" spans="84:91" s="51" customFormat="1">
      <c r="CF12516" s="239"/>
      <c r="CM12516" s="336"/>
    </row>
    <row r="12517" spans="84:91" s="51" customFormat="1">
      <c r="CF12517" s="239"/>
      <c r="CM12517" s="336"/>
    </row>
    <row r="12518" spans="84:91" s="51" customFormat="1">
      <c r="CF12518" s="239"/>
      <c r="CM12518" s="336"/>
    </row>
    <row r="12519" spans="84:91" s="51" customFormat="1">
      <c r="CF12519" s="239"/>
      <c r="CM12519" s="336"/>
    </row>
    <row r="12520" spans="84:91" s="51" customFormat="1">
      <c r="CF12520" s="239"/>
      <c r="CM12520" s="336"/>
    </row>
    <row r="12521" spans="84:91" s="51" customFormat="1">
      <c r="CF12521" s="239"/>
      <c r="CM12521" s="336"/>
    </row>
    <row r="12522" spans="84:91" s="51" customFormat="1">
      <c r="CF12522" s="239"/>
      <c r="CM12522" s="336"/>
    </row>
    <row r="12523" spans="84:91" s="51" customFormat="1">
      <c r="CF12523" s="239"/>
      <c r="CM12523" s="336"/>
    </row>
    <row r="12524" spans="84:91" s="51" customFormat="1">
      <c r="CF12524" s="239"/>
      <c r="CM12524" s="336"/>
    </row>
    <row r="12525" spans="84:91" s="51" customFormat="1">
      <c r="CF12525" s="239"/>
      <c r="CM12525" s="336"/>
    </row>
    <row r="12526" spans="84:91" s="51" customFormat="1">
      <c r="CF12526" s="239"/>
      <c r="CM12526" s="336"/>
    </row>
    <row r="12527" spans="84:91" s="51" customFormat="1">
      <c r="CF12527" s="239"/>
      <c r="CM12527" s="336"/>
    </row>
    <row r="12528" spans="84:91" s="51" customFormat="1">
      <c r="CF12528" s="239"/>
      <c r="CM12528" s="336"/>
    </row>
    <row r="12529" spans="84:91" s="51" customFormat="1">
      <c r="CF12529" s="239"/>
      <c r="CM12529" s="336"/>
    </row>
    <row r="12530" spans="84:91" s="51" customFormat="1">
      <c r="CF12530" s="239"/>
      <c r="CM12530" s="336"/>
    </row>
    <row r="12531" spans="84:91" s="51" customFormat="1">
      <c r="CF12531" s="239"/>
      <c r="CM12531" s="336"/>
    </row>
    <row r="12532" spans="84:91" s="51" customFormat="1">
      <c r="CF12532" s="239"/>
      <c r="CM12532" s="336"/>
    </row>
    <row r="12533" spans="84:91" s="51" customFormat="1">
      <c r="CF12533" s="239"/>
      <c r="CM12533" s="336"/>
    </row>
    <row r="12534" spans="84:91" s="51" customFormat="1">
      <c r="CF12534" s="239"/>
      <c r="CM12534" s="336"/>
    </row>
    <row r="12535" spans="84:91" s="51" customFormat="1">
      <c r="CF12535" s="239"/>
      <c r="CM12535" s="336"/>
    </row>
    <row r="12536" spans="84:91" s="51" customFormat="1">
      <c r="CF12536" s="239"/>
      <c r="CM12536" s="336"/>
    </row>
    <row r="12537" spans="84:91" s="51" customFormat="1">
      <c r="CF12537" s="239"/>
      <c r="CM12537" s="336"/>
    </row>
    <row r="12538" spans="84:91" s="51" customFormat="1">
      <c r="CF12538" s="239"/>
      <c r="CM12538" s="336"/>
    </row>
    <row r="12539" spans="84:91" s="51" customFormat="1">
      <c r="CF12539" s="239"/>
      <c r="CM12539" s="336"/>
    </row>
    <row r="12540" spans="84:91" s="51" customFormat="1">
      <c r="CF12540" s="239"/>
      <c r="CM12540" s="336"/>
    </row>
    <row r="12541" spans="84:91" s="51" customFormat="1">
      <c r="CF12541" s="239"/>
      <c r="CM12541" s="336"/>
    </row>
    <row r="12542" spans="84:91" s="51" customFormat="1">
      <c r="CF12542" s="239"/>
      <c r="CM12542" s="336"/>
    </row>
    <row r="12543" spans="84:91" s="51" customFormat="1">
      <c r="CF12543" s="239"/>
      <c r="CM12543" s="336"/>
    </row>
    <row r="12544" spans="84:91" s="51" customFormat="1">
      <c r="CF12544" s="239"/>
      <c r="CM12544" s="336"/>
    </row>
    <row r="12545" spans="84:91" s="51" customFormat="1">
      <c r="CF12545" s="239"/>
      <c r="CM12545" s="336"/>
    </row>
    <row r="12546" spans="84:91" s="51" customFormat="1">
      <c r="CF12546" s="239"/>
      <c r="CM12546" s="336"/>
    </row>
    <row r="12547" spans="84:91" s="51" customFormat="1">
      <c r="CF12547" s="239"/>
      <c r="CM12547" s="336"/>
    </row>
    <row r="12548" spans="84:91" s="51" customFormat="1">
      <c r="CF12548" s="239"/>
      <c r="CM12548" s="336"/>
    </row>
    <row r="12549" spans="84:91" s="51" customFormat="1">
      <c r="CF12549" s="239"/>
      <c r="CM12549" s="336"/>
    </row>
    <row r="12550" spans="84:91" s="51" customFormat="1">
      <c r="CF12550" s="239"/>
      <c r="CM12550" s="336"/>
    </row>
    <row r="12551" spans="84:91" s="51" customFormat="1">
      <c r="CF12551" s="239"/>
      <c r="CM12551" s="336"/>
    </row>
    <row r="12552" spans="84:91" s="51" customFormat="1">
      <c r="CF12552" s="239"/>
      <c r="CM12552" s="336"/>
    </row>
    <row r="12553" spans="84:91" s="51" customFormat="1">
      <c r="CF12553" s="239"/>
      <c r="CM12553" s="336"/>
    </row>
    <row r="12554" spans="84:91" s="51" customFormat="1">
      <c r="CF12554" s="239"/>
      <c r="CM12554" s="336"/>
    </row>
    <row r="12555" spans="84:91" s="51" customFormat="1">
      <c r="CF12555" s="239"/>
      <c r="CM12555" s="336"/>
    </row>
    <row r="12556" spans="84:91" s="51" customFormat="1">
      <c r="CF12556" s="239"/>
      <c r="CM12556" s="336"/>
    </row>
    <row r="12557" spans="84:91" s="51" customFormat="1">
      <c r="CF12557" s="239"/>
      <c r="CM12557" s="336"/>
    </row>
    <row r="12558" spans="84:91" s="51" customFormat="1">
      <c r="CF12558" s="239"/>
      <c r="CM12558" s="336"/>
    </row>
    <row r="12559" spans="84:91" s="51" customFormat="1">
      <c r="CF12559" s="239"/>
      <c r="CM12559" s="336"/>
    </row>
    <row r="12560" spans="84:91" s="51" customFormat="1">
      <c r="CF12560" s="239"/>
      <c r="CM12560" s="336"/>
    </row>
    <row r="12561" spans="84:91" s="51" customFormat="1">
      <c r="CF12561" s="239"/>
      <c r="CM12561" s="336"/>
    </row>
    <row r="12562" spans="84:91" s="51" customFormat="1">
      <c r="CF12562" s="239"/>
      <c r="CM12562" s="336"/>
    </row>
    <row r="12563" spans="84:91" s="51" customFormat="1">
      <c r="CF12563" s="239"/>
      <c r="CM12563" s="336"/>
    </row>
    <row r="12564" spans="84:91" s="51" customFormat="1">
      <c r="CF12564" s="239"/>
      <c r="CM12564" s="336"/>
    </row>
    <row r="12565" spans="84:91" s="51" customFormat="1">
      <c r="CF12565" s="239"/>
      <c r="CM12565" s="336"/>
    </row>
    <row r="12566" spans="84:91" s="51" customFormat="1">
      <c r="CF12566" s="239"/>
      <c r="CM12566" s="336"/>
    </row>
    <row r="12567" spans="84:91" s="51" customFormat="1">
      <c r="CF12567" s="239"/>
      <c r="CM12567" s="336"/>
    </row>
    <row r="12568" spans="84:91" s="51" customFormat="1">
      <c r="CF12568" s="239"/>
      <c r="CM12568" s="336"/>
    </row>
    <row r="12569" spans="84:91" s="51" customFormat="1">
      <c r="CF12569" s="239"/>
      <c r="CM12569" s="336"/>
    </row>
    <row r="12570" spans="84:91" s="51" customFormat="1">
      <c r="CF12570" s="239"/>
      <c r="CM12570" s="336"/>
    </row>
    <row r="12571" spans="84:91" s="51" customFormat="1">
      <c r="CF12571" s="239"/>
      <c r="CM12571" s="336"/>
    </row>
    <row r="12572" spans="84:91" s="51" customFormat="1">
      <c r="CF12572" s="239"/>
      <c r="CM12572" s="336"/>
    </row>
    <row r="12573" spans="84:91" s="51" customFormat="1">
      <c r="CF12573" s="239"/>
      <c r="CM12573" s="336"/>
    </row>
    <row r="12574" spans="84:91" s="51" customFormat="1">
      <c r="CF12574" s="239"/>
      <c r="CM12574" s="336"/>
    </row>
    <row r="12575" spans="84:91" s="51" customFormat="1">
      <c r="CF12575" s="239"/>
      <c r="CM12575" s="336"/>
    </row>
    <row r="12576" spans="84:91" s="51" customFormat="1">
      <c r="CF12576" s="239"/>
      <c r="CM12576" s="336"/>
    </row>
    <row r="12577" spans="84:91" s="51" customFormat="1">
      <c r="CF12577" s="239"/>
      <c r="CM12577" s="336"/>
    </row>
    <row r="12578" spans="84:91" s="51" customFormat="1">
      <c r="CF12578" s="239"/>
      <c r="CM12578" s="336"/>
    </row>
    <row r="12579" spans="84:91" s="51" customFormat="1">
      <c r="CF12579" s="239"/>
      <c r="CM12579" s="336"/>
    </row>
    <row r="12580" spans="84:91" s="51" customFormat="1">
      <c r="CF12580" s="239"/>
      <c r="CM12580" s="336"/>
    </row>
    <row r="12581" spans="84:91" s="51" customFormat="1">
      <c r="CF12581" s="239"/>
      <c r="CM12581" s="336"/>
    </row>
    <row r="12582" spans="84:91" s="51" customFormat="1">
      <c r="CF12582" s="239"/>
      <c r="CM12582" s="336"/>
    </row>
    <row r="12583" spans="84:91" s="51" customFormat="1">
      <c r="CF12583" s="239"/>
      <c r="CM12583" s="336"/>
    </row>
    <row r="12584" spans="84:91" s="51" customFormat="1">
      <c r="CF12584" s="239"/>
      <c r="CM12584" s="336"/>
    </row>
    <row r="12585" spans="84:91" s="51" customFormat="1">
      <c r="CF12585" s="239"/>
      <c r="CM12585" s="336"/>
    </row>
    <row r="12586" spans="84:91" s="51" customFormat="1">
      <c r="CF12586" s="239"/>
      <c r="CM12586" s="336"/>
    </row>
    <row r="12587" spans="84:91" s="51" customFormat="1">
      <c r="CF12587" s="239"/>
      <c r="CM12587" s="336"/>
    </row>
    <row r="12588" spans="84:91" s="51" customFormat="1">
      <c r="CF12588" s="239"/>
      <c r="CM12588" s="336"/>
    </row>
    <row r="12589" spans="84:91" s="51" customFormat="1">
      <c r="CF12589" s="239"/>
      <c r="CM12589" s="336"/>
    </row>
    <row r="12590" spans="84:91" s="51" customFormat="1">
      <c r="CF12590" s="239"/>
      <c r="CM12590" s="336"/>
    </row>
    <row r="12591" spans="84:91" s="51" customFormat="1">
      <c r="CF12591" s="239"/>
      <c r="CM12591" s="336"/>
    </row>
    <row r="12592" spans="84:91" s="51" customFormat="1">
      <c r="CF12592" s="239"/>
      <c r="CM12592" s="336"/>
    </row>
    <row r="12593" spans="84:91" s="51" customFormat="1">
      <c r="CF12593" s="239"/>
      <c r="CM12593" s="336"/>
    </row>
    <row r="12594" spans="84:91" s="51" customFormat="1">
      <c r="CF12594" s="239"/>
      <c r="CM12594" s="336"/>
    </row>
    <row r="12595" spans="84:91" s="51" customFormat="1">
      <c r="CF12595" s="239"/>
      <c r="CM12595" s="336"/>
    </row>
    <row r="12596" spans="84:91" s="51" customFormat="1">
      <c r="CF12596" s="239"/>
      <c r="CM12596" s="336"/>
    </row>
    <row r="12597" spans="84:91" s="51" customFormat="1">
      <c r="CF12597" s="239"/>
      <c r="CM12597" s="336"/>
    </row>
    <row r="12598" spans="84:91" s="51" customFormat="1">
      <c r="CF12598" s="239"/>
      <c r="CM12598" s="336"/>
    </row>
    <row r="12599" spans="84:91" s="51" customFormat="1">
      <c r="CF12599" s="239"/>
      <c r="CM12599" s="336"/>
    </row>
    <row r="12600" spans="84:91" s="51" customFormat="1">
      <c r="CF12600" s="239"/>
      <c r="CM12600" s="336"/>
    </row>
    <row r="12601" spans="84:91" s="51" customFormat="1">
      <c r="CF12601" s="239"/>
      <c r="CM12601" s="336"/>
    </row>
    <row r="12602" spans="84:91" s="51" customFormat="1">
      <c r="CF12602" s="239"/>
      <c r="CM12602" s="336"/>
    </row>
    <row r="12603" spans="84:91" s="51" customFormat="1">
      <c r="CF12603" s="239"/>
      <c r="CM12603" s="336"/>
    </row>
    <row r="12604" spans="84:91" s="51" customFormat="1">
      <c r="CF12604" s="239"/>
      <c r="CM12604" s="336"/>
    </row>
    <row r="12605" spans="84:91" s="51" customFormat="1">
      <c r="CF12605" s="239"/>
      <c r="CM12605" s="336"/>
    </row>
    <row r="12606" spans="84:91" s="51" customFormat="1">
      <c r="CF12606" s="239"/>
      <c r="CM12606" s="336"/>
    </row>
    <row r="12607" spans="84:91" s="51" customFormat="1">
      <c r="CF12607" s="239"/>
      <c r="CM12607" s="336"/>
    </row>
    <row r="12608" spans="84:91" s="51" customFormat="1">
      <c r="CF12608" s="239"/>
      <c r="CM12608" s="336"/>
    </row>
    <row r="12609" spans="84:91" s="51" customFormat="1">
      <c r="CF12609" s="239"/>
      <c r="CM12609" s="336"/>
    </row>
    <row r="12610" spans="84:91" s="51" customFormat="1">
      <c r="CF12610" s="239"/>
      <c r="CM12610" s="336"/>
    </row>
    <row r="12611" spans="84:91" s="51" customFormat="1">
      <c r="CF12611" s="239"/>
      <c r="CM12611" s="336"/>
    </row>
    <row r="12612" spans="84:91" s="51" customFormat="1">
      <c r="CF12612" s="239"/>
      <c r="CM12612" s="336"/>
    </row>
    <row r="12613" spans="84:91" s="51" customFormat="1">
      <c r="CF12613" s="239"/>
      <c r="CM12613" s="336"/>
    </row>
    <row r="12614" spans="84:91" s="51" customFormat="1">
      <c r="CF12614" s="239"/>
      <c r="CM12614" s="336"/>
    </row>
    <row r="12615" spans="84:91" s="51" customFormat="1">
      <c r="CF12615" s="239"/>
      <c r="CM12615" s="336"/>
    </row>
    <row r="12616" spans="84:91" s="51" customFormat="1">
      <c r="CF12616" s="239"/>
      <c r="CM12616" s="336"/>
    </row>
    <row r="12617" spans="84:91" s="51" customFormat="1">
      <c r="CF12617" s="239"/>
      <c r="CM12617" s="336"/>
    </row>
    <row r="12618" spans="84:91" s="51" customFormat="1">
      <c r="CF12618" s="239"/>
      <c r="CM12618" s="336"/>
    </row>
    <row r="12619" spans="84:91" s="51" customFormat="1">
      <c r="CF12619" s="239"/>
      <c r="CM12619" s="336"/>
    </row>
    <row r="12620" spans="84:91" s="51" customFormat="1">
      <c r="CF12620" s="239"/>
      <c r="CM12620" s="336"/>
    </row>
    <row r="12621" spans="84:91" s="51" customFormat="1">
      <c r="CF12621" s="239"/>
      <c r="CM12621" s="336"/>
    </row>
    <row r="12622" spans="84:91" s="51" customFormat="1">
      <c r="CF12622" s="239"/>
      <c r="CM12622" s="336"/>
    </row>
    <row r="12623" spans="84:91" s="51" customFormat="1">
      <c r="CF12623" s="239"/>
      <c r="CM12623" s="336"/>
    </row>
    <row r="12624" spans="84:91" s="51" customFormat="1">
      <c r="CF12624" s="239"/>
      <c r="CM12624" s="336"/>
    </row>
    <row r="12625" spans="84:91" s="51" customFormat="1">
      <c r="CF12625" s="239"/>
      <c r="CM12625" s="336"/>
    </row>
    <row r="12626" spans="84:91" s="51" customFormat="1">
      <c r="CF12626" s="239"/>
      <c r="CM12626" s="336"/>
    </row>
    <row r="12627" spans="84:91" s="51" customFormat="1">
      <c r="CF12627" s="239"/>
      <c r="CM12627" s="336"/>
    </row>
    <row r="12628" spans="84:91" s="51" customFormat="1">
      <c r="CF12628" s="239"/>
      <c r="CM12628" s="336"/>
    </row>
    <row r="12629" spans="84:91" s="51" customFormat="1">
      <c r="CF12629" s="239"/>
      <c r="CM12629" s="336"/>
    </row>
    <row r="12630" spans="84:91" s="51" customFormat="1">
      <c r="CF12630" s="239"/>
      <c r="CM12630" s="336"/>
    </row>
    <row r="12631" spans="84:91" s="51" customFormat="1">
      <c r="CF12631" s="239"/>
      <c r="CM12631" s="336"/>
    </row>
    <row r="12632" spans="84:91" s="51" customFormat="1">
      <c r="CF12632" s="239"/>
      <c r="CM12632" s="336"/>
    </row>
    <row r="12633" spans="84:91" s="51" customFormat="1">
      <c r="CF12633" s="239"/>
      <c r="CM12633" s="336"/>
    </row>
    <row r="12634" spans="84:91" s="51" customFormat="1">
      <c r="CF12634" s="239"/>
      <c r="CM12634" s="336"/>
    </row>
    <row r="12635" spans="84:91" s="51" customFormat="1">
      <c r="CF12635" s="239"/>
      <c r="CM12635" s="336"/>
    </row>
    <row r="12636" spans="84:91" s="51" customFormat="1">
      <c r="CF12636" s="239"/>
      <c r="CM12636" s="336"/>
    </row>
    <row r="12637" spans="84:91" s="51" customFormat="1">
      <c r="CF12637" s="239"/>
      <c r="CM12637" s="336"/>
    </row>
    <row r="12638" spans="84:91" s="51" customFormat="1">
      <c r="CF12638" s="239"/>
      <c r="CM12638" s="336"/>
    </row>
    <row r="12639" spans="84:91" s="51" customFormat="1">
      <c r="CF12639" s="239"/>
      <c r="CM12639" s="336"/>
    </row>
    <row r="12640" spans="84:91" s="51" customFormat="1">
      <c r="CF12640" s="239"/>
      <c r="CM12640" s="336"/>
    </row>
    <row r="12641" spans="84:91" s="51" customFormat="1">
      <c r="CF12641" s="239"/>
      <c r="CM12641" s="336"/>
    </row>
    <row r="12642" spans="84:91" s="51" customFormat="1">
      <c r="CF12642" s="239"/>
      <c r="CM12642" s="336"/>
    </row>
    <row r="12643" spans="84:91" s="51" customFormat="1">
      <c r="CF12643" s="239"/>
      <c r="CM12643" s="336"/>
    </row>
    <row r="12644" spans="84:91" s="51" customFormat="1">
      <c r="CF12644" s="239"/>
      <c r="CM12644" s="336"/>
    </row>
    <row r="12645" spans="84:91" s="51" customFormat="1">
      <c r="CF12645" s="239"/>
      <c r="CM12645" s="336"/>
    </row>
    <row r="12646" spans="84:91" s="51" customFormat="1">
      <c r="CF12646" s="239"/>
      <c r="CM12646" s="336"/>
    </row>
    <row r="12647" spans="84:91" s="51" customFormat="1">
      <c r="CF12647" s="239"/>
      <c r="CM12647" s="336"/>
    </row>
    <row r="12648" spans="84:91" s="51" customFormat="1">
      <c r="CF12648" s="239"/>
      <c r="CM12648" s="336"/>
    </row>
    <row r="12649" spans="84:91" s="51" customFormat="1">
      <c r="CF12649" s="239"/>
      <c r="CM12649" s="336"/>
    </row>
    <row r="12650" spans="84:91" s="51" customFormat="1">
      <c r="CF12650" s="239"/>
      <c r="CM12650" s="336"/>
    </row>
    <row r="12651" spans="84:91" s="51" customFormat="1">
      <c r="CF12651" s="239"/>
      <c r="CM12651" s="336"/>
    </row>
    <row r="12652" spans="84:91" s="51" customFormat="1">
      <c r="CF12652" s="239"/>
      <c r="CM12652" s="336"/>
    </row>
    <row r="12653" spans="84:91" s="51" customFormat="1">
      <c r="CF12653" s="239"/>
      <c r="CM12653" s="336"/>
    </row>
    <row r="12654" spans="84:91" s="51" customFormat="1">
      <c r="CF12654" s="239"/>
      <c r="CM12654" s="336"/>
    </row>
    <row r="12655" spans="84:91" s="51" customFormat="1">
      <c r="CF12655" s="239"/>
      <c r="CM12655" s="336"/>
    </row>
    <row r="12656" spans="84:91" s="51" customFormat="1">
      <c r="CF12656" s="239"/>
      <c r="CM12656" s="336"/>
    </row>
    <row r="12657" spans="84:91" s="51" customFormat="1">
      <c r="CF12657" s="239"/>
      <c r="CM12657" s="336"/>
    </row>
    <row r="12658" spans="84:91" s="51" customFormat="1">
      <c r="CF12658" s="239"/>
      <c r="CM12658" s="336"/>
    </row>
    <row r="12659" spans="84:91" s="51" customFormat="1">
      <c r="CF12659" s="239"/>
      <c r="CM12659" s="336"/>
    </row>
    <row r="12660" spans="84:91" s="51" customFormat="1">
      <c r="CF12660" s="239"/>
      <c r="CM12660" s="336"/>
    </row>
    <row r="12661" spans="84:91" s="51" customFormat="1">
      <c r="CF12661" s="239"/>
      <c r="CM12661" s="336"/>
    </row>
    <row r="12662" spans="84:91" s="51" customFormat="1">
      <c r="CF12662" s="239"/>
      <c r="CM12662" s="336"/>
    </row>
    <row r="12663" spans="84:91" s="51" customFormat="1">
      <c r="CF12663" s="239"/>
      <c r="CM12663" s="336"/>
    </row>
    <row r="12664" spans="84:91" s="51" customFormat="1">
      <c r="CF12664" s="239"/>
      <c r="CM12664" s="336"/>
    </row>
    <row r="12665" spans="84:91" s="51" customFormat="1">
      <c r="CF12665" s="239"/>
      <c r="CM12665" s="336"/>
    </row>
    <row r="12666" spans="84:91" s="51" customFormat="1">
      <c r="CF12666" s="239"/>
      <c r="CM12666" s="336"/>
    </row>
    <row r="12667" spans="84:91" s="51" customFormat="1">
      <c r="CF12667" s="239"/>
      <c r="CM12667" s="336"/>
    </row>
    <row r="12668" spans="84:91" s="51" customFormat="1">
      <c r="CF12668" s="239"/>
      <c r="CM12668" s="336"/>
    </row>
    <row r="12669" spans="84:91" s="51" customFormat="1">
      <c r="CF12669" s="239"/>
      <c r="CM12669" s="336"/>
    </row>
    <row r="12670" spans="84:91" s="51" customFormat="1">
      <c r="CF12670" s="239"/>
      <c r="CM12670" s="336"/>
    </row>
    <row r="12671" spans="84:91" s="51" customFormat="1">
      <c r="CF12671" s="239"/>
      <c r="CM12671" s="336"/>
    </row>
    <row r="12672" spans="84:91" s="51" customFormat="1">
      <c r="CF12672" s="239"/>
      <c r="CM12672" s="336"/>
    </row>
    <row r="12673" spans="84:91" s="51" customFormat="1">
      <c r="CF12673" s="239"/>
      <c r="CM12673" s="336"/>
    </row>
    <row r="12674" spans="84:91" s="51" customFormat="1">
      <c r="CF12674" s="239"/>
      <c r="CM12674" s="336"/>
    </row>
    <row r="12675" spans="84:91" s="51" customFormat="1">
      <c r="CF12675" s="239"/>
      <c r="CM12675" s="336"/>
    </row>
    <row r="12676" spans="84:91" s="51" customFormat="1">
      <c r="CF12676" s="239"/>
      <c r="CM12676" s="336"/>
    </row>
    <row r="12677" spans="84:91" s="51" customFormat="1">
      <c r="CF12677" s="239"/>
      <c r="CM12677" s="336"/>
    </row>
    <row r="12678" spans="84:91" s="51" customFormat="1">
      <c r="CF12678" s="239"/>
      <c r="CM12678" s="336"/>
    </row>
    <row r="12679" spans="84:91" s="51" customFormat="1">
      <c r="CF12679" s="239"/>
      <c r="CM12679" s="336"/>
    </row>
    <row r="12680" spans="84:91" s="51" customFormat="1">
      <c r="CF12680" s="239"/>
      <c r="CM12680" s="336"/>
    </row>
    <row r="12681" spans="84:91" s="51" customFormat="1">
      <c r="CF12681" s="239"/>
      <c r="CM12681" s="336"/>
    </row>
    <row r="12682" spans="84:91" s="51" customFormat="1">
      <c r="CF12682" s="239"/>
      <c r="CM12682" s="336"/>
    </row>
    <row r="12683" spans="84:91" s="51" customFormat="1">
      <c r="CF12683" s="239"/>
      <c r="CM12683" s="336"/>
    </row>
    <row r="12684" spans="84:91" s="51" customFormat="1">
      <c r="CF12684" s="239"/>
      <c r="CM12684" s="336"/>
    </row>
    <row r="12685" spans="84:91" s="51" customFormat="1">
      <c r="CF12685" s="239"/>
      <c r="CM12685" s="336"/>
    </row>
    <row r="12686" spans="84:91" s="51" customFormat="1">
      <c r="CF12686" s="239"/>
      <c r="CM12686" s="336"/>
    </row>
    <row r="12687" spans="84:91" s="51" customFormat="1">
      <c r="CF12687" s="239"/>
      <c r="CM12687" s="336"/>
    </row>
    <row r="12688" spans="84:91" s="51" customFormat="1">
      <c r="CF12688" s="239"/>
      <c r="CM12688" s="336"/>
    </row>
    <row r="12689" spans="84:91" s="51" customFormat="1">
      <c r="CF12689" s="239"/>
      <c r="CM12689" s="336"/>
    </row>
    <row r="12690" spans="84:91" s="51" customFormat="1">
      <c r="CF12690" s="239"/>
      <c r="CM12690" s="336"/>
    </row>
    <row r="12691" spans="84:91" s="51" customFormat="1">
      <c r="CF12691" s="239"/>
      <c r="CM12691" s="336"/>
    </row>
    <row r="12692" spans="84:91" s="51" customFormat="1">
      <c r="CF12692" s="239"/>
      <c r="CM12692" s="336"/>
    </row>
    <row r="12693" spans="84:91" s="51" customFormat="1">
      <c r="CF12693" s="239"/>
      <c r="CM12693" s="336"/>
    </row>
    <row r="12694" spans="84:91" s="51" customFormat="1">
      <c r="CF12694" s="239"/>
      <c r="CM12694" s="336"/>
    </row>
    <row r="12695" spans="84:91" s="51" customFormat="1">
      <c r="CF12695" s="239"/>
      <c r="CM12695" s="336"/>
    </row>
    <row r="12696" spans="84:91" s="51" customFormat="1">
      <c r="CF12696" s="239"/>
      <c r="CM12696" s="336"/>
    </row>
    <row r="12697" spans="84:91" s="51" customFormat="1">
      <c r="CF12697" s="239"/>
      <c r="CM12697" s="336"/>
    </row>
    <row r="12698" spans="84:91" s="51" customFormat="1">
      <c r="CF12698" s="239"/>
      <c r="CM12698" s="336"/>
    </row>
    <row r="12699" spans="84:91" s="51" customFormat="1">
      <c r="CF12699" s="239"/>
      <c r="CM12699" s="336"/>
    </row>
    <row r="12700" spans="84:91" s="51" customFormat="1">
      <c r="CF12700" s="239"/>
      <c r="CM12700" s="336"/>
    </row>
    <row r="12701" spans="84:91" s="51" customFormat="1">
      <c r="CF12701" s="239"/>
      <c r="CM12701" s="336"/>
    </row>
    <row r="12702" spans="84:91" s="51" customFormat="1">
      <c r="CF12702" s="239"/>
      <c r="CM12702" s="336"/>
    </row>
    <row r="12703" spans="84:91" s="51" customFormat="1">
      <c r="CF12703" s="239"/>
      <c r="CM12703" s="336"/>
    </row>
    <row r="12704" spans="84:91" s="51" customFormat="1">
      <c r="CF12704" s="239"/>
      <c r="CM12704" s="336"/>
    </row>
    <row r="12705" spans="84:91" s="51" customFormat="1">
      <c r="CF12705" s="239"/>
      <c r="CM12705" s="336"/>
    </row>
    <row r="12706" spans="84:91" s="51" customFormat="1">
      <c r="CF12706" s="239"/>
      <c r="CM12706" s="336"/>
    </row>
    <row r="12707" spans="84:91" s="51" customFormat="1">
      <c r="CF12707" s="239"/>
      <c r="CM12707" s="336"/>
    </row>
    <row r="12708" spans="84:91" s="51" customFormat="1">
      <c r="CF12708" s="239"/>
      <c r="CM12708" s="336"/>
    </row>
    <row r="12709" spans="84:91" s="51" customFormat="1">
      <c r="CF12709" s="239"/>
      <c r="CM12709" s="336"/>
    </row>
    <row r="12710" spans="84:91" s="51" customFormat="1">
      <c r="CF12710" s="239"/>
      <c r="CM12710" s="336"/>
    </row>
    <row r="12711" spans="84:91" s="51" customFormat="1">
      <c r="CF12711" s="239"/>
      <c r="CM12711" s="336"/>
    </row>
    <row r="12712" spans="84:91" s="51" customFormat="1">
      <c r="CF12712" s="239"/>
      <c r="CM12712" s="336"/>
    </row>
    <row r="12713" spans="84:91" s="51" customFormat="1">
      <c r="CF12713" s="239"/>
      <c r="CM12713" s="336"/>
    </row>
    <row r="12714" spans="84:91" s="51" customFormat="1">
      <c r="CF12714" s="239"/>
      <c r="CM12714" s="336"/>
    </row>
    <row r="12715" spans="84:91" s="51" customFormat="1">
      <c r="CF12715" s="239"/>
      <c r="CM12715" s="336"/>
    </row>
    <row r="12716" spans="84:91" s="51" customFormat="1">
      <c r="CF12716" s="239"/>
      <c r="CM12716" s="336"/>
    </row>
    <row r="12717" spans="84:91" s="51" customFormat="1">
      <c r="CF12717" s="239"/>
      <c r="CM12717" s="336"/>
    </row>
    <row r="12718" spans="84:91" s="51" customFormat="1">
      <c r="CF12718" s="239"/>
      <c r="CM12718" s="336"/>
    </row>
    <row r="12719" spans="84:91" s="51" customFormat="1">
      <c r="CF12719" s="239"/>
      <c r="CM12719" s="336"/>
    </row>
    <row r="12720" spans="84:91" s="51" customFormat="1">
      <c r="CF12720" s="239"/>
      <c r="CM12720" s="336"/>
    </row>
    <row r="12721" spans="84:91" s="51" customFormat="1">
      <c r="CF12721" s="239"/>
      <c r="CM12721" s="336"/>
    </row>
    <row r="12722" spans="84:91" s="51" customFormat="1">
      <c r="CF12722" s="239"/>
      <c r="CM12722" s="336"/>
    </row>
    <row r="12723" spans="84:91" s="51" customFormat="1">
      <c r="CF12723" s="239"/>
      <c r="CM12723" s="336"/>
    </row>
    <row r="12724" spans="84:91" s="51" customFormat="1">
      <c r="CF12724" s="239"/>
      <c r="CM12724" s="336"/>
    </row>
    <row r="12725" spans="84:91" s="51" customFormat="1">
      <c r="CF12725" s="239"/>
      <c r="CM12725" s="336"/>
    </row>
    <row r="12726" spans="84:91" s="51" customFormat="1">
      <c r="CF12726" s="239"/>
      <c r="CM12726" s="336"/>
    </row>
    <row r="12727" spans="84:91" s="51" customFormat="1">
      <c r="CF12727" s="239"/>
      <c r="CM12727" s="336"/>
    </row>
    <row r="12728" spans="84:91" s="51" customFormat="1">
      <c r="CF12728" s="239"/>
      <c r="CM12728" s="336"/>
    </row>
    <row r="12729" spans="84:91" s="51" customFormat="1">
      <c r="CF12729" s="239"/>
      <c r="CM12729" s="336"/>
    </row>
    <row r="12730" spans="84:91" s="51" customFormat="1">
      <c r="CF12730" s="239"/>
      <c r="CM12730" s="336"/>
    </row>
    <row r="12731" spans="84:91" s="51" customFormat="1">
      <c r="CF12731" s="239"/>
      <c r="CM12731" s="336"/>
    </row>
    <row r="12732" spans="84:91" s="51" customFormat="1">
      <c r="CF12732" s="239"/>
      <c r="CM12732" s="336"/>
    </row>
    <row r="12733" spans="84:91" s="51" customFormat="1">
      <c r="CF12733" s="239"/>
      <c r="CM12733" s="336"/>
    </row>
    <row r="12734" spans="84:91" s="51" customFormat="1">
      <c r="CF12734" s="239"/>
      <c r="CM12734" s="336"/>
    </row>
    <row r="12735" spans="84:91" s="51" customFormat="1">
      <c r="CF12735" s="239"/>
      <c r="CM12735" s="336"/>
    </row>
    <row r="12736" spans="84:91" s="51" customFormat="1">
      <c r="CF12736" s="239"/>
      <c r="CM12736" s="336"/>
    </row>
    <row r="12737" spans="84:91" s="51" customFormat="1">
      <c r="CF12737" s="239"/>
      <c r="CM12737" s="336"/>
    </row>
    <row r="12738" spans="84:91" s="51" customFormat="1">
      <c r="CF12738" s="239"/>
      <c r="CM12738" s="336"/>
    </row>
    <row r="12739" spans="84:91" s="51" customFormat="1">
      <c r="CF12739" s="239"/>
      <c r="CM12739" s="336"/>
    </row>
    <row r="12740" spans="84:91" s="51" customFormat="1">
      <c r="CF12740" s="239"/>
      <c r="CM12740" s="336"/>
    </row>
    <row r="12741" spans="84:91" s="51" customFormat="1">
      <c r="CF12741" s="239"/>
      <c r="CM12741" s="336"/>
    </row>
    <row r="12742" spans="84:91" s="51" customFormat="1">
      <c r="CF12742" s="239"/>
      <c r="CM12742" s="336"/>
    </row>
    <row r="12743" spans="84:91" s="51" customFormat="1">
      <c r="CF12743" s="239"/>
      <c r="CM12743" s="336"/>
    </row>
    <row r="12744" spans="84:91" s="51" customFormat="1">
      <c r="CF12744" s="239"/>
      <c r="CM12744" s="336"/>
    </row>
    <row r="12745" spans="84:91" s="51" customFormat="1">
      <c r="CF12745" s="239"/>
      <c r="CM12745" s="336"/>
    </row>
    <row r="12746" spans="84:91" s="51" customFormat="1">
      <c r="CF12746" s="239"/>
      <c r="CM12746" s="336"/>
    </row>
    <row r="12747" spans="84:91" s="51" customFormat="1">
      <c r="CF12747" s="239"/>
      <c r="CM12747" s="336"/>
    </row>
    <row r="12748" spans="84:91" s="51" customFormat="1">
      <c r="CF12748" s="239"/>
      <c r="CM12748" s="336"/>
    </row>
    <row r="12749" spans="84:91" s="51" customFormat="1">
      <c r="CF12749" s="239"/>
      <c r="CM12749" s="336"/>
    </row>
    <row r="12750" spans="84:91" s="51" customFormat="1">
      <c r="CF12750" s="239"/>
      <c r="CM12750" s="336"/>
    </row>
    <row r="12751" spans="84:91" s="51" customFormat="1">
      <c r="CF12751" s="239"/>
      <c r="CM12751" s="336"/>
    </row>
    <row r="12752" spans="84:91" s="51" customFormat="1">
      <c r="CF12752" s="239"/>
      <c r="CM12752" s="336"/>
    </row>
    <row r="12753" spans="84:91" s="51" customFormat="1">
      <c r="CF12753" s="239"/>
      <c r="CM12753" s="336"/>
    </row>
    <row r="12754" spans="84:91" s="51" customFormat="1">
      <c r="CF12754" s="239"/>
      <c r="CM12754" s="336"/>
    </row>
    <row r="12755" spans="84:91" s="51" customFormat="1">
      <c r="CF12755" s="239"/>
      <c r="CM12755" s="336"/>
    </row>
    <row r="12756" spans="84:91" s="51" customFormat="1">
      <c r="CF12756" s="239"/>
      <c r="CM12756" s="336"/>
    </row>
    <row r="12757" spans="84:91" s="51" customFormat="1">
      <c r="CF12757" s="239"/>
      <c r="CM12757" s="336"/>
    </row>
    <row r="12758" spans="84:91" s="51" customFormat="1">
      <c r="CF12758" s="239"/>
      <c r="CM12758" s="336"/>
    </row>
    <row r="12759" spans="84:91" s="51" customFormat="1">
      <c r="CF12759" s="239"/>
      <c r="CM12759" s="336"/>
    </row>
    <row r="12760" spans="84:91" s="51" customFormat="1">
      <c r="CF12760" s="239"/>
      <c r="CM12760" s="336"/>
    </row>
    <row r="12761" spans="84:91" s="51" customFormat="1">
      <c r="CF12761" s="239"/>
      <c r="CM12761" s="336"/>
    </row>
    <row r="12762" spans="84:91" s="51" customFormat="1">
      <c r="CF12762" s="239"/>
      <c r="CM12762" s="336"/>
    </row>
    <row r="12763" spans="84:91" s="51" customFormat="1">
      <c r="CF12763" s="239"/>
      <c r="CM12763" s="336"/>
    </row>
    <row r="12764" spans="84:91" s="51" customFormat="1">
      <c r="CF12764" s="239"/>
      <c r="CM12764" s="336"/>
    </row>
    <row r="12765" spans="84:91" s="51" customFormat="1">
      <c r="CF12765" s="239"/>
      <c r="CM12765" s="336"/>
    </row>
    <row r="12766" spans="84:91" s="51" customFormat="1">
      <c r="CF12766" s="239"/>
      <c r="CM12766" s="336"/>
    </row>
    <row r="12767" spans="84:91" s="51" customFormat="1">
      <c r="CF12767" s="239"/>
      <c r="CM12767" s="336"/>
    </row>
    <row r="12768" spans="84:91" s="51" customFormat="1">
      <c r="CF12768" s="239"/>
      <c r="CM12768" s="336"/>
    </row>
    <row r="12769" spans="84:91" s="51" customFormat="1">
      <c r="CF12769" s="239"/>
      <c r="CM12769" s="336"/>
    </row>
    <row r="12770" spans="84:91" s="51" customFormat="1">
      <c r="CF12770" s="239"/>
      <c r="CM12770" s="336"/>
    </row>
    <row r="12771" spans="84:91" s="51" customFormat="1">
      <c r="CF12771" s="239"/>
      <c r="CM12771" s="336"/>
    </row>
    <row r="12772" spans="84:91" s="51" customFormat="1">
      <c r="CF12772" s="239"/>
      <c r="CM12772" s="336"/>
    </row>
    <row r="12773" spans="84:91" s="51" customFormat="1">
      <c r="CF12773" s="239"/>
      <c r="CM12773" s="336"/>
    </row>
    <row r="12774" spans="84:91" s="51" customFormat="1">
      <c r="CF12774" s="239"/>
      <c r="CM12774" s="336"/>
    </row>
    <row r="12775" spans="84:91" s="51" customFormat="1">
      <c r="CF12775" s="239"/>
      <c r="CM12775" s="336"/>
    </row>
    <row r="12776" spans="84:91" s="51" customFormat="1">
      <c r="CF12776" s="239"/>
      <c r="CM12776" s="336"/>
    </row>
    <row r="12777" spans="84:91" s="51" customFormat="1">
      <c r="CF12777" s="239"/>
      <c r="CM12777" s="336"/>
    </row>
    <row r="12778" spans="84:91" s="51" customFormat="1">
      <c r="CF12778" s="239"/>
      <c r="CM12778" s="336"/>
    </row>
    <row r="12779" spans="84:91" s="51" customFormat="1">
      <c r="CF12779" s="239"/>
      <c r="CM12779" s="336"/>
    </row>
    <row r="12780" spans="84:91" s="51" customFormat="1">
      <c r="CF12780" s="239"/>
      <c r="CM12780" s="336"/>
    </row>
    <row r="12781" spans="84:91" s="51" customFormat="1">
      <c r="CF12781" s="239"/>
      <c r="CM12781" s="336"/>
    </row>
    <row r="12782" spans="84:91" s="51" customFormat="1">
      <c r="CF12782" s="239"/>
      <c r="CM12782" s="336"/>
    </row>
    <row r="12783" spans="84:91" s="51" customFormat="1">
      <c r="CF12783" s="239"/>
      <c r="CM12783" s="336"/>
    </row>
    <row r="12784" spans="84:91" s="51" customFormat="1">
      <c r="CF12784" s="239"/>
      <c r="CM12784" s="336"/>
    </row>
    <row r="12785" spans="84:91" s="51" customFormat="1">
      <c r="CF12785" s="239"/>
      <c r="CM12785" s="336"/>
    </row>
    <row r="12786" spans="84:91" s="51" customFormat="1">
      <c r="CF12786" s="239"/>
      <c r="CM12786" s="336"/>
    </row>
    <row r="12787" spans="84:91" s="51" customFormat="1">
      <c r="CF12787" s="239"/>
      <c r="CM12787" s="336"/>
    </row>
    <row r="12788" spans="84:91" s="51" customFormat="1">
      <c r="CF12788" s="239"/>
      <c r="CM12788" s="336"/>
    </row>
    <row r="12789" spans="84:91" s="51" customFormat="1">
      <c r="CF12789" s="239"/>
      <c r="CM12789" s="336"/>
    </row>
    <row r="12790" spans="84:91" s="51" customFormat="1">
      <c r="CF12790" s="239"/>
      <c r="CM12790" s="336"/>
    </row>
    <row r="12791" spans="84:91" s="51" customFormat="1">
      <c r="CF12791" s="239"/>
      <c r="CM12791" s="336"/>
    </row>
    <row r="12792" spans="84:91" s="51" customFormat="1">
      <c r="CF12792" s="239"/>
      <c r="CM12792" s="336"/>
    </row>
    <row r="12793" spans="84:91" s="51" customFormat="1">
      <c r="CF12793" s="239"/>
      <c r="CM12793" s="336"/>
    </row>
    <row r="12794" spans="84:91" s="51" customFormat="1">
      <c r="CF12794" s="239"/>
      <c r="CM12794" s="336"/>
    </row>
    <row r="12795" spans="84:91" s="51" customFormat="1">
      <c r="CF12795" s="239"/>
      <c r="CM12795" s="336"/>
    </row>
    <row r="12796" spans="84:91" s="51" customFormat="1">
      <c r="CF12796" s="239"/>
      <c r="CM12796" s="336"/>
    </row>
    <row r="12797" spans="84:91" s="51" customFormat="1">
      <c r="CF12797" s="239"/>
      <c r="CM12797" s="336"/>
    </row>
    <row r="12798" spans="84:91" s="51" customFormat="1">
      <c r="CF12798" s="239"/>
      <c r="CM12798" s="336"/>
    </row>
    <row r="12799" spans="84:91" s="51" customFormat="1">
      <c r="CF12799" s="239"/>
      <c r="CM12799" s="336"/>
    </row>
    <row r="12800" spans="84:91" s="51" customFormat="1">
      <c r="CF12800" s="239"/>
      <c r="CM12800" s="336"/>
    </row>
    <row r="12801" spans="84:91" s="51" customFormat="1">
      <c r="CF12801" s="239"/>
      <c r="CM12801" s="336"/>
    </row>
    <row r="12802" spans="84:91" s="51" customFormat="1">
      <c r="CF12802" s="239"/>
      <c r="CM12802" s="336"/>
    </row>
    <row r="12803" spans="84:91" s="51" customFormat="1">
      <c r="CF12803" s="239"/>
      <c r="CM12803" s="336"/>
    </row>
    <row r="12804" spans="84:91" s="51" customFormat="1">
      <c r="CF12804" s="239"/>
      <c r="CM12804" s="336"/>
    </row>
    <row r="12805" spans="84:91" s="51" customFormat="1">
      <c r="CF12805" s="239"/>
      <c r="CM12805" s="336"/>
    </row>
    <row r="12806" spans="84:91" s="51" customFormat="1">
      <c r="CF12806" s="239"/>
      <c r="CM12806" s="336"/>
    </row>
    <row r="12807" spans="84:91" s="51" customFormat="1">
      <c r="CF12807" s="239"/>
      <c r="CM12807" s="336"/>
    </row>
    <row r="12808" spans="84:91" s="51" customFormat="1">
      <c r="CF12808" s="239"/>
      <c r="CM12808" s="336"/>
    </row>
    <row r="12809" spans="84:91" s="51" customFormat="1">
      <c r="CF12809" s="239"/>
      <c r="CM12809" s="336"/>
    </row>
    <row r="12810" spans="84:91" s="51" customFormat="1">
      <c r="CF12810" s="239"/>
      <c r="CM12810" s="336"/>
    </row>
    <row r="12811" spans="84:91" s="51" customFormat="1">
      <c r="CF12811" s="239"/>
      <c r="CM12811" s="336"/>
    </row>
    <row r="12812" spans="84:91" s="51" customFormat="1">
      <c r="CF12812" s="239"/>
      <c r="CM12812" s="336"/>
    </row>
    <row r="12813" spans="84:91" s="51" customFormat="1">
      <c r="CF12813" s="239"/>
      <c r="CM12813" s="336"/>
    </row>
    <row r="12814" spans="84:91" s="51" customFormat="1">
      <c r="CF12814" s="239"/>
      <c r="CM12814" s="336"/>
    </row>
    <row r="12815" spans="84:91" s="51" customFormat="1">
      <c r="CF12815" s="239"/>
      <c r="CM12815" s="336"/>
    </row>
    <row r="12816" spans="84:91" s="51" customFormat="1">
      <c r="CF12816" s="239"/>
      <c r="CM12816" s="336"/>
    </row>
    <row r="12817" spans="84:91" s="51" customFormat="1">
      <c r="CF12817" s="239"/>
      <c r="CM12817" s="336"/>
    </row>
    <row r="12818" spans="84:91" s="51" customFormat="1">
      <c r="CF12818" s="239"/>
      <c r="CM12818" s="336"/>
    </row>
    <row r="12819" spans="84:91" s="51" customFormat="1">
      <c r="CF12819" s="239"/>
      <c r="CM12819" s="336"/>
    </row>
    <row r="12820" spans="84:91" s="51" customFormat="1">
      <c r="CF12820" s="239"/>
      <c r="CM12820" s="336"/>
    </row>
    <row r="12821" spans="84:91" s="51" customFormat="1">
      <c r="CF12821" s="239"/>
      <c r="CM12821" s="336"/>
    </row>
    <row r="12822" spans="84:91" s="51" customFormat="1">
      <c r="CF12822" s="239"/>
      <c r="CM12822" s="336"/>
    </row>
    <row r="12823" spans="84:91" s="51" customFormat="1">
      <c r="CF12823" s="239"/>
      <c r="CM12823" s="336"/>
    </row>
    <row r="12824" spans="84:91" s="51" customFormat="1">
      <c r="CF12824" s="239"/>
      <c r="CM12824" s="336"/>
    </row>
    <row r="12825" spans="84:91" s="51" customFormat="1">
      <c r="CF12825" s="239"/>
      <c r="CM12825" s="336"/>
    </row>
    <row r="12826" spans="84:91" s="51" customFormat="1">
      <c r="CF12826" s="239"/>
      <c r="CM12826" s="336"/>
    </row>
    <row r="12827" spans="84:91" s="51" customFormat="1">
      <c r="CF12827" s="239"/>
      <c r="CM12827" s="336"/>
    </row>
    <row r="12828" spans="84:91" s="51" customFormat="1">
      <c r="CF12828" s="239"/>
      <c r="CM12828" s="336"/>
    </row>
    <row r="12829" spans="84:91" s="51" customFormat="1">
      <c r="CF12829" s="239"/>
      <c r="CM12829" s="336"/>
    </row>
    <row r="12830" spans="84:91" s="51" customFormat="1">
      <c r="CF12830" s="239"/>
      <c r="CM12830" s="336"/>
    </row>
    <row r="12831" spans="84:91" s="51" customFormat="1">
      <c r="CF12831" s="239"/>
      <c r="CM12831" s="336"/>
    </row>
    <row r="12832" spans="84:91" s="51" customFormat="1">
      <c r="CF12832" s="239"/>
      <c r="CM12832" s="336"/>
    </row>
    <row r="12833" spans="84:91" s="51" customFormat="1">
      <c r="CF12833" s="239"/>
      <c r="CM12833" s="336"/>
    </row>
    <row r="12834" spans="84:91" s="51" customFormat="1">
      <c r="CF12834" s="239"/>
      <c r="CM12834" s="336"/>
    </row>
    <row r="12835" spans="84:91" s="51" customFormat="1">
      <c r="CF12835" s="239"/>
      <c r="CM12835" s="336"/>
    </row>
    <row r="12836" spans="84:91" s="51" customFormat="1">
      <c r="CF12836" s="239"/>
      <c r="CM12836" s="336"/>
    </row>
    <row r="12837" spans="84:91" s="51" customFormat="1">
      <c r="CF12837" s="239"/>
      <c r="CM12837" s="336"/>
    </row>
    <row r="12838" spans="84:91" s="51" customFormat="1">
      <c r="CF12838" s="239"/>
      <c r="CM12838" s="336"/>
    </row>
    <row r="12839" spans="84:91" s="51" customFormat="1">
      <c r="CF12839" s="239"/>
      <c r="CM12839" s="336"/>
    </row>
    <row r="12840" spans="84:91" s="51" customFormat="1">
      <c r="CF12840" s="239"/>
      <c r="CM12840" s="336"/>
    </row>
    <row r="12841" spans="84:91" s="51" customFormat="1">
      <c r="CF12841" s="239"/>
      <c r="CM12841" s="336"/>
    </row>
    <row r="12842" spans="84:91" s="51" customFormat="1">
      <c r="CF12842" s="239"/>
      <c r="CM12842" s="336"/>
    </row>
    <row r="12843" spans="84:91" s="51" customFormat="1">
      <c r="CF12843" s="239"/>
      <c r="CM12843" s="336"/>
    </row>
    <row r="12844" spans="84:91" s="51" customFormat="1">
      <c r="CF12844" s="239"/>
      <c r="CM12844" s="336"/>
    </row>
    <row r="12845" spans="84:91" s="51" customFormat="1">
      <c r="CF12845" s="239"/>
      <c r="CM12845" s="336"/>
    </row>
    <row r="12846" spans="84:91" s="51" customFormat="1">
      <c r="CF12846" s="239"/>
      <c r="CM12846" s="336"/>
    </row>
    <row r="12847" spans="84:91" s="51" customFormat="1">
      <c r="CF12847" s="239"/>
      <c r="CM12847" s="336"/>
    </row>
    <row r="12848" spans="84:91" s="51" customFormat="1">
      <c r="CF12848" s="239"/>
      <c r="CM12848" s="336"/>
    </row>
    <row r="12849" spans="84:91" s="51" customFormat="1">
      <c r="CF12849" s="239"/>
      <c r="CM12849" s="336"/>
    </row>
    <row r="12850" spans="84:91" s="51" customFormat="1">
      <c r="CF12850" s="239"/>
      <c r="CM12850" s="336"/>
    </row>
    <row r="12851" spans="84:91" s="51" customFormat="1">
      <c r="CF12851" s="239"/>
      <c r="CM12851" s="336"/>
    </row>
    <row r="12852" spans="84:91" s="51" customFormat="1">
      <c r="CF12852" s="239"/>
      <c r="CM12852" s="336"/>
    </row>
    <row r="12853" spans="84:91" s="51" customFormat="1">
      <c r="CF12853" s="239"/>
      <c r="CM12853" s="336"/>
    </row>
    <row r="12854" spans="84:91" s="51" customFormat="1">
      <c r="CF12854" s="239"/>
      <c r="CM12854" s="336"/>
    </row>
    <row r="12855" spans="84:91" s="51" customFormat="1">
      <c r="CF12855" s="239"/>
      <c r="CM12855" s="336"/>
    </row>
    <row r="12856" spans="84:91" s="51" customFormat="1">
      <c r="CF12856" s="239"/>
      <c r="CM12856" s="336"/>
    </row>
    <row r="12857" spans="84:91" s="51" customFormat="1">
      <c r="CF12857" s="239"/>
      <c r="CM12857" s="336"/>
    </row>
    <row r="12858" spans="84:91" s="51" customFormat="1">
      <c r="CF12858" s="239"/>
      <c r="CM12858" s="336"/>
    </row>
    <row r="12859" spans="84:91" s="51" customFormat="1">
      <c r="CF12859" s="239"/>
      <c r="CM12859" s="336"/>
    </row>
    <row r="12860" spans="84:91" s="51" customFormat="1">
      <c r="CF12860" s="239"/>
      <c r="CM12860" s="336"/>
    </row>
    <row r="12861" spans="84:91" s="51" customFormat="1">
      <c r="CF12861" s="239"/>
      <c r="CM12861" s="336"/>
    </row>
    <row r="12862" spans="84:91" s="51" customFormat="1">
      <c r="CF12862" s="239"/>
      <c r="CM12862" s="336"/>
    </row>
    <row r="12863" spans="84:91" s="51" customFormat="1">
      <c r="CF12863" s="239"/>
      <c r="CM12863" s="336"/>
    </row>
    <row r="12864" spans="84:91" s="51" customFormat="1">
      <c r="CF12864" s="239"/>
      <c r="CM12864" s="336"/>
    </row>
    <row r="12865" spans="84:91" s="51" customFormat="1">
      <c r="CF12865" s="239"/>
      <c r="CM12865" s="336"/>
    </row>
    <row r="12866" spans="84:91" s="51" customFormat="1">
      <c r="CF12866" s="239"/>
      <c r="CM12866" s="336"/>
    </row>
    <row r="12867" spans="84:91" s="51" customFormat="1">
      <c r="CF12867" s="239"/>
      <c r="CM12867" s="336"/>
    </row>
    <row r="12868" spans="84:91" s="51" customFormat="1">
      <c r="CF12868" s="239"/>
      <c r="CM12868" s="336"/>
    </row>
    <row r="12869" spans="84:91" s="51" customFormat="1">
      <c r="CF12869" s="239"/>
      <c r="CM12869" s="336"/>
    </row>
    <row r="12870" spans="84:91" s="51" customFormat="1">
      <c r="CF12870" s="239"/>
      <c r="CM12870" s="336"/>
    </row>
    <row r="12871" spans="84:91" s="51" customFormat="1">
      <c r="CF12871" s="239"/>
      <c r="CM12871" s="336"/>
    </row>
    <row r="12872" spans="84:91" s="51" customFormat="1">
      <c r="CF12872" s="239"/>
      <c r="CM12872" s="336"/>
    </row>
    <row r="12873" spans="84:91" s="51" customFormat="1">
      <c r="CF12873" s="239"/>
      <c r="CM12873" s="336"/>
    </row>
    <row r="12874" spans="84:91" s="51" customFormat="1">
      <c r="CF12874" s="239"/>
      <c r="CM12874" s="336"/>
    </row>
    <row r="12875" spans="84:91" s="51" customFormat="1">
      <c r="CF12875" s="239"/>
      <c r="CM12875" s="336"/>
    </row>
    <row r="12876" spans="84:91" s="51" customFormat="1">
      <c r="CF12876" s="239"/>
      <c r="CM12876" s="336"/>
    </row>
    <row r="12877" spans="84:91" s="51" customFormat="1">
      <c r="CF12877" s="239"/>
      <c r="CM12877" s="336"/>
    </row>
    <row r="12878" spans="84:91" s="51" customFormat="1">
      <c r="CF12878" s="239"/>
      <c r="CM12878" s="336"/>
    </row>
    <row r="12879" spans="84:91" s="51" customFormat="1">
      <c r="CF12879" s="239"/>
      <c r="CM12879" s="336"/>
    </row>
    <row r="12880" spans="84:91" s="51" customFormat="1">
      <c r="CF12880" s="239"/>
      <c r="CM12880" s="336"/>
    </row>
    <row r="12881" spans="84:91" s="51" customFormat="1">
      <c r="CF12881" s="239"/>
      <c r="CM12881" s="336"/>
    </row>
    <row r="12882" spans="84:91" s="51" customFormat="1">
      <c r="CF12882" s="239"/>
      <c r="CM12882" s="336"/>
    </row>
    <row r="12883" spans="84:91" s="51" customFormat="1">
      <c r="CF12883" s="239"/>
      <c r="CM12883" s="336"/>
    </row>
    <row r="12884" spans="84:91" s="51" customFormat="1">
      <c r="CF12884" s="239"/>
      <c r="CM12884" s="336"/>
    </row>
    <row r="12885" spans="84:91" s="51" customFormat="1">
      <c r="CF12885" s="239"/>
      <c r="CM12885" s="336"/>
    </row>
    <row r="12886" spans="84:91" s="51" customFormat="1">
      <c r="CF12886" s="239"/>
      <c r="CM12886" s="336"/>
    </row>
    <row r="12887" spans="84:91" s="51" customFormat="1">
      <c r="CF12887" s="239"/>
      <c r="CM12887" s="336"/>
    </row>
    <row r="12888" spans="84:91" s="51" customFormat="1">
      <c r="CF12888" s="239"/>
      <c r="CM12888" s="336"/>
    </row>
    <row r="12889" spans="84:91" s="51" customFormat="1">
      <c r="CF12889" s="239"/>
      <c r="CM12889" s="336"/>
    </row>
    <row r="12890" spans="84:91" s="51" customFormat="1">
      <c r="CF12890" s="239"/>
      <c r="CM12890" s="336"/>
    </row>
    <row r="12891" spans="84:91" s="51" customFormat="1">
      <c r="CF12891" s="239"/>
      <c r="CM12891" s="336"/>
    </row>
    <row r="12892" spans="84:91" s="51" customFormat="1">
      <c r="CF12892" s="239"/>
      <c r="CM12892" s="336"/>
    </row>
    <row r="12893" spans="84:91" s="51" customFormat="1">
      <c r="CF12893" s="239"/>
      <c r="CM12893" s="336"/>
    </row>
    <row r="12894" spans="84:91" s="51" customFormat="1">
      <c r="CF12894" s="239"/>
      <c r="CM12894" s="336"/>
    </row>
    <row r="12895" spans="84:91" s="51" customFormat="1">
      <c r="CF12895" s="239"/>
      <c r="CM12895" s="336"/>
    </row>
    <row r="12896" spans="84:91" s="51" customFormat="1">
      <c r="CF12896" s="239"/>
      <c r="CM12896" s="336"/>
    </row>
    <row r="12897" spans="84:91" s="51" customFormat="1">
      <c r="CF12897" s="239"/>
      <c r="CM12897" s="336"/>
    </row>
    <row r="12898" spans="84:91" s="51" customFormat="1">
      <c r="CF12898" s="239"/>
      <c r="CM12898" s="336"/>
    </row>
    <row r="12899" spans="84:91" s="51" customFormat="1">
      <c r="CF12899" s="239"/>
      <c r="CM12899" s="336"/>
    </row>
    <row r="12900" spans="84:91" s="51" customFormat="1">
      <c r="CF12900" s="239"/>
      <c r="CM12900" s="336"/>
    </row>
    <row r="12901" spans="84:91" s="51" customFormat="1">
      <c r="CF12901" s="239"/>
      <c r="CM12901" s="336"/>
    </row>
    <row r="12902" spans="84:91" s="51" customFormat="1">
      <c r="CF12902" s="239"/>
      <c r="CM12902" s="336"/>
    </row>
    <row r="12903" spans="84:91" s="51" customFormat="1">
      <c r="CF12903" s="239"/>
      <c r="CM12903" s="336"/>
    </row>
    <row r="12904" spans="84:91" s="51" customFormat="1">
      <c r="CF12904" s="239"/>
      <c r="CM12904" s="336"/>
    </row>
    <row r="12905" spans="84:91" s="51" customFormat="1">
      <c r="CF12905" s="239"/>
      <c r="CM12905" s="336"/>
    </row>
    <row r="12906" spans="84:91" s="51" customFormat="1">
      <c r="CF12906" s="239"/>
      <c r="CM12906" s="336"/>
    </row>
    <row r="12907" spans="84:91" s="51" customFormat="1">
      <c r="CF12907" s="239"/>
      <c r="CM12907" s="336"/>
    </row>
    <row r="12908" spans="84:91" s="51" customFormat="1">
      <c r="CF12908" s="239"/>
      <c r="CM12908" s="336"/>
    </row>
    <row r="12909" spans="84:91" s="51" customFormat="1">
      <c r="CF12909" s="239"/>
      <c r="CM12909" s="336"/>
    </row>
    <row r="12910" spans="84:91" s="51" customFormat="1">
      <c r="CF12910" s="239"/>
      <c r="CM12910" s="336"/>
    </row>
    <row r="12911" spans="84:91" s="51" customFormat="1">
      <c r="CF12911" s="239"/>
      <c r="CM12911" s="336"/>
    </row>
    <row r="12912" spans="84:91" s="51" customFormat="1">
      <c r="CF12912" s="239"/>
      <c r="CM12912" s="336"/>
    </row>
    <row r="12913" spans="84:91" s="51" customFormat="1">
      <c r="CF12913" s="239"/>
      <c r="CM12913" s="336"/>
    </row>
    <row r="12914" spans="84:91" s="51" customFormat="1">
      <c r="CF12914" s="239"/>
      <c r="CM12914" s="336"/>
    </row>
    <row r="12915" spans="84:91" s="51" customFormat="1">
      <c r="CF12915" s="239"/>
      <c r="CM12915" s="336"/>
    </row>
    <row r="12916" spans="84:91" s="51" customFormat="1">
      <c r="CF12916" s="239"/>
      <c r="CM12916" s="336"/>
    </row>
    <row r="12917" spans="84:91" s="51" customFormat="1">
      <c r="CF12917" s="239"/>
      <c r="CM12917" s="336"/>
    </row>
    <row r="12918" spans="84:91" s="51" customFormat="1">
      <c r="CF12918" s="239"/>
      <c r="CM12918" s="336"/>
    </row>
    <row r="12919" spans="84:91" s="51" customFormat="1">
      <c r="CF12919" s="239"/>
      <c r="CM12919" s="336"/>
    </row>
    <row r="12920" spans="84:91" s="51" customFormat="1">
      <c r="CF12920" s="239"/>
      <c r="CM12920" s="336"/>
    </row>
    <row r="12921" spans="84:91" s="51" customFormat="1">
      <c r="CF12921" s="239"/>
      <c r="CM12921" s="336"/>
    </row>
    <row r="12922" spans="84:91" s="51" customFormat="1">
      <c r="CF12922" s="239"/>
      <c r="CM12922" s="336"/>
    </row>
    <row r="12923" spans="84:91" s="51" customFormat="1">
      <c r="CF12923" s="239"/>
      <c r="CM12923" s="336"/>
    </row>
    <row r="12924" spans="84:91" s="51" customFormat="1">
      <c r="CF12924" s="239"/>
      <c r="CM12924" s="336"/>
    </row>
    <row r="12925" spans="84:91" s="51" customFormat="1">
      <c r="CF12925" s="239"/>
      <c r="CM12925" s="336"/>
    </row>
    <row r="12926" spans="84:91" s="51" customFormat="1">
      <c r="CF12926" s="239"/>
      <c r="CM12926" s="336"/>
    </row>
    <row r="12927" spans="84:91" s="51" customFormat="1">
      <c r="CF12927" s="239"/>
      <c r="CM12927" s="336"/>
    </row>
    <row r="12928" spans="84:91" s="51" customFormat="1">
      <c r="CF12928" s="239"/>
      <c r="CM12928" s="336"/>
    </row>
    <row r="12929" spans="84:91" s="51" customFormat="1">
      <c r="CF12929" s="239"/>
      <c r="CM12929" s="336"/>
    </row>
    <row r="12930" spans="84:91" s="51" customFormat="1">
      <c r="CF12930" s="239"/>
      <c r="CM12930" s="336"/>
    </row>
    <row r="12931" spans="84:91" s="51" customFormat="1">
      <c r="CF12931" s="239"/>
      <c r="CM12931" s="336"/>
    </row>
    <row r="12932" spans="84:91" s="51" customFormat="1">
      <c r="CF12932" s="239"/>
      <c r="CM12932" s="336"/>
    </row>
    <row r="12933" spans="84:91" s="51" customFormat="1">
      <c r="CF12933" s="239"/>
      <c r="CM12933" s="336"/>
    </row>
    <row r="12934" spans="84:91" s="51" customFormat="1">
      <c r="CF12934" s="239"/>
      <c r="CM12934" s="336"/>
    </row>
    <row r="12935" spans="84:91" s="51" customFormat="1">
      <c r="CF12935" s="239"/>
      <c r="CM12935" s="336"/>
    </row>
    <row r="12936" spans="84:91" s="51" customFormat="1">
      <c r="CF12936" s="239"/>
      <c r="CM12936" s="336"/>
    </row>
    <row r="12937" spans="84:91" s="51" customFormat="1">
      <c r="CF12937" s="239"/>
      <c r="CM12937" s="336"/>
    </row>
    <row r="12938" spans="84:91" s="51" customFormat="1">
      <c r="CF12938" s="239"/>
      <c r="CM12938" s="336"/>
    </row>
    <row r="12939" spans="84:91" s="51" customFormat="1">
      <c r="CF12939" s="239"/>
      <c r="CM12939" s="336"/>
    </row>
    <row r="12940" spans="84:91" s="51" customFormat="1">
      <c r="CF12940" s="239"/>
      <c r="CM12940" s="336"/>
    </row>
    <row r="12941" spans="84:91" s="51" customFormat="1">
      <c r="CF12941" s="239"/>
      <c r="CM12941" s="336"/>
    </row>
    <row r="12942" spans="84:91" s="51" customFormat="1">
      <c r="CF12942" s="239"/>
      <c r="CM12942" s="336"/>
    </row>
    <row r="12943" spans="84:91" s="51" customFormat="1">
      <c r="CF12943" s="239"/>
      <c r="CM12943" s="336"/>
    </row>
    <row r="12944" spans="84:91" s="51" customFormat="1">
      <c r="CF12944" s="239"/>
      <c r="CM12944" s="336"/>
    </row>
    <row r="12945" spans="84:91" s="51" customFormat="1">
      <c r="CF12945" s="239"/>
      <c r="CM12945" s="336"/>
    </row>
    <row r="12946" spans="84:91" s="51" customFormat="1">
      <c r="CF12946" s="239"/>
      <c r="CM12946" s="336"/>
    </row>
    <row r="12947" spans="84:91" s="51" customFormat="1">
      <c r="CF12947" s="239"/>
      <c r="CM12947" s="336"/>
    </row>
    <row r="12948" spans="84:91" s="51" customFormat="1">
      <c r="CF12948" s="239"/>
      <c r="CM12948" s="336"/>
    </row>
    <row r="12949" spans="84:91" s="51" customFormat="1">
      <c r="CF12949" s="239"/>
      <c r="CM12949" s="336"/>
    </row>
    <row r="12950" spans="84:91" s="51" customFormat="1">
      <c r="CF12950" s="239"/>
      <c r="CM12950" s="336"/>
    </row>
    <row r="12951" spans="84:91" s="51" customFormat="1">
      <c r="CF12951" s="239"/>
      <c r="CM12951" s="336"/>
    </row>
    <row r="12952" spans="84:91" s="51" customFormat="1">
      <c r="CF12952" s="239"/>
      <c r="CM12952" s="336"/>
    </row>
    <row r="12953" spans="84:91" s="51" customFormat="1">
      <c r="CF12953" s="239"/>
      <c r="CM12953" s="336"/>
    </row>
    <row r="12954" spans="84:91" s="51" customFormat="1">
      <c r="CF12954" s="239"/>
      <c r="CM12954" s="336"/>
    </row>
    <row r="12955" spans="84:91" s="51" customFormat="1">
      <c r="CF12955" s="239"/>
      <c r="CM12955" s="336"/>
    </row>
    <row r="12956" spans="84:91" s="51" customFormat="1">
      <c r="CF12956" s="239"/>
      <c r="CM12956" s="336"/>
    </row>
    <row r="12957" spans="84:91" s="51" customFormat="1">
      <c r="CF12957" s="239"/>
      <c r="CM12957" s="336"/>
    </row>
    <row r="12958" spans="84:91" s="51" customFormat="1">
      <c r="CF12958" s="239"/>
      <c r="CM12958" s="336"/>
    </row>
    <row r="12959" spans="84:91" s="51" customFormat="1">
      <c r="CF12959" s="239"/>
      <c r="CM12959" s="336"/>
    </row>
    <row r="12960" spans="84:91" s="51" customFormat="1">
      <c r="CF12960" s="239"/>
      <c r="CM12960" s="336"/>
    </row>
    <row r="12961" spans="84:91" s="51" customFormat="1">
      <c r="CF12961" s="239"/>
      <c r="CM12961" s="336"/>
    </row>
    <row r="12962" spans="84:91" s="51" customFormat="1">
      <c r="CF12962" s="239"/>
      <c r="CM12962" s="336"/>
    </row>
    <row r="12963" spans="84:91" s="51" customFormat="1">
      <c r="CF12963" s="239"/>
      <c r="CM12963" s="336"/>
    </row>
    <row r="12964" spans="84:91" s="51" customFormat="1">
      <c r="CF12964" s="239"/>
      <c r="CM12964" s="336"/>
    </row>
    <row r="12965" spans="84:91" s="51" customFormat="1">
      <c r="CF12965" s="239"/>
      <c r="CM12965" s="336"/>
    </row>
    <row r="12966" spans="84:91" s="51" customFormat="1">
      <c r="CF12966" s="239"/>
      <c r="CM12966" s="336"/>
    </row>
    <row r="12967" spans="84:91" s="51" customFormat="1">
      <c r="CF12967" s="239"/>
      <c r="CM12967" s="336"/>
    </row>
    <row r="12968" spans="84:91" s="51" customFormat="1">
      <c r="CF12968" s="239"/>
      <c r="CM12968" s="336"/>
    </row>
    <row r="12969" spans="84:91" s="51" customFormat="1">
      <c r="CF12969" s="239"/>
      <c r="CM12969" s="336"/>
    </row>
    <row r="12970" spans="84:91" s="51" customFormat="1">
      <c r="CF12970" s="239"/>
      <c r="CM12970" s="336"/>
    </row>
    <row r="12971" spans="84:91" s="51" customFormat="1">
      <c r="CF12971" s="239"/>
      <c r="CM12971" s="336"/>
    </row>
    <row r="12972" spans="84:91" s="51" customFormat="1">
      <c r="CF12972" s="239"/>
      <c r="CM12972" s="336"/>
    </row>
    <row r="12973" spans="84:91" s="51" customFormat="1">
      <c r="CF12973" s="239"/>
      <c r="CM12973" s="336"/>
    </row>
    <row r="12974" spans="84:91" s="51" customFormat="1">
      <c r="CF12974" s="239"/>
      <c r="CM12974" s="336"/>
    </row>
    <row r="12975" spans="84:91" s="51" customFormat="1">
      <c r="CF12975" s="239"/>
      <c r="CM12975" s="336"/>
    </row>
    <row r="12976" spans="84:91" s="51" customFormat="1">
      <c r="CF12976" s="239"/>
      <c r="CM12976" s="336"/>
    </row>
    <row r="12977" spans="84:91" s="51" customFormat="1">
      <c r="CF12977" s="239"/>
      <c r="CM12977" s="336"/>
    </row>
    <row r="12978" spans="84:91" s="51" customFormat="1">
      <c r="CF12978" s="239"/>
      <c r="CM12978" s="336"/>
    </row>
    <row r="12979" spans="84:91" s="51" customFormat="1">
      <c r="CF12979" s="239"/>
      <c r="CM12979" s="336"/>
    </row>
    <row r="12980" spans="84:91" s="51" customFormat="1">
      <c r="CF12980" s="239"/>
      <c r="CM12980" s="336"/>
    </row>
    <row r="12981" spans="84:91" s="51" customFormat="1">
      <c r="CF12981" s="239"/>
      <c r="CM12981" s="336"/>
    </row>
    <row r="12982" spans="84:91" s="51" customFormat="1">
      <c r="CF12982" s="239"/>
      <c r="CM12982" s="336"/>
    </row>
    <row r="12983" spans="84:91" s="51" customFormat="1">
      <c r="CF12983" s="239"/>
      <c r="CM12983" s="336"/>
    </row>
    <row r="12984" spans="84:91" s="51" customFormat="1">
      <c r="CF12984" s="239"/>
      <c r="CM12984" s="336"/>
    </row>
    <row r="12985" spans="84:91" s="51" customFormat="1">
      <c r="CF12985" s="239"/>
      <c r="CM12985" s="336"/>
    </row>
    <row r="12986" spans="84:91" s="51" customFormat="1">
      <c r="CF12986" s="239"/>
      <c r="CM12986" s="336"/>
    </row>
    <row r="12987" spans="84:91" s="51" customFormat="1">
      <c r="CF12987" s="239"/>
      <c r="CM12987" s="336"/>
    </row>
    <row r="12988" spans="84:91" s="51" customFormat="1">
      <c r="CF12988" s="239"/>
      <c r="CM12988" s="336"/>
    </row>
    <row r="12989" spans="84:91" s="51" customFormat="1">
      <c r="CF12989" s="239"/>
      <c r="CM12989" s="336"/>
    </row>
    <row r="12990" spans="84:91" s="51" customFormat="1">
      <c r="CF12990" s="239"/>
      <c r="CM12990" s="336"/>
    </row>
    <row r="12991" spans="84:91" s="51" customFormat="1">
      <c r="CF12991" s="239"/>
      <c r="CM12991" s="336"/>
    </row>
    <row r="12992" spans="84:91" s="51" customFormat="1">
      <c r="CF12992" s="239"/>
      <c r="CM12992" s="336"/>
    </row>
    <row r="12993" spans="84:91" s="51" customFormat="1">
      <c r="CF12993" s="239"/>
      <c r="CM12993" s="336"/>
    </row>
    <row r="12994" spans="84:91" s="51" customFormat="1">
      <c r="CF12994" s="239"/>
      <c r="CM12994" s="336"/>
    </row>
    <row r="12995" spans="84:91" s="51" customFormat="1">
      <c r="CF12995" s="239"/>
      <c r="CM12995" s="336"/>
    </row>
    <row r="12996" spans="84:91" s="51" customFormat="1">
      <c r="CF12996" s="239"/>
      <c r="CM12996" s="336"/>
    </row>
    <row r="12997" spans="84:91" s="51" customFormat="1">
      <c r="CF12997" s="239"/>
      <c r="CM12997" s="336"/>
    </row>
    <row r="12998" spans="84:91" s="51" customFormat="1">
      <c r="CF12998" s="239"/>
      <c r="CM12998" s="336"/>
    </row>
    <row r="12999" spans="84:91" s="51" customFormat="1">
      <c r="CF12999" s="239"/>
      <c r="CM12999" s="336"/>
    </row>
    <row r="13000" spans="84:91" s="51" customFormat="1">
      <c r="CF13000" s="239"/>
      <c r="CM13000" s="336"/>
    </row>
    <row r="13001" spans="84:91" s="51" customFormat="1">
      <c r="CF13001" s="239"/>
      <c r="CM13001" s="336"/>
    </row>
    <row r="13002" spans="84:91" s="51" customFormat="1">
      <c r="CF13002" s="239"/>
      <c r="CM13002" s="336"/>
    </row>
    <row r="13003" spans="84:91" s="51" customFormat="1">
      <c r="CF13003" s="239"/>
      <c r="CM13003" s="336"/>
    </row>
    <row r="13004" spans="84:91" s="51" customFormat="1">
      <c r="CF13004" s="239"/>
      <c r="CM13004" s="336"/>
    </row>
    <row r="13005" spans="84:91" s="51" customFormat="1">
      <c r="CF13005" s="239"/>
      <c r="CM13005" s="336"/>
    </row>
    <row r="13006" spans="84:91" s="51" customFormat="1">
      <c r="CF13006" s="239"/>
      <c r="CM13006" s="336"/>
    </row>
    <row r="13007" spans="84:91" s="51" customFormat="1">
      <c r="CF13007" s="239"/>
      <c r="CM13007" s="336"/>
    </row>
    <row r="13008" spans="84:91" s="51" customFormat="1">
      <c r="CF13008" s="239"/>
      <c r="CM13008" s="336"/>
    </row>
    <row r="13009" spans="84:91" s="51" customFormat="1">
      <c r="CF13009" s="239"/>
      <c r="CM13009" s="336"/>
    </row>
    <row r="13010" spans="84:91" s="51" customFormat="1">
      <c r="CF13010" s="239"/>
      <c r="CM13010" s="336"/>
    </row>
    <row r="13011" spans="84:91" s="51" customFormat="1">
      <c r="CF13011" s="239"/>
      <c r="CM13011" s="336"/>
    </row>
    <row r="13012" spans="84:91" s="51" customFormat="1">
      <c r="CF13012" s="239"/>
      <c r="CM13012" s="336"/>
    </row>
    <row r="13013" spans="84:91" s="51" customFormat="1">
      <c r="CF13013" s="239"/>
      <c r="CM13013" s="336"/>
    </row>
    <row r="13014" spans="84:91" s="51" customFormat="1">
      <c r="CF13014" s="239"/>
      <c r="CM13014" s="336"/>
    </row>
    <row r="13015" spans="84:91" s="51" customFormat="1">
      <c r="CF13015" s="239"/>
      <c r="CM13015" s="336"/>
    </row>
    <row r="13016" spans="84:91" s="51" customFormat="1">
      <c r="CF13016" s="239"/>
      <c r="CM13016" s="336"/>
    </row>
    <row r="13017" spans="84:91" s="51" customFormat="1">
      <c r="CF13017" s="239"/>
      <c r="CM13017" s="336"/>
    </row>
    <row r="13018" spans="84:91" s="51" customFormat="1">
      <c r="CF13018" s="239"/>
      <c r="CM13018" s="336"/>
    </row>
    <row r="13019" spans="84:91" s="51" customFormat="1">
      <c r="CF13019" s="239"/>
      <c r="CM13019" s="336"/>
    </row>
    <row r="13020" spans="84:91" s="51" customFormat="1">
      <c r="CF13020" s="239"/>
      <c r="CM13020" s="336"/>
    </row>
    <row r="13021" spans="84:91" s="51" customFormat="1">
      <c r="CF13021" s="239"/>
      <c r="CM13021" s="336"/>
    </row>
    <row r="13022" spans="84:91" s="51" customFormat="1">
      <c r="CF13022" s="239"/>
      <c r="CM13022" s="336"/>
    </row>
    <row r="13023" spans="84:91" s="51" customFormat="1">
      <c r="CF13023" s="239"/>
      <c r="CM13023" s="336"/>
    </row>
    <row r="13024" spans="84:91" s="51" customFormat="1">
      <c r="CF13024" s="239"/>
      <c r="CM13024" s="336"/>
    </row>
    <row r="13025" spans="84:91" s="51" customFormat="1">
      <c r="CF13025" s="239"/>
      <c r="CM13025" s="336"/>
    </row>
    <row r="13026" spans="84:91" s="51" customFormat="1">
      <c r="CF13026" s="239"/>
      <c r="CM13026" s="336"/>
    </row>
    <row r="13027" spans="84:91" s="51" customFormat="1">
      <c r="CF13027" s="239"/>
      <c r="CM13027" s="336"/>
    </row>
    <row r="13028" spans="84:91" s="51" customFormat="1">
      <c r="CF13028" s="239"/>
      <c r="CM13028" s="336"/>
    </row>
    <row r="13029" spans="84:91" s="51" customFormat="1">
      <c r="CF13029" s="239"/>
      <c r="CM13029" s="336"/>
    </row>
    <row r="13030" spans="84:91" s="51" customFormat="1">
      <c r="CF13030" s="239"/>
      <c r="CM13030" s="336"/>
    </row>
    <row r="13031" spans="84:91" s="51" customFormat="1">
      <c r="CF13031" s="239"/>
      <c r="CM13031" s="336"/>
    </row>
    <row r="13032" spans="84:91" s="51" customFormat="1">
      <c r="CF13032" s="239"/>
      <c r="CM13032" s="336"/>
    </row>
    <row r="13033" spans="84:91" s="51" customFormat="1">
      <c r="CF13033" s="239"/>
      <c r="CM13033" s="336"/>
    </row>
    <row r="13034" spans="84:91" s="51" customFormat="1">
      <c r="CF13034" s="239"/>
      <c r="CM13034" s="336"/>
    </row>
    <row r="13035" spans="84:91" s="51" customFormat="1">
      <c r="CF13035" s="239"/>
      <c r="CM13035" s="336"/>
    </row>
    <row r="13036" spans="84:91" s="51" customFormat="1">
      <c r="CF13036" s="239"/>
      <c r="CM13036" s="336"/>
    </row>
    <row r="13037" spans="84:91" s="51" customFormat="1">
      <c r="CF13037" s="239"/>
      <c r="CM13037" s="336"/>
    </row>
    <row r="13038" spans="84:91" s="51" customFormat="1">
      <c r="CF13038" s="239"/>
      <c r="CM13038" s="336"/>
    </row>
    <row r="13039" spans="84:91" s="51" customFormat="1">
      <c r="CF13039" s="239"/>
      <c r="CM13039" s="336"/>
    </row>
    <row r="13040" spans="84:91" s="51" customFormat="1">
      <c r="CF13040" s="239"/>
      <c r="CM13040" s="336"/>
    </row>
    <row r="13041" spans="84:91" s="51" customFormat="1">
      <c r="CF13041" s="239"/>
      <c r="CM13041" s="336"/>
    </row>
    <row r="13042" spans="84:91" s="51" customFormat="1">
      <c r="CF13042" s="239"/>
      <c r="CM13042" s="336"/>
    </row>
    <row r="13043" spans="84:91" s="51" customFormat="1">
      <c r="CF13043" s="239"/>
      <c r="CM13043" s="336"/>
    </row>
    <row r="13044" spans="84:91" s="51" customFormat="1">
      <c r="CF13044" s="239"/>
      <c r="CM13044" s="336"/>
    </row>
    <row r="13045" spans="84:91" s="51" customFormat="1">
      <c r="CF13045" s="239"/>
      <c r="CM13045" s="336"/>
    </row>
    <row r="13046" spans="84:91" s="51" customFormat="1">
      <c r="CF13046" s="239"/>
      <c r="CM13046" s="336"/>
    </row>
    <row r="13047" spans="84:91" s="51" customFormat="1">
      <c r="CF13047" s="239"/>
      <c r="CM13047" s="336"/>
    </row>
    <row r="13048" spans="84:91" s="51" customFormat="1">
      <c r="CF13048" s="239"/>
      <c r="CM13048" s="336"/>
    </row>
    <row r="13049" spans="84:91" s="51" customFormat="1">
      <c r="CF13049" s="239"/>
      <c r="CM13049" s="336"/>
    </row>
    <row r="13050" spans="84:91" s="51" customFormat="1">
      <c r="CF13050" s="239"/>
      <c r="CM13050" s="336"/>
    </row>
    <row r="13051" spans="84:91" s="51" customFormat="1">
      <c r="CF13051" s="239"/>
      <c r="CM13051" s="336"/>
    </row>
    <row r="13052" spans="84:91" s="51" customFormat="1">
      <c r="CF13052" s="239"/>
      <c r="CM13052" s="336"/>
    </row>
    <row r="13053" spans="84:91" s="51" customFormat="1">
      <c r="CF13053" s="239"/>
      <c r="CM13053" s="336"/>
    </row>
    <row r="13054" spans="84:91" s="51" customFormat="1">
      <c r="CF13054" s="239"/>
      <c r="CM13054" s="336"/>
    </row>
    <row r="13055" spans="84:91" s="51" customFormat="1">
      <c r="CF13055" s="239"/>
      <c r="CM13055" s="336"/>
    </row>
    <row r="13056" spans="84:91" s="51" customFormat="1">
      <c r="CF13056" s="239"/>
      <c r="CM13056" s="336"/>
    </row>
    <row r="13057" spans="84:91" s="51" customFormat="1">
      <c r="CF13057" s="239"/>
      <c r="CM13057" s="336"/>
    </row>
    <row r="13058" spans="84:91" s="51" customFormat="1">
      <c r="CF13058" s="239"/>
      <c r="CM13058" s="336"/>
    </row>
    <row r="13059" spans="84:91" s="51" customFormat="1">
      <c r="CF13059" s="239"/>
      <c r="CM13059" s="336"/>
    </row>
    <row r="13060" spans="84:91" s="51" customFormat="1">
      <c r="CF13060" s="239"/>
      <c r="CM13060" s="336"/>
    </row>
    <row r="13061" spans="84:91" s="51" customFormat="1">
      <c r="CF13061" s="239"/>
      <c r="CM13061" s="336"/>
    </row>
    <row r="13062" spans="84:91" s="51" customFormat="1">
      <c r="CF13062" s="239"/>
      <c r="CM13062" s="336"/>
    </row>
    <row r="13063" spans="84:91" s="51" customFormat="1">
      <c r="CF13063" s="239"/>
      <c r="CM13063" s="336"/>
    </row>
    <row r="13064" spans="84:91" s="51" customFormat="1">
      <c r="CF13064" s="239"/>
      <c r="CM13064" s="336"/>
    </row>
    <row r="13065" spans="84:91" s="51" customFormat="1">
      <c r="CF13065" s="239"/>
      <c r="CM13065" s="336"/>
    </row>
    <row r="13066" spans="84:91" s="51" customFormat="1">
      <c r="CF13066" s="239"/>
      <c r="CM13066" s="336"/>
    </row>
    <row r="13067" spans="84:91" s="51" customFormat="1">
      <c r="CF13067" s="239"/>
      <c r="CM13067" s="336"/>
    </row>
    <row r="13068" spans="84:91" s="51" customFormat="1">
      <c r="CF13068" s="239"/>
      <c r="CM13068" s="336"/>
    </row>
    <row r="13069" spans="84:91" s="51" customFormat="1">
      <c r="CF13069" s="239"/>
      <c r="CM13069" s="336"/>
    </row>
    <row r="13070" spans="84:91" s="51" customFormat="1">
      <c r="CF13070" s="239"/>
      <c r="CM13070" s="336"/>
    </row>
    <row r="13071" spans="84:91" s="51" customFormat="1">
      <c r="CF13071" s="239"/>
      <c r="CM13071" s="336"/>
    </row>
    <row r="13072" spans="84:91" s="51" customFormat="1">
      <c r="CF13072" s="239"/>
      <c r="CM13072" s="336"/>
    </row>
    <row r="13073" spans="84:91" s="51" customFormat="1">
      <c r="CF13073" s="239"/>
      <c r="CM13073" s="336"/>
    </row>
    <row r="13074" spans="84:91" s="51" customFormat="1">
      <c r="CF13074" s="239"/>
      <c r="CM13074" s="336"/>
    </row>
    <row r="13075" spans="84:91" s="51" customFormat="1">
      <c r="CF13075" s="239"/>
      <c r="CM13075" s="336"/>
    </row>
    <row r="13076" spans="84:91" s="51" customFormat="1">
      <c r="CF13076" s="239"/>
      <c r="CM13076" s="336"/>
    </row>
    <row r="13077" spans="84:91" s="51" customFormat="1">
      <c r="CF13077" s="239"/>
      <c r="CM13077" s="336"/>
    </row>
    <row r="13078" spans="84:91" s="51" customFormat="1">
      <c r="CF13078" s="239"/>
      <c r="CM13078" s="336"/>
    </row>
    <row r="13079" spans="84:91" s="51" customFormat="1">
      <c r="CF13079" s="239"/>
      <c r="CM13079" s="336"/>
    </row>
    <row r="13080" spans="84:91" s="51" customFormat="1">
      <c r="CF13080" s="239"/>
      <c r="CM13080" s="336"/>
    </row>
    <row r="13081" spans="84:91" s="51" customFormat="1">
      <c r="CF13081" s="239"/>
      <c r="CM13081" s="336"/>
    </row>
    <row r="13082" spans="84:91" s="51" customFormat="1">
      <c r="CF13082" s="239"/>
      <c r="CM13082" s="336"/>
    </row>
    <row r="13083" spans="84:91" s="51" customFormat="1">
      <c r="CF13083" s="239"/>
      <c r="CM13083" s="336"/>
    </row>
    <row r="13084" spans="84:91" s="51" customFormat="1">
      <c r="CF13084" s="239"/>
      <c r="CM13084" s="336"/>
    </row>
    <row r="13085" spans="84:91" s="51" customFormat="1">
      <c r="CF13085" s="239"/>
      <c r="CM13085" s="336"/>
    </row>
    <row r="13086" spans="84:91" s="51" customFormat="1">
      <c r="CF13086" s="239"/>
      <c r="CM13086" s="336"/>
    </row>
    <row r="13087" spans="84:91" s="51" customFormat="1">
      <c r="CF13087" s="239"/>
      <c r="CM13087" s="336"/>
    </row>
    <row r="13088" spans="84:91" s="51" customFormat="1">
      <c r="CF13088" s="239"/>
      <c r="CM13088" s="336"/>
    </row>
    <row r="13089" spans="84:91" s="51" customFormat="1">
      <c r="CF13089" s="239"/>
      <c r="CM13089" s="336"/>
    </row>
    <row r="13090" spans="84:91" s="51" customFormat="1">
      <c r="CF13090" s="239"/>
      <c r="CM13090" s="336"/>
    </row>
    <row r="13091" spans="84:91" s="51" customFormat="1">
      <c r="CF13091" s="239"/>
      <c r="CM13091" s="336"/>
    </row>
    <row r="13092" spans="84:91" s="51" customFormat="1">
      <c r="CF13092" s="239"/>
      <c r="CM13092" s="336"/>
    </row>
    <row r="13093" spans="84:91" s="51" customFormat="1">
      <c r="CF13093" s="239"/>
      <c r="CM13093" s="336"/>
    </row>
    <row r="13094" spans="84:91" s="51" customFormat="1">
      <c r="CF13094" s="239"/>
      <c r="CM13094" s="336"/>
    </row>
    <row r="13095" spans="84:91" s="51" customFormat="1">
      <c r="CF13095" s="239"/>
      <c r="CM13095" s="336"/>
    </row>
    <row r="13096" spans="84:91" s="51" customFormat="1">
      <c r="CF13096" s="239"/>
      <c r="CM13096" s="336"/>
    </row>
    <row r="13097" spans="84:91" s="51" customFormat="1">
      <c r="CF13097" s="239"/>
      <c r="CM13097" s="336"/>
    </row>
    <row r="13098" spans="84:91" s="51" customFormat="1">
      <c r="CF13098" s="239"/>
      <c r="CM13098" s="336"/>
    </row>
    <row r="13099" spans="84:91" s="51" customFormat="1">
      <c r="CF13099" s="239"/>
      <c r="CM13099" s="336"/>
    </row>
    <row r="13100" spans="84:91" s="51" customFormat="1">
      <c r="CF13100" s="239"/>
      <c r="CM13100" s="336"/>
    </row>
    <row r="13101" spans="84:91" s="51" customFormat="1">
      <c r="CF13101" s="239"/>
      <c r="CM13101" s="336"/>
    </row>
    <row r="13102" spans="84:91" s="51" customFormat="1">
      <c r="CF13102" s="239"/>
      <c r="CM13102" s="336"/>
    </row>
    <row r="13103" spans="84:91" s="51" customFormat="1">
      <c r="CF13103" s="239"/>
      <c r="CM13103" s="336"/>
    </row>
    <row r="13104" spans="84:91" s="51" customFormat="1">
      <c r="CF13104" s="239"/>
      <c r="CM13104" s="336"/>
    </row>
    <row r="13105" spans="84:91" s="51" customFormat="1">
      <c r="CF13105" s="239"/>
      <c r="CM13105" s="336"/>
    </row>
    <row r="13106" spans="84:91" s="51" customFormat="1">
      <c r="CF13106" s="239"/>
      <c r="CM13106" s="336"/>
    </row>
    <row r="13107" spans="84:91" s="51" customFormat="1">
      <c r="CF13107" s="239"/>
      <c r="CM13107" s="336"/>
    </row>
    <row r="13108" spans="84:91" s="51" customFormat="1">
      <c r="CF13108" s="239"/>
      <c r="CM13108" s="336"/>
    </row>
    <row r="13109" spans="84:91" s="51" customFormat="1">
      <c r="CF13109" s="239"/>
      <c r="CM13109" s="336"/>
    </row>
    <row r="13110" spans="84:91" s="51" customFormat="1">
      <c r="CF13110" s="239"/>
      <c r="CM13110" s="336"/>
    </row>
    <row r="13111" spans="84:91" s="51" customFormat="1">
      <c r="CF13111" s="239"/>
      <c r="CM13111" s="336"/>
    </row>
    <row r="13112" spans="84:91" s="51" customFormat="1">
      <c r="CF13112" s="239"/>
      <c r="CM13112" s="336"/>
    </row>
    <row r="13113" spans="84:91" s="51" customFormat="1">
      <c r="CF13113" s="239"/>
      <c r="CM13113" s="336"/>
    </row>
    <row r="13114" spans="84:91" s="51" customFormat="1">
      <c r="CF13114" s="239"/>
      <c r="CM13114" s="336"/>
    </row>
    <row r="13115" spans="84:91" s="51" customFormat="1">
      <c r="CF13115" s="239"/>
      <c r="CM13115" s="336"/>
    </row>
    <row r="13116" spans="84:91" s="51" customFormat="1">
      <c r="CF13116" s="239"/>
      <c r="CM13116" s="336"/>
    </row>
    <row r="13117" spans="84:91" s="51" customFormat="1">
      <c r="CF13117" s="239"/>
      <c r="CM13117" s="336"/>
    </row>
    <row r="13118" spans="84:91" s="51" customFormat="1">
      <c r="CF13118" s="239"/>
      <c r="CM13118" s="336"/>
    </row>
    <row r="13119" spans="84:91" s="51" customFormat="1">
      <c r="CF13119" s="239"/>
      <c r="CM13119" s="336"/>
    </row>
    <row r="13120" spans="84:91" s="51" customFormat="1">
      <c r="CF13120" s="239"/>
      <c r="CM13120" s="336"/>
    </row>
    <row r="13121" spans="84:91" s="51" customFormat="1">
      <c r="CF13121" s="239"/>
      <c r="CM13121" s="336"/>
    </row>
    <row r="13122" spans="84:91" s="51" customFormat="1">
      <c r="CF13122" s="239"/>
      <c r="CM13122" s="336"/>
    </row>
    <row r="13123" spans="84:91" s="51" customFormat="1">
      <c r="CF13123" s="239"/>
      <c r="CM13123" s="336"/>
    </row>
    <row r="13124" spans="84:91" s="51" customFormat="1">
      <c r="CF13124" s="239"/>
      <c r="CM13124" s="336"/>
    </row>
    <row r="13125" spans="84:91" s="51" customFormat="1">
      <c r="CF13125" s="239"/>
      <c r="CM13125" s="336"/>
    </row>
    <row r="13126" spans="84:91" s="51" customFormat="1">
      <c r="CF13126" s="239"/>
      <c r="CM13126" s="336"/>
    </row>
    <row r="13127" spans="84:91" s="51" customFormat="1">
      <c r="CF13127" s="239"/>
      <c r="CM13127" s="336"/>
    </row>
    <row r="13128" spans="84:91" s="51" customFormat="1">
      <c r="CF13128" s="239"/>
      <c r="CM13128" s="336"/>
    </row>
    <row r="13129" spans="84:91" s="51" customFormat="1">
      <c r="CF13129" s="239"/>
      <c r="CM13129" s="336"/>
    </row>
    <row r="13130" spans="84:91" s="51" customFormat="1">
      <c r="CF13130" s="239"/>
      <c r="CM13130" s="336"/>
    </row>
    <row r="13131" spans="84:91" s="51" customFormat="1">
      <c r="CF13131" s="239"/>
      <c r="CM13131" s="336"/>
    </row>
    <row r="13132" spans="84:91" s="51" customFormat="1">
      <c r="CF13132" s="239"/>
      <c r="CM13132" s="336"/>
    </row>
    <row r="13133" spans="84:91" s="51" customFormat="1">
      <c r="CF13133" s="239"/>
      <c r="CM13133" s="336"/>
    </row>
    <row r="13134" spans="84:91" s="51" customFormat="1">
      <c r="CF13134" s="239"/>
      <c r="CM13134" s="336"/>
    </row>
    <row r="13135" spans="84:91" s="51" customFormat="1">
      <c r="CF13135" s="239"/>
      <c r="CM13135" s="336"/>
    </row>
    <row r="13136" spans="84:91" s="51" customFormat="1">
      <c r="CF13136" s="239"/>
      <c r="CM13136" s="336"/>
    </row>
    <row r="13137" spans="84:91" s="51" customFormat="1">
      <c r="CF13137" s="239"/>
      <c r="CM13137" s="336"/>
    </row>
    <row r="13138" spans="84:91" s="51" customFormat="1">
      <c r="CF13138" s="239"/>
      <c r="CM13138" s="336"/>
    </row>
    <row r="13139" spans="84:91" s="51" customFormat="1">
      <c r="CF13139" s="239"/>
      <c r="CM13139" s="336"/>
    </row>
    <row r="13140" spans="84:91" s="51" customFormat="1">
      <c r="CF13140" s="239"/>
      <c r="CM13140" s="336"/>
    </row>
    <row r="13141" spans="84:91" s="51" customFormat="1">
      <c r="CF13141" s="239"/>
      <c r="CM13141" s="336"/>
    </row>
    <row r="13142" spans="84:91" s="51" customFormat="1">
      <c r="CF13142" s="239"/>
      <c r="CM13142" s="336"/>
    </row>
    <row r="13143" spans="84:91" s="51" customFormat="1">
      <c r="CF13143" s="239"/>
      <c r="CM13143" s="336"/>
    </row>
    <row r="13144" spans="84:91" s="51" customFormat="1">
      <c r="CF13144" s="239"/>
      <c r="CM13144" s="336"/>
    </row>
    <row r="13145" spans="84:91" s="51" customFormat="1">
      <c r="CF13145" s="239"/>
      <c r="CM13145" s="336"/>
    </row>
    <row r="13146" spans="84:91" s="51" customFormat="1">
      <c r="CF13146" s="239"/>
      <c r="CM13146" s="336"/>
    </row>
    <row r="13147" spans="84:91" s="51" customFormat="1">
      <c r="CF13147" s="239"/>
      <c r="CM13147" s="336"/>
    </row>
    <row r="13148" spans="84:91" s="51" customFormat="1">
      <c r="CF13148" s="239"/>
      <c r="CM13148" s="336"/>
    </row>
    <row r="13149" spans="84:91" s="51" customFormat="1">
      <c r="CF13149" s="239"/>
      <c r="CM13149" s="336"/>
    </row>
    <row r="13150" spans="84:91" s="51" customFormat="1">
      <c r="CF13150" s="239"/>
      <c r="CM13150" s="336"/>
    </row>
    <row r="13151" spans="84:91" s="51" customFormat="1">
      <c r="CF13151" s="239"/>
      <c r="CM13151" s="336"/>
    </row>
    <row r="13152" spans="84:91" s="51" customFormat="1">
      <c r="CF13152" s="239"/>
      <c r="CM13152" s="336"/>
    </row>
    <row r="13153" spans="84:91" s="51" customFormat="1">
      <c r="CF13153" s="239"/>
      <c r="CM13153" s="336"/>
    </row>
    <row r="13154" spans="84:91" s="51" customFormat="1">
      <c r="CF13154" s="239"/>
      <c r="CM13154" s="336"/>
    </row>
    <row r="13155" spans="84:91" s="51" customFormat="1">
      <c r="CF13155" s="239"/>
      <c r="CM13155" s="336"/>
    </row>
    <row r="13156" spans="84:91" s="51" customFormat="1">
      <c r="CF13156" s="239"/>
      <c r="CM13156" s="336"/>
    </row>
    <row r="13157" spans="84:91" s="51" customFormat="1">
      <c r="CF13157" s="239"/>
      <c r="CM13157" s="336"/>
    </row>
    <row r="13158" spans="84:91" s="51" customFormat="1">
      <c r="CF13158" s="239"/>
      <c r="CM13158" s="336"/>
    </row>
    <row r="13159" spans="84:91" s="51" customFormat="1">
      <c r="CF13159" s="239"/>
      <c r="CM13159" s="336"/>
    </row>
    <row r="13160" spans="84:91" s="51" customFormat="1">
      <c r="CF13160" s="239"/>
      <c r="CM13160" s="336"/>
    </row>
    <row r="13161" spans="84:91" s="51" customFormat="1">
      <c r="CF13161" s="239"/>
      <c r="CM13161" s="336"/>
    </row>
    <row r="13162" spans="84:91" s="51" customFormat="1">
      <c r="CF13162" s="239"/>
      <c r="CM13162" s="336"/>
    </row>
    <row r="13163" spans="84:91" s="51" customFormat="1">
      <c r="CF13163" s="239"/>
      <c r="CM13163" s="336"/>
    </row>
    <row r="13164" spans="84:91" s="51" customFormat="1">
      <c r="CF13164" s="239"/>
      <c r="CM13164" s="336"/>
    </row>
    <row r="13165" spans="84:91" s="51" customFormat="1">
      <c r="CF13165" s="239"/>
      <c r="CM13165" s="336"/>
    </row>
    <row r="13166" spans="84:91" s="51" customFormat="1">
      <c r="CF13166" s="239"/>
      <c r="CM13166" s="336"/>
    </row>
    <row r="13167" spans="84:91" s="51" customFormat="1">
      <c r="CF13167" s="239"/>
      <c r="CM13167" s="336"/>
    </row>
    <row r="13168" spans="84:91" s="51" customFormat="1">
      <c r="CF13168" s="239"/>
      <c r="CM13168" s="336"/>
    </row>
    <row r="13169" spans="84:91" s="51" customFormat="1">
      <c r="CF13169" s="239"/>
      <c r="CM13169" s="336"/>
    </row>
    <row r="13170" spans="84:91" s="51" customFormat="1">
      <c r="CF13170" s="239"/>
      <c r="CM13170" s="336"/>
    </row>
    <row r="13171" spans="84:91" s="51" customFormat="1">
      <c r="CF13171" s="239"/>
      <c r="CM13171" s="336"/>
    </row>
    <row r="13172" spans="84:91" s="51" customFormat="1">
      <c r="CF13172" s="239"/>
      <c r="CM13172" s="336"/>
    </row>
    <row r="13173" spans="84:91" s="51" customFormat="1">
      <c r="CF13173" s="239"/>
      <c r="CM13173" s="336"/>
    </row>
    <row r="13174" spans="84:91" s="51" customFormat="1">
      <c r="CF13174" s="239"/>
      <c r="CM13174" s="336"/>
    </row>
    <row r="13175" spans="84:91" s="51" customFormat="1">
      <c r="CF13175" s="239"/>
      <c r="CM13175" s="336"/>
    </row>
    <row r="13176" spans="84:91" s="51" customFormat="1">
      <c r="CF13176" s="239"/>
      <c r="CM13176" s="336"/>
    </row>
    <row r="13177" spans="84:91" s="51" customFormat="1">
      <c r="CF13177" s="239"/>
      <c r="CM13177" s="336"/>
    </row>
    <row r="13178" spans="84:91" s="51" customFormat="1">
      <c r="CF13178" s="239"/>
      <c r="CM13178" s="336"/>
    </row>
    <row r="13179" spans="84:91" s="51" customFormat="1">
      <c r="CF13179" s="239"/>
      <c r="CM13179" s="336"/>
    </row>
    <row r="13180" spans="84:91" s="51" customFormat="1">
      <c r="CF13180" s="239"/>
      <c r="CM13180" s="336"/>
    </row>
    <row r="13181" spans="84:91" s="51" customFormat="1">
      <c r="CF13181" s="239"/>
      <c r="CM13181" s="336"/>
    </row>
    <row r="13182" spans="84:91" s="51" customFormat="1">
      <c r="CF13182" s="239"/>
      <c r="CM13182" s="336"/>
    </row>
    <row r="13183" spans="84:91" s="51" customFormat="1">
      <c r="CF13183" s="239"/>
      <c r="CM13183" s="336"/>
    </row>
    <row r="13184" spans="84:91" s="51" customFormat="1">
      <c r="CF13184" s="239"/>
      <c r="CM13184" s="336"/>
    </row>
    <row r="13185" spans="84:91" s="51" customFormat="1">
      <c r="CF13185" s="239"/>
      <c r="CM13185" s="336"/>
    </row>
    <row r="13186" spans="84:91" s="51" customFormat="1">
      <c r="CF13186" s="239"/>
      <c r="CM13186" s="336"/>
    </row>
    <row r="13187" spans="84:91" s="51" customFormat="1">
      <c r="CF13187" s="239"/>
      <c r="CM13187" s="336"/>
    </row>
    <row r="13188" spans="84:91" s="51" customFormat="1">
      <c r="CF13188" s="239"/>
      <c r="CM13188" s="336"/>
    </row>
    <row r="13189" spans="84:91" s="51" customFormat="1">
      <c r="CF13189" s="239"/>
      <c r="CM13189" s="336"/>
    </row>
    <row r="13190" spans="84:91" s="51" customFormat="1">
      <c r="CF13190" s="239"/>
      <c r="CM13190" s="336"/>
    </row>
    <row r="13191" spans="84:91" s="51" customFormat="1">
      <c r="CF13191" s="239"/>
      <c r="CM13191" s="336"/>
    </row>
    <row r="13192" spans="84:91" s="51" customFormat="1">
      <c r="CF13192" s="239"/>
      <c r="CM13192" s="336"/>
    </row>
    <row r="13193" spans="84:91" s="51" customFormat="1">
      <c r="CF13193" s="239"/>
      <c r="CM13193" s="336"/>
    </row>
    <row r="13194" spans="84:91" s="51" customFormat="1">
      <c r="CF13194" s="239"/>
      <c r="CM13194" s="336"/>
    </row>
    <row r="13195" spans="84:91" s="51" customFormat="1">
      <c r="CF13195" s="239"/>
      <c r="CM13195" s="336"/>
    </row>
    <row r="13196" spans="84:91" s="51" customFormat="1">
      <c r="CF13196" s="239"/>
      <c r="CM13196" s="336"/>
    </row>
    <row r="13197" spans="84:91" s="51" customFormat="1">
      <c r="CF13197" s="239"/>
      <c r="CM13197" s="336"/>
    </row>
    <row r="13198" spans="84:91" s="51" customFormat="1">
      <c r="CF13198" s="239"/>
      <c r="CM13198" s="336"/>
    </row>
    <row r="13199" spans="84:91" s="51" customFormat="1">
      <c r="CF13199" s="239"/>
      <c r="CM13199" s="336"/>
    </row>
    <row r="13200" spans="84:91" s="51" customFormat="1">
      <c r="CF13200" s="239"/>
      <c r="CM13200" s="336"/>
    </row>
    <row r="13201" spans="84:91" s="51" customFormat="1">
      <c r="CF13201" s="239"/>
      <c r="CM13201" s="336"/>
    </row>
    <row r="13202" spans="84:91" s="51" customFormat="1">
      <c r="CF13202" s="239"/>
      <c r="CM13202" s="336"/>
    </row>
    <row r="13203" spans="84:91" s="51" customFormat="1">
      <c r="CF13203" s="239"/>
      <c r="CM13203" s="336"/>
    </row>
    <row r="13204" spans="84:91" s="51" customFormat="1">
      <c r="CF13204" s="239"/>
      <c r="CM13204" s="336"/>
    </row>
    <row r="13205" spans="84:91" s="51" customFormat="1">
      <c r="CF13205" s="239"/>
      <c r="CM13205" s="336"/>
    </row>
    <row r="13206" spans="84:91" s="51" customFormat="1">
      <c r="CF13206" s="239"/>
      <c r="CM13206" s="336"/>
    </row>
    <row r="13207" spans="84:91" s="51" customFormat="1">
      <c r="CF13207" s="239"/>
      <c r="CM13207" s="336"/>
    </row>
    <row r="13208" spans="84:91" s="51" customFormat="1">
      <c r="CF13208" s="239"/>
      <c r="CM13208" s="336"/>
    </row>
    <row r="13209" spans="84:91" s="51" customFormat="1">
      <c r="CF13209" s="239"/>
      <c r="CM13209" s="336"/>
    </row>
    <row r="13210" spans="84:91" s="51" customFormat="1">
      <c r="CF13210" s="239"/>
      <c r="CM13210" s="336"/>
    </row>
    <row r="13211" spans="84:91" s="51" customFormat="1">
      <c r="CF13211" s="239"/>
      <c r="CM13211" s="336"/>
    </row>
    <row r="13212" spans="84:91" s="51" customFormat="1">
      <c r="CF13212" s="239"/>
      <c r="CM13212" s="336"/>
    </row>
    <row r="13213" spans="84:91" s="51" customFormat="1">
      <c r="CF13213" s="239"/>
      <c r="CM13213" s="336"/>
    </row>
    <row r="13214" spans="84:91" s="51" customFormat="1">
      <c r="CF13214" s="239"/>
      <c r="CM13214" s="336"/>
    </row>
    <row r="13215" spans="84:91" s="51" customFormat="1">
      <c r="CF13215" s="239"/>
      <c r="CM13215" s="336"/>
    </row>
    <row r="13216" spans="84:91" s="51" customFormat="1">
      <c r="CF13216" s="239"/>
      <c r="CM13216" s="336"/>
    </row>
    <row r="13217" spans="84:91" s="51" customFormat="1">
      <c r="CF13217" s="239"/>
      <c r="CM13217" s="336"/>
    </row>
    <row r="13218" spans="84:91" s="51" customFormat="1">
      <c r="CF13218" s="239"/>
      <c r="CM13218" s="336"/>
    </row>
    <row r="13219" spans="84:91" s="51" customFormat="1">
      <c r="CF13219" s="239"/>
      <c r="CM13219" s="336"/>
    </row>
    <row r="13220" spans="84:91" s="51" customFormat="1">
      <c r="CF13220" s="239"/>
      <c r="CM13220" s="336"/>
    </row>
    <row r="13221" spans="84:91" s="51" customFormat="1">
      <c r="CF13221" s="239"/>
      <c r="CM13221" s="336"/>
    </row>
    <row r="13222" spans="84:91" s="51" customFormat="1">
      <c r="CF13222" s="239"/>
      <c r="CM13222" s="336"/>
    </row>
    <row r="13223" spans="84:91" s="51" customFormat="1">
      <c r="CF13223" s="239"/>
      <c r="CM13223" s="336"/>
    </row>
    <row r="13224" spans="84:91" s="51" customFormat="1">
      <c r="CF13224" s="239"/>
      <c r="CM13224" s="336"/>
    </row>
    <row r="13225" spans="84:91" s="51" customFormat="1">
      <c r="CF13225" s="239"/>
      <c r="CM13225" s="336"/>
    </row>
    <row r="13226" spans="84:91" s="51" customFormat="1">
      <c r="CF13226" s="239"/>
      <c r="CM13226" s="336"/>
    </row>
    <row r="13227" spans="84:91" s="51" customFormat="1">
      <c r="CF13227" s="239"/>
      <c r="CM13227" s="336"/>
    </row>
    <row r="13228" spans="84:91" s="51" customFormat="1">
      <c r="CF13228" s="239"/>
      <c r="CM13228" s="336"/>
    </row>
    <row r="13229" spans="84:91" s="51" customFormat="1">
      <c r="CF13229" s="239"/>
      <c r="CM13229" s="336"/>
    </row>
    <row r="13230" spans="84:91" s="51" customFormat="1">
      <c r="CF13230" s="239"/>
      <c r="CM13230" s="336"/>
    </row>
    <row r="13231" spans="84:91" s="51" customFormat="1">
      <c r="CF13231" s="239"/>
      <c r="CM13231" s="336"/>
    </row>
    <row r="13232" spans="84:91" s="51" customFormat="1">
      <c r="CF13232" s="239"/>
      <c r="CM13232" s="336"/>
    </row>
    <row r="13233" spans="84:91" s="51" customFormat="1">
      <c r="CF13233" s="239"/>
      <c r="CM13233" s="336"/>
    </row>
    <row r="13234" spans="84:91" s="51" customFormat="1">
      <c r="CF13234" s="239"/>
      <c r="CM13234" s="336"/>
    </row>
    <row r="13235" spans="84:91" s="51" customFormat="1">
      <c r="CF13235" s="239"/>
      <c r="CM13235" s="336"/>
    </row>
    <row r="13236" spans="84:91" s="51" customFormat="1">
      <c r="CF13236" s="239"/>
      <c r="CM13236" s="336"/>
    </row>
    <row r="13237" spans="84:91" s="51" customFormat="1">
      <c r="CF13237" s="239"/>
      <c r="CM13237" s="336"/>
    </row>
    <row r="13238" spans="84:91" s="51" customFormat="1">
      <c r="CF13238" s="239"/>
      <c r="CM13238" s="336"/>
    </row>
    <row r="13239" spans="84:91" s="51" customFormat="1">
      <c r="CF13239" s="239"/>
      <c r="CM13239" s="336"/>
    </row>
    <row r="13240" spans="84:91" s="51" customFormat="1">
      <c r="CF13240" s="239"/>
      <c r="CM13240" s="336"/>
    </row>
    <row r="13241" spans="84:91" s="51" customFormat="1">
      <c r="CF13241" s="239"/>
      <c r="CM13241" s="336"/>
    </row>
    <row r="13242" spans="84:91" s="51" customFormat="1">
      <c r="CF13242" s="239"/>
      <c r="CM13242" s="336"/>
    </row>
    <row r="13243" spans="84:91" s="51" customFormat="1">
      <c r="CF13243" s="239"/>
      <c r="CM13243" s="336"/>
    </row>
    <row r="13244" spans="84:91" s="51" customFormat="1">
      <c r="CF13244" s="239"/>
      <c r="CM13244" s="336"/>
    </row>
    <row r="13245" spans="84:91" s="51" customFormat="1">
      <c r="CF13245" s="239"/>
      <c r="CM13245" s="336"/>
    </row>
    <row r="13246" spans="84:91" s="51" customFormat="1">
      <c r="CF13246" s="239"/>
      <c r="CM13246" s="336"/>
    </row>
    <row r="13247" spans="84:91" s="51" customFormat="1">
      <c r="CF13247" s="239"/>
      <c r="CM13247" s="336"/>
    </row>
    <row r="13248" spans="84:91" s="51" customFormat="1">
      <c r="CF13248" s="239"/>
      <c r="CM13248" s="336"/>
    </row>
    <row r="13249" spans="84:91" s="51" customFormat="1">
      <c r="CF13249" s="239"/>
      <c r="CM13249" s="336"/>
    </row>
    <row r="13250" spans="84:91" s="51" customFormat="1">
      <c r="CF13250" s="239"/>
      <c r="CM13250" s="336"/>
    </row>
    <row r="13251" spans="84:91" s="51" customFormat="1">
      <c r="CF13251" s="239"/>
      <c r="CM13251" s="336"/>
    </row>
    <row r="13252" spans="84:91" s="51" customFormat="1">
      <c r="CF13252" s="239"/>
      <c r="CM13252" s="336"/>
    </row>
    <row r="13253" spans="84:91" s="51" customFormat="1">
      <c r="CF13253" s="239"/>
      <c r="CM13253" s="336"/>
    </row>
    <row r="13254" spans="84:91" s="51" customFormat="1">
      <c r="CF13254" s="239"/>
      <c r="CM13254" s="336"/>
    </row>
    <row r="13255" spans="84:91" s="51" customFormat="1">
      <c r="CF13255" s="239"/>
      <c r="CM13255" s="336"/>
    </row>
    <row r="13256" spans="84:91" s="51" customFormat="1">
      <c r="CF13256" s="239"/>
      <c r="CM13256" s="336"/>
    </row>
    <row r="13257" spans="84:91" s="51" customFormat="1">
      <c r="CF13257" s="239"/>
      <c r="CM13257" s="336"/>
    </row>
    <row r="13258" spans="84:91" s="51" customFormat="1">
      <c r="CF13258" s="239"/>
      <c r="CM13258" s="336"/>
    </row>
    <row r="13259" spans="84:91" s="51" customFormat="1">
      <c r="CF13259" s="239"/>
      <c r="CM13259" s="336"/>
    </row>
    <row r="13260" spans="84:91" s="51" customFormat="1">
      <c r="CF13260" s="239"/>
      <c r="CM13260" s="336"/>
    </row>
    <row r="13261" spans="84:91" s="51" customFormat="1">
      <c r="CF13261" s="239"/>
      <c r="CM13261" s="336"/>
    </row>
    <row r="13262" spans="84:91" s="51" customFormat="1">
      <c r="CF13262" s="239"/>
      <c r="CM13262" s="336"/>
    </row>
    <row r="13263" spans="84:91" s="51" customFormat="1">
      <c r="CF13263" s="239"/>
      <c r="CM13263" s="336"/>
    </row>
    <row r="13264" spans="84:91" s="51" customFormat="1">
      <c r="CF13264" s="239"/>
      <c r="CM13264" s="336"/>
    </row>
    <row r="13265" spans="84:91" s="51" customFormat="1">
      <c r="CF13265" s="239"/>
      <c r="CM13265" s="336"/>
    </row>
    <row r="13266" spans="84:91" s="51" customFormat="1">
      <c r="CF13266" s="239"/>
      <c r="CM13266" s="336"/>
    </row>
    <row r="13267" spans="84:91" s="51" customFormat="1">
      <c r="CF13267" s="239"/>
      <c r="CM13267" s="336"/>
    </row>
    <row r="13268" spans="84:91" s="51" customFormat="1">
      <c r="CF13268" s="239"/>
      <c r="CM13268" s="336"/>
    </row>
    <row r="13269" spans="84:91" s="51" customFormat="1">
      <c r="CF13269" s="239"/>
      <c r="CM13269" s="336"/>
    </row>
    <row r="13270" spans="84:91" s="51" customFormat="1">
      <c r="CF13270" s="239"/>
      <c r="CM13270" s="336"/>
    </row>
    <row r="13271" spans="84:91" s="51" customFormat="1">
      <c r="CF13271" s="239"/>
      <c r="CM13271" s="336"/>
    </row>
    <row r="13272" spans="84:91" s="51" customFormat="1">
      <c r="CF13272" s="239"/>
      <c r="CM13272" s="336"/>
    </row>
    <row r="13273" spans="84:91" s="51" customFormat="1">
      <c r="CF13273" s="239"/>
      <c r="CM13273" s="336"/>
    </row>
    <row r="13274" spans="84:91" s="51" customFormat="1">
      <c r="CF13274" s="239"/>
      <c r="CM13274" s="336"/>
    </row>
    <row r="13275" spans="84:91" s="51" customFormat="1">
      <c r="CF13275" s="239"/>
      <c r="CM13275" s="336"/>
    </row>
    <row r="13276" spans="84:91" s="51" customFormat="1">
      <c r="CF13276" s="239"/>
      <c r="CM13276" s="336"/>
    </row>
    <row r="13277" spans="84:91" s="51" customFormat="1">
      <c r="CF13277" s="239"/>
      <c r="CM13277" s="336"/>
    </row>
    <row r="13278" spans="84:91" s="51" customFormat="1">
      <c r="CF13278" s="239"/>
      <c r="CM13278" s="336"/>
    </row>
    <row r="13279" spans="84:91" s="51" customFormat="1">
      <c r="CF13279" s="239"/>
      <c r="CM13279" s="336"/>
    </row>
    <row r="13280" spans="84:91" s="51" customFormat="1">
      <c r="CF13280" s="239"/>
      <c r="CM13280" s="336"/>
    </row>
    <row r="13281" spans="84:91" s="51" customFormat="1">
      <c r="CF13281" s="239"/>
      <c r="CM13281" s="336"/>
    </row>
    <row r="13282" spans="84:91" s="51" customFormat="1">
      <c r="CF13282" s="239"/>
      <c r="CM13282" s="336"/>
    </row>
    <row r="13283" spans="84:91" s="51" customFormat="1">
      <c r="CF13283" s="239"/>
      <c r="CM13283" s="336"/>
    </row>
    <row r="13284" spans="84:91" s="51" customFormat="1">
      <c r="CF13284" s="239"/>
      <c r="CM13284" s="336"/>
    </row>
    <row r="13285" spans="84:91" s="51" customFormat="1">
      <c r="CF13285" s="239"/>
      <c r="CM13285" s="336"/>
    </row>
    <row r="13286" spans="84:91" s="51" customFormat="1">
      <c r="CF13286" s="239"/>
      <c r="CM13286" s="336"/>
    </row>
    <row r="13287" spans="84:91" s="51" customFormat="1">
      <c r="CF13287" s="239"/>
      <c r="CM13287" s="336"/>
    </row>
    <row r="13288" spans="84:91" s="51" customFormat="1">
      <c r="CF13288" s="239"/>
      <c r="CM13288" s="336"/>
    </row>
    <row r="13289" spans="84:91" s="51" customFormat="1">
      <c r="CF13289" s="239"/>
      <c r="CM13289" s="336"/>
    </row>
    <row r="13290" spans="84:91" s="51" customFormat="1">
      <c r="CF13290" s="239"/>
      <c r="CM13290" s="336"/>
    </row>
    <row r="13291" spans="84:91" s="51" customFormat="1">
      <c r="CF13291" s="239"/>
      <c r="CM13291" s="336"/>
    </row>
    <row r="13292" spans="84:91" s="51" customFormat="1">
      <c r="CF13292" s="239"/>
      <c r="CM13292" s="336"/>
    </row>
    <row r="13293" spans="84:91" s="51" customFormat="1">
      <c r="CF13293" s="239"/>
      <c r="CM13293" s="336"/>
    </row>
    <row r="13294" spans="84:91" s="51" customFormat="1">
      <c r="CF13294" s="239"/>
      <c r="CM13294" s="336"/>
    </row>
    <row r="13295" spans="84:91" s="51" customFormat="1">
      <c r="CF13295" s="239"/>
      <c r="CM13295" s="336"/>
    </row>
    <row r="13296" spans="84:91" s="51" customFormat="1">
      <c r="CF13296" s="239"/>
      <c r="CM13296" s="336"/>
    </row>
    <row r="13297" spans="84:91" s="51" customFormat="1">
      <c r="CF13297" s="239"/>
      <c r="CM13297" s="336"/>
    </row>
    <row r="13298" spans="84:91" s="51" customFormat="1">
      <c r="CF13298" s="239"/>
      <c r="CM13298" s="336"/>
    </row>
    <row r="13299" spans="84:91" s="51" customFormat="1">
      <c r="CF13299" s="239"/>
      <c r="CM13299" s="336"/>
    </row>
    <row r="13300" spans="84:91" s="51" customFormat="1">
      <c r="CF13300" s="239"/>
      <c r="CM13300" s="336"/>
    </row>
    <row r="13301" spans="84:91" s="51" customFormat="1">
      <c r="CF13301" s="239"/>
      <c r="CM13301" s="336"/>
    </row>
    <row r="13302" spans="84:91" s="51" customFormat="1">
      <c r="CF13302" s="239"/>
      <c r="CM13302" s="336"/>
    </row>
    <row r="13303" spans="84:91" s="51" customFormat="1">
      <c r="CF13303" s="239"/>
      <c r="CM13303" s="336"/>
    </row>
    <row r="13304" spans="84:91" s="51" customFormat="1">
      <c r="CF13304" s="239"/>
      <c r="CM13304" s="336"/>
    </row>
    <row r="13305" spans="84:91" s="51" customFormat="1">
      <c r="CF13305" s="239"/>
      <c r="CM13305" s="336"/>
    </row>
    <row r="13306" spans="84:91" s="51" customFormat="1">
      <c r="CF13306" s="239"/>
      <c r="CM13306" s="336"/>
    </row>
    <row r="13307" spans="84:91" s="51" customFormat="1">
      <c r="CF13307" s="239"/>
      <c r="CM13307" s="336"/>
    </row>
    <row r="13308" spans="84:91" s="51" customFormat="1">
      <c r="CF13308" s="239"/>
      <c r="CM13308" s="336"/>
    </row>
    <row r="13309" spans="84:91" s="51" customFormat="1">
      <c r="CF13309" s="239"/>
      <c r="CM13309" s="336"/>
    </row>
    <row r="13310" spans="84:91" s="51" customFormat="1">
      <c r="CF13310" s="239"/>
      <c r="CM13310" s="336"/>
    </row>
    <row r="13311" spans="84:91" s="51" customFormat="1">
      <c r="CF13311" s="239"/>
      <c r="CM13311" s="336"/>
    </row>
    <row r="13312" spans="84:91" s="51" customFormat="1">
      <c r="CF13312" s="239"/>
      <c r="CM13312" s="336"/>
    </row>
    <row r="13313" spans="84:91" s="51" customFormat="1">
      <c r="CF13313" s="239"/>
      <c r="CM13313" s="336"/>
    </row>
    <row r="13314" spans="84:91" s="51" customFormat="1">
      <c r="CF13314" s="239"/>
      <c r="CM13314" s="336"/>
    </row>
    <row r="13315" spans="84:91" s="51" customFormat="1">
      <c r="CF13315" s="239"/>
      <c r="CM13315" s="336"/>
    </row>
    <row r="13316" spans="84:91" s="51" customFormat="1">
      <c r="CF13316" s="239"/>
      <c r="CM13316" s="336"/>
    </row>
    <row r="13317" spans="84:91" s="51" customFormat="1">
      <c r="CF13317" s="239"/>
      <c r="CM13317" s="336"/>
    </row>
    <row r="13318" spans="84:91" s="51" customFormat="1">
      <c r="CF13318" s="239"/>
      <c r="CM13318" s="336"/>
    </row>
    <row r="13319" spans="84:91" s="51" customFormat="1">
      <c r="CF13319" s="239"/>
      <c r="CM13319" s="336"/>
    </row>
    <row r="13320" spans="84:91" s="51" customFormat="1">
      <c r="CF13320" s="239"/>
      <c r="CM13320" s="336"/>
    </row>
    <row r="13321" spans="84:91" s="51" customFormat="1">
      <c r="CF13321" s="239"/>
      <c r="CM13321" s="336"/>
    </row>
    <row r="13322" spans="84:91" s="51" customFormat="1">
      <c r="CF13322" s="239"/>
      <c r="CM13322" s="336"/>
    </row>
    <row r="13323" spans="84:91" s="51" customFormat="1">
      <c r="CF13323" s="239"/>
      <c r="CM13323" s="336"/>
    </row>
    <row r="13324" spans="84:91" s="51" customFormat="1">
      <c r="CF13324" s="239"/>
      <c r="CM13324" s="336"/>
    </row>
    <row r="13325" spans="84:91" s="51" customFormat="1">
      <c r="CF13325" s="239"/>
      <c r="CM13325" s="336"/>
    </row>
    <row r="13326" spans="84:91" s="51" customFormat="1">
      <c r="CF13326" s="239"/>
      <c r="CM13326" s="336"/>
    </row>
    <row r="13327" spans="84:91" s="51" customFormat="1">
      <c r="CF13327" s="239"/>
      <c r="CM13327" s="336"/>
    </row>
    <row r="13328" spans="84:91" s="51" customFormat="1">
      <c r="CF13328" s="239"/>
      <c r="CM13328" s="336"/>
    </row>
    <row r="13329" spans="84:91" s="51" customFormat="1">
      <c r="CF13329" s="239"/>
      <c r="CM13329" s="336"/>
    </row>
    <row r="13330" spans="84:91" s="51" customFormat="1">
      <c r="CF13330" s="239"/>
      <c r="CM13330" s="336"/>
    </row>
    <row r="13331" spans="84:91" s="51" customFormat="1">
      <c r="CF13331" s="239"/>
      <c r="CM13331" s="336"/>
    </row>
    <row r="13332" spans="84:91" s="51" customFormat="1">
      <c r="CF13332" s="239"/>
      <c r="CM13332" s="336"/>
    </row>
    <row r="13333" spans="84:91" s="51" customFormat="1">
      <c r="CF13333" s="239"/>
      <c r="CM13333" s="336"/>
    </row>
    <row r="13334" spans="84:91" s="51" customFormat="1">
      <c r="CF13334" s="239"/>
      <c r="CM13334" s="336"/>
    </row>
    <row r="13335" spans="84:91" s="51" customFormat="1">
      <c r="CF13335" s="239"/>
      <c r="CM13335" s="336"/>
    </row>
    <row r="13336" spans="84:91" s="51" customFormat="1">
      <c r="CF13336" s="239"/>
      <c r="CM13336" s="336"/>
    </row>
    <row r="13337" spans="84:91" s="51" customFormat="1">
      <c r="CF13337" s="239"/>
      <c r="CM13337" s="336"/>
    </row>
    <row r="13338" spans="84:91" s="51" customFormat="1">
      <c r="CF13338" s="239"/>
      <c r="CM13338" s="336"/>
    </row>
    <row r="13339" spans="84:91" s="51" customFormat="1">
      <c r="CF13339" s="239"/>
      <c r="CM13339" s="336"/>
    </row>
    <row r="13340" spans="84:91" s="51" customFormat="1">
      <c r="CF13340" s="239"/>
      <c r="CM13340" s="336"/>
    </row>
    <row r="13341" spans="84:91" s="51" customFormat="1">
      <c r="CF13341" s="239"/>
      <c r="CM13341" s="336"/>
    </row>
    <row r="13342" spans="84:91" s="51" customFormat="1">
      <c r="CF13342" s="239"/>
      <c r="CM13342" s="336"/>
    </row>
    <row r="13343" spans="84:91" s="51" customFormat="1">
      <c r="CF13343" s="239"/>
      <c r="CM13343" s="336"/>
    </row>
    <row r="13344" spans="84:91" s="51" customFormat="1">
      <c r="CF13344" s="239"/>
      <c r="CM13344" s="336"/>
    </row>
    <row r="13345" spans="84:91" s="51" customFormat="1">
      <c r="CF13345" s="239"/>
      <c r="CM13345" s="336"/>
    </row>
    <row r="13346" spans="84:91" s="51" customFormat="1">
      <c r="CF13346" s="239"/>
      <c r="CM13346" s="336"/>
    </row>
    <row r="13347" spans="84:91" s="51" customFormat="1">
      <c r="CF13347" s="239"/>
      <c r="CM13347" s="336"/>
    </row>
    <row r="13348" spans="84:91" s="51" customFormat="1">
      <c r="CF13348" s="239"/>
      <c r="CM13348" s="336"/>
    </row>
    <row r="13349" spans="84:91" s="51" customFormat="1">
      <c r="CF13349" s="239"/>
      <c r="CM13349" s="336"/>
    </row>
    <row r="13350" spans="84:91" s="51" customFormat="1">
      <c r="CF13350" s="239"/>
      <c r="CM13350" s="336"/>
    </row>
    <row r="13351" spans="84:91" s="51" customFormat="1">
      <c r="CF13351" s="239"/>
      <c r="CM13351" s="336"/>
    </row>
    <row r="13352" spans="84:91" s="51" customFormat="1">
      <c r="CF13352" s="239"/>
      <c r="CM13352" s="336"/>
    </row>
    <row r="13353" spans="84:91" s="51" customFormat="1">
      <c r="CF13353" s="239"/>
      <c r="CM13353" s="336"/>
    </row>
    <row r="13354" spans="84:91" s="51" customFormat="1">
      <c r="CF13354" s="239"/>
      <c r="CM13354" s="336"/>
    </row>
    <row r="13355" spans="84:91" s="51" customFormat="1">
      <c r="CF13355" s="239"/>
      <c r="CM13355" s="336"/>
    </row>
    <row r="13356" spans="84:91" s="51" customFormat="1">
      <c r="CF13356" s="239"/>
      <c r="CM13356" s="336"/>
    </row>
    <row r="13357" spans="84:91" s="51" customFormat="1">
      <c r="CF13357" s="239"/>
      <c r="CM13357" s="336"/>
    </row>
    <row r="13358" spans="84:91" s="51" customFormat="1">
      <c r="CF13358" s="239"/>
      <c r="CM13358" s="336"/>
    </row>
    <row r="13359" spans="84:91" s="51" customFormat="1">
      <c r="CF13359" s="239"/>
      <c r="CM13359" s="336"/>
    </row>
    <row r="13360" spans="84:91" s="51" customFormat="1">
      <c r="CF13360" s="239"/>
      <c r="CM13360" s="336"/>
    </row>
    <row r="13361" spans="84:91" s="51" customFormat="1">
      <c r="CF13361" s="239"/>
      <c r="CM13361" s="336"/>
    </row>
    <row r="13362" spans="84:91" s="51" customFormat="1">
      <c r="CF13362" s="239"/>
      <c r="CM13362" s="336"/>
    </row>
    <row r="13363" spans="84:91" s="51" customFormat="1">
      <c r="CF13363" s="239"/>
      <c r="CM13363" s="336"/>
    </row>
    <row r="13364" spans="84:91" s="51" customFormat="1">
      <c r="CF13364" s="239"/>
      <c r="CM13364" s="336"/>
    </row>
    <row r="13365" spans="84:91" s="51" customFormat="1">
      <c r="CF13365" s="239"/>
      <c r="CM13365" s="336"/>
    </row>
    <row r="13366" spans="84:91" s="51" customFormat="1">
      <c r="CF13366" s="239"/>
      <c r="CM13366" s="336"/>
    </row>
    <row r="13367" spans="84:91" s="51" customFormat="1">
      <c r="CF13367" s="239"/>
      <c r="CM13367" s="336"/>
    </row>
    <row r="13368" spans="84:91" s="51" customFormat="1">
      <c r="CF13368" s="239"/>
      <c r="CM13368" s="336"/>
    </row>
    <row r="13369" spans="84:91" s="51" customFormat="1">
      <c r="CF13369" s="239"/>
      <c r="CM13369" s="336"/>
    </row>
    <row r="13370" spans="84:91" s="51" customFormat="1">
      <c r="CF13370" s="239"/>
      <c r="CM13370" s="336"/>
    </row>
    <row r="13371" spans="84:91" s="51" customFormat="1">
      <c r="CF13371" s="239"/>
      <c r="CM13371" s="336"/>
    </row>
    <row r="13372" spans="84:91" s="51" customFormat="1">
      <c r="CF13372" s="239"/>
      <c r="CM13372" s="336"/>
    </row>
    <row r="13373" spans="84:91" s="51" customFormat="1">
      <c r="CF13373" s="239"/>
      <c r="CM13373" s="336"/>
    </row>
    <row r="13374" spans="84:91" s="51" customFormat="1">
      <c r="CF13374" s="239"/>
      <c r="CM13374" s="336"/>
    </row>
    <row r="13375" spans="84:91" s="51" customFormat="1">
      <c r="CF13375" s="239"/>
      <c r="CM13375" s="336"/>
    </row>
    <row r="13376" spans="84:91" s="51" customFormat="1">
      <c r="CF13376" s="239"/>
      <c r="CM13376" s="336"/>
    </row>
    <row r="13377" spans="84:91" s="51" customFormat="1">
      <c r="CF13377" s="239"/>
      <c r="CM13377" s="336"/>
    </row>
    <row r="13378" spans="84:91" s="51" customFormat="1">
      <c r="CF13378" s="239"/>
      <c r="CM13378" s="336"/>
    </row>
    <row r="13379" spans="84:91" s="51" customFormat="1">
      <c r="CF13379" s="239"/>
      <c r="CM13379" s="336"/>
    </row>
    <row r="13380" spans="84:91" s="51" customFormat="1">
      <c r="CF13380" s="239"/>
      <c r="CM13380" s="336"/>
    </row>
    <row r="13381" spans="84:91" s="51" customFormat="1">
      <c r="CF13381" s="239"/>
      <c r="CM13381" s="336"/>
    </row>
    <row r="13382" spans="84:91" s="51" customFormat="1">
      <c r="CF13382" s="239"/>
      <c r="CM13382" s="336"/>
    </row>
    <row r="13383" spans="84:91" s="51" customFormat="1">
      <c r="CF13383" s="239"/>
      <c r="CM13383" s="336"/>
    </row>
    <row r="13384" spans="84:91" s="51" customFormat="1">
      <c r="CF13384" s="239"/>
      <c r="CM13384" s="336"/>
    </row>
    <row r="13385" spans="84:91" s="51" customFormat="1">
      <c r="CF13385" s="239"/>
      <c r="CM13385" s="336"/>
    </row>
    <row r="13386" spans="84:91" s="51" customFormat="1">
      <c r="CF13386" s="239"/>
      <c r="CM13386" s="336"/>
    </row>
    <row r="13387" spans="84:91" s="51" customFormat="1">
      <c r="CF13387" s="239"/>
      <c r="CM13387" s="336"/>
    </row>
    <row r="13388" spans="84:91" s="51" customFormat="1">
      <c r="CF13388" s="239"/>
      <c r="CM13388" s="336"/>
    </row>
    <row r="13389" spans="84:91" s="51" customFormat="1">
      <c r="CF13389" s="239"/>
      <c r="CM13389" s="336"/>
    </row>
    <row r="13390" spans="84:91" s="51" customFormat="1">
      <c r="CF13390" s="239"/>
      <c r="CM13390" s="336"/>
    </row>
    <row r="13391" spans="84:91" s="51" customFormat="1">
      <c r="CF13391" s="239"/>
      <c r="CM13391" s="336"/>
    </row>
    <row r="13392" spans="84:91" s="51" customFormat="1">
      <c r="CF13392" s="239"/>
      <c r="CM13392" s="336"/>
    </row>
    <row r="13393" spans="84:91" s="51" customFormat="1">
      <c r="CF13393" s="239"/>
      <c r="CM13393" s="336"/>
    </row>
    <row r="13394" spans="84:91" s="51" customFormat="1">
      <c r="CF13394" s="239"/>
      <c r="CM13394" s="336"/>
    </row>
    <row r="13395" spans="84:91" s="51" customFormat="1">
      <c r="CF13395" s="239"/>
      <c r="CM13395" s="336"/>
    </row>
    <row r="13396" spans="84:91" s="51" customFormat="1">
      <c r="CF13396" s="239"/>
      <c r="CM13396" s="336"/>
    </row>
    <row r="13397" spans="84:91" s="51" customFormat="1">
      <c r="CF13397" s="239"/>
      <c r="CM13397" s="336"/>
    </row>
    <row r="13398" spans="84:91" s="51" customFormat="1">
      <c r="CF13398" s="239"/>
      <c r="CM13398" s="336"/>
    </row>
    <row r="13399" spans="84:91" s="51" customFormat="1">
      <c r="CF13399" s="239"/>
      <c r="CM13399" s="336"/>
    </row>
    <row r="13400" spans="84:91" s="51" customFormat="1">
      <c r="CF13400" s="239"/>
      <c r="CM13400" s="336"/>
    </row>
    <row r="13401" spans="84:91" s="51" customFormat="1">
      <c r="CF13401" s="239"/>
      <c r="CM13401" s="336"/>
    </row>
    <row r="13402" spans="84:91" s="51" customFormat="1">
      <c r="CF13402" s="239"/>
      <c r="CM13402" s="336"/>
    </row>
    <row r="13403" spans="84:91" s="51" customFormat="1">
      <c r="CF13403" s="239"/>
      <c r="CM13403" s="336"/>
    </row>
    <row r="13404" spans="84:91" s="51" customFormat="1">
      <c r="CF13404" s="239"/>
      <c r="CM13404" s="336"/>
    </row>
    <row r="13405" spans="84:91" s="51" customFormat="1">
      <c r="CF13405" s="239"/>
      <c r="CM13405" s="336"/>
    </row>
    <row r="13406" spans="84:91" s="51" customFormat="1">
      <c r="CF13406" s="239"/>
      <c r="CM13406" s="336"/>
    </row>
    <row r="13407" spans="84:91" s="51" customFormat="1">
      <c r="CF13407" s="239"/>
      <c r="CM13407" s="336"/>
    </row>
    <row r="13408" spans="84:91" s="51" customFormat="1">
      <c r="CF13408" s="239"/>
      <c r="CM13408" s="336"/>
    </row>
    <row r="13409" spans="84:91" s="51" customFormat="1">
      <c r="CF13409" s="239"/>
      <c r="CM13409" s="336"/>
    </row>
    <row r="13410" spans="84:91" s="51" customFormat="1">
      <c r="CF13410" s="239"/>
      <c r="CM13410" s="336"/>
    </row>
    <row r="13411" spans="84:91" s="51" customFormat="1">
      <c r="CF13411" s="239"/>
      <c r="CM13411" s="336"/>
    </row>
    <row r="13412" spans="84:91" s="51" customFormat="1">
      <c r="CF13412" s="239"/>
      <c r="CM13412" s="336"/>
    </row>
    <row r="13413" spans="84:91" s="51" customFormat="1">
      <c r="CF13413" s="239"/>
      <c r="CM13413" s="336"/>
    </row>
    <row r="13414" spans="84:91" s="51" customFormat="1">
      <c r="CF13414" s="239"/>
      <c r="CM13414" s="336"/>
    </row>
    <row r="13415" spans="84:91" s="51" customFormat="1">
      <c r="CF13415" s="239"/>
      <c r="CM13415" s="336"/>
    </row>
    <row r="13416" spans="84:91" s="51" customFormat="1">
      <c r="CF13416" s="239"/>
      <c r="CM13416" s="336"/>
    </row>
    <row r="13417" spans="84:91" s="51" customFormat="1">
      <c r="CF13417" s="239"/>
      <c r="CM13417" s="336"/>
    </row>
    <row r="13418" spans="84:91" s="51" customFormat="1">
      <c r="CF13418" s="239"/>
      <c r="CM13418" s="336"/>
    </row>
    <row r="13419" spans="84:91" s="51" customFormat="1">
      <c r="CF13419" s="239"/>
      <c r="CM13419" s="336"/>
    </row>
    <row r="13420" spans="84:91" s="51" customFormat="1">
      <c r="CF13420" s="239"/>
      <c r="CM13420" s="336"/>
    </row>
    <row r="13421" spans="84:91" s="51" customFormat="1">
      <c r="CF13421" s="239"/>
      <c r="CM13421" s="336"/>
    </row>
    <row r="13422" spans="84:91" s="51" customFormat="1">
      <c r="CF13422" s="239"/>
      <c r="CM13422" s="336"/>
    </row>
    <row r="13423" spans="84:91" s="51" customFormat="1">
      <c r="CF13423" s="239"/>
      <c r="CM13423" s="336"/>
    </row>
    <row r="13424" spans="84:91" s="51" customFormat="1">
      <c r="CF13424" s="239"/>
      <c r="CM13424" s="336"/>
    </row>
    <row r="13425" spans="84:91" s="51" customFormat="1">
      <c r="CF13425" s="239"/>
      <c r="CM13425" s="336"/>
    </row>
    <row r="13426" spans="84:91" s="51" customFormat="1">
      <c r="CF13426" s="239"/>
      <c r="CM13426" s="336"/>
    </row>
    <row r="13427" spans="84:91" s="51" customFormat="1">
      <c r="CF13427" s="239"/>
      <c r="CM13427" s="336"/>
    </row>
    <row r="13428" spans="84:91" s="51" customFormat="1">
      <c r="CF13428" s="239"/>
      <c r="CM13428" s="336"/>
    </row>
    <row r="13429" spans="84:91" s="51" customFormat="1">
      <c r="CF13429" s="239"/>
      <c r="CM13429" s="336"/>
    </row>
    <row r="13430" spans="84:91" s="51" customFormat="1">
      <c r="CF13430" s="239"/>
      <c r="CM13430" s="336"/>
    </row>
    <row r="13431" spans="84:91" s="51" customFormat="1">
      <c r="CF13431" s="239"/>
      <c r="CM13431" s="336"/>
    </row>
    <row r="13432" spans="84:91" s="51" customFormat="1">
      <c r="CF13432" s="239"/>
      <c r="CM13432" s="336"/>
    </row>
    <row r="13433" spans="84:91" s="51" customFormat="1">
      <c r="CF13433" s="239"/>
      <c r="CM13433" s="336"/>
    </row>
    <row r="13434" spans="84:91" s="51" customFormat="1">
      <c r="CF13434" s="239"/>
      <c r="CM13434" s="336"/>
    </row>
    <row r="13435" spans="84:91" s="51" customFormat="1">
      <c r="CF13435" s="239"/>
      <c r="CM13435" s="336"/>
    </row>
    <row r="13436" spans="84:91" s="51" customFormat="1">
      <c r="CF13436" s="239"/>
      <c r="CM13436" s="336"/>
    </row>
    <row r="13437" spans="84:91" s="51" customFormat="1">
      <c r="CF13437" s="239"/>
      <c r="CM13437" s="336"/>
    </row>
    <row r="13438" spans="84:91" s="51" customFormat="1">
      <c r="CF13438" s="239"/>
      <c r="CM13438" s="336"/>
    </row>
    <row r="13439" spans="84:91" s="51" customFormat="1">
      <c r="CF13439" s="239"/>
      <c r="CM13439" s="336"/>
    </row>
    <row r="13440" spans="84:91" s="51" customFormat="1">
      <c r="CF13440" s="239"/>
      <c r="CM13440" s="336"/>
    </row>
    <row r="13441" spans="84:91" s="51" customFormat="1">
      <c r="CF13441" s="239"/>
      <c r="CM13441" s="336"/>
    </row>
    <row r="13442" spans="84:91" s="51" customFormat="1">
      <c r="CF13442" s="239"/>
      <c r="CM13442" s="336"/>
    </row>
    <row r="13443" spans="84:91" s="51" customFormat="1">
      <c r="CF13443" s="239"/>
      <c r="CM13443" s="336"/>
    </row>
    <row r="13444" spans="84:91" s="51" customFormat="1">
      <c r="CF13444" s="239"/>
      <c r="CM13444" s="336"/>
    </row>
    <row r="13445" spans="84:91" s="51" customFormat="1">
      <c r="CF13445" s="239"/>
      <c r="CM13445" s="336"/>
    </row>
    <row r="13446" spans="84:91" s="51" customFormat="1">
      <c r="CF13446" s="239"/>
      <c r="CM13446" s="336"/>
    </row>
    <row r="13447" spans="84:91" s="51" customFormat="1">
      <c r="CF13447" s="239"/>
      <c r="CM13447" s="336"/>
    </row>
    <row r="13448" spans="84:91" s="51" customFormat="1">
      <c r="CF13448" s="239"/>
      <c r="CM13448" s="336"/>
    </row>
    <row r="13449" spans="84:91" s="51" customFormat="1">
      <c r="CF13449" s="239"/>
      <c r="CM13449" s="336"/>
    </row>
    <row r="13450" spans="84:91" s="51" customFormat="1">
      <c r="CF13450" s="239"/>
      <c r="CM13450" s="336"/>
    </row>
    <row r="13451" spans="84:91" s="51" customFormat="1">
      <c r="CF13451" s="239"/>
      <c r="CM13451" s="336"/>
    </row>
    <row r="13452" spans="84:91" s="51" customFormat="1">
      <c r="CF13452" s="239"/>
      <c r="CM13452" s="336"/>
    </row>
    <row r="13453" spans="84:91" s="51" customFormat="1">
      <c r="CF13453" s="239"/>
      <c r="CM13453" s="336"/>
    </row>
    <row r="13454" spans="84:91" s="51" customFormat="1">
      <c r="CF13454" s="239"/>
      <c r="CM13454" s="336"/>
    </row>
    <row r="13455" spans="84:91" s="51" customFormat="1">
      <c r="CF13455" s="239"/>
      <c r="CM13455" s="336"/>
    </row>
    <row r="13456" spans="84:91" s="51" customFormat="1">
      <c r="CF13456" s="239"/>
      <c r="CM13456" s="336"/>
    </row>
    <row r="13457" spans="84:91" s="51" customFormat="1">
      <c r="CF13457" s="239"/>
      <c r="CM13457" s="336"/>
    </row>
    <row r="13458" spans="84:91" s="51" customFormat="1">
      <c r="CF13458" s="239"/>
      <c r="CM13458" s="336"/>
    </row>
    <row r="13459" spans="84:91" s="51" customFormat="1">
      <c r="CF13459" s="239"/>
      <c r="CM13459" s="336"/>
    </row>
    <row r="13460" spans="84:91" s="51" customFormat="1">
      <c r="CF13460" s="239"/>
      <c r="CM13460" s="336"/>
    </row>
    <row r="13461" spans="84:91" s="51" customFormat="1">
      <c r="CF13461" s="239"/>
      <c r="CM13461" s="336"/>
    </row>
    <row r="13462" spans="84:91" s="51" customFormat="1">
      <c r="CF13462" s="239"/>
      <c r="CM13462" s="336"/>
    </row>
    <row r="13463" spans="84:91" s="51" customFormat="1">
      <c r="CF13463" s="239"/>
      <c r="CM13463" s="336"/>
    </row>
    <row r="13464" spans="84:91" s="51" customFormat="1">
      <c r="CF13464" s="239"/>
      <c r="CM13464" s="336"/>
    </row>
    <row r="13465" spans="84:91" s="51" customFormat="1">
      <c r="CF13465" s="239"/>
      <c r="CM13465" s="336"/>
    </row>
    <row r="13466" spans="84:91" s="51" customFormat="1">
      <c r="CF13466" s="239"/>
      <c r="CM13466" s="336"/>
    </row>
    <row r="13467" spans="84:91" s="51" customFormat="1">
      <c r="CF13467" s="239"/>
      <c r="CM13467" s="336"/>
    </row>
    <row r="13468" spans="84:91" s="51" customFormat="1">
      <c r="CF13468" s="239"/>
      <c r="CM13468" s="336"/>
    </row>
    <row r="13469" spans="84:91" s="51" customFormat="1">
      <c r="CF13469" s="239"/>
      <c r="CM13469" s="336"/>
    </row>
    <row r="13470" spans="84:91" s="51" customFormat="1">
      <c r="CF13470" s="239"/>
      <c r="CM13470" s="336"/>
    </row>
    <row r="13471" spans="84:91" s="51" customFormat="1">
      <c r="CF13471" s="239"/>
      <c r="CM13471" s="336"/>
    </row>
    <row r="13472" spans="84:91" s="51" customFormat="1">
      <c r="CF13472" s="239"/>
      <c r="CM13472" s="336"/>
    </row>
    <row r="13473" spans="84:91" s="51" customFormat="1">
      <c r="CF13473" s="239"/>
      <c r="CM13473" s="336"/>
    </row>
    <row r="13474" spans="84:91" s="51" customFormat="1">
      <c r="CF13474" s="239"/>
      <c r="CM13474" s="336"/>
    </row>
    <row r="13475" spans="84:91" s="51" customFormat="1">
      <c r="CF13475" s="239"/>
      <c r="CM13475" s="336"/>
    </row>
    <row r="13476" spans="84:91" s="51" customFormat="1">
      <c r="CF13476" s="239"/>
      <c r="CM13476" s="336"/>
    </row>
    <row r="13477" spans="84:91" s="51" customFormat="1">
      <c r="CF13477" s="239"/>
      <c r="CM13477" s="336"/>
    </row>
    <row r="13478" spans="84:91" s="51" customFormat="1">
      <c r="CF13478" s="239"/>
      <c r="CM13478" s="336"/>
    </row>
    <row r="13479" spans="84:91" s="51" customFormat="1">
      <c r="CF13479" s="239"/>
      <c r="CM13479" s="336"/>
    </row>
    <row r="13480" spans="84:91" s="51" customFormat="1">
      <c r="CF13480" s="239"/>
      <c r="CM13480" s="336"/>
    </row>
    <row r="13481" spans="84:91" s="51" customFormat="1">
      <c r="CF13481" s="239"/>
      <c r="CM13481" s="336"/>
    </row>
    <row r="13482" spans="84:91" s="51" customFormat="1">
      <c r="CF13482" s="239"/>
      <c r="CM13482" s="336"/>
    </row>
    <row r="13483" spans="84:91" s="51" customFormat="1">
      <c r="CF13483" s="239"/>
      <c r="CM13483" s="336"/>
    </row>
    <row r="13484" spans="84:91" s="51" customFormat="1">
      <c r="CF13484" s="239"/>
      <c r="CM13484" s="336"/>
    </row>
    <row r="13485" spans="84:91" s="51" customFormat="1">
      <c r="CF13485" s="239"/>
      <c r="CM13485" s="336"/>
    </row>
    <row r="13486" spans="84:91" s="51" customFormat="1">
      <c r="CF13486" s="239"/>
      <c r="CM13486" s="336"/>
    </row>
    <row r="13487" spans="84:91" s="51" customFormat="1">
      <c r="CF13487" s="239"/>
      <c r="CM13487" s="336"/>
    </row>
    <row r="13488" spans="84:91" s="51" customFormat="1">
      <c r="CF13488" s="239"/>
      <c r="CM13488" s="336"/>
    </row>
    <row r="13489" spans="84:91" s="51" customFormat="1">
      <c r="CF13489" s="239"/>
      <c r="CM13489" s="336"/>
    </row>
    <row r="13490" spans="84:91" s="51" customFormat="1">
      <c r="CF13490" s="239"/>
      <c r="CM13490" s="336"/>
    </row>
    <row r="13491" spans="84:91" s="51" customFormat="1">
      <c r="CF13491" s="239"/>
      <c r="CM13491" s="336"/>
    </row>
    <row r="13492" spans="84:91" s="51" customFormat="1">
      <c r="CF13492" s="239"/>
      <c r="CM13492" s="336"/>
    </row>
    <row r="13493" spans="84:91" s="51" customFormat="1">
      <c r="CF13493" s="239"/>
      <c r="CM13493" s="336"/>
    </row>
    <row r="13494" spans="84:91" s="51" customFormat="1">
      <c r="CF13494" s="239"/>
      <c r="CM13494" s="336"/>
    </row>
    <row r="13495" spans="84:91" s="51" customFormat="1">
      <c r="CF13495" s="239"/>
      <c r="CM13495" s="336"/>
    </row>
    <row r="13496" spans="84:91" s="51" customFormat="1">
      <c r="CF13496" s="239"/>
      <c r="CM13496" s="336"/>
    </row>
    <row r="13497" spans="84:91" s="51" customFormat="1">
      <c r="CF13497" s="239"/>
      <c r="CM13497" s="336"/>
    </row>
    <row r="13498" spans="84:91" s="51" customFormat="1">
      <c r="CF13498" s="239"/>
      <c r="CM13498" s="336"/>
    </row>
    <row r="13499" spans="84:91" s="51" customFormat="1">
      <c r="CF13499" s="239"/>
      <c r="CM13499" s="336"/>
    </row>
    <row r="13500" spans="84:91" s="51" customFormat="1">
      <c r="CF13500" s="239"/>
      <c r="CM13500" s="336"/>
    </row>
    <row r="13501" spans="84:91" s="51" customFormat="1">
      <c r="CF13501" s="239"/>
      <c r="CM13501" s="336"/>
    </row>
    <row r="13502" spans="84:91" s="51" customFormat="1">
      <c r="CF13502" s="239"/>
      <c r="CM13502" s="336"/>
    </row>
    <row r="13503" spans="84:91" s="51" customFormat="1">
      <c r="CF13503" s="239"/>
      <c r="CM13503" s="336"/>
    </row>
    <row r="13504" spans="84:91" s="51" customFormat="1">
      <c r="CF13504" s="239"/>
      <c r="CM13504" s="336"/>
    </row>
    <row r="13505" spans="84:91" s="51" customFormat="1">
      <c r="CF13505" s="239"/>
      <c r="CM13505" s="336"/>
    </row>
    <row r="13506" spans="84:91" s="51" customFormat="1">
      <c r="CF13506" s="239"/>
      <c r="CM13506" s="336"/>
    </row>
    <row r="13507" spans="84:91" s="51" customFormat="1">
      <c r="CF13507" s="239"/>
      <c r="CM13507" s="336"/>
    </row>
    <row r="13508" spans="84:91" s="51" customFormat="1">
      <c r="CF13508" s="239"/>
      <c r="CM13508" s="336"/>
    </row>
    <row r="13509" spans="84:91" s="51" customFormat="1">
      <c r="CF13509" s="239"/>
      <c r="CM13509" s="336"/>
    </row>
    <row r="13510" spans="84:91" s="51" customFormat="1">
      <c r="CF13510" s="239"/>
      <c r="CM13510" s="336"/>
    </row>
    <row r="13511" spans="84:91" s="51" customFormat="1">
      <c r="CF13511" s="239"/>
      <c r="CM13511" s="336"/>
    </row>
    <row r="13512" spans="84:91" s="51" customFormat="1">
      <c r="CF13512" s="239"/>
      <c r="CM13512" s="336"/>
    </row>
    <row r="13513" spans="84:91" s="51" customFormat="1">
      <c r="CF13513" s="239"/>
      <c r="CM13513" s="336"/>
    </row>
    <row r="13514" spans="84:91" s="51" customFormat="1">
      <c r="CF13514" s="239"/>
      <c r="CM13514" s="336"/>
    </row>
    <row r="13515" spans="84:91" s="51" customFormat="1">
      <c r="CF13515" s="239"/>
      <c r="CM13515" s="336"/>
    </row>
    <row r="13516" spans="84:91" s="51" customFormat="1">
      <c r="CF13516" s="239"/>
      <c r="CM13516" s="336"/>
    </row>
    <row r="13517" spans="84:91" s="51" customFormat="1">
      <c r="CF13517" s="239"/>
      <c r="CM13517" s="336"/>
    </row>
    <row r="13518" spans="84:91" s="51" customFormat="1">
      <c r="CF13518" s="239"/>
      <c r="CM13518" s="336"/>
    </row>
    <row r="13519" spans="84:91" s="51" customFormat="1">
      <c r="CF13519" s="239"/>
      <c r="CM13519" s="336"/>
    </row>
    <row r="13520" spans="84:91" s="51" customFormat="1">
      <c r="CF13520" s="239"/>
      <c r="CM13520" s="336"/>
    </row>
    <row r="13521" spans="84:91" s="51" customFormat="1">
      <c r="CF13521" s="239"/>
      <c r="CM13521" s="336"/>
    </row>
    <row r="13522" spans="84:91" s="51" customFormat="1">
      <c r="CF13522" s="239"/>
      <c r="CM13522" s="336"/>
    </row>
    <row r="13523" spans="84:91" s="51" customFormat="1">
      <c r="CF13523" s="239"/>
      <c r="CM13523" s="336"/>
    </row>
    <row r="13524" spans="84:91" s="51" customFormat="1">
      <c r="CF13524" s="239"/>
      <c r="CM13524" s="336"/>
    </row>
    <row r="13525" spans="84:91" s="51" customFormat="1">
      <c r="CF13525" s="239"/>
      <c r="CM13525" s="336"/>
    </row>
    <row r="13526" spans="84:91" s="51" customFormat="1">
      <c r="CF13526" s="239"/>
      <c r="CM13526" s="336"/>
    </row>
    <row r="13527" spans="84:91" s="51" customFormat="1">
      <c r="CF13527" s="239"/>
      <c r="CM13527" s="336"/>
    </row>
    <row r="13528" spans="84:91" s="51" customFormat="1">
      <c r="CF13528" s="239"/>
      <c r="CM13528" s="336"/>
    </row>
    <row r="13529" spans="84:91" s="51" customFormat="1">
      <c r="CF13529" s="239"/>
      <c r="CM13529" s="336"/>
    </row>
    <row r="13530" spans="84:91" s="51" customFormat="1">
      <c r="CF13530" s="239"/>
      <c r="CM13530" s="336"/>
    </row>
    <row r="13531" spans="84:91" s="51" customFormat="1">
      <c r="CF13531" s="239"/>
      <c r="CM13531" s="336"/>
    </row>
    <row r="13532" spans="84:91" s="51" customFormat="1">
      <c r="CF13532" s="239"/>
      <c r="CM13532" s="336"/>
    </row>
    <row r="13533" spans="84:91" s="51" customFormat="1">
      <c r="CF13533" s="239"/>
      <c r="CM13533" s="336"/>
    </row>
    <row r="13534" spans="84:91" s="51" customFormat="1">
      <c r="CF13534" s="239"/>
      <c r="CM13534" s="336"/>
    </row>
    <row r="13535" spans="84:91" s="51" customFormat="1">
      <c r="CF13535" s="239"/>
      <c r="CM13535" s="336"/>
    </row>
    <row r="13536" spans="84:91" s="51" customFormat="1">
      <c r="CF13536" s="239"/>
      <c r="CM13536" s="336"/>
    </row>
    <row r="13537" spans="84:91" s="51" customFormat="1">
      <c r="CF13537" s="239"/>
      <c r="CM13537" s="336"/>
    </row>
    <row r="13538" spans="84:91" s="51" customFormat="1">
      <c r="CF13538" s="239"/>
      <c r="CM13538" s="336"/>
    </row>
    <row r="13539" spans="84:91" s="51" customFormat="1">
      <c r="CF13539" s="239"/>
      <c r="CM13539" s="336"/>
    </row>
    <row r="13540" spans="84:91" s="51" customFormat="1">
      <c r="CF13540" s="239"/>
      <c r="CM13540" s="336"/>
    </row>
    <row r="13541" spans="84:91" s="51" customFormat="1">
      <c r="CF13541" s="239"/>
      <c r="CM13541" s="336"/>
    </row>
    <row r="13542" spans="84:91" s="51" customFormat="1">
      <c r="CF13542" s="239"/>
      <c r="CM13542" s="336"/>
    </row>
    <row r="13543" spans="84:91" s="51" customFormat="1">
      <c r="CF13543" s="239"/>
      <c r="CM13543" s="336"/>
    </row>
    <row r="13544" spans="84:91" s="51" customFormat="1">
      <c r="CF13544" s="239"/>
      <c r="CM13544" s="336"/>
    </row>
    <row r="13545" spans="84:91" s="51" customFormat="1">
      <c r="CF13545" s="239"/>
      <c r="CM13545" s="336"/>
    </row>
    <row r="13546" spans="84:91" s="51" customFormat="1">
      <c r="CF13546" s="239"/>
      <c r="CM13546" s="336"/>
    </row>
    <row r="13547" spans="84:91" s="51" customFormat="1">
      <c r="CF13547" s="239"/>
      <c r="CM13547" s="336"/>
    </row>
    <row r="13548" spans="84:91" s="51" customFormat="1">
      <c r="CF13548" s="239"/>
      <c r="CM13548" s="336"/>
    </row>
    <row r="13549" spans="84:91" s="51" customFormat="1">
      <c r="CF13549" s="239"/>
      <c r="CM13549" s="336"/>
    </row>
    <row r="13550" spans="84:91" s="51" customFormat="1">
      <c r="CF13550" s="239"/>
      <c r="CM13550" s="336"/>
    </row>
    <row r="13551" spans="84:91" s="51" customFormat="1">
      <c r="CF13551" s="239"/>
      <c r="CM13551" s="336"/>
    </row>
    <row r="13552" spans="84:91" s="51" customFormat="1">
      <c r="CF13552" s="239"/>
      <c r="CM13552" s="336"/>
    </row>
    <row r="13553" spans="84:91" s="51" customFormat="1">
      <c r="CF13553" s="239"/>
      <c r="CM13553" s="336"/>
    </row>
    <row r="13554" spans="84:91" s="51" customFormat="1">
      <c r="CF13554" s="239"/>
      <c r="CM13554" s="336"/>
    </row>
    <row r="13555" spans="84:91" s="51" customFormat="1">
      <c r="CF13555" s="239"/>
      <c r="CM13555" s="336"/>
    </row>
    <row r="13556" spans="84:91" s="51" customFormat="1">
      <c r="CF13556" s="239"/>
      <c r="CM13556" s="336"/>
    </row>
    <row r="13557" spans="84:91" s="51" customFormat="1">
      <c r="CF13557" s="239"/>
      <c r="CM13557" s="336"/>
    </row>
    <row r="13558" spans="84:91" s="51" customFormat="1">
      <c r="CF13558" s="239"/>
      <c r="CM13558" s="336"/>
    </row>
    <row r="13559" spans="84:91" s="51" customFormat="1">
      <c r="CF13559" s="239"/>
      <c r="CM13559" s="336"/>
    </row>
    <row r="13560" spans="84:91" s="51" customFormat="1">
      <c r="CF13560" s="239"/>
      <c r="CM13560" s="336"/>
    </row>
    <row r="13561" spans="84:91" s="51" customFormat="1">
      <c r="CF13561" s="239"/>
      <c r="CM13561" s="336"/>
    </row>
    <row r="13562" spans="84:91" s="51" customFormat="1">
      <c r="CF13562" s="239"/>
      <c r="CM13562" s="336"/>
    </row>
    <row r="13563" spans="84:91" s="51" customFormat="1">
      <c r="CF13563" s="239"/>
      <c r="CM13563" s="336"/>
    </row>
    <row r="13564" spans="84:91" s="51" customFormat="1">
      <c r="CF13564" s="239"/>
      <c r="CM13564" s="336"/>
    </row>
    <row r="13565" spans="84:91" s="51" customFormat="1">
      <c r="CF13565" s="239"/>
      <c r="CM13565" s="336"/>
    </row>
    <row r="13566" spans="84:91" s="51" customFormat="1">
      <c r="CF13566" s="239"/>
      <c r="CM13566" s="336"/>
    </row>
    <row r="13567" spans="84:91" s="51" customFormat="1">
      <c r="CF13567" s="239"/>
      <c r="CM13567" s="336"/>
    </row>
    <row r="13568" spans="84:91" s="51" customFormat="1">
      <c r="CF13568" s="239"/>
      <c r="CM13568" s="336"/>
    </row>
    <row r="13569" spans="84:91" s="51" customFormat="1">
      <c r="CF13569" s="239"/>
      <c r="CM13569" s="336"/>
    </row>
    <row r="13570" spans="84:91" s="51" customFormat="1">
      <c r="CF13570" s="239"/>
      <c r="CM13570" s="336"/>
    </row>
    <row r="13571" spans="84:91" s="51" customFormat="1">
      <c r="CF13571" s="239"/>
      <c r="CM13571" s="336"/>
    </row>
    <row r="13572" spans="84:91" s="51" customFormat="1">
      <c r="CF13572" s="239"/>
      <c r="CM13572" s="336"/>
    </row>
    <row r="13573" spans="84:91" s="51" customFormat="1">
      <c r="CF13573" s="239"/>
      <c r="CM13573" s="336"/>
    </row>
    <row r="13574" spans="84:91" s="51" customFormat="1">
      <c r="CF13574" s="239"/>
      <c r="CM13574" s="336"/>
    </row>
    <row r="13575" spans="84:91" s="51" customFormat="1">
      <c r="CF13575" s="239"/>
      <c r="CM13575" s="336"/>
    </row>
    <row r="13576" spans="84:91" s="51" customFormat="1">
      <c r="CF13576" s="239"/>
      <c r="CM13576" s="336"/>
    </row>
    <row r="13577" spans="84:91" s="51" customFormat="1">
      <c r="CF13577" s="239"/>
      <c r="CM13577" s="336"/>
    </row>
    <row r="13578" spans="84:91" s="51" customFormat="1">
      <c r="CF13578" s="239"/>
      <c r="CM13578" s="336"/>
    </row>
    <row r="13579" spans="84:91" s="51" customFormat="1">
      <c r="CF13579" s="239"/>
      <c r="CM13579" s="336"/>
    </row>
    <row r="13580" spans="84:91" s="51" customFormat="1">
      <c r="CF13580" s="239"/>
      <c r="CM13580" s="336"/>
    </row>
    <row r="13581" spans="84:91" s="51" customFormat="1">
      <c r="CF13581" s="239"/>
      <c r="CM13581" s="336"/>
    </row>
    <row r="13582" spans="84:91" s="51" customFormat="1">
      <c r="CF13582" s="239"/>
      <c r="CM13582" s="336"/>
    </row>
    <row r="13583" spans="84:91" s="51" customFormat="1">
      <c r="CF13583" s="239"/>
      <c r="CM13583" s="336"/>
    </row>
    <row r="13584" spans="84:91" s="51" customFormat="1">
      <c r="CF13584" s="239"/>
      <c r="CM13584" s="336"/>
    </row>
    <row r="13585" spans="84:91" s="51" customFormat="1">
      <c r="CF13585" s="239"/>
      <c r="CM13585" s="336"/>
    </row>
    <row r="13586" spans="84:91" s="51" customFormat="1">
      <c r="CF13586" s="239"/>
      <c r="CM13586" s="336"/>
    </row>
    <row r="13587" spans="84:91" s="51" customFormat="1">
      <c r="CF13587" s="239"/>
      <c r="CM13587" s="336"/>
    </row>
    <row r="13588" spans="84:91" s="51" customFormat="1">
      <c r="CF13588" s="239"/>
      <c r="CM13588" s="336"/>
    </row>
    <row r="13589" spans="84:91" s="51" customFormat="1">
      <c r="CF13589" s="239"/>
      <c r="CM13589" s="336"/>
    </row>
    <row r="13590" spans="84:91" s="51" customFormat="1">
      <c r="CF13590" s="239"/>
      <c r="CM13590" s="336"/>
    </row>
    <row r="13591" spans="84:91" s="51" customFormat="1">
      <c r="CF13591" s="239"/>
      <c r="CM13591" s="336"/>
    </row>
    <row r="13592" spans="84:91" s="51" customFormat="1">
      <c r="CF13592" s="239"/>
      <c r="CM13592" s="336"/>
    </row>
    <row r="13593" spans="84:91" s="51" customFormat="1">
      <c r="CF13593" s="239"/>
      <c r="CM13593" s="336"/>
    </row>
    <row r="13594" spans="84:91" s="51" customFormat="1">
      <c r="CF13594" s="239"/>
      <c r="CM13594" s="336"/>
    </row>
    <row r="13595" spans="84:91" s="51" customFormat="1">
      <c r="CF13595" s="239"/>
      <c r="CM13595" s="336"/>
    </row>
    <row r="13596" spans="84:91" s="51" customFormat="1">
      <c r="CF13596" s="239"/>
      <c r="CM13596" s="336"/>
    </row>
    <row r="13597" spans="84:91" s="51" customFormat="1">
      <c r="CF13597" s="239"/>
      <c r="CM13597" s="336"/>
    </row>
    <row r="13598" spans="84:91" s="51" customFormat="1">
      <c r="CF13598" s="239"/>
      <c r="CM13598" s="336"/>
    </row>
    <row r="13599" spans="84:91" s="51" customFormat="1">
      <c r="CF13599" s="239"/>
      <c r="CM13599" s="336"/>
    </row>
    <row r="13600" spans="84:91" s="51" customFormat="1">
      <c r="CF13600" s="239"/>
      <c r="CM13600" s="336"/>
    </row>
    <row r="13601" spans="84:91" s="51" customFormat="1">
      <c r="CF13601" s="239"/>
      <c r="CM13601" s="336"/>
    </row>
    <row r="13602" spans="84:91" s="51" customFormat="1">
      <c r="CF13602" s="239"/>
      <c r="CM13602" s="336"/>
    </row>
    <row r="13603" spans="84:91" s="51" customFormat="1">
      <c r="CF13603" s="239"/>
      <c r="CM13603" s="336"/>
    </row>
    <row r="13604" spans="84:91" s="51" customFormat="1">
      <c r="CF13604" s="239"/>
      <c r="CM13604" s="336"/>
    </row>
    <row r="13605" spans="84:91" s="51" customFormat="1">
      <c r="CF13605" s="239"/>
      <c r="CM13605" s="336"/>
    </row>
    <row r="13606" spans="84:91" s="51" customFormat="1">
      <c r="CF13606" s="239"/>
      <c r="CM13606" s="336"/>
    </row>
    <row r="13607" spans="84:91" s="51" customFormat="1">
      <c r="CF13607" s="239"/>
      <c r="CM13607" s="336"/>
    </row>
    <row r="13608" spans="84:91" s="51" customFormat="1">
      <c r="CF13608" s="239"/>
      <c r="CM13608" s="336"/>
    </row>
    <row r="13609" spans="84:91" s="51" customFormat="1">
      <c r="CF13609" s="239"/>
      <c r="CM13609" s="336"/>
    </row>
    <row r="13610" spans="84:91" s="51" customFormat="1">
      <c r="CF13610" s="239"/>
      <c r="CM13610" s="336"/>
    </row>
    <row r="13611" spans="84:91" s="51" customFormat="1">
      <c r="CF13611" s="239"/>
      <c r="CM13611" s="336"/>
    </row>
    <row r="13612" spans="84:91" s="51" customFormat="1">
      <c r="CF13612" s="239"/>
      <c r="CM13612" s="336"/>
    </row>
    <row r="13613" spans="84:91" s="51" customFormat="1">
      <c r="CF13613" s="239"/>
      <c r="CM13613" s="336"/>
    </row>
    <row r="13614" spans="84:91" s="51" customFormat="1">
      <c r="CF13614" s="239"/>
      <c r="CM13614" s="336"/>
    </row>
    <row r="13615" spans="84:91" s="51" customFormat="1">
      <c r="CF13615" s="239"/>
      <c r="CM13615" s="336"/>
    </row>
    <row r="13616" spans="84:91" s="51" customFormat="1">
      <c r="CF13616" s="239"/>
      <c r="CM13616" s="336"/>
    </row>
    <row r="13617" spans="84:91" s="51" customFormat="1">
      <c r="CF13617" s="239"/>
      <c r="CM13617" s="336"/>
    </row>
    <row r="13618" spans="84:91" s="51" customFormat="1">
      <c r="CF13618" s="239"/>
      <c r="CM13618" s="336"/>
    </row>
    <row r="13619" spans="84:91" s="51" customFormat="1">
      <c r="CF13619" s="239"/>
      <c r="CM13619" s="336"/>
    </row>
    <row r="13620" spans="84:91" s="51" customFormat="1">
      <c r="CF13620" s="239"/>
      <c r="CM13620" s="336"/>
    </row>
    <row r="13621" spans="84:91" s="51" customFormat="1">
      <c r="CF13621" s="239"/>
      <c r="CM13621" s="336"/>
    </row>
    <row r="13622" spans="84:91" s="51" customFormat="1">
      <c r="CF13622" s="239"/>
      <c r="CM13622" s="336"/>
    </row>
    <row r="13623" spans="84:91" s="51" customFormat="1">
      <c r="CF13623" s="239"/>
      <c r="CM13623" s="336"/>
    </row>
    <row r="13624" spans="84:91" s="51" customFormat="1">
      <c r="CF13624" s="239"/>
      <c r="CM13624" s="336"/>
    </row>
    <row r="13625" spans="84:91" s="51" customFormat="1">
      <c r="CF13625" s="239"/>
      <c r="CM13625" s="336"/>
    </row>
    <row r="13626" spans="84:91" s="51" customFormat="1">
      <c r="CF13626" s="239"/>
      <c r="CM13626" s="336"/>
    </row>
    <row r="13627" spans="84:91" s="51" customFormat="1">
      <c r="CF13627" s="239"/>
      <c r="CM13627" s="336"/>
    </row>
    <row r="13628" spans="84:91" s="51" customFormat="1">
      <c r="CF13628" s="239"/>
      <c r="CM13628" s="336"/>
    </row>
    <row r="13629" spans="84:91" s="51" customFormat="1">
      <c r="CF13629" s="239"/>
      <c r="CM13629" s="336"/>
    </row>
    <row r="13630" spans="84:91" s="51" customFormat="1">
      <c r="CF13630" s="239"/>
      <c r="CM13630" s="336"/>
    </row>
    <row r="13631" spans="84:91" s="51" customFormat="1">
      <c r="CF13631" s="239"/>
      <c r="CM13631" s="336"/>
    </row>
    <row r="13632" spans="84:91" s="51" customFormat="1">
      <c r="CF13632" s="239"/>
      <c r="CM13632" s="336"/>
    </row>
    <row r="13633" spans="84:91" s="51" customFormat="1">
      <c r="CF13633" s="239"/>
      <c r="CM13633" s="336"/>
    </row>
    <row r="13634" spans="84:91" s="51" customFormat="1">
      <c r="CF13634" s="239"/>
      <c r="CM13634" s="336"/>
    </row>
    <row r="13635" spans="84:91" s="51" customFormat="1">
      <c r="CF13635" s="239"/>
      <c r="CM13635" s="336"/>
    </row>
    <row r="13636" spans="84:91" s="51" customFormat="1">
      <c r="CF13636" s="239"/>
      <c r="CM13636" s="336"/>
    </row>
    <row r="13637" spans="84:91" s="51" customFormat="1">
      <c r="CF13637" s="239"/>
      <c r="CM13637" s="336"/>
    </row>
    <row r="13638" spans="84:91" s="51" customFormat="1">
      <c r="CF13638" s="239"/>
      <c r="CM13638" s="336"/>
    </row>
    <row r="13639" spans="84:91" s="51" customFormat="1">
      <c r="CF13639" s="239"/>
      <c r="CM13639" s="336"/>
    </row>
    <row r="13640" spans="84:91" s="51" customFormat="1">
      <c r="CF13640" s="239"/>
      <c r="CM13640" s="336"/>
    </row>
    <row r="13641" spans="84:91" s="51" customFormat="1">
      <c r="CF13641" s="239"/>
      <c r="CM13641" s="336"/>
    </row>
    <row r="13642" spans="84:91" s="51" customFormat="1">
      <c r="CF13642" s="239"/>
      <c r="CM13642" s="336"/>
    </row>
    <row r="13643" spans="84:91" s="51" customFormat="1">
      <c r="CF13643" s="239"/>
      <c r="CM13643" s="336"/>
    </row>
    <row r="13644" spans="84:91" s="51" customFormat="1">
      <c r="CF13644" s="239"/>
      <c r="CM13644" s="336"/>
    </row>
    <row r="13645" spans="84:91" s="51" customFormat="1">
      <c r="CF13645" s="239"/>
      <c r="CM13645" s="336"/>
    </row>
    <row r="13646" spans="84:91" s="51" customFormat="1">
      <c r="CF13646" s="239"/>
      <c r="CM13646" s="336"/>
    </row>
    <row r="13647" spans="84:91" s="51" customFormat="1">
      <c r="CF13647" s="239"/>
      <c r="CM13647" s="336"/>
    </row>
    <row r="13648" spans="84:91" s="51" customFormat="1">
      <c r="CF13648" s="239"/>
      <c r="CM13648" s="336"/>
    </row>
    <row r="13649" spans="84:91" s="51" customFormat="1">
      <c r="CF13649" s="239"/>
      <c r="CM13649" s="336"/>
    </row>
    <row r="13650" spans="84:91" s="51" customFormat="1">
      <c r="CF13650" s="239"/>
      <c r="CM13650" s="336"/>
    </row>
    <row r="13651" spans="84:91" s="51" customFormat="1">
      <c r="CF13651" s="239"/>
      <c r="CM13651" s="336"/>
    </row>
    <row r="13652" spans="84:91" s="51" customFormat="1">
      <c r="CF13652" s="239"/>
      <c r="CM13652" s="336"/>
    </row>
    <row r="13653" spans="84:91" s="51" customFormat="1">
      <c r="CF13653" s="239"/>
      <c r="CM13653" s="336"/>
    </row>
    <row r="13654" spans="84:91" s="51" customFormat="1">
      <c r="CF13654" s="239"/>
      <c r="CM13654" s="336"/>
    </row>
    <row r="13655" spans="84:91" s="51" customFormat="1">
      <c r="CF13655" s="239"/>
      <c r="CM13655" s="336"/>
    </row>
    <row r="13656" spans="84:91" s="51" customFormat="1">
      <c r="CF13656" s="239"/>
      <c r="CM13656" s="336"/>
    </row>
    <row r="13657" spans="84:91" s="51" customFormat="1">
      <c r="CF13657" s="239"/>
      <c r="CM13657" s="336"/>
    </row>
    <row r="13658" spans="84:91" s="51" customFormat="1">
      <c r="CF13658" s="239"/>
      <c r="CM13658" s="336"/>
    </row>
    <row r="13659" spans="84:91" s="51" customFormat="1">
      <c r="CF13659" s="239"/>
      <c r="CM13659" s="336"/>
    </row>
    <row r="13660" spans="84:91" s="51" customFormat="1">
      <c r="CF13660" s="239"/>
      <c r="CM13660" s="336"/>
    </row>
    <row r="13661" spans="84:91" s="51" customFormat="1">
      <c r="CF13661" s="239"/>
      <c r="CM13661" s="336"/>
    </row>
    <row r="13662" spans="84:91" s="51" customFormat="1">
      <c r="CF13662" s="239"/>
      <c r="CM13662" s="336"/>
    </row>
    <row r="13663" spans="84:91" s="51" customFormat="1">
      <c r="CF13663" s="239"/>
      <c r="CM13663" s="336"/>
    </row>
    <row r="13664" spans="84:91" s="51" customFormat="1">
      <c r="CF13664" s="239"/>
      <c r="CM13664" s="336"/>
    </row>
    <row r="13665" spans="84:91" s="51" customFormat="1">
      <c r="CF13665" s="239"/>
      <c r="CM13665" s="336"/>
    </row>
    <row r="13666" spans="84:91" s="51" customFormat="1">
      <c r="CF13666" s="239"/>
      <c r="CM13666" s="336"/>
    </row>
    <row r="13667" spans="84:91" s="51" customFormat="1">
      <c r="CF13667" s="239"/>
      <c r="CM13667" s="336"/>
    </row>
    <row r="13668" spans="84:91" s="51" customFormat="1">
      <c r="CF13668" s="239"/>
      <c r="CM13668" s="336"/>
    </row>
    <row r="13669" spans="84:91" s="51" customFormat="1">
      <c r="CF13669" s="239"/>
      <c r="CM13669" s="336"/>
    </row>
    <row r="13670" spans="84:91" s="51" customFormat="1">
      <c r="CF13670" s="239"/>
      <c r="CM13670" s="336"/>
    </row>
    <row r="13671" spans="84:91" s="51" customFormat="1">
      <c r="CF13671" s="239"/>
      <c r="CM13671" s="336"/>
    </row>
    <row r="13672" spans="84:91" s="51" customFormat="1">
      <c r="CF13672" s="239"/>
      <c r="CM13672" s="336"/>
    </row>
    <row r="13673" spans="84:91" s="51" customFormat="1">
      <c r="CF13673" s="239"/>
      <c r="CM13673" s="336"/>
    </row>
    <row r="13674" spans="84:91" s="51" customFormat="1">
      <c r="CF13674" s="239"/>
      <c r="CM13674" s="336"/>
    </row>
    <row r="13675" spans="84:91" s="51" customFormat="1">
      <c r="CF13675" s="239"/>
      <c r="CM13675" s="336"/>
    </row>
    <row r="13676" spans="84:91" s="51" customFormat="1">
      <c r="CF13676" s="239"/>
      <c r="CM13676" s="336"/>
    </row>
    <row r="13677" spans="84:91" s="51" customFormat="1">
      <c r="CF13677" s="239"/>
      <c r="CM13677" s="336"/>
    </row>
    <row r="13678" spans="84:91" s="51" customFormat="1">
      <c r="CF13678" s="239"/>
      <c r="CM13678" s="336"/>
    </row>
    <row r="13679" spans="84:91" s="51" customFormat="1">
      <c r="CF13679" s="239"/>
      <c r="CM13679" s="336"/>
    </row>
    <row r="13680" spans="84:91" s="51" customFormat="1">
      <c r="CF13680" s="239"/>
      <c r="CM13680" s="336"/>
    </row>
    <row r="13681" spans="84:91" s="51" customFormat="1">
      <c r="CF13681" s="239"/>
      <c r="CM13681" s="336"/>
    </row>
    <row r="13682" spans="84:91" s="51" customFormat="1">
      <c r="CF13682" s="239"/>
      <c r="CM13682" s="336"/>
    </row>
    <row r="13683" spans="84:91" s="51" customFormat="1">
      <c r="CF13683" s="239"/>
      <c r="CM13683" s="336"/>
    </row>
    <row r="13684" spans="84:91" s="51" customFormat="1">
      <c r="CF13684" s="239"/>
      <c r="CM13684" s="336"/>
    </row>
    <row r="13685" spans="84:91" s="51" customFormat="1">
      <c r="CF13685" s="239"/>
      <c r="CM13685" s="336"/>
    </row>
    <row r="13686" spans="84:91" s="51" customFormat="1">
      <c r="CF13686" s="239"/>
      <c r="CM13686" s="336"/>
    </row>
    <row r="13687" spans="84:91" s="51" customFormat="1">
      <c r="CF13687" s="239"/>
      <c r="CM13687" s="336"/>
    </row>
    <row r="13688" spans="84:91" s="51" customFormat="1">
      <c r="CF13688" s="239"/>
      <c r="CM13688" s="336"/>
    </row>
    <row r="13689" spans="84:91" s="51" customFormat="1">
      <c r="CF13689" s="239"/>
      <c r="CM13689" s="336"/>
    </row>
    <row r="13690" spans="84:91" s="51" customFormat="1">
      <c r="CF13690" s="239"/>
      <c r="CM13690" s="336"/>
    </row>
    <row r="13691" spans="84:91" s="51" customFormat="1">
      <c r="CF13691" s="239"/>
      <c r="CM13691" s="336"/>
    </row>
    <row r="13692" spans="84:91" s="51" customFormat="1">
      <c r="CF13692" s="239"/>
      <c r="CM13692" s="336"/>
    </row>
    <row r="13693" spans="84:91" s="51" customFormat="1">
      <c r="CF13693" s="239"/>
      <c r="CM13693" s="336"/>
    </row>
    <row r="13694" spans="84:91" s="51" customFormat="1">
      <c r="CF13694" s="239"/>
      <c r="CM13694" s="336"/>
    </row>
    <row r="13695" spans="84:91" s="51" customFormat="1">
      <c r="CF13695" s="239"/>
      <c r="CM13695" s="336"/>
    </row>
    <row r="13696" spans="84:91" s="51" customFormat="1">
      <c r="CF13696" s="239"/>
      <c r="CM13696" s="336"/>
    </row>
    <row r="13697" spans="84:91" s="51" customFormat="1">
      <c r="CF13697" s="239"/>
      <c r="CM13697" s="336"/>
    </row>
    <row r="13698" spans="84:91" s="51" customFormat="1">
      <c r="CF13698" s="239"/>
      <c r="CM13698" s="336"/>
    </row>
    <row r="13699" spans="84:91" s="51" customFormat="1">
      <c r="CF13699" s="239"/>
      <c r="CM13699" s="336"/>
    </row>
    <row r="13700" spans="84:91" s="51" customFormat="1">
      <c r="CF13700" s="239"/>
      <c r="CM13700" s="336"/>
    </row>
    <row r="13701" spans="84:91" s="51" customFormat="1">
      <c r="CF13701" s="239"/>
      <c r="CM13701" s="336"/>
    </row>
    <row r="13702" spans="84:91" s="51" customFormat="1">
      <c r="CF13702" s="239"/>
      <c r="CM13702" s="336"/>
    </row>
    <row r="13703" spans="84:91" s="51" customFormat="1">
      <c r="CF13703" s="239"/>
      <c r="CM13703" s="336"/>
    </row>
    <row r="13704" spans="84:91" s="51" customFormat="1">
      <c r="CF13704" s="239"/>
      <c r="CM13704" s="336"/>
    </row>
    <row r="13705" spans="84:91" s="51" customFormat="1">
      <c r="CF13705" s="239"/>
      <c r="CM13705" s="336"/>
    </row>
    <row r="13706" spans="84:91" s="51" customFormat="1">
      <c r="CF13706" s="239"/>
      <c r="CM13706" s="336"/>
    </row>
    <row r="13707" spans="84:91" s="51" customFormat="1">
      <c r="CF13707" s="239"/>
      <c r="CM13707" s="336"/>
    </row>
    <row r="13708" spans="84:91" s="51" customFormat="1">
      <c r="CF13708" s="239"/>
      <c r="CM13708" s="336"/>
    </row>
    <row r="13709" spans="84:91" s="51" customFormat="1">
      <c r="CF13709" s="239"/>
      <c r="CM13709" s="336"/>
    </row>
    <row r="13710" spans="84:91" s="51" customFormat="1">
      <c r="CF13710" s="239"/>
      <c r="CM13710" s="336"/>
    </row>
    <row r="13711" spans="84:91" s="51" customFormat="1">
      <c r="CF13711" s="239"/>
      <c r="CM13711" s="336"/>
    </row>
    <row r="13712" spans="84:91" s="51" customFormat="1">
      <c r="CF13712" s="239"/>
      <c r="CM13712" s="336"/>
    </row>
    <row r="13713" spans="84:91" s="51" customFormat="1">
      <c r="CF13713" s="239"/>
      <c r="CM13713" s="336"/>
    </row>
    <row r="13714" spans="84:91" s="51" customFormat="1">
      <c r="CF13714" s="239"/>
      <c r="CM13714" s="336"/>
    </row>
    <row r="13715" spans="84:91" s="51" customFormat="1">
      <c r="CF13715" s="239"/>
      <c r="CM13715" s="336"/>
    </row>
    <row r="13716" spans="84:91" s="51" customFormat="1">
      <c r="CF13716" s="239"/>
      <c r="CM13716" s="336"/>
    </row>
    <row r="13717" spans="84:91" s="51" customFormat="1">
      <c r="CF13717" s="239"/>
      <c r="CM13717" s="336"/>
    </row>
    <row r="13718" spans="84:91" s="51" customFormat="1">
      <c r="CF13718" s="239"/>
      <c r="CM13718" s="336"/>
    </row>
    <row r="13719" spans="84:91" s="51" customFormat="1">
      <c r="CF13719" s="239"/>
      <c r="CM13719" s="336"/>
    </row>
    <row r="13720" spans="84:91" s="51" customFormat="1">
      <c r="CF13720" s="239"/>
      <c r="CM13720" s="336"/>
    </row>
    <row r="13721" spans="84:91" s="51" customFormat="1">
      <c r="CF13721" s="239"/>
      <c r="CM13721" s="336"/>
    </row>
    <row r="13722" spans="84:91" s="51" customFormat="1">
      <c r="CF13722" s="239"/>
      <c r="CM13722" s="336"/>
    </row>
    <row r="13723" spans="84:91" s="51" customFormat="1">
      <c r="CF13723" s="239"/>
      <c r="CM13723" s="336"/>
    </row>
    <row r="13724" spans="84:91" s="51" customFormat="1">
      <c r="CF13724" s="239"/>
      <c r="CM13724" s="336"/>
    </row>
    <row r="13725" spans="84:91" s="51" customFormat="1">
      <c r="CF13725" s="239"/>
      <c r="CM13725" s="336"/>
    </row>
    <row r="13726" spans="84:91" s="51" customFormat="1">
      <c r="CF13726" s="239"/>
      <c r="CM13726" s="336"/>
    </row>
    <row r="13727" spans="84:91" s="51" customFormat="1">
      <c r="CF13727" s="239"/>
      <c r="CM13727" s="336"/>
    </row>
    <row r="13728" spans="84:91" s="51" customFormat="1">
      <c r="CF13728" s="239"/>
      <c r="CM13728" s="336"/>
    </row>
    <row r="13729" spans="84:91" s="51" customFormat="1">
      <c r="CF13729" s="239"/>
      <c r="CM13729" s="336"/>
    </row>
    <row r="13730" spans="84:91" s="51" customFormat="1">
      <c r="CF13730" s="239"/>
      <c r="CM13730" s="336"/>
    </row>
    <row r="13731" spans="84:91" s="51" customFormat="1">
      <c r="CF13731" s="239"/>
      <c r="CM13731" s="336"/>
    </row>
    <row r="13732" spans="84:91" s="51" customFormat="1">
      <c r="CF13732" s="239"/>
      <c r="CM13732" s="336"/>
    </row>
    <row r="13733" spans="84:91" s="51" customFormat="1">
      <c r="CF13733" s="239"/>
      <c r="CM13733" s="336"/>
    </row>
    <row r="13734" spans="84:91" s="51" customFormat="1">
      <c r="CF13734" s="239"/>
      <c r="CM13734" s="336"/>
    </row>
    <row r="13735" spans="84:91" s="51" customFormat="1">
      <c r="CF13735" s="239"/>
      <c r="CM13735" s="336"/>
    </row>
    <row r="13736" spans="84:91" s="51" customFormat="1">
      <c r="CF13736" s="239"/>
      <c r="CM13736" s="336"/>
    </row>
    <row r="13737" spans="84:91" s="51" customFormat="1">
      <c r="CF13737" s="239"/>
      <c r="CM13737" s="336"/>
    </row>
    <row r="13738" spans="84:91" s="51" customFormat="1">
      <c r="CF13738" s="239"/>
      <c r="CM13738" s="336"/>
    </row>
    <row r="13739" spans="84:91" s="51" customFormat="1">
      <c r="CF13739" s="239"/>
      <c r="CM13739" s="336"/>
    </row>
    <row r="13740" spans="84:91" s="51" customFormat="1">
      <c r="CF13740" s="239"/>
      <c r="CM13740" s="336"/>
    </row>
    <row r="13741" spans="84:91" s="51" customFormat="1">
      <c r="CF13741" s="239"/>
      <c r="CM13741" s="336"/>
    </row>
    <row r="13742" spans="84:91" s="51" customFormat="1">
      <c r="CF13742" s="239"/>
      <c r="CM13742" s="336"/>
    </row>
    <row r="13743" spans="84:91" s="51" customFormat="1">
      <c r="CF13743" s="239"/>
      <c r="CM13743" s="336"/>
    </row>
    <row r="13744" spans="84:91" s="51" customFormat="1">
      <c r="CF13744" s="239"/>
      <c r="CM13744" s="336"/>
    </row>
    <row r="13745" spans="84:91" s="51" customFormat="1">
      <c r="CF13745" s="239"/>
      <c r="CM13745" s="336"/>
    </row>
    <row r="13746" spans="84:91" s="51" customFormat="1">
      <c r="CF13746" s="239"/>
      <c r="CM13746" s="336"/>
    </row>
    <row r="13747" spans="84:91" s="51" customFormat="1">
      <c r="CF13747" s="239"/>
      <c r="CM13747" s="336"/>
    </row>
    <row r="13748" spans="84:91" s="51" customFormat="1">
      <c r="CF13748" s="239"/>
      <c r="CM13748" s="336"/>
    </row>
    <row r="13749" spans="84:91" s="51" customFormat="1">
      <c r="CF13749" s="239"/>
      <c r="CM13749" s="336"/>
    </row>
    <row r="13750" spans="84:91" s="51" customFormat="1">
      <c r="CF13750" s="239"/>
      <c r="CM13750" s="336"/>
    </row>
    <row r="13751" spans="84:91" s="51" customFormat="1">
      <c r="CF13751" s="239"/>
      <c r="CM13751" s="336"/>
    </row>
    <row r="13752" spans="84:91" s="51" customFormat="1">
      <c r="CF13752" s="239"/>
      <c r="CM13752" s="336"/>
    </row>
    <row r="13753" spans="84:91" s="51" customFormat="1">
      <c r="CF13753" s="239"/>
      <c r="CM13753" s="336"/>
    </row>
    <row r="13754" spans="84:91" s="51" customFormat="1">
      <c r="CF13754" s="239"/>
      <c r="CM13754" s="336"/>
    </row>
    <row r="13755" spans="84:91" s="51" customFormat="1">
      <c r="CF13755" s="239"/>
      <c r="CM13755" s="336"/>
    </row>
    <row r="13756" spans="84:91" s="51" customFormat="1">
      <c r="CF13756" s="239"/>
      <c r="CM13756" s="336"/>
    </row>
    <row r="13757" spans="84:91" s="51" customFormat="1">
      <c r="CF13757" s="239"/>
      <c r="CM13757" s="336"/>
    </row>
    <row r="13758" spans="84:91" s="51" customFormat="1">
      <c r="CF13758" s="239"/>
      <c r="CM13758" s="336"/>
    </row>
    <row r="13759" spans="84:91" s="51" customFormat="1">
      <c r="CF13759" s="239"/>
      <c r="CM13759" s="336"/>
    </row>
    <row r="13760" spans="84:91" s="51" customFormat="1">
      <c r="CF13760" s="239"/>
      <c r="CM13760" s="336"/>
    </row>
    <row r="13761" spans="84:91" s="51" customFormat="1">
      <c r="CF13761" s="239"/>
      <c r="CM13761" s="336"/>
    </row>
    <row r="13762" spans="84:91" s="51" customFormat="1">
      <c r="CF13762" s="239"/>
      <c r="CM13762" s="336"/>
    </row>
    <row r="13763" spans="84:91" s="51" customFormat="1">
      <c r="CF13763" s="239"/>
      <c r="CM13763" s="336"/>
    </row>
    <row r="13764" spans="84:91" s="51" customFormat="1">
      <c r="CF13764" s="239"/>
      <c r="CM13764" s="336"/>
    </row>
    <row r="13765" spans="84:91" s="51" customFormat="1">
      <c r="CF13765" s="239"/>
      <c r="CM13765" s="336"/>
    </row>
    <row r="13766" spans="84:91" s="51" customFormat="1">
      <c r="CF13766" s="239"/>
      <c r="CM13766" s="336"/>
    </row>
    <row r="13767" spans="84:91" s="51" customFormat="1">
      <c r="CF13767" s="239"/>
      <c r="CM13767" s="336"/>
    </row>
    <row r="13768" spans="84:91" s="51" customFormat="1">
      <c r="CF13768" s="239"/>
      <c r="CM13768" s="336"/>
    </row>
    <row r="13769" spans="84:91" s="51" customFormat="1">
      <c r="CF13769" s="239"/>
      <c r="CM13769" s="336"/>
    </row>
    <row r="13770" spans="84:91" s="51" customFormat="1">
      <c r="CF13770" s="239"/>
      <c r="CM13770" s="336"/>
    </row>
    <row r="13771" spans="84:91" s="51" customFormat="1">
      <c r="CF13771" s="239"/>
      <c r="CM13771" s="336"/>
    </row>
    <row r="13772" spans="84:91" s="51" customFormat="1">
      <c r="CF13772" s="239"/>
      <c r="CM13772" s="336"/>
    </row>
    <row r="13773" spans="84:91" s="51" customFormat="1">
      <c r="CF13773" s="239"/>
      <c r="CM13773" s="336"/>
    </row>
    <row r="13774" spans="84:91" s="51" customFormat="1">
      <c r="CF13774" s="239"/>
      <c r="CM13774" s="336"/>
    </row>
    <row r="13775" spans="84:91" s="51" customFormat="1">
      <c r="CF13775" s="239"/>
      <c r="CM13775" s="336"/>
    </row>
    <row r="13776" spans="84:91" s="51" customFormat="1">
      <c r="CF13776" s="239"/>
      <c r="CM13776" s="336"/>
    </row>
    <row r="13777" spans="84:91" s="51" customFormat="1">
      <c r="CF13777" s="239"/>
      <c r="CM13777" s="336"/>
    </row>
    <row r="13778" spans="84:91" s="51" customFormat="1">
      <c r="CF13778" s="239"/>
      <c r="CM13778" s="336"/>
    </row>
    <row r="13779" spans="84:91" s="51" customFormat="1">
      <c r="CF13779" s="239"/>
      <c r="CM13779" s="336"/>
    </row>
    <row r="13780" spans="84:91" s="51" customFormat="1">
      <c r="CF13780" s="239"/>
      <c r="CM13780" s="336"/>
    </row>
    <row r="13781" spans="84:91" s="51" customFormat="1">
      <c r="CF13781" s="239"/>
      <c r="CM13781" s="336"/>
    </row>
    <row r="13782" spans="84:91" s="51" customFormat="1">
      <c r="CF13782" s="239"/>
      <c r="CM13782" s="336"/>
    </row>
    <row r="13783" spans="84:91" s="51" customFormat="1">
      <c r="CF13783" s="239"/>
      <c r="CM13783" s="336"/>
    </row>
    <row r="13784" spans="84:91" s="51" customFormat="1">
      <c r="CF13784" s="239"/>
      <c r="CM13784" s="336"/>
    </row>
    <row r="13785" spans="84:91" s="51" customFormat="1">
      <c r="CF13785" s="239"/>
      <c r="CM13785" s="336"/>
    </row>
    <row r="13786" spans="84:91" s="51" customFormat="1">
      <c r="CF13786" s="239"/>
      <c r="CM13786" s="336"/>
    </row>
    <row r="13787" spans="84:91" s="51" customFormat="1">
      <c r="CF13787" s="239"/>
      <c r="CM13787" s="336"/>
    </row>
    <row r="13788" spans="84:91" s="51" customFormat="1">
      <c r="CF13788" s="239"/>
      <c r="CM13788" s="336"/>
    </row>
    <row r="13789" spans="84:91" s="51" customFormat="1">
      <c r="CF13789" s="239"/>
      <c r="CM13789" s="336"/>
    </row>
    <row r="13790" spans="84:91" s="51" customFormat="1">
      <c r="CF13790" s="239"/>
      <c r="CM13790" s="336"/>
    </row>
    <row r="13791" spans="84:91" s="51" customFormat="1">
      <c r="CF13791" s="239"/>
      <c r="CM13791" s="336"/>
    </row>
    <row r="13792" spans="84:91" s="51" customFormat="1">
      <c r="CF13792" s="239"/>
      <c r="CM13792" s="336"/>
    </row>
    <row r="13793" spans="84:91" s="51" customFormat="1">
      <c r="CF13793" s="239"/>
      <c r="CM13793" s="336"/>
    </row>
    <row r="13794" spans="84:91" s="51" customFormat="1">
      <c r="CF13794" s="239"/>
      <c r="CM13794" s="336"/>
    </row>
    <row r="13795" spans="84:91" s="51" customFormat="1">
      <c r="CF13795" s="239"/>
      <c r="CM13795" s="336"/>
    </row>
    <row r="13796" spans="84:91" s="51" customFormat="1">
      <c r="CF13796" s="239"/>
      <c r="CM13796" s="336"/>
    </row>
    <row r="13797" spans="84:91" s="51" customFormat="1">
      <c r="CF13797" s="239"/>
      <c r="CM13797" s="336"/>
    </row>
    <row r="13798" spans="84:91" s="51" customFormat="1">
      <c r="CF13798" s="239"/>
      <c r="CM13798" s="336"/>
    </row>
    <row r="13799" spans="84:91" s="51" customFormat="1">
      <c r="CF13799" s="239"/>
      <c r="CM13799" s="336"/>
    </row>
    <row r="13800" spans="84:91" s="51" customFormat="1">
      <c r="CF13800" s="239"/>
      <c r="CM13800" s="336"/>
    </row>
    <row r="13801" spans="84:91" s="51" customFormat="1">
      <c r="CF13801" s="239"/>
      <c r="CM13801" s="336"/>
    </row>
    <row r="13802" spans="84:91" s="51" customFormat="1">
      <c r="CF13802" s="239"/>
      <c r="CM13802" s="336"/>
    </row>
    <row r="13803" spans="84:91" s="51" customFormat="1">
      <c r="CF13803" s="239"/>
      <c r="CM13803" s="336"/>
    </row>
    <row r="13804" spans="84:91" s="51" customFormat="1">
      <c r="CF13804" s="239"/>
      <c r="CM13804" s="336"/>
    </row>
    <row r="13805" spans="84:91" s="51" customFormat="1">
      <c r="CF13805" s="239"/>
      <c r="CM13805" s="336"/>
    </row>
    <row r="13806" spans="84:91" s="51" customFormat="1">
      <c r="CF13806" s="239"/>
      <c r="CM13806" s="336"/>
    </row>
    <row r="13807" spans="84:91" s="51" customFormat="1">
      <c r="CF13807" s="239"/>
      <c r="CM13807" s="336"/>
    </row>
    <row r="13808" spans="84:91" s="51" customFormat="1">
      <c r="CF13808" s="239"/>
      <c r="CM13808" s="336"/>
    </row>
    <row r="13809" spans="84:91" s="51" customFormat="1">
      <c r="CF13809" s="239"/>
      <c r="CM13809" s="336"/>
    </row>
    <row r="13810" spans="84:91" s="51" customFormat="1">
      <c r="CF13810" s="239"/>
      <c r="CM13810" s="336"/>
    </row>
    <row r="13811" spans="84:91" s="51" customFormat="1">
      <c r="CF13811" s="239"/>
      <c r="CM13811" s="336"/>
    </row>
    <row r="13812" spans="84:91" s="51" customFormat="1">
      <c r="CF13812" s="239"/>
      <c r="CM13812" s="336"/>
    </row>
    <row r="13813" spans="84:91" s="51" customFormat="1">
      <c r="CF13813" s="239"/>
      <c r="CM13813" s="336"/>
    </row>
    <row r="13814" spans="84:91" s="51" customFormat="1">
      <c r="CF13814" s="239"/>
      <c r="CM13814" s="336"/>
    </row>
    <row r="13815" spans="84:91" s="51" customFormat="1">
      <c r="CF13815" s="239"/>
      <c r="CM13815" s="336"/>
    </row>
    <row r="13816" spans="84:91" s="51" customFormat="1">
      <c r="CF13816" s="239"/>
      <c r="CM13816" s="336"/>
    </row>
    <row r="13817" spans="84:91" s="51" customFormat="1">
      <c r="CF13817" s="239"/>
      <c r="CM13817" s="336"/>
    </row>
    <row r="13818" spans="84:91" s="51" customFormat="1">
      <c r="CF13818" s="239"/>
      <c r="CM13818" s="336"/>
    </row>
    <row r="13819" spans="84:91" s="51" customFormat="1">
      <c r="CF13819" s="239"/>
      <c r="CM13819" s="336"/>
    </row>
    <row r="13820" spans="84:91" s="51" customFormat="1">
      <c r="CF13820" s="239"/>
      <c r="CM13820" s="336"/>
    </row>
    <row r="13821" spans="84:91" s="51" customFormat="1">
      <c r="CF13821" s="239"/>
      <c r="CM13821" s="336"/>
    </row>
    <row r="13822" spans="84:91" s="51" customFormat="1">
      <c r="CF13822" s="239"/>
      <c r="CM13822" s="336"/>
    </row>
    <row r="13823" spans="84:91" s="51" customFormat="1">
      <c r="CF13823" s="239"/>
      <c r="CM13823" s="336"/>
    </row>
    <row r="13824" spans="84:91" s="51" customFormat="1">
      <c r="CF13824" s="239"/>
      <c r="CM13824" s="336"/>
    </row>
    <row r="13825" spans="84:91" s="51" customFormat="1">
      <c r="CF13825" s="239"/>
      <c r="CM13825" s="336"/>
    </row>
    <row r="13826" spans="84:91" s="51" customFormat="1">
      <c r="CF13826" s="239"/>
      <c r="CM13826" s="336"/>
    </row>
    <row r="13827" spans="84:91" s="51" customFormat="1">
      <c r="CF13827" s="239"/>
      <c r="CM13827" s="336"/>
    </row>
    <row r="13828" spans="84:91" s="51" customFormat="1">
      <c r="CF13828" s="239"/>
      <c r="CM13828" s="336"/>
    </row>
    <row r="13829" spans="84:91" s="51" customFormat="1">
      <c r="CF13829" s="239"/>
      <c r="CM13829" s="336"/>
    </row>
    <row r="13830" spans="84:91" s="51" customFormat="1">
      <c r="CF13830" s="239"/>
      <c r="CM13830" s="336"/>
    </row>
    <row r="13831" spans="84:91" s="51" customFormat="1">
      <c r="CF13831" s="239"/>
      <c r="CM13831" s="336"/>
    </row>
    <row r="13832" spans="84:91" s="51" customFormat="1">
      <c r="CF13832" s="239"/>
      <c r="CM13832" s="336"/>
    </row>
    <row r="13833" spans="84:91" s="51" customFormat="1">
      <c r="CF13833" s="239"/>
      <c r="CM13833" s="336"/>
    </row>
    <row r="13834" spans="84:91" s="51" customFormat="1">
      <c r="CF13834" s="239"/>
      <c r="CM13834" s="336"/>
    </row>
    <row r="13835" spans="84:91" s="51" customFormat="1">
      <c r="CF13835" s="239"/>
      <c r="CM13835" s="336"/>
    </row>
    <row r="13836" spans="84:91" s="51" customFormat="1">
      <c r="CF13836" s="239"/>
      <c r="CM13836" s="336"/>
    </row>
    <row r="13837" spans="84:91" s="51" customFormat="1">
      <c r="CF13837" s="239"/>
      <c r="CM13837" s="336"/>
    </row>
    <row r="13838" spans="84:91" s="51" customFormat="1">
      <c r="CF13838" s="239"/>
      <c r="CM13838" s="336"/>
    </row>
    <row r="13839" spans="84:91" s="51" customFormat="1">
      <c r="CF13839" s="239"/>
      <c r="CM13839" s="336"/>
    </row>
    <row r="13840" spans="84:91" s="51" customFormat="1">
      <c r="CF13840" s="239"/>
      <c r="CM13840" s="336"/>
    </row>
    <row r="13841" spans="84:91" s="51" customFormat="1">
      <c r="CF13841" s="239"/>
      <c r="CM13841" s="336"/>
    </row>
    <row r="13842" spans="84:91" s="51" customFormat="1">
      <c r="CF13842" s="239"/>
      <c r="CM13842" s="336"/>
    </row>
    <row r="13843" spans="84:91" s="51" customFormat="1">
      <c r="CF13843" s="239"/>
      <c r="CM13843" s="336"/>
    </row>
    <row r="13844" spans="84:91" s="51" customFormat="1">
      <c r="CF13844" s="239"/>
      <c r="CM13844" s="336"/>
    </row>
    <row r="13845" spans="84:91" s="51" customFormat="1">
      <c r="CF13845" s="239"/>
      <c r="CM13845" s="336"/>
    </row>
    <row r="13846" spans="84:91" s="51" customFormat="1">
      <c r="CF13846" s="239"/>
      <c r="CM13846" s="336"/>
    </row>
    <row r="13847" spans="84:91" s="51" customFormat="1">
      <c r="CF13847" s="239"/>
      <c r="CM13847" s="336"/>
    </row>
    <row r="13848" spans="84:91" s="51" customFormat="1">
      <c r="CF13848" s="239"/>
      <c r="CM13848" s="336"/>
    </row>
    <row r="13849" spans="84:91" s="51" customFormat="1">
      <c r="CF13849" s="239"/>
      <c r="CM13849" s="336"/>
    </row>
    <row r="13850" spans="84:91" s="51" customFormat="1">
      <c r="CF13850" s="239"/>
      <c r="CM13850" s="336"/>
    </row>
    <row r="13851" spans="84:91" s="51" customFormat="1">
      <c r="CF13851" s="239"/>
      <c r="CM13851" s="336"/>
    </row>
    <row r="13852" spans="84:91" s="51" customFormat="1">
      <c r="CF13852" s="239"/>
      <c r="CM13852" s="336"/>
    </row>
    <row r="13853" spans="84:91" s="51" customFormat="1">
      <c r="CF13853" s="239"/>
      <c r="CM13853" s="336"/>
    </row>
    <row r="13854" spans="84:91" s="51" customFormat="1">
      <c r="CF13854" s="239"/>
      <c r="CM13854" s="336"/>
    </row>
    <row r="13855" spans="84:91" s="51" customFormat="1">
      <c r="CF13855" s="239"/>
      <c r="CM13855" s="336"/>
    </row>
    <row r="13856" spans="84:91" s="51" customFormat="1">
      <c r="CF13856" s="239"/>
      <c r="CM13856" s="336"/>
    </row>
    <row r="13857" spans="84:91" s="51" customFormat="1">
      <c r="CF13857" s="239"/>
      <c r="CM13857" s="336"/>
    </row>
    <row r="13858" spans="84:91" s="51" customFormat="1">
      <c r="CF13858" s="239"/>
      <c r="CM13858" s="336"/>
    </row>
    <row r="13859" spans="84:91" s="51" customFormat="1">
      <c r="CF13859" s="239"/>
      <c r="CM13859" s="336"/>
    </row>
    <row r="13860" spans="84:91" s="51" customFormat="1">
      <c r="CF13860" s="239"/>
      <c r="CM13860" s="336"/>
    </row>
    <row r="13861" spans="84:91" s="51" customFormat="1">
      <c r="CF13861" s="239"/>
      <c r="CM13861" s="336"/>
    </row>
    <row r="13862" spans="84:91" s="51" customFormat="1">
      <c r="CF13862" s="239"/>
      <c r="CM13862" s="336"/>
    </row>
    <row r="13863" spans="84:91" s="51" customFormat="1">
      <c r="CF13863" s="239"/>
      <c r="CM13863" s="336"/>
    </row>
    <row r="13864" spans="84:91" s="51" customFormat="1">
      <c r="CF13864" s="239"/>
      <c r="CM13864" s="336"/>
    </row>
    <row r="13865" spans="84:91" s="51" customFormat="1">
      <c r="CF13865" s="239"/>
      <c r="CM13865" s="336"/>
    </row>
    <row r="13866" spans="84:91" s="51" customFormat="1">
      <c r="CF13866" s="239"/>
      <c r="CM13866" s="336"/>
    </row>
    <row r="13867" spans="84:91" s="51" customFormat="1">
      <c r="CF13867" s="239"/>
      <c r="CM13867" s="336"/>
    </row>
    <row r="13868" spans="84:91" s="51" customFormat="1">
      <c r="CF13868" s="239"/>
      <c r="CM13868" s="336"/>
    </row>
    <row r="13869" spans="84:91" s="51" customFormat="1">
      <c r="CF13869" s="239"/>
      <c r="CM13869" s="336"/>
    </row>
    <row r="13870" spans="84:91" s="51" customFormat="1">
      <c r="CF13870" s="239"/>
      <c r="CM13870" s="336"/>
    </row>
    <row r="13871" spans="84:91" s="51" customFormat="1">
      <c r="CF13871" s="239"/>
      <c r="CM13871" s="336"/>
    </row>
    <row r="13872" spans="84:91" s="51" customFormat="1">
      <c r="CF13872" s="239"/>
      <c r="CM13872" s="336"/>
    </row>
    <row r="13873" spans="84:91" s="51" customFormat="1">
      <c r="CF13873" s="239"/>
      <c r="CM13873" s="336"/>
    </row>
    <row r="13874" spans="84:91" s="51" customFormat="1">
      <c r="CF13874" s="239"/>
      <c r="CM13874" s="336"/>
    </row>
    <row r="13875" spans="84:91" s="51" customFormat="1">
      <c r="CF13875" s="239"/>
      <c r="CM13875" s="336"/>
    </row>
    <row r="13876" spans="84:91" s="51" customFormat="1">
      <c r="CF13876" s="239"/>
      <c r="CM13876" s="336"/>
    </row>
    <row r="13877" spans="84:91" s="51" customFormat="1">
      <c r="CF13877" s="239"/>
      <c r="CM13877" s="336"/>
    </row>
    <row r="13878" spans="84:91" s="51" customFormat="1">
      <c r="CF13878" s="239"/>
      <c r="CM13878" s="336"/>
    </row>
    <row r="13879" spans="84:91" s="51" customFormat="1">
      <c r="CF13879" s="239"/>
      <c r="CM13879" s="336"/>
    </row>
    <row r="13880" spans="84:91" s="51" customFormat="1">
      <c r="CF13880" s="239"/>
      <c r="CM13880" s="336"/>
    </row>
    <row r="13881" spans="84:91" s="51" customFormat="1">
      <c r="CF13881" s="239"/>
      <c r="CM13881" s="336"/>
    </row>
    <row r="13882" spans="84:91" s="51" customFormat="1">
      <c r="CF13882" s="239"/>
      <c r="CM13882" s="336"/>
    </row>
    <row r="13883" spans="84:91" s="51" customFormat="1">
      <c r="CF13883" s="239"/>
      <c r="CM13883" s="336"/>
    </row>
    <row r="13884" spans="84:91" s="51" customFormat="1">
      <c r="CF13884" s="239"/>
      <c r="CM13884" s="336"/>
    </row>
    <row r="13885" spans="84:91" s="51" customFormat="1">
      <c r="CF13885" s="239"/>
      <c r="CM13885" s="336"/>
    </row>
    <row r="13886" spans="84:91" s="51" customFormat="1">
      <c r="CF13886" s="239"/>
      <c r="CM13886" s="336"/>
    </row>
    <row r="13887" spans="84:91" s="51" customFormat="1">
      <c r="CF13887" s="239"/>
      <c r="CM13887" s="336"/>
    </row>
    <row r="13888" spans="84:91" s="51" customFormat="1">
      <c r="CF13888" s="239"/>
      <c r="CM13888" s="336"/>
    </row>
    <row r="13889" spans="84:91" s="51" customFormat="1">
      <c r="CF13889" s="239"/>
      <c r="CM13889" s="336"/>
    </row>
    <row r="13890" spans="84:91" s="51" customFormat="1">
      <c r="CF13890" s="239"/>
      <c r="CM13890" s="336"/>
    </row>
    <row r="13891" spans="84:91" s="51" customFormat="1">
      <c r="CF13891" s="239"/>
      <c r="CM13891" s="336"/>
    </row>
    <row r="13892" spans="84:91" s="51" customFormat="1">
      <c r="CF13892" s="239"/>
      <c r="CM13892" s="336"/>
    </row>
    <row r="13893" spans="84:91" s="51" customFormat="1">
      <c r="CF13893" s="239"/>
      <c r="CM13893" s="336"/>
    </row>
    <row r="13894" spans="84:91" s="51" customFormat="1">
      <c r="CF13894" s="239"/>
      <c r="CM13894" s="336"/>
    </row>
    <row r="13895" spans="84:91" s="51" customFormat="1">
      <c r="CF13895" s="239"/>
      <c r="CM13895" s="336"/>
    </row>
    <row r="13896" spans="84:91" s="51" customFormat="1">
      <c r="CF13896" s="239"/>
      <c r="CM13896" s="336"/>
    </row>
    <row r="13897" spans="84:91" s="51" customFormat="1">
      <c r="CF13897" s="239"/>
      <c r="CM13897" s="336"/>
    </row>
    <row r="13898" spans="84:91" s="51" customFormat="1">
      <c r="CF13898" s="239"/>
      <c r="CM13898" s="336"/>
    </row>
    <row r="13899" spans="84:91" s="51" customFormat="1">
      <c r="CF13899" s="239"/>
      <c r="CM13899" s="336"/>
    </row>
    <row r="13900" spans="84:91" s="51" customFormat="1">
      <c r="CF13900" s="239"/>
      <c r="CM13900" s="336"/>
    </row>
    <row r="13901" spans="84:91" s="51" customFormat="1">
      <c r="CF13901" s="239"/>
      <c r="CM13901" s="336"/>
    </row>
    <row r="13902" spans="84:91" s="51" customFormat="1">
      <c r="CF13902" s="239"/>
      <c r="CM13902" s="336"/>
    </row>
    <row r="13903" spans="84:91" s="51" customFormat="1">
      <c r="CF13903" s="239"/>
      <c r="CM13903" s="336"/>
    </row>
    <row r="13904" spans="84:91" s="51" customFormat="1">
      <c r="CF13904" s="239"/>
      <c r="CM13904" s="336"/>
    </row>
    <row r="13905" spans="84:91" s="51" customFormat="1">
      <c r="CF13905" s="239"/>
      <c r="CM13905" s="336"/>
    </row>
    <row r="13906" spans="84:91" s="51" customFormat="1">
      <c r="CF13906" s="239"/>
      <c r="CM13906" s="336"/>
    </row>
    <row r="13907" spans="84:91" s="51" customFormat="1">
      <c r="CF13907" s="239"/>
      <c r="CM13907" s="336"/>
    </row>
    <row r="13908" spans="84:91" s="51" customFormat="1">
      <c r="CF13908" s="239"/>
      <c r="CM13908" s="336"/>
    </row>
    <row r="13909" spans="84:91" s="51" customFormat="1">
      <c r="CF13909" s="239"/>
      <c r="CM13909" s="336"/>
    </row>
    <row r="13910" spans="84:91" s="51" customFormat="1">
      <c r="CF13910" s="239"/>
      <c r="CM13910" s="336"/>
    </row>
    <row r="13911" spans="84:91" s="51" customFormat="1">
      <c r="CF13911" s="239"/>
      <c r="CM13911" s="336"/>
    </row>
    <row r="13912" spans="84:91" s="51" customFormat="1">
      <c r="CF13912" s="239"/>
      <c r="CM13912" s="336"/>
    </row>
    <row r="13913" spans="84:91" s="51" customFormat="1">
      <c r="CF13913" s="239"/>
      <c r="CM13913" s="336"/>
    </row>
    <row r="13914" spans="84:91" s="51" customFormat="1">
      <c r="CF13914" s="239"/>
      <c r="CM13914" s="336"/>
    </row>
    <row r="13915" spans="84:91" s="51" customFormat="1">
      <c r="CF13915" s="239"/>
      <c r="CM13915" s="336"/>
    </row>
    <row r="13916" spans="84:91" s="51" customFormat="1">
      <c r="CF13916" s="239"/>
      <c r="CM13916" s="336"/>
    </row>
    <row r="13917" spans="84:91" s="51" customFormat="1">
      <c r="CF13917" s="239"/>
      <c r="CM13917" s="336"/>
    </row>
    <row r="13918" spans="84:91" s="51" customFormat="1">
      <c r="CF13918" s="239"/>
      <c r="CM13918" s="336"/>
    </row>
    <row r="13919" spans="84:91" s="51" customFormat="1">
      <c r="CF13919" s="239"/>
      <c r="CM13919" s="336"/>
    </row>
    <row r="13920" spans="84:91" s="51" customFormat="1">
      <c r="CF13920" s="239"/>
      <c r="CM13920" s="336"/>
    </row>
    <row r="13921" spans="84:91" s="51" customFormat="1">
      <c r="CF13921" s="239"/>
      <c r="CM13921" s="336"/>
    </row>
    <row r="13922" spans="84:91" s="51" customFormat="1">
      <c r="CF13922" s="239"/>
      <c r="CM13922" s="336"/>
    </row>
    <row r="13923" spans="84:91" s="51" customFormat="1">
      <c r="CF13923" s="239"/>
      <c r="CM13923" s="336"/>
    </row>
    <row r="13924" spans="84:91" s="51" customFormat="1">
      <c r="CF13924" s="239"/>
      <c r="CM13924" s="336"/>
    </row>
    <row r="13925" spans="84:91" s="51" customFormat="1">
      <c r="CF13925" s="239"/>
      <c r="CM13925" s="336"/>
    </row>
    <row r="13926" spans="84:91" s="51" customFormat="1">
      <c r="CF13926" s="239"/>
      <c r="CM13926" s="336"/>
    </row>
    <row r="13927" spans="84:91" s="51" customFormat="1">
      <c r="CF13927" s="239"/>
      <c r="CM13927" s="336"/>
    </row>
    <row r="13928" spans="84:91" s="51" customFormat="1">
      <c r="CF13928" s="239"/>
      <c r="CM13928" s="336"/>
    </row>
    <row r="13929" spans="84:91" s="51" customFormat="1">
      <c r="CF13929" s="239"/>
      <c r="CM13929" s="336"/>
    </row>
    <row r="13930" spans="84:91" s="51" customFormat="1">
      <c r="CF13930" s="239"/>
      <c r="CM13930" s="336"/>
    </row>
    <row r="13931" spans="84:91" s="51" customFormat="1">
      <c r="CF13931" s="239"/>
      <c r="CM13931" s="336"/>
    </row>
    <row r="13932" spans="84:91" s="51" customFormat="1">
      <c r="CF13932" s="239"/>
      <c r="CM13932" s="336"/>
    </row>
    <row r="13933" spans="84:91" s="51" customFormat="1">
      <c r="CF13933" s="239"/>
      <c r="CM13933" s="336"/>
    </row>
    <row r="13934" spans="84:91" s="51" customFormat="1">
      <c r="CF13934" s="239"/>
      <c r="CM13934" s="336"/>
    </row>
    <row r="13935" spans="84:91" s="51" customFormat="1">
      <c r="CF13935" s="239"/>
      <c r="CM13935" s="336"/>
    </row>
    <row r="13936" spans="84:91" s="51" customFormat="1">
      <c r="CF13936" s="239"/>
      <c r="CM13936" s="336"/>
    </row>
    <row r="13937" spans="84:91" s="51" customFormat="1">
      <c r="CF13937" s="239"/>
      <c r="CM13937" s="336"/>
    </row>
    <row r="13938" spans="84:91" s="51" customFormat="1">
      <c r="CF13938" s="239"/>
      <c r="CM13938" s="336"/>
    </row>
    <row r="13939" spans="84:91" s="51" customFormat="1">
      <c r="CF13939" s="239"/>
      <c r="CM13939" s="336"/>
    </row>
    <row r="13940" spans="84:91" s="51" customFormat="1">
      <c r="CF13940" s="239"/>
      <c r="CM13940" s="336"/>
    </row>
    <row r="13941" spans="84:91" s="51" customFormat="1">
      <c r="CF13941" s="239"/>
      <c r="CM13941" s="336"/>
    </row>
    <row r="13942" spans="84:91" s="51" customFormat="1">
      <c r="CF13942" s="239"/>
      <c r="CM13942" s="336"/>
    </row>
    <row r="13943" spans="84:91" s="51" customFormat="1">
      <c r="CF13943" s="239"/>
      <c r="CM13943" s="336"/>
    </row>
    <row r="13944" spans="84:91" s="51" customFormat="1">
      <c r="CF13944" s="239"/>
      <c r="CM13944" s="336"/>
    </row>
    <row r="13945" spans="84:91" s="51" customFormat="1">
      <c r="CF13945" s="239"/>
      <c r="CM13945" s="336"/>
    </row>
    <row r="13946" spans="84:91" s="51" customFormat="1">
      <c r="CF13946" s="239"/>
      <c r="CM13946" s="336"/>
    </row>
    <row r="13947" spans="84:91" s="51" customFormat="1">
      <c r="CF13947" s="239"/>
      <c r="CM13947" s="336"/>
    </row>
    <row r="13948" spans="84:91" s="51" customFormat="1">
      <c r="CF13948" s="239"/>
      <c r="CM13948" s="336"/>
    </row>
    <row r="13949" spans="84:91" s="51" customFormat="1">
      <c r="CF13949" s="239"/>
      <c r="CM13949" s="336"/>
    </row>
    <row r="13950" spans="84:91" s="51" customFormat="1">
      <c r="CF13950" s="239"/>
      <c r="CM13950" s="336"/>
    </row>
    <row r="13951" spans="84:91" s="51" customFormat="1">
      <c r="CF13951" s="239"/>
      <c r="CM13951" s="336"/>
    </row>
    <row r="13952" spans="84:91" s="51" customFormat="1">
      <c r="CF13952" s="239"/>
      <c r="CM13952" s="336"/>
    </row>
    <row r="13953" spans="84:91" s="51" customFormat="1">
      <c r="CF13953" s="239"/>
      <c r="CM13953" s="336"/>
    </row>
    <row r="13954" spans="84:91" s="51" customFormat="1">
      <c r="CF13954" s="239"/>
      <c r="CM13954" s="336"/>
    </row>
    <row r="13955" spans="84:91" s="51" customFormat="1">
      <c r="CF13955" s="239"/>
      <c r="CM13955" s="336"/>
    </row>
    <row r="13956" spans="84:91" s="51" customFormat="1">
      <c r="CF13956" s="239"/>
      <c r="CM13956" s="336"/>
    </row>
    <row r="13957" spans="84:91" s="51" customFormat="1">
      <c r="CF13957" s="239"/>
      <c r="CM13957" s="336"/>
    </row>
    <row r="13958" spans="84:91" s="51" customFormat="1">
      <c r="CF13958" s="239"/>
      <c r="CM13958" s="336"/>
    </row>
    <row r="13959" spans="84:91" s="51" customFormat="1">
      <c r="CF13959" s="239"/>
      <c r="CM13959" s="336"/>
    </row>
    <row r="13960" spans="84:91" s="51" customFormat="1">
      <c r="CF13960" s="239"/>
      <c r="CM13960" s="336"/>
    </row>
    <row r="13961" spans="84:91" s="51" customFormat="1">
      <c r="CF13961" s="239"/>
      <c r="CM13961" s="336"/>
    </row>
    <row r="13962" spans="84:91" s="51" customFormat="1">
      <c r="CF13962" s="239"/>
      <c r="CM13962" s="336"/>
    </row>
    <row r="13963" spans="84:91" s="51" customFormat="1">
      <c r="CF13963" s="239"/>
      <c r="CM13963" s="336"/>
    </row>
    <row r="13964" spans="84:91" s="51" customFormat="1">
      <c r="CF13964" s="239"/>
      <c r="CM13964" s="336"/>
    </row>
    <row r="13965" spans="84:91" s="51" customFormat="1">
      <c r="CF13965" s="239"/>
      <c r="CM13965" s="336"/>
    </row>
    <row r="13966" spans="84:91" s="51" customFormat="1">
      <c r="CF13966" s="239"/>
      <c r="CM13966" s="336"/>
    </row>
    <row r="13967" spans="84:91" s="51" customFormat="1">
      <c r="CF13967" s="239"/>
      <c r="CM13967" s="336"/>
    </row>
    <row r="13968" spans="84:91" s="51" customFormat="1">
      <c r="CF13968" s="239"/>
      <c r="CM13968" s="336"/>
    </row>
    <row r="13969" spans="84:91" s="51" customFormat="1">
      <c r="CF13969" s="239"/>
      <c r="CM13969" s="336"/>
    </row>
    <row r="13970" spans="84:91" s="51" customFormat="1">
      <c r="CF13970" s="239"/>
      <c r="CM13970" s="336"/>
    </row>
    <row r="13971" spans="84:91" s="51" customFormat="1">
      <c r="CF13971" s="239"/>
      <c r="CM13971" s="336"/>
    </row>
    <row r="13972" spans="84:91" s="51" customFormat="1">
      <c r="CF13972" s="239"/>
      <c r="CM13972" s="336"/>
    </row>
    <row r="13973" spans="84:91" s="51" customFormat="1">
      <c r="CF13973" s="239"/>
      <c r="CM13973" s="336"/>
    </row>
    <row r="13974" spans="84:91" s="51" customFormat="1">
      <c r="CF13974" s="239"/>
      <c r="CM13974" s="336"/>
    </row>
    <row r="13975" spans="84:91" s="51" customFormat="1">
      <c r="CF13975" s="239"/>
      <c r="CM13975" s="336"/>
    </row>
    <row r="13976" spans="84:91" s="51" customFormat="1">
      <c r="CF13976" s="239"/>
      <c r="CM13976" s="336"/>
    </row>
    <row r="13977" spans="84:91" s="51" customFormat="1">
      <c r="CF13977" s="239"/>
      <c r="CM13977" s="336"/>
    </row>
    <row r="13978" spans="84:91" s="51" customFormat="1">
      <c r="CF13978" s="239"/>
      <c r="CM13978" s="336"/>
    </row>
    <row r="13979" spans="84:91" s="51" customFormat="1">
      <c r="CF13979" s="239"/>
      <c r="CM13979" s="336"/>
    </row>
    <row r="13980" spans="84:91" s="51" customFormat="1">
      <c r="CF13980" s="239"/>
      <c r="CM13980" s="336"/>
    </row>
    <row r="13981" spans="84:91" s="51" customFormat="1">
      <c r="CF13981" s="239"/>
      <c r="CM13981" s="336"/>
    </row>
    <row r="13982" spans="84:91" s="51" customFormat="1">
      <c r="CF13982" s="239"/>
      <c r="CM13982" s="336"/>
    </row>
    <row r="13983" spans="84:91" s="51" customFormat="1">
      <c r="CF13983" s="239"/>
      <c r="CM13983" s="336"/>
    </row>
    <row r="13984" spans="84:91" s="51" customFormat="1">
      <c r="CF13984" s="239"/>
      <c r="CM13984" s="336"/>
    </row>
    <row r="13985" spans="84:91" s="51" customFormat="1">
      <c r="CF13985" s="239"/>
      <c r="CM13985" s="336"/>
    </row>
    <row r="13986" spans="84:91" s="51" customFormat="1">
      <c r="CF13986" s="239"/>
      <c r="CM13986" s="336"/>
    </row>
    <row r="13987" spans="84:91" s="51" customFormat="1">
      <c r="CF13987" s="239"/>
      <c r="CM13987" s="336"/>
    </row>
    <row r="13988" spans="84:91" s="51" customFormat="1">
      <c r="CF13988" s="239"/>
      <c r="CM13988" s="336"/>
    </row>
    <row r="13989" spans="84:91" s="51" customFormat="1">
      <c r="CF13989" s="239"/>
      <c r="CM13989" s="336"/>
    </row>
    <row r="13990" spans="84:91" s="51" customFormat="1">
      <c r="CF13990" s="239"/>
      <c r="CM13990" s="336"/>
    </row>
    <row r="13991" spans="84:91" s="51" customFormat="1">
      <c r="CF13991" s="239"/>
      <c r="CM13991" s="336"/>
    </row>
    <row r="13992" spans="84:91" s="51" customFormat="1">
      <c r="CF13992" s="239"/>
      <c r="CM13992" s="336"/>
    </row>
    <row r="13993" spans="84:91" s="51" customFormat="1">
      <c r="CF13993" s="239"/>
      <c r="CM13993" s="336"/>
    </row>
    <row r="13994" spans="84:91" s="51" customFormat="1">
      <c r="CF13994" s="239"/>
      <c r="CM13994" s="336"/>
    </row>
    <row r="13995" spans="84:91" s="51" customFormat="1">
      <c r="CF13995" s="239"/>
      <c r="CM13995" s="336"/>
    </row>
    <row r="13996" spans="84:91" s="51" customFormat="1">
      <c r="CF13996" s="239"/>
      <c r="CM13996" s="336"/>
    </row>
    <row r="13997" spans="84:91" s="51" customFormat="1">
      <c r="CF13997" s="239"/>
      <c r="CM13997" s="336"/>
    </row>
    <row r="13998" spans="84:91" s="51" customFormat="1">
      <c r="CF13998" s="239"/>
      <c r="CM13998" s="336"/>
    </row>
    <row r="13999" spans="84:91" s="51" customFormat="1">
      <c r="CF13999" s="239"/>
      <c r="CM13999" s="336"/>
    </row>
    <row r="14000" spans="84:91" s="51" customFormat="1">
      <c r="CF14000" s="239"/>
      <c r="CM14000" s="336"/>
    </row>
    <row r="14001" spans="84:91" s="51" customFormat="1">
      <c r="CF14001" s="239"/>
      <c r="CM14001" s="336"/>
    </row>
    <row r="14002" spans="84:91" s="51" customFormat="1">
      <c r="CF14002" s="239"/>
      <c r="CM14002" s="336"/>
    </row>
    <row r="14003" spans="84:91" s="51" customFormat="1">
      <c r="CF14003" s="239"/>
      <c r="CM14003" s="336"/>
    </row>
    <row r="14004" spans="84:91" s="51" customFormat="1">
      <c r="CF14004" s="239"/>
      <c r="CM14004" s="336"/>
    </row>
    <row r="14005" spans="84:91" s="51" customFormat="1">
      <c r="CF14005" s="239"/>
      <c r="CM14005" s="336"/>
    </row>
    <row r="14006" spans="84:91" s="51" customFormat="1">
      <c r="CF14006" s="239"/>
      <c r="CM14006" s="336"/>
    </row>
    <row r="14007" spans="84:91" s="51" customFormat="1">
      <c r="CF14007" s="239"/>
      <c r="CM14007" s="336"/>
    </row>
    <row r="14008" spans="84:91" s="51" customFormat="1">
      <c r="CF14008" s="239"/>
      <c r="CM14008" s="336"/>
    </row>
    <row r="14009" spans="84:91" s="51" customFormat="1">
      <c r="CF14009" s="239"/>
      <c r="CM14009" s="336"/>
    </row>
    <row r="14010" spans="84:91" s="51" customFormat="1">
      <c r="CF14010" s="239"/>
      <c r="CM14010" s="336"/>
    </row>
    <row r="14011" spans="84:91" s="51" customFormat="1">
      <c r="CF14011" s="239"/>
      <c r="CM14011" s="336"/>
    </row>
    <row r="14012" spans="84:91" s="51" customFormat="1">
      <c r="CF14012" s="239"/>
      <c r="CM14012" s="336"/>
    </row>
    <row r="14013" spans="84:91" s="51" customFormat="1">
      <c r="CF14013" s="239"/>
      <c r="CM14013" s="336"/>
    </row>
    <row r="14014" spans="84:91" s="51" customFormat="1">
      <c r="CF14014" s="239"/>
      <c r="CM14014" s="336"/>
    </row>
    <row r="14015" spans="84:91" s="51" customFormat="1">
      <c r="CF14015" s="239"/>
      <c r="CM14015" s="336"/>
    </row>
    <row r="14016" spans="84:91" s="51" customFormat="1">
      <c r="CF14016" s="239"/>
      <c r="CM14016" s="336"/>
    </row>
    <row r="14017" spans="84:91" s="51" customFormat="1">
      <c r="CF14017" s="239"/>
      <c r="CM14017" s="336"/>
    </row>
    <row r="14018" spans="84:91" s="51" customFormat="1">
      <c r="CF14018" s="239"/>
      <c r="CM14018" s="336"/>
    </row>
    <row r="14019" spans="84:91" s="51" customFormat="1">
      <c r="CF14019" s="239"/>
      <c r="CM14019" s="336"/>
    </row>
    <row r="14020" spans="84:91" s="51" customFormat="1">
      <c r="CF14020" s="239"/>
      <c r="CM14020" s="336"/>
    </row>
    <row r="14021" spans="84:91" s="51" customFormat="1">
      <c r="CF14021" s="239"/>
      <c r="CM14021" s="336"/>
    </row>
    <row r="14022" spans="84:91" s="51" customFormat="1">
      <c r="CF14022" s="239"/>
      <c r="CM14022" s="336"/>
    </row>
    <row r="14023" spans="84:91" s="51" customFormat="1">
      <c r="CF14023" s="239"/>
      <c r="CM14023" s="336"/>
    </row>
    <row r="14024" spans="84:91" s="51" customFormat="1">
      <c r="CF14024" s="239"/>
      <c r="CM14024" s="336"/>
    </row>
    <row r="14025" spans="84:91" s="51" customFormat="1">
      <c r="CF14025" s="239"/>
      <c r="CM14025" s="336"/>
    </row>
    <row r="14026" spans="84:91" s="51" customFormat="1">
      <c r="CF14026" s="239"/>
      <c r="CM14026" s="336"/>
    </row>
    <row r="14027" spans="84:91" s="51" customFormat="1">
      <c r="CF14027" s="239"/>
      <c r="CM14027" s="336"/>
    </row>
    <row r="14028" spans="84:91" s="51" customFormat="1">
      <c r="CF14028" s="239"/>
      <c r="CM14028" s="336"/>
    </row>
    <row r="14029" spans="84:91" s="51" customFormat="1">
      <c r="CF14029" s="239"/>
      <c r="CM14029" s="336"/>
    </row>
    <row r="14030" spans="84:91" s="51" customFormat="1">
      <c r="CF14030" s="239"/>
      <c r="CM14030" s="336"/>
    </row>
    <row r="14031" spans="84:91" s="51" customFormat="1">
      <c r="CF14031" s="239"/>
      <c r="CM14031" s="336"/>
    </row>
    <row r="14032" spans="84:91" s="51" customFormat="1">
      <c r="CF14032" s="239"/>
      <c r="CM14032" s="336"/>
    </row>
    <row r="14033" spans="84:91" s="51" customFormat="1">
      <c r="CF14033" s="239"/>
      <c r="CM14033" s="336"/>
    </row>
    <row r="14034" spans="84:91" s="51" customFormat="1">
      <c r="CF14034" s="239"/>
      <c r="CM14034" s="336"/>
    </row>
    <row r="14035" spans="84:91" s="51" customFormat="1">
      <c r="CF14035" s="239"/>
      <c r="CM14035" s="336"/>
    </row>
    <row r="14036" spans="84:91" s="51" customFormat="1">
      <c r="CF14036" s="239"/>
      <c r="CM14036" s="336"/>
    </row>
    <row r="14037" spans="84:91" s="51" customFormat="1">
      <c r="CF14037" s="239"/>
      <c r="CM14037" s="336"/>
    </row>
    <row r="14038" spans="84:91" s="51" customFormat="1">
      <c r="CF14038" s="239"/>
      <c r="CM14038" s="336"/>
    </row>
    <row r="14039" spans="84:91" s="51" customFormat="1">
      <c r="CF14039" s="239"/>
      <c r="CM14039" s="336"/>
    </row>
    <row r="14040" spans="84:91" s="51" customFormat="1">
      <c r="CF14040" s="239"/>
      <c r="CM14040" s="336"/>
    </row>
    <row r="14041" spans="84:91" s="51" customFormat="1">
      <c r="CF14041" s="239"/>
      <c r="CM14041" s="336"/>
    </row>
    <row r="14042" spans="84:91" s="51" customFormat="1">
      <c r="CF14042" s="239"/>
      <c r="CM14042" s="336"/>
    </row>
    <row r="14043" spans="84:91" s="51" customFormat="1">
      <c r="CF14043" s="239"/>
      <c r="CM14043" s="336"/>
    </row>
    <row r="14044" spans="84:91" s="51" customFormat="1">
      <c r="CF14044" s="239"/>
      <c r="CM14044" s="336"/>
    </row>
    <row r="14045" spans="84:91" s="51" customFormat="1">
      <c r="CF14045" s="239"/>
      <c r="CM14045" s="336"/>
    </row>
    <row r="14046" spans="84:91" s="51" customFormat="1">
      <c r="CF14046" s="239"/>
      <c r="CM14046" s="336"/>
    </row>
    <row r="14047" spans="84:91" s="51" customFormat="1">
      <c r="CF14047" s="239"/>
      <c r="CM14047" s="336"/>
    </row>
    <row r="14048" spans="84:91" s="51" customFormat="1">
      <c r="CF14048" s="239"/>
      <c r="CM14048" s="336"/>
    </row>
    <row r="14049" spans="84:91" s="51" customFormat="1">
      <c r="CF14049" s="239"/>
      <c r="CM14049" s="336"/>
    </row>
    <row r="14050" spans="84:91" s="51" customFormat="1">
      <c r="CF14050" s="239"/>
      <c r="CM14050" s="336"/>
    </row>
    <row r="14051" spans="84:91" s="51" customFormat="1">
      <c r="CF14051" s="239"/>
      <c r="CM14051" s="336"/>
    </row>
    <row r="14052" spans="84:91" s="51" customFormat="1">
      <c r="CF14052" s="239"/>
      <c r="CM14052" s="336"/>
    </row>
    <row r="14053" spans="84:91" s="51" customFormat="1">
      <c r="CF14053" s="239"/>
      <c r="CM14053" s="336"/>
    </row>
    <row r="14054" spans="84:91" s="51" customFormat="1">
      <c r="CF14054" s="239"/>
      <c r="CM14054" s="336"/>
    </row>
    <row r="14055" spans="84:91" s="51" customFormat="1">
      <c r="CF14055" s="239"/>
      <c r="CM14055" s="336"/>
    </row>
    <row r="14056" spans="84:91" s="51" customFormat="1">
      <c r="CF14056" s="239"/>
      <c r="CM14056" s="336"/>
    </row>
    <row r="14057" spans="84:91" s="51" customFormat="1">
      <c r="CF14057" s="239"/>
      <c r="CM14057" s="336"/>
    </row>
    <row r="14058" spans="84:91" s="51" customFormat="1">
      <c r="CF14058" s="239"/>
      <c r="CM14058" s="336"/>
    </row>
    <row r="14059" spans="84:91" s="51" customFormat="1">
      <c r="CF14059" s="239"/>
      <c r="CM14059" s="336"/>
    </row>
    <row r="14060" spans="84:91" s="51" customFormat="1">
      <c r="CF14060" s="239"/>
      <c r="CM14060" s="336"/>
    </row>
    <row r="14061" spans="84:91" s="51" customFormat="1">
      <c r="CF14061" s="239"/>
      <c r="CM14061" s="336"/>
    </row>
    <row r="14062" spans="84:91" s="51" customFormat="1">
      <c r="CF14062" s="239"/>
      <c r="CM14062" s="336"/>
    </row>
    <row r="14063" spans="84:91" s="51" customFormat="1">
      <c r="CF14063" s="239"/>
      <c r="CM14063" s="336"/>
    </row>
    <row r="14064" spans="84:91" s="51" customFormat="1">
      <c r="CF14064" s="239"/>
      <c r="CM14064" s="336"/>
    </row>
    <row r="14065" spans="84:91" s="51" customFormat="1">
      <c r="CF14065" s="239"/>
      <c r="CM14065" s="336"/>
    </row>
    <row r="14066" spans="84:91" s="51" customFormat="1">
      <c r="CF14066" s="239"/>
      <c r="CM14066" s="336"/>
    </row>
    <row r="14067" spans="84:91" s="51" customFormat="1">
      <c r="CF14067" s="239"/>
      <c r="CM14067" s="336"/>
    </row>
    <row r="14068" spans="84:91" s="51" customFormat="1">
      <c r="CF14068" s="239"/>
      <c r="CM14068" s="336"/>
    </row>
    <row r="14069" spans="84:91" s="51" customFormat="1">
      <c r="CF14069" s="239"/>
      <c r="CM14069" s="336"/>
    </row>
    <row r="14070" spans="84:91" s="51" customFormat="1">
      <c r="CF14070" s="239"/>
      <c r="CM14070" s="336"/>
    </row>
    <row r="14071" spans="84:91" s="51" customFormat="1">
      <c r="CF14071" s="239"/>
      <c r="CM14071" s="336"/>
    </row>
    <row r="14072" spans="84:91" s="51" customFormat="1">
      <c r="CF14072" s="239"/>
      <c r="CM14072" s="336"/>
    </row>
    <row r="14073" spans="84:91" s="51" customFormat="1">
      <c r="CF14073" s="239"/>
      <c r="CM14073" s="336"/>
    </row>
    <row r="14074" spans="84:91" s="51" customFormat="1">
      <c r="CF14074" s="239"/>
      <c r="CM14074" s="336"/>
    </row>
    <row r="14075" spans="84:91" s="51" customFormat="1">
      <c r="CF14075" s="239"/>
      <c r="CM14075" s="336"/>
    </row>
    <row r="14076" spans="84:91" s="51" customFormat="1">
      <c r="CF14076" s="239"/>
      <c r="CM14076" s="336"/>
    </row>
    <row r="14077" spans="84:91" s="51" customFormat="1">
      <c r="CF14077" s="239"/>
      <c r="CM14077" s="336"/>
    </row>
    <row r="14078" spans="84:91" s="51" customFormat="1">
      <c r="CF14078" s="239"/>
      <c r="CM14078" s="336"/>
    </row>
    <row r="14079" spans="84:91" s="51" customFormat="1">
      <c r="CF14079" s="239"/>
      <c r="CM14079" s="336"/>
    </row>
    <row r="14080" spans="84:91" s="51" customFormat="1">
      <c r="CF14080" s="239"/>
      <c r="CM14080" s="336"/>
    </row>
    <row r="14081" spans="84:91" s="51" customFormat="1">
      <c r="CF14081" s="239"/>
      <c r="CM14081" s="336"/>
    </row>
    <row r="14082" spans="84:91" s="51" customFormat="1">
      <c r="CF14082" s="239"/>
      <c r="CM14082" s="336"/>
    </row>
    <row r="14083" spans="84:91" s="51" customFormat="1">
      <c r="CF14083" s="239"/>
      <c r="CM14083" s="336"/>
    </row>
    <row r="14084" spans="84:91" s="51" customFormat="1">
      <c r="CF14084" s="239"/>
      <c r="CM14084" s="336"/>
    </row>
    <row r="14085" spans="84:91" s="51" customFormat="1">
      <c r="CF14085" s="239"/>
      <c r="CM14085" s="336"/>
    </row>
    <row r="14086" spans="84:91" s="51" customFormat="1">
      <c r="CF14086" s="239"/>
      <c r="CM14086" s="336"/>
    </row>
    <row r="14087" spans="84:91" s="51" customFormat="1">
      <c r="CF14087" s="239"/>
      <c r="CM14087" s="336"/>
    </row>
    <row r="14088" spans="84:91" s="51" customFormat="1">
      <c r="CF14088" s="239"/>
      <c r="CM14088" s="336"/>
    </row>
    <row r="14089" spans="84:91" s="51" customFormat="1">
      <c r="CF14089" s="239"/>
      <c r="CM14089" s="336"/>
    </row>
    <row r="14090" spans="84:91" s="51" customFormat="1">
      <c r="CF14090" s="239"/>
      <c r="CM14090" s="336"/>
    </row>
    <row r="14091" spans="84:91" s="51" customFormat="1">
      <c r="CF14091" s="239"/>
      <c r="CM14091" s="336"/>
    </row>
    <row r="14092" spans="84:91" s="51" customFormat="1">
      <c r="CF14092" s="239"/>
      <c r="CM14092" s="336"/>
    </row>
    <row r="14093" spans="84:91" s="51" customFormat="1">
      <c r="CF14093" s="239"/>
      <c r="CM14093" s="336"/>
    </row>
    <row r="14094" spans="84:91" s="51" customFormat="1">
      <c r="CF14094" s="239"/>
      <c r="CM14094" s="336"/>
    </row>
    <row r="14095" spans="84:91" s="51" customFormat="1">
      <c r="CF14095" s="239"/>
      <c r="CM14095" s="336"/>
    </row>
    <row r="14096" spans="84:91" s="51" customFormat="1">
      <c r="CF14096" s="239"/>
      <c r="CM14096" s="336"/>
    </row>
    <row r="14097" spans="84:91" s="51" customFormat="1">
      <c r="CF14097" s="239"/>
      <c r="CM14097" s="336"/>
    </row>
    <row r="14098" spans="84:91" s="51" customFormat="1">
      <c r="CF14098" s="239"/>
      <c r="CM14098" s="336"/>
    </row>
    <row r="14099" spans="84:91" s="51" customFormat="1">
      <c r="CF14099" s="239"/>
      <c r="CM14099" s="336"/>
    </row>
    <row r="14100" spans="84:91" s="51" customFormat="1">
      <c r="CF14100" s="239"/>
      <c r="CM14100" s="336"/>
    </row>
    <row r="14101" spans="84:91" s="51" customFormat="1">
      <c r="CF14101" s="239"/>
      <c r="CM14101" s="336"/>
    </row>
    <row r="14102" spans="84:91" s="51" customFormat="1">
      <c r="CF14102" s="239"/>
      <c r="CM14102" s="336"/>
    </row>
    <row r="14103" spans="84:91" s="51" customFormat="1">
      <c r="CF14103" s="239"/>
      <c r="CM14103" s="336"/>
    </row>
    <row r="14104" spans="84:91" s="51" customFormat="1">
      <c r="CF14104" s="239"/>
      <c r="CM14104" s="336"/>
    </row>
    <row r="14105" spans="84:91" s="51" customFormat="1">
      <c r="CF14105" s="239"/>
      <c r="CM14105" s="336"/>
    </row>
    <row r="14106" spans="84:91" s="51" customFormat="1">
      <c r="CF14106" s="239"/>
      <c r="CM14106" s="336"/>
    </row>
    <row r="14107" spans="84:91" s="51" customFormat="1">
      <c r="CF14107" s="239"/>
      <c r="CM14107" s="336"/>
    </row>
    <row r="14108" spans="84:91" s="51" customFormat="1">
      <c r="CF14108" s="239"/>
      <c r="CM14108" s="336"/>
    </row>
    <row r="14109" spans="84:91" s="51" customFormat="1">
      <c r="CF14109" s="239"/>
      <c r="CM14109" s="336"/>
    </row>
    <row r="14110" spans="84:91" s="51" customFormat="1">
      <c r="CF14110" s="239"/>
      <c r="CM14110" s="336"/>
    </row>
    <row r="14111" spans="84:91" s="51" customFormat="1">
      <c r="CF14111" s="239"/>
      <c r="CM14111" s="336"/>
    </row>
    <row r="14112" spans="84:91" s="51" customFormat="1">
      <c r="CF14112" s="239"/>
      <c r="CM14112" s="336"/>
    </row>
    <row r="14113" spans="84:91" s="51" customFormat="1">
      <c r="CF14113" s="239"/>
      <c r="CM14113" s="336"/>
    </row>
    <row r="14114" spans="84:91" s="51" customFormat="1">
      <c r="CF14114" s="239"/>
      <c r="CM14114" s="336"/>
    </row>
    <row r="14115" spans="84:91" s="51" customFormat="1">
      <c r="CF14115" s="239"/>
      <c r="CM14115" s="336"/>
    </row>
    <row r="14116" spans="84:91" s="51" customFormat="1">
      <c r="CF14116" s="239"/>
      <c r="CM14116" s="336"/>
    </row>
    <row r="14117" spans="84:91" s="51" customFormat="1">
      <c r="CF14117" s="239"/>
      <c r="CM14117" s="336"/>
    </row>
    <row r="14118" spans="84:91" s="51" customFormat="1">
      <c r="CF14118" s="239"/>
      <c r="CM14118" s="336"/>
    </row>
    <row r="14119" spans="84:91" s="51" customFormat="1">
      <c r="CF14119" s="239"/>
      <c r="CM14119" s="336"/>
    </row>
    <row r="14120" spans="84:91" s="51" customFormat="1">
      <c r="CF14120" s="239"/>
      <c r="CM14120" s="336"/>
    </row>
    <row r="14121" spans="84:91" s="51" customFormat="1">
      <c r="CF14121" s="239"/>
      <c r="CM14121" s="336"/>
    </row>
    <row r="14122" spans="84:91" s="51" customFormat="1">
      <c r="CF14122" s="239"/>
      <c r="CM14122" s="336"/>
    </row>
    <row r="14123" spans="84:91" s="51" customFormat="1">
      <c r="CF14123" s="239"/>
      <c r="CM14123" s="336"/>
    </row>
    <row r="14124" spans="84:91" s="51" customFormat="1">
      <c r="CF14124" s="239"/>
      <c r="CM14124" s="336"/>
    </row>
    <row r="14125" spans="84:91" s="51" customFormat="1">
      <c r="CF14125" s="239"/>
      <c r="CM14125" s="336"/>
    </row>
    <row r="14126" spans="84:91" s="51" customFormat="1">
      <c r="CF14126" s="239"/>
      <c r="CM14126" s="336"/>
    </row>
    <row r="14127" spans="84:91" s="51" customFormat="1">
      <c r="CF14127" s="239"/>
      <c r="CM14127" s="336"/>
    </row>
    <row r="14128" spans="84:91" s="51" customFormat="1">
      <c r="CF14128" s="239"/>
      <c r="CM14128" s="336"/>
    </row>
    <row r="14129" spans="84:91" s="51" customFormat="1">
      <c r="CF14129" s="239"/>
      <c r="CM14129" s="336"/>
    </row>
    <row r="14130" spans="84:91" s="51" customFormat="1">
      <c r="CF14130" s="239"/>
      <c r="CM14130" s="336"/>
    </row>
    <row r="14131" spans="84:91" s="51" customFormat="1">
      <c r="CF14131" s="239"/>
      <c r="CM14131" s="336"/>
    </row>
    <row r="14132" spans="84:91" s="51" customFormat="1">
      <c r="CF14132" s="239"/>
      <c r="CM14132" s="336"/>
    </row>
    <row r="14133" spans="84:91" s="51" customFormat="1">
      <c r="CF14133" s="239"/>
      <c r="CM14133" s="336"/>
    </row>
    <row r="14134" spans="84:91" s="51" customFormat="1">
      <c r="CF14134" s="239"/>
      <c r="CM14134" s="336"/>
    </row>
    <row r="14135" spans="84:91" s="51" customFormat="1">
      <c r="CF14135" s="239"/>
      <c r="CM14135" s="336"/>
    </row>
    <row r="14136" spans="84:91" s="51" customFormat="1">
      <c r="CF14136" s="239"/>
      <c r="CM14136" s="336"/>
    </row>
    <row r="14137" spans="84:91" s="51" customFormat="1">
      <c r="CF14137" s="239"/>
      <c r="CM14137" s="336"/>
    </row>
    <row r="14138" spans="84:91" s="51" customFormat="1">
      <c r="CF14138" s="239"/>
      <c r="CM14138" s="336"/>
    </row>
    <row r="14139" spans="84:91" s="51" customFormat="1">
      <c r="CF14139" s="239"/>
      <c r="CM14139" s="336"/>
    </row>
    <row r="14140" spans="84:91" s="51" customFormat="1">
      <c r="CF14140" s="239"/>
      <c r="CM14140" s="336"/>
    </row>
    <row r="14141" spans="84:91" s="51" customFormat="1">
      <c r="CF14141" s="239"/>
      <c r="CM14141" s="336"/>
    </row>
    <row r="14142" spans="84:91" s="51" customFormat="1">
      <c r="CF14142" s="239"/>
      <c r="CM14142" s="336"/>
    </row>
    <row r="14143" spans="84:91" s="51" customFormat="1">
      <c r="CF14143" s="239"/>
      <c r="CM14143" s="336"/>
    </row>
    <row r="14144" spans="84:91" s="51" customFormat="1">
      <c r="CF14144" s="239"/>
      <c r="CM14144" s="336"/>
    </row>
    <row r="14145" spans="84:91" s="51" customFormat="1">
      <c r="CF14145" s="239"/>
      <c r="CM14145" s="336"/>
    </row>
    <row r="14146" spans="84:91" s="51" customFormat="1">
      <c r="CF14146" s="239"/>
      <c r="CM14146" s="336"/>
    </row>
    <row r="14147" spans="84:91" s="51" customFormat="1">
      <c r="CF14147" s="239"/>
      <c r="CM14147" s="336"/>
    </row>
    <row r="14148" spans="84:91" s="51" customFormat="1">
      <c r="CF14148" s="239"/>
      <c r="CM14148" s="336"/>
    </row>
    <row r="14149" spans="84:91" s="51" customFormat="1">
      <c r="CF14149" s="239"/>
      <c r="CM14149" s="336"/>
    </row>
    <row r="14150" spans="84:91" s="51" customFormat="1">
      <c r="CF14150" s="239"/>
      <c r="CM14150" s="336"/>
    </row>
    <row r="14151" spans="84:91" s="51" customFormat="1">
      <c r="CF14151" s="239"/>
      <c r="CM14151" s="336"/>
    </row>
    <row r="14152" spans="84:91" s="51" customFormat="1">
      <c r="CF14152" s="239"/>
      <c r="CM14152" s="336"/>
    </row>
    <row r="14153" spans="84:91" s="51" customFormat="1">
      <c r="CF14153" s="239"/>
      <c r="CM14153" s="336"/>
    </row>
    <row r="14154" spans="84:91" s="51" customFormat="1">
      <c r="CF14154" s="239"/>
      <c r="CM14154" s="336"/>
    </row>
    <row r="14155" spans="84:91" s="51" customFormat="1">
      <c r="CF14155" s="239"/>
      <c r="CM14155" s="336"/>
    </row>
    <row r="14156" spans="84:91" s="51" customFormat="1">
      <c r="CF14156" s="239"/>
      <c r="CM14156" s="336"/>
    </row>
    <row r="14157" spans="84:91" s="51" customFormat="1">
      <c r="CF14157" s="239"/>
      <c r="CM14157" s="336"/>
    </row>
    <row r="14158" spans="84:91" s="51" customFormat="1">
      <c r="CF14158" s="239"/>
      <c r="CM14158" s="336"/>
    </row>
    <row r="14159" spans="84:91" s="51" customFormat="1">
      <c r="CF14159" s="239"/>
      <c r="CM14159" s="336"/>
    </row>
    <row r="14160" spans="84:91" s="51" customFormat="1">
      <c r="CF14160" s="239"/>
      <c r="CM14160" s="336"/>
    </row>
    <row r="14161" spans="84:91" s="51" customFormat="1">
      <c r="CF14161" s="239"/>
      <c r="CM14161" s="336"/>
    </row>
    <row r="14162" spans="84:91" s="51" customFormat="1">
      <c r="CF14162" s="239"/>
      <c r="CM14162" s="336"/>
    </row>
    <row r="14163" spans="84:91" s="51" customFormat="1">
      <c r="CF14163" s="239"/>
      <c r="CM14163" s="336"/>
    </row>
    <row r="14164" spans="84:91" s="51" customFormat="1">
      <c r="CF14164" s="239"/>
      <c r="CM14164" s="336"/>
    </row>
    <row r="14165" spans="84:91" s="51" customFormat="1">
      <c r="CF14165" s="239"/>
      <c r="CM14165" s="336"/>
    </row>
    <row r="14166" spans="84:91" s="51" customFormat="1">
      <c r="CF14166" s="239"/>
      <c r="CM14166" s="336"/>
    </row>
    <row r="14167" spans="84:91" s="51" customFormat="1">
      <c r="CF14167" s="239"/>
      <c r="CM14167" s="336"/>
    </row>
    <row r="14168" spans="84:91" s="51" customFormat="1">
      <c r="CF14168" s="239"/>
      <c r="CM14168" s="336"/>
    </row>
    <row r="14169" spans="84:91" s="51" customFormat="1">
      <c r="CF14169" s="239"/>
      <c r="CM14169" s="336"/>
    </row>
    <row r="14170" spans="84:91" s="51" customFormat="1">
      <c r="CF14170" s="239"/>
      <c r="CM14170" s="336"/>
    </row>
    <row r="14171" spans="84:91" s="51" customFormat="1">
      <c r="CF14171" s="239"/>
      <c r="CM14171" s="336"/>
    </row>
    <row r="14172" spans="84:91" s="51" customFormat="1">
      <c r="CF14172" s="239"/>
      <c r="CM14172" s="336"/>
    </row>
    <row r="14173" spans="84:91" s="51" customFormat="1">
      <c r="CF14173" s="239"/>
      <c r="CM14173" s="336"/>
    </row>
    <row r="14174" spans="84:91" s="51" customFormat="1">
      <c r="CF14174" s="239"/>
      <c r="CM14174" s="336"/>
    </row>
    <row r="14175" spans="84:91" s="51" customFormat="1">
      <c r="CF14175" s="239"/>
      <c r="CM14175" s="336"/>
    </row>
    <row r="14176" spans="84:91" s="51" customFormat="1">
      <c r="CF14176" s="239"/>
      <c r="CM14176" s="336"/>
    </row>
    <row r="14177" spans="84:91" s="51" customFormat="1">
      <c r="CF14177" s="239"/>
      <c r="CM14177" s="336"/>
    </row>
    <row r="14178" spans="84:91" s="51" customFormat="1">
      <c r="CF14178" s="239"/>
      <c r="CM14178" s="336"/>
    </row>
    <row r="14179" spans="84:91" s="51" customFormat="1">
      <c r="CF14179" s="239"/>
      <c r="CM14179" s="336"/>
    </row>
    <row r="14180" spans="84:91" s="51" customFormat="1">
      <c r="CF14180" s="239"/>
      <c r="CM14180" s="336"/>
    </row>
    <row r="14181" spans="84:91" s="51" customFormat="1">
      <c r="CF14181" s="239"/>
      <c r="CM14181" s="336"/>
    </row>
    <row r="14182" spans="84:91" s="51" customFormat="1">
      <c r="CF14182" s="239"/>
      <c r="CM14182" s="336"/>
    </row>
    <row r="14183" spans="84:91" s="51" customFormat="1">
      <c r="CF14183" s="239"/>
      <c r="CM14183" s="336"/>
    </row>
    <row r="14184" spans="84:91" s="51" customFormat="1">
      <c r="CF14184" s="239"/>
      <c r="CM14184" s="336"/>
    </row>
    <row r="14185" spans="84:91" s="51" customFormat="1">
      <c r="CF14185" s="239"/>
      <c r="CM14185" s="336"/>
    </row>
    <row r="14186" spans="84:91" s="51" customFormat="1">
      <c r="CF14186" s="239"/>
      <c r="CM14186" s="336"/>
    </row>
    <row r="14187" spans="84:91" s="51" customFormat="1">
      <c r="CF14187" s="239"/>
      <c r="CM14187" s="336"/>
    </row>
    <row r="14188" spans="84:91" s="51" customFormat="1">
      <c r="CF14188" s="239"/>
      <c r="CM14188" s="336"/>
    </row>
    <row r="14189" spans="84:91" s="51" customFormat="1">
      <c r="CF14189" s="239"/>
      <c r="CM14189" s="336"/>
    </row>
    <row r="14190" spans="84:91" s="51" customFormat="1">
      <c r="CF14190" s="239"/>
      <c r="CM14190" s="336"/>
    </row>
    <row r="14191" spans="84:91" s="51" customFormat="1">
      <c r="CF14191" s="239"/>
      <c r="CM14191" s="336"/>
    </row>
    <row r="14192" spans="84:91" s="51" customFormat="1">
      <c r="CF14192" s="239"/>
      <c r="CM14192" s="336"/>
    </row>
    <row r="14193" spans="84:91" s="51" customFormat="1">
      <c r="CF14193" s="239"/>
      <c r="CM14193" s="336"/>
    </row>
    <row r="14194" spans="84:91" s="51" customFormat="1">
      <c r="CF14194" s="239"/>
      <c r="CM14194" s="336"/>
    </row>
    <row r="14195" spans="84:91" s="51" customFormat="1">
      <c r="CF14195" s="239"/>
      <c r="CM14195" s="336"/>
    </row>
    <row r="14196" spans="84:91" s="51" customFormat="1">
      <c r="CF14196" s="239"/>
      <c r="CM14196" s="336"/>
    </row>
    <row r="14197" spans="84:91" s="51" customFormat="1">
      <c r="CF14197" s="239"/>
      <c r="CM14197" s="336"/>
    </row>
    <row r="14198" spans="84:91" s="51" customFormat="1">
      <c r="CF14198" s="239"/>
      <c r="CM14198" s="336"/>
    </row>
    <row r="14199" spans="84:91" s="51" customFormat="1">
      <c r="CF14199" s="239"/>
      <c r="CM14199" s="336"/>
    </row>
    <row r="14200" spans="84:91" s="51" customFormat="1">
      <c r="CF14200" s="239"/>
      <c r="CM14200" s="336"/>
    </row>
    <row r="14201" spans="84:91" s="51" customFormat="1">
      <c r="CF14201" s="239"/>
      <c r="CM14201" s="336"/>
    </row>
    <row r="14202" spans="84:91" s="51" customFormat="1">
      <c r="CF14202" s="239"/>
      <c r="CM14202" s="336"/>
    </row>
    <row r="14203" spans="84:91" s="51" customFormat="1">
      <c r="CF14203" s="239"/>
      <c r="CM14203" s="336"/>
    </row>
    <row r="14204" spans="84:91" s="51" customFormat="1">
      <c r="CF14204" s="239"/>
      <c r="CM14204" s="336"/>
    </row>
    <row r="14205" spans="84:91" s="51" customFormat="1">
      <c r="CF14205" s="239"/>
      <c r="CM14205" s="336"/>
    </row>
    <row r="14206" spans="84:91" s="51" customFormat="1">
      <c r="CF14206" s="239"/>
      <c r="CM14206" s="336"/>
    </row>
    <row r="14207" spans="84:91" s="51" customFormat="1">
      <c r="CF14207" s="239"/>
      <c r="CM14207" s="336"/>
    </row>
    <row r="14208" spans="84:91" s="51" customFormat="1">
      <c r="CF14208" s="239"/>
      <c r="CM14208" s="336"/>
    </row>
    <row r="14209" spans="84:91" s="51" customFormat="1">
      <c r="CF14209" s="239"/>
      <c r="CM14209" s="336"/>
    </row>
    <row r="14210" spans="84:91" s="51" customFormat="1">
      <c r="CF14210" s="239"/>
      <c r="CM14210" s="336"/>
    </row>
    <row r="14211" spans="84:91" s="51" customFormat="1">
      <c r="CF14211" s="239"/>
      <c r="CM14211" s="336"/>
    </row>
    <row r="14212" spans="84:91" s="51" customFormat="1">
      <c r="CF14212" s="239"/>
      <c r="CM14212" s="336"/>
    </row>
    <row r="14213" spans="84:91" s="51" customFormat="1">
      <c r="CF14213" s="239"/>
      <c r="CM14213" s="336"/>
    </row>
    <row r="14214" spans="84:91" s="51" customFormat="1">
      <c r="CF14214" s="239"/>
      <c r="CM14214" s="336"/>
    </row>
    <row r="14215" spans="84:91" s="51" customFormat="1">
      <c r="CF14215" s="239"/>
      <c r="CM14215" s="336"/>
    </row>
    <row r="14216" spans="84:91" s="51" customFormat="1">
      <c r="CF14216" s="239"/>
      <c r="CM14216" s="336"/>
    </row>
    <row r="14217" spans="84:91" s="51" customFormat="1">
      <c r="CF14217" s="239"/>
      <c r="CM14217" s="336"/>
    </row>
    <row r="14218" spans="84:91" s="51" customFormat="1">
      <c r="CF14218" s="239"/>
      <c r="CM14218" s="336"/>
    </row>
    <row r="14219" spans="84:91" s="51" customFormat="1">
      <c r="CF14219" s="239"/>
      <c r="CM14219" s="336"/>
    </row>
    <row r="14220" spans="84:91" s="51" customFormat="1">
      <c r="CF14220" s="239"/>
      <c r="CM14220" s="336"/>
    </row>
    <row r="14221" spans="84:91" s="51" customFormat="1">
      <c r="CF14221" s="239"/>
      <c r="CM14221" s="336"/>
    </row>
    <row r="14222" spans="84:91" s="51" customFormat="1">
      <c r="CF14222" s="239"/>
      <c r="CM14222" s="336"/>
    </row>
    <row r="14223" spans="84:91" s="51" customFormat="1">
      <c r="CF14223" s="239"/>
      <c r="CM14223" s="336"/>
    </row>
    <row r="14224" spans="84:91" s="51" customFormat="1">
      <c r="CF14224" s="239"/>
      <c r="CM14224" s="336"/>
    </row>
    <row r="14225" spans="84:91" s="51" customFormat="1">
      <c r="CF14225" s="239"/>
      <c r="CM14225" s="336"/>
    </row>
    <row r="14226" spans="84:91" s="51" customFormat="1">
      <c r="CF14226" s="239"/>
      <c r="CM14226" s="336"/>
    </row>
    <row r="14227" spans="84:91" s="51" customFormat="1">
      <c r="CF14227" s="239"/>
      <c r="CM14227" s="336"/>
    </row>
    <row r="14228" spans="84:91" s="51" customFormat="1">
      <c r="CF14228" s="239"/>
      <c r="CM14228" s="336"/>
    </row>
    <row r="14229" spans="84:91" s="51" customFormat="1">
      <c r="CF14229" s="239"/>
      <c r="CM14229" s="336"/>
    </row>
    <row r="14230" spans="84:91" s="51" customFormat="1">
      <c r="CF14230" s="239"/>
      <c r="CM14230" s="336"/>
    </row>
    <row r="14231" spans="84:91" s="51" customFormat="1">
      <c r="CF14231" s="239"/>
      <c r="CM14231" s="336"/>
    </row>
    <row r="14232" spans="84:91" s="51" customFormat="1">
      <c r="CF14232" s="239"/>
      <c r="CM14232" s="336"/>
    </row>
    <row r="14233" spans="84:91" s="51" customFormat="1">
      <c r="CF14233" s="239"/>
      <c r="CM14233" s="336"/>
    </row>
    <row r="14234" spans="84:91" s="51" customFormat="1">
      <c r="CF14234" s="239"/>
      <c r="CM14234" s="336"/>
    </row>
    <row r="14235" spans="84:91" s="51" customFormat="1">
      <c r="CF14235" s="239"/>
      <c r="CM14235" s="336"/>
    </row>
    <row r="14236" spans="84:91" s="51" customFormat="1">
      <c r="CF14236" s="239"/>
      <c r="CM14236" s="336"/>
    </row>
    <row r="14237" spans="84:91" s="51" customFormat="1">
      <c r="CF14237" s="239"/>
      <c r="CM14237" s="336"/>
    </row>
    <row r="14238" spans="84:91" s="51" customFormat="1">
      <c r="CF14238" s="239"/>
      <c r="CM14238" s="336"/>
    </row>
    <row r="14239" spans="84:91" s="51" customFormat="1">
      <c r="CF14239" s="239"/>
      <c r="CM14239" s="336"/>
    </row>
    <row r="14240" spans="84:91" s="51" customFormat="1">
      <c r="CF14240" s="239"/>
      <c r="CM14240" s="336"/>
    </row>
    <row r="14241" spans="84:91" s="51" customFormat="1">
      <c r="CF14241" s="239"/>
      <c r="CM14241" s="336"/>
    </row>
    <row r="14242" spans="84:91" s="51" customFormat="1">
      <c r="CF14242" s="239"/>
      <c r="CM14242" s="336"/>
    </row>
    <row r="14243" spans="84:91" s="51" customFormat="1">
      <c r="CF14243" s="239"/>
      <c r="CM14243" s="336"/>
    </row>
    <row r="14244" spans="84:91" s="51" customFormat="1">
      <c r="CF14244" s="239"/>
      <c r="CM14244" s="336"/>
    </row>
    <row r="14245" spans="84:91" s="51" customFormat="1">
      <c r="CF14245" s="239"/>
      <c r="CM14245" s="336"/>
    </row>
    <row r="14246" spans="84:91" s="51" customFormat="1">
      <c r="CF14246" s="239"/>
      <c r="CM14246" s="336"/>
    </row>
    <row r="14247" spans="84:91" s="51" customFormat="1">
      <c r="CF14247" s="239"/>
      <c r="CM14247" s="336"/>
    </row>
    <row r="14248" spans="84:91" s="51" customFormat="1">
      <c r="CF14248" s="239"/>
      <c r="CM14248" s="336"/>
    </row>
    <row r="14249" spans="84:91" s="51" customFormat="1">
      <c r="CF14249" s="239"/>
      <c r="CM14249" s="336"/>
    </row>
    <row r="14250" spans="84:91" s="51" customFormat="1">
      <c r="CF14250" s="239"/>
      <c r="CM14250" s="336"/>
    </row>
    <row r="14251" spans="84:91" s="51" customFormat="1">
      <c r="CF14251" s="239"/>
      <c r="CM14251" s="336"/>
    </row>
    <row r="14252" spans="84:91" s="51" customFormat="1">
      <c r="CF14252" s="239"/>
      <c r="CM14252" s="336"/>
    </row>
    <row r="14253" spans="84:91" s="51" customFormat="1">
      <c r="CF14253" s="239"/>
      <c r="CM14253" s="336"/>
    </row>
    <row r="14254" spans="84:91" s="51" customFormat="1">
      <c r="CF14254" s="239"/>
      <c r="CM14254" s="336"/>
    </row>
    <row r="14255" spans="84:91" s="51" customFormat="1">
      <c r="CF14255" s="239"/>
      <c r="CM14255" s="336"/>
    </row>
    <row r="14256" spans="84:91" s="51" customFormat="1">
      <c r="CF14256" s="239"/>
      <c r="CM14256" s="336"/>
    </row>
    <row r="14257" spans="84:91" s="51" customFormat="1">
      <c r="CF14257" s="239"/>
      <c r="CM14257" s="336"/>
    </row>
    <row r="14258" spans="84:91" s="51" customFormat="1">
      <c r="CF14258" s="239"/>
      <c r="CM14258" s="336"/>
    </row>
    <row r="14259" spans="84:91" s="51" customFormat="1">
      <c r="CF14259" s="239"/>
      <c r="CM14259" s="336"/>
    </row>
    <row r="14260" spans="84:91" s="51" customFormat="1">
      <c r="CF14260" s="239"/>
      <c r="CM14260" s="336"/>
    </row>
    <row r="14261" spans="84:91" s="51" customFormat="1">
      <c r="CF14261" s="239"/>
      <c r="CM14261" s="336"/>
    </row>
    <row r="14262" spans="84:91" s="51" customFormat="1">
      <c r="CF14262" s="239"/>
      <c r="CM14262" s="336"/>
    </row>
    <row r="14263" spans="84:91" s="51" customFormat="1">
      <c r="CF14263" s="239"/>
      <c r="CM14263" s="336"/>
    </row>
    <row r="14264" spans="84:91" s="51" customFormat="1">
      <c r="CF14264" s="239"/>
      <c r="CM14264" s="336"/>
    </row>
    <row r="14265" spans="84:91" s="51" customFormat="1">
      <c r="CF14265" s="239"/>
      <c r="CM14265" s="336"/>
    </row>
    <row r="14266" spans="84:91" s="51" customFormat="1">
      <c r="CF14266" s="239"/>
      <c r="CM14266" s="336"/>
    </row>
    <row r="14267" spans="84:91" s="51" customFormat="1">
      <c r="CF14267" s="239"/>
      <c r="CM14267" s="336"/>
    </row>
    <row r="14268" spans="84:91" s="51" customFormat="1">
      <c r="CF14268" s="239"/>
      <c r="CM14268" s="336"/>
    </row>
    <row r="14269" spans="84:91" s="51" customFormat="1">
      <c r="CF14269" s="239"/>
      <c r="CM14269" s="336"/>
    </row>
    <row r="14270" spans="84:91" s="51" customFormat="1">
      <c r="CF14270" s="239"/>
      <c r="CM14270" s="336"/>
    </row>
    <row r="14271" spans="84:91" s="51" customFormat="1">
      <c r="CF14271" s="239"/>
      <c r="CM14271" s="336"/>
    </row>
    <row r="14272" spans="84:91" s="51" customFormat="1">
      <c r="CF14272" s="239"/>
      <c r="CM14272" s="336"/>
    </row>
    <row r="14273" spans="84:91" s="51" customFormat="1">
      <c r="CF14273" s="239"/>
      <c r="CM14273" s="336"/>
    </row>
    <row r="14274" spans="84:91" s="51" customFormat="1">
      <c r="CF14274" s="239"/>
      <c r="CM14274" s="336"/>
    </row>
    <row r="14275" spans="84:91" s="51" customFormat="1">
      <c r="CF14275" s="239"/>
      <c r="CM14275" s="336"/>
    </row>
    <row r="14276" spans="84:91" s="51" customFormat="1">
      <c r="CF14276" s="239"/>
      <c r="CM14276" s="336"/>
    </row>
    <row r="14277" spans="84:91" s="51" customFormat="1">
      <c r="CF14277" s="239"/>
      <c r="CM14277" s="336"/>
    </row>
    <row r="14278" spans="84:91" s="51" customFormat="1">
      <c r="CF14278" s="239"/>
      <c r="CM14278" s="336"/>
    </row>
    <row r="14279" spans="84:91" s="51" customFormat="1">
      <c r="CF14279" s="239"/>
      <c r="CM14279" s="336"/>
    </row>
    <row r="14280" spans="84:91" s="51" customFormat="1">
      <c r="CF14280" s="239"/>
      <c r="CM14280" s="336"/>
    </row>
    <row r="14281" spans="84:91" s="51" customFormat="1">
      <c r="CF14281" s="239"/>
      <c r="CM14281" s="336"/>
    </row>
    <row r="14282" spans="84:91" s="51" customFormat="1">
      <c r="CF14282" s="239"/>
      <c r="CM14282" s="336"/>
    </row>
    <row r="14283" spans="84:91" s="51" customFormat="1">
      <c r="CF14283" s="239"/>
      <c r="CM14283" s="336"/>
    </row>
    <row r="14284" spans="84:91" s="51" customFormat="1">
      <c r="CF14284" s="239"/>
      <c r="CM14284" s="336"/>
    </row>
    <row r="14285" spans="84:91" s="51" customFormat="1">
      <c r="CF14285" s="239"/>
      <c r="CM14285" s="336"/>
    </row>
    <row r="14286" spans="84:91" s="51" customFormat="1">
      <c r="CF14286" s="239"/>
      <c r="CM14286" s="336"/>
    </row>
    <row r="14287" spans="84:91" s="51" customFormat="1">
      <c r="CF14287" s="239"/>
      <c r="CM14287" s="336"/>
    </row>
    <row r="14288" spans="84:91" s="51" customFormat="1">
      <c r="CF14288" s="239"/>
      <c r="CM14288" s="336"/>
    </row>
    <row r="14289" spans="84:91" s="51" customFormat="1">
      <c r="CF14289" s="239"/>
      <c r="CM14289" s="336"/>
    </row>
    <row r="14290" spans="84:91" s="51" customFormat="1">
      <c r="CF14290" s="239"/>
      <c r="CM14290" s="336"/>
    </row>
    <row r="14291" spans="84:91" s="51" customFormat="1">
      <c r="CF14291" s="239"/>
      <c r="CM14291" s="336"/>
    </row>
    <row r="14292" spans="84:91" s="51" customFormat="1">
      <c r="CF14292" s="239"/>
      <c r="CM14292" s="336"/>
    </row>
    <row r="14293" spans="84:91" s="51" customFormat="1">
      <c r="CF14293" s="239"/>
      <c r="CM14293" s="336"/>
    </row>
    <row r="14294" spans="84:91" s="51" customFormat="1">
      <c r="CF14294" s="239"/>
      <c r="CM14294" s="336"/>
    </row>
    <row r="14295" spans="84:91" s="51" customFormat="1">
      <c r="CF14295" s="239"/>
      <c r="CM14295" s="336"/>
    </row>
    <row r="14296" spans="84:91" s="51" customFormat="1">
      <c r="CF14296" s="239"/>
      <c r="CM14296" s="336"/>
    </row>
    <row r="14297" spans="84:91" s="51" customFormat="1">
      <c r="CF14297" s="239"/>
      <c r="CM14297" s="336"/>
    </row>
    <row r="14298" spans="84:91" s="51" customFormat="1">
      <c r="CF14298" s="239"/>
      <c r="CM14298" s="336"/>
    </row>
    <row r="14299" spans="84:91" s="51" customFormat="1">
      <c r="CF14299" s="239"/>
      <c r="CM14299" s="336"/>
    </row>
    <row r="14300" spans="84:91" s="51" customFormat="1">
      <c r="CF14300" s="239"/>
      <c r="CM14300" s="336"/>
    </row>
    <row r="14301" spans="84:91" s="51" customFormat="1">
      <c r="CF14301" s="239"/>
      <c r="CM14301" s="336"/>
    </row>
    <row r="14302" spans="84:91" s="51" customFormat="1">
      <c r="CF14302" s="239"/>
      <c r="CM14302" s="336"/>
    </row>
    <row r="14303" spans="84:91" s="51" customFormat="1">
      <c r="CF14303" s="239"/>
      <c r="CM14303" s="336"/>
    </row>
    <row r="14304" spans="84:91" s="51" customFormat="1">
      <c r="CF14304" s="239"/>
      <c r="CM14304" s="336"/>
    </row>
    <row r="14305" spans="84:91" s="51" customFormat="1">
      <c r="CF14305" s="239"/>
      <c r="CM14305" s="336"/>
    </row>
    <row r="14306" spans="84:91" s="51" customFormat="1">
      <c r="CF14306" s="239"/>
      <c r="CM14306" s="336"/>
    </row>
    <row r="14307" spans="84:91" s="51" customFormat="1">
      <c r="CF14307" s="239"/>
      <c r="CM14307" s="336"/>
    </row>
    <row r="14308" spans="84:91" s="51" customFormat="1">
      <c r="CF14308" s="239"/>
      <c r="CM14308" s="336"/>
    </row>
    <row r="14309" spans="84:91" s="51" customFormat="1">
      <c r="CF14309" s="239"/>
      <c r="CM14309" s="336"/>
    </row>
    <row r="14310" spans="84:91" s="51" customFormat="1">
      <c r="CF14310" s="239"/>
      <c r="CM14310" s="336"/>
    </row>
    <row r="14311" spans="84:91" s="51" customFormat="1">
      <c r="CF14311" s="239"/>
      <c r="CM14311" s="336"/>
    </row>
    <row r="14312" spans="84:91" s="51" customFormat="1">
      <c r="CF14312" s="239"/>
      <c r="CM14312" s="336"/>
    </row>
    <row r="14313" spans="84:91" s="51" customFormat="1">
      <c r="CF14313" s="239"/>
      <c r="CM14313" s="336"/>
    </row>
    <row r="14314" spans="84:91" s="51" customFormat="1">
      <c r="CF14314" s="239"/>
      <c r="CM14314" s="336"/>
    </row>
    <row r="14315" spans="84:91" s="51" customFormat="1">
      <c r="CF14315" s="239"/>
      <c r="CM14315" s="336"/>
    </row>
    <row r="14316" spans="84:91" s="51" customFormat="1">
      <c r="CF14316" s="239"/>
      <c r="CM14316" s="336"/>
    </row>
    <row r="14317" spans="84:91" s="51" customFormat="1">
      <c r="CF14317" s="239"/>
      <c r="CM14317" s="336"/>
    </row>
    <row r="14318" spans="84:91" s="51" customFormat="1">
      <c r="CF14318" s="239"/>
      <c r="CM14318" s="336"/>
    </row>
    <row r="14319" spans="84:91" s="51" customFormat="1">
      <c r="CF14319" s="239"/>
      <c r="CM14319" s="336"/>
    </row>
    <row r="14320" spans="84:91" s="51" customFormat="1">
      <c r="CF14320" s="239"/>
      <c r="CM14320" s="336"/>
    </row>
    <row r="14321" spans="84:91" s="51" customFormat="1">
      <c r="CF14321" s="239"/>
      <c r="CM14321" s="336"/>
    </row>
    <row r="14322" spans="84:91" s="51" customFormat="1">
      <c r="CF14322" s="239"/>
      <c r="CM14322" s="336"/>
    </row>
    <row r="14323" spans="84:91" s="51" customFormat="1">
      <c r="CF14323" s="239"/>
      <c r="CM14323" s="336"/>
    </row>
    <row r="14324" spans="84:91" s="51" customFormat="1">
      <c r="CF14324" s="239"/>
      <c r="CM14324" s="336"/>
    </row>
    <row r="14325" spans="84:91" s="51" customFormat="1">
      <c r="CF14325" s="239"/>
      <c r="CM14325" s="336"/>
    </row>
    <row r="14326" spans="84:91" s="51" customFormat="1">
      <c r="CF14326" s="239"/>
      <c r="CM14326" s="336"/>
    </row>
    <row r="14327" spans="84:91" s="51" customFormat="1">
      <c r="CF14327" s="239"/>
      <c r="CM14327" s="336"/>
    </row>
    <row r="14328" spans="84:91" s="51" customFormat="1">
      <c r="CF14328" s="239"/>
      <c r="CM14328" s="336"/>
    </row>
    <row r="14329" spans="84:91" s="51" customFormat="1">
      <c r="CF14329" s="239"/>
      <c r="CM14329" s="336"/>
    </row>
    <row r="14330" spans="84:91" s="51" customFormat="1">
      <c r="CF14330" s="239"/>
      <c r="CM14330" s="336"/>
    </row>
    <row r="14331" spans="84:91" s="51" customFormat="1">
      <c r="CF14331" s="239"/>
      <c r="CM14331" s="336"/>
    </row>
    <row r="14332" spans="84:91" s="51" customFormat="1">
      <c r="CF14332" s="239"/>
      <c r="CM14332" s="336"/>
    </row>
    <row r="14333" spans="84:91" s="51" customFormat="1">
      <c r="CF14333" s="239"/>
      <c r="CM14333" s="336"/>
    </row>
    <row r="14334" spans="84:91" s="51" customFormat="1">
      <c r="CF14334" s="239"/>
      <c r="CM14334" s="336"/>
    </row>
    <row r="14335" spans="84:91" s="51" customFormat="1">
      <c r="CF14335" s="239"/>
      <c r="CM14335" s="336"/>
    </row>
    <row r="14336" spans="84:91" s="51" customFormat="1">
      <c r="CF14336" s="239"/>
      <c r="CM14336" s="336"/>
    </row>
    <row r="14337" spans="84:91" s="51" customFormat="1">
      <c r="CF14337" s="239"/>
      <c r="CM14337" s="336"/>
    </row>
    <row r="14338" spans="84:91" s="51" customFormat="1">
      <c r="CF14338" s="239"/>
      <c r="CM14338" s="336"/>
    </row>
    <row r="14339" spans="84:91" s="51" customFormat="1">
      <c r="CF14339" s="239"/>
      <c r="CM14339" s="336"/>
    </row>
    <row r="14340" spans="84:91" s="51" customFormat="1">
      <c r="CF14340" s="239"/>
      <c r="CM14340" s="336"/>
    </row>
    <row r="14341" spans="84:91" s="51" customFormat="1">
      <c r="CF14341" s="239"/>
      <c r="CM14341" s="336"/>
    </row>
    <row r="14342" spans="84:91" s="51" customFormat="1">
      <c r="CF14342" s="239"/>
      <c r="CM14342" s="336"/>
    </row>
    <row r="14343" spans="84:91" s="51" customFormat="1">
      <c r="CF14343" s="239"/>
      <c r="CM14343" s="336"/>
    </row>
    <row r="14344" spans="84:91" s="51" customFormat="1">
      <c r="CF14344" s="239"/>
      <c r="CM14344" s="336"/>
    </row>
    <row r="14345" spans="84:91" s="51" customFormat="1">
      <c r="CF14345" s="239"/>
      <c r="CM14345" s="336"/>
    </row>
    <row r="14346" spans="84:91" s="51" customFormat="1">
      <c r="CF14346" s="239"/>
      <c r="CM14346" s="336"/>
    </row>
    <row r="14347" spans="84:91" s="51" customFormat="1">
      <c r="CF14347" s="239"/>
      <c r="CM14347" s="336"/>
    </row>
    <row r="14348" spans="84:91" s="51" customFormat="1">
      <c r="CF14348" s="239"/>
      <c r="CM14348" s="336"/>
    </row>
    <row r="14349" spans="84:91" s="51" customFormat="1">
      <c r="CF14349" s="239"/>
      <c r="CM14349" s="336"/>
    </row>
    <row r="14350" spans="84:91" s="51" customFormat="1">
      <c r="CF14350" s="239"/>
      <c r="CM14350" s="336"/>
    </row>
    <row r="14351" spans="84:91" s="51" customFormat="1">
      <c r="CF14351" s="239"/>
      <c r="CM14351" s="336"/>
    </row>
    <row r="14352" spans="84:91" s="51" customFormat="1">
      <c r="CF14352" s="239"/>
      <c r="CM14352" s="336"/>
    </row>
    <row r="14353" spans="84:91" s="51" customFormat="1">
      <c r="CF14353" s="239"/>
      <c r="CM14353" s="336"/>
    </row>
    <row r="14354" spans="84:91" s="51" customFormat="1">
      <c r="CF14354" s="239"/>
      <c r="CM14354" s="336"/>
    </row>
    <row r="14355" spans="84:91" s="51" customFormat="1">
      <c r="CF14355" s="239"/>
      <c r="CM14355" s="336"/>
    </row>
    <row r="14356" spans="84:91" s="51" customFormat="1">
      <c r="CF14356" s="239"/>
      <c r="CM14356" s="336"/>
    </row>
    <row r="14357" spans="84:91" s="51" customFormat="1">
      <c r="CF14357" s="239"/>
      <c r="CM14357" s="336"/>
    </row>
    <row r="14358" spans="84:91" s="51" customFormat="1">
      <c r="CF14358" s="239"/>
      <c r="CM14358" s="336"/>
    </row>
    <row r="14359" spans="84:91" s="51" customFormat="1">
      <c r="CF14359" s="239"/>
      <c r="CM14359" s="336"/>
    </row>
    <row r="14360" spans="84:91" s="51" customFormat="1">
      <c r="CF14360" s="239"/>
      <c r="CM14360" s="336"/>
    </row>
    <row r="14361" spans="84:91" s="51" customFormat="1">
      <c r="CF14361" s="239"/>
      <c r="CM14361" s="336"/>
    </row>
    <row r="14362" spans="84:91" s="51" customFormat="1">
      <c r="CF14362" s="239"/>
      <c r="CM14362" s="336"/>
    </row>
    <row r="14363" spans="84:91" s="51" customFormat="1">
      <c r="CF14363" s="239"/>
      <c r="CM14363" s="336"/>
    </row>
    <row r="14364" spans="84:91" s="51" customFormat="1">
      <c r="CF14364" s="239"/>
      <c r="CM14364" s="336"/>
    </row>
    <row r="14365" spans="84:91" s="51" customFormat="1">
      <c r="CF14365" s="239"/>
      <c r="CM14365" s="336"/>
    </row>
    <row r="14366" spans="84:91" s="51" customFormat="1">
      <c r="CF14366" s="239"/>
      <c r="CM14366" s="336"/>
    </row>
    <row r="14367" spans="84:91" s="51" customFormat="1">
      <c r="CF14367" s="239"/>
      <c r="CM14367" s="336"/>
    </row>
    <row r="14368" spans="84:91" s="51" customFormat="1">
      <c r="CF14368" s="239"/>
      <c r="CM14368" s="336"/>
    </row>
    <row r="14369" spans="84:91" s="51" customFormat="1">
      <c r="CF14369" s="239"/>
      <c r="CM14369" s="336"/>
    </row>
    <row r="14370" spans="84:91" s="51" customFormat="1">
      <c r="CF14370" s="239"/>
      <c r="CM14370" s="336"/>
    </row>
    <row r="14371" spans="84:91" s="51" customFormat="1">
      <c r="CF14371" s="239"/>
      <c r="CM14371" s="336"/>
    </row>
    <row r="14372" spans="84:91" s="51" customFormat="1">
      <c r="CF14372" s="239"/>
      <c r="CM14372" s="336"/>
    </row>
    <row r="14373" spans="84:91" s="51" customFormat="1">
      <c r="CF14373" s="239"/>
      <c r="CM14373" s="336"/>
    </row>
    <row r="14374" spans="84:91" s="51" customFormat="1">
      <c r="CF14374" s="239"/>
      <c r="CM14374" s="336"/>
    </row>
    <row r="14375" spans="84:91" s="51" customFormat="1">
      <c r="CF14375" s="239"/>
      <c r="CM14375" s="336"/>
    </row>
    <row r="14376" spans="84:91" s="51" customFormat="1">
      <c r="CF14376" s="239"/>
      <c r="CM14376" s="336"/>
    </row>
    <row r="14377" spans="84:91" s="51" customFormat="1">
      <c r="CF14377" s="239"/>
      <c r="CM14377" s="336"/>
    </row>
    <row r="14378" spans="84:91" s="51" customFormat="1">
      <c r="CF14378" s="239"/>
      <c r="CM14378" s="336"/>
    </row>
    <row r="14379" spans="84:91" s="51" customFormat="1">
      <c r="CF14379" s="239"/>
      <c r="CM14379" s="336"/>
    </row>
    <row r="14380" spans="84:91" s="51" customFormat="1">
      <c r="CF14380" s="239"/>
      <c r="CM14380" s="336"/>
    </row>
    <row r="14381" spans="84:91" s="51" customFormat="1">
      <c r="CF14381" s="239"/>
      <c r="CM14381" s="336"/>
    </row>
    <row r="14382" spans="84:91" s="51" customFormat="1">
      <c r="CF14382" s="239"/>
      <c r="CM14382" s="336"/>
    </row>
    <row r="14383" spans="84:91" s="51" customFormat="1">
      <c r="CF14383" s="239"/>
      <c r="CM14383" s="336"/>
    </row>
    <row r="14384" spans="84:91" s="51" customFormat="1">
      <c r="CF14384" s="239"/>
      <c r="CM14384" s="336"/>
    </row>
    <row r="14385" spans="84:91" s="51" customFormat="1">
      <c r="CF14385" s="239"/>
      <c r="CM14385" s="336"/>
    </row>
    <row r="14386" spans="84:91" s="51" customFormat="1">
      <c r="CF14386" s="239"/>
      <c r="CM14386" s="336"/>
    </row>
    <row r="14387" spans="84:91" s="51" customFormat="1">
      <c r="CF14387" s="239"/>
      <c r="CM14387" s="336"/>
    </row>
    <row r="14388" spans="84:91" s="51" customFormat="1">
      <c r="CF14388" s="239"/>
      <c r="CM14388" s="336"/>
    </row>
    <row r="14389" spans="84:91" s="51" customFormat="1">
      <c r="CF14389" s="239"/>
      <c r="CM14389" s="336"/>
    </row>
    <row r="14390" spans="84:91" s="51" customFormat="1">
      <c r="CF14390" s="239"/>
      <c r="CM14390" s="336"/>
    </row>
    <row r="14391" spans="84:91" s="51" customFormat="1">
      <c r="CF14391" s="239"/>
      <c r="CM14391" s="336"/>
    </row>
    <row r="14392" spans="84:91" s="51" customFormat="1">
      <c r="CF14392" s="239"/>
      <c r="CM14392" s="336"/>
    </row>
    <row r="14393" spans="84:91" s="51" customFormat="1">
      <c r="CF14393" s="239"/>
      <c r="CM14393" s="336"/>
    </row>
    <row r="14394" spans="84:91" s="51" customFormat="1">
      <c r="CF14394" s="239"/>
      <c r="CM14394" s="336"/>
    </row>
    <row r="14395" spans="84:91" s="51" customFormat="1">
      <c r="CF14395" s="239"/>
      <c r="CM14395" s="336"/>
    </row>
    <row r="14396" spans="84:91" s="51" customFormat="1">
      <c r="CF14396" s="239"/>
      <c r="CM14396" s="336"/>
    </row>
    <row r="14397" spans="84:91" s="51" customFormat="1">
      <c r="CF14397" s="239"/>
      <c r="CM14397" s="336"/>
    </row>
    <row r="14398" spans="84:91" s="51" customFormat="1">
      <c r="CF14398" s="239"/>
      <c r="CM14398" s="336"/>
    </row>
    <row r="14399" spans="84:91" s="51" customFormat="1">
      <c r="CF14399" s="239"/>
      <c r="CM14399" s="336"/>
    </row>
    <row r="14400" spans="84:91" s="51" customFormat="1">
      <c r="CF14400" s="239"/>
      <c r="CM14400" s="336"/>
    </row>
    <row r="14401" spans="84:91" s="51" customFormat="1">
      <c r="CF14401" s="239"/>
      <c r="CM14401" s="336"/>
    </row>
    <row r="14402" spans="84:91" s="51" customFormat="1">
      <c r="CF14402" s="239"/>
      <c r="CM14402" s="336"/>
    </row>
    <row r="14403" spans="84:91" s="51" customFormat="1">
      <c r="CF14403" s="239"/>
      <c r="CM14403" s="336"/>
    </row>
    <row r="14404" spans="84:91" s="51" customFormat="1">
      <c r="CF14404" s="239"/>
      <c r="CM14404" s="336"/>
    </row>
    <row r="14405" spans="84:91" s="51" customFormat="1">
      <c r="CF14405" s="239"/>
      <c r="CM14405" s="336"/>
    </row>
    <row r="14406" spans="84:91" s="51" customFormat="1">
      <c r="CF14406" s="239"/>
      <c r="CM14406" s="336"/>
    </row>
    <row r="14407" spans="84:91" s="51" customFormat="1">
      <c r="CF14407" s="239"/>
      <c r="CM14407" s="336"/>
    </row>
    <row r="14408" spans="84:91" s="51" customFormat="1">
      <c r="CF14408" s="239"/>
      <c r="CM14408" s="336"/>
    </row>
    <row r="14409" spans="84:91" s="51" customFormat="1">
      <c r="CF14409" s="239"/>
      <c r="CM14409" s="336"/>
    </row>
    <row r="14410" spans="84:91" s="51" customFormat="1">
      <c r="CF14410" s="239"/>
      <c r="CM14410" s="336"/>
    </row>
    <row r="14411" spans="84:91" s="51" customFormat="1">
      <c r="CF14411" s="239"/>
      <c r="CM14411" s="336"/>
    </row>
    <row r="14412" spans="84:91" s="51" customFormat="1">
      <c r="CF14412" s="239"/>
      <c r="CM14412" s="336"/>
    </row>
    <row r="14413" spans="84:91" s="51" customFormat="1">
      <c r="CF14413" s="239"/>
      <c r="CM14413" s="336"/>
    </row>
    <row r="14414" spans="84:91" s="51" customFormat="1">
      <c r="CF14414" s="239"/>
      <c r="CM14414" s="336"/>
    </row>
    <row r="14415" spans="84:91" s="51" customFormat="1">
      <c r="CF14415" s="239"/>
      <c r="CM14415" s="336"/>
    </row>
    <row r="14416" spans="84:91" s="51" customFormat="1">
      <c r="CF14416" s="239"/>
      <c r="CM14416" s="336"/>
    </row>
    <row r="14417" spans="84:91" s="51" customFormat="1">
      <c r="CF14417" s="239"/>
      <c r="CM14417" s="336"/>
    </row>
    <row r="14418" spans="84:91" s="51" customFormat="1">
      <c r="CF14418" s="239"/>
      <c r="CM14418" s="336"/>
    </row>
    <row r="14419" spans="84:91" s="51" customFormat="1">
      <c r="CF14419" s="239"/>
      <c r="CM14419" s="336"/>
    </row>
    <row r="14420" spans="84:91" s="51" customFormat="1">
      <c r="CF14420" s="239"/>
      <c r="CM14420" s="336"/>
    </row>
    <row r="14421" spans="84:91" s="51" customFormat="1">
      <c r="CF14421" s="239"/>
      <c r="CM14421" s="336"/>
    </row>
    <row r="14422" spans="84:91" s="51" customFormat="1">
      <c r="CF14422" s="239"/>
      <c r="CM14422" s="336"/>
    </row>
    <row r="14423" spans="84:91" s="51" customFormat="1">
      <c r="CF14423" s="239"/>
      <c r="CM14423" s="336"/>
    </row>
    <row r="14424" spans="84:91" s="51" customFormat="1">
      <c r="CF14424" s="239"/>
      <c r="CM14424" s="336"/>
    </row>
    <row r="14425" spans="84:91" s="51" customFormat="1">
      <c r="CF14425" s="239"/>
      <c r="CM14425" s="336"/>
    </row>
    <row r="14426" spans="84:91" s="51" customFormat="1">
      <c r="CF14426" s="239"/>
      <c r="CM14426" s="336"/>
    </row>
    <row r="14427" spans="84:91" s="51" customFormat="1">
      <c r="CF14427" s="239"/>
      <c r="CM14427" s="336"/>
    </row>
    <row r="14428" spans="84:91" s="51" customFormat="1">
      <c r="CF14428" s="239"/>
      <c r="CM14428" s="336"/>
    </row>
    <row r="14429" spans="84:91" s="51" customFormat="1">
      <c r="CF14429" s="239"/>
      <c r="CM14429" s="336"/>
    </row>
    <row r="14430" spans="84:91" s="51" customFormat="1">
      <c r="CF14430" s="239"/>
      <c r="CM14430" s="336"/>
    </row>
    <row r="14431" spans="84:91" s="51" customFormat="1">
      <c r="CF14431" s="239"/>
      <c r="CM14431" s="336"/>
    </row>
    <row r="14432" spans="84:91" s="51" customFormat="1">
      <c r="CF14432" s="239"/>
      <c r="CM14432" s="336"/>
    </row>
    <row r="14433" spans="84:91" s="51" customFormat="1">
      <c r="CF14433" s="239"/>
      <c r="CM14433" s="336"/>
    </row>
    <row r="14434" spans="84:91" s="51" customFormat="1">
      <c r="CF14434" s="239"/>
      <c r="CM14434" s="336"/>
    </row>
    <row r="14435" spans="84:91" s="51" customFormat="1">
      <c r="CF14435" s="239"/>
      <c r="CM14435" s="336"/>
    </row>
    <row r="14436" spans="84:91" s="51" customFormat="1">
      <c r="CF14436" s="239"/>
      <c r="CM14436" s="336"/>
    </row>
    <row r="14437" spans="84:91" s="51" customFormat="1">
      <c r="CF14437" s="239"/>
      <c r="CM14437" s="336"/>
    </row>
    <row r="14438" spans="84:91" s="51" customFormat="1">
      <c r="CF14438" s="239"/>
      <c r="CM14438" s="336"/>
    </row>
    <row r="14439" spans="84:91" s="51" customFormat="1">
      <c r="CF14439" s="239"/>
      <c r="CM14439" s="336"/>
    </row>
    <row r="14440" spans="84:91" s="51" customFormat="1">
      <c r="CF14440" s="239"/>
      <c r="CM14440" s="336"/>
    </row>
    <row r="14441" spans="84:91" s="51" customFormat="1">
      <c r="CF14441" s="239"/>
      <c r="CM14441" s="336"/>
    </row>
    <row r="14442" spans="84:91" s="51" customFormat="1">
      <c r="CF14442" s="239"/>
      <c r="CM14442" s="336"/>
    </row>
    <row r="14443" spans="84:91" s="51" customFormat="1">
      <c r="CF14443" s="239"/>
      <c r="CM14443" s="336"/>
    </row>
    <row r="14444" spans="84:91" s="51" customFormat="1">
      <c r="CF14444" s="239"/>
      <c r="CM14444" s="336"/>
    </row>
    <row r="14445" spans="84:91" s="51" customFormat="1">
      <c r="CF14445" s="239"/>
      <c r="CM14445" s="336"/>
    </row>
    <row r="14446" spans="84:91" s="51" customFormat="1">
      <c r="CF14446" s="239"/>
      <c r="CM14446" s="336"/>
    </row>
    <row r="14447" spans="84:91" s="51" customFormat="1">
      <c r="CF14447" s="239"/>
      <c r="CM14447" s="336"/>
    </row>
    <row r="14448" spans="84:91" s="51" customFormat="1">
      <c r="CF14448" s="239"/>
      <c r="CM14448" s="336"/>
    </row>
    <row r="14449" spans="84:91" s="51" customFormat="1">
      <c r="CF14449" s="239"/>
      <c r="CM14449" s="336"/>
    </row>
    <row r="14450" spans="84:91" s="51" customFormat="1">
      <c r="CF14450" s="239"/>
      <c r="CM14450" s="336"/>
    </row>
    <row r="14451" spans="84:91" s="51" customFormat="1">
      <c r="CF14451" s="239"/>
      <c r="CM14451" s="336"/>
    </row>
    <row r="14452" spans="84:91" s="51" customFormat="1">
      <c r="CF14452" s="239"/>
      <c r="CM14452" s="336"/>
    </row>
    <row r="14453" spans="84:91" s="51" customFormat="1">
      <c r="CF14453" s="239"/>
      <c r="CM14453" s="336"/>
    </row>
    <row r="14454" spans="84:91" s="51" customFormat="1">
      <c r="CF14454" s="239"/>
      <c r="CM14454" s="336"/>
    </row>
    <row r="14455" spans="84:91" s="51" customFormat="1">
      <c r="CF14455" s="239"/>
      <c r="CM14455" s="336"/>
    </row>
    <row r="14456" spans="84:91" s="51" customFormat="1">
      <c r="CF14456" s="239"/>
      <c r="CM14456" s="336"/>
    </row>
    <row r="14457" spans="84:91" s="51" customFormat="1">
      <c r="CF14457" s="239"/>
      <c r="CM14457" s="336"/>
    </row>
    <row r="14458" spans="84:91" s="51" customFormat="1">
      <c r="CF14458" s="239"/>
      <c r="CM14458" s="336"/>
    </row>
    <row r="14459" spans="84:91" s="51" customFormat="1">
      <c r="CF14459" s="239"/>
      <c r="CM14459" s="336"/>
    </row>
    <row r="14460" spans="84:91" s="51" customFormat="1">
      <c r="CF14460" s="239"/>
      <c r="CM14460" s="336"/>
    </row>
    <row r="14461" spans="84:91" s="51" customFormat="1">
      <c r="CF14461" s="239"/>
      <c r="CM14461" s="336"/>
    </row>
    <row r="14462" spans="84:91" s="51" customFormat="1">
      <c r="CF14462" s="239"/>
      <c r="CM14462" s="336"/>
    </row>
    <row r="14463" spans="84:91" s="51" customFormat="1">
      <c r="CF14463" s="239"/>
      <c r="CM14463" s="336"/>
    </row>
    <row r="14464" spans="84:91" s="51" customFormat="1">
      <c r="CF14464" s="239"/>
      <c r="CM14464" s="336"/>
    </row>
    <row r="14465" spans="84:91" s="51" customFormat="1">
      <c r="CF14465" s="239"/>
      <c r="CM14465" s="336"/>
    </row>
    <row r="14466" spans="84:91" s="51" customFormat="1">
      <c r="CF14466" s="239"/>
      <c r="CM14466" s="336"/>
    </row>
    <row r="14467" spans="84:91" s="51" customFormat="1">
      <c r="CF14467" s="239"/>
      <c r="CM14467" s="336"/>
    </row>
    <row r="14468" spans="84:91" s="51" customFormat="1">
      <c r="CF14468" s="239"/>
      <c r="CM14468" s="336"/>
    </row>
    <row r="14469" spans="84:91" s="51" customFormat="1">
      <c r="CF14469" s="239"/>
      <c r="CM14469" s="336"/>
    </row>
    <row r="14470" spans="84:91" s="51" customFormat="1">
      <c r="CF14470" s="239"/>
      <c r="CM14470" s="336"/>
    </row>
    <row r="14471" spans="84:91" s="51" customFormat="1">
      <c r="CF14471" s="239"/>
      <c r="CM14471" s="336"/>
    </row>
    <row r="14472" spans="84:91" s="51" customFormat="1">
      <c r="CF14472" s="239"/>
      <c r="CM14472" s="336"/>
    </row>
    <row r="14473" spans="84:91" s="51" customFormat="1">
      <c r="CF14473" s="239"/>
      <c r="CM14473" s="336"/>
    </row>
    <row r="14474" spans="84:91" s="51" customFormat="1">
      <c r="CF14474" s="239"/>
      <c r="CM14474" s="336"/>
    </row>
    <row r="14475" spans="84:91" s="51" customFormat="1">
      <c r="CF14475" s="239"/>
      <c r="CM14475" s="336"/>
    </row>
    <row r="14476" spans="84:91" s="51" customFormat="1">
      <c r="CF14476" s="239"/>
      <c r="CM14476" s="336"/>
    </row>
    <row r="14477" spans="84:91" s="51" customFormat="1">
      <c r="CF14477" s="239"/>
      <c r="CM14477" s="336"/>
    </row>
    <row r="14478" spans="84:91" s="51" customFormat="1">
      <c r="CF14478" s="239"/>
      <c r="CM14478" s="336"/>
    </row>
    <row r="14479" spans="84:91" s="51" customFormat="1">
      <c r="CF14479" s="239"/>
      <c r="CM14479" s="336"/>
    </row>
    <row r="14480" spans="84:91" s="51" customFormat="1">
      <c r="CF14480" s="239"/>
      <c r="CM14480" s="336"/>
    </row>
    <row r="14481" spans="84:91" s="51" customFormat="1">
      <c r="CF14481" s="239"/>
      <c r="CM14481" s="336"/>
    </row>
    <row r="14482" spans="84:91" s="51" customFormat="1">
      <c r="CF14482" s="239"/>
      <c r="CM14482" s="336"/>
    </row>
    <row r="14483" spans="84:91" s="51" customFormat="1">
      <c r="CF14483" s="239"/>
      <c r="CM14483" s="336"/>
    </row>
    <row r="14484" spans="84:91" s="51" customFormat="1">
      <c r="CF14484" s="239"/>
      <c r="CM14484" s="336"/>
    </row>
    <row r="14485" spans="84:91" s="51" customFormat="1">
      <c r="CF14485" s="239"/>
      <c r="CM14485" s="336"/>
    </row>
    <row r="14486" spans="84:91" s="51" customFormat="1">
      <c r="CF14486" s="239"/>
      <c r="CM14486" s="336"/>
    </row>
    <row r="14487" spans="84:91" s="51" customFormat="1">
      <c r="CF14487" s="239"/>
      <c r="CM14487" s="336"/>
    </row>
    <row r="14488" spans="84:91" s="51" customFormat="1">
      <c r="CF14488" s="239"/>
      <c r="CM14488" s="336"/>
    </row>
    <row r="14489" spans="84:91" s="51" customFormat="1">
      <c r="CF14489" s="239"/>
      <c r="CM14489" s="336"/>
    </row>
    <row r="14490" spans="84:91" s="51" customFormat="1">
      <c r="CF14490" s="239"/>
      <c r="CM14490" s="336"/>
    </row>
    <row r="14491" spans="84:91" s="51" customFormat="1">
      <c r="CF14491" s="239"/>
      <c r="CM14491" s="336"/>
    </row>
    <row r="14492" spans="84:91" s="51" customFormat="1">
      <c r="CF14492" s="239"/>
      <c r="CM14492" s="336"/>
    </row>
    <row r="14493" spans="84:91" s="51" customFormat="1">
      <c r="CF14493" s="239"/>
      <c r="CM14493" s="336"/>
    </row>
    <row r="14494" spans="84:91" s="51" customFormat="1">
      <c r="CF14494" s="239"/>
      <c r="CM14494" s="336"/>
    </row>
    <row r="14495" spans="84:91" s="51" customFormat="1">
      <c r="CF14495" s="239"/>
      <c r="CM14495" s="336"/>
    </row>
    <row r="14496" spans="84:91" s="51" customFormat="1">
      <c r="CF14496" s="239"/>
      <c r="CM14496" s="336"/>
    </row>
    <row r="14497" spans="84:91" s="51" customFormat="1">
      <c r="CF14497" s="239"/>
      <c r="CM14497" s="336"/>
    </row>
    <row r="14498" spans="84:91" s="51" customFormat="1">
      <c r="CF14498" s="239"/>
      <c r="CM14498" s="336"/>
    </row>
    <row r="14499" spans="84:91" s="51" customFormat="1">
      <c r="CF14499" s="239"/>
      <c r="CM14499" s="336"/>
    </row>
    <row r="14500" spans="84:91" s="51" customFormat="1">
      <c r="CF14500" s="239"/>
      <c r="CM14500" s="336"/>
    </row>
    <row r="14501" spans="84:91" s="51" customFormat="1">
      <c r="CF14501" s="239"/>
      <c r="CM14501" s="336"/>
    </row>
    <row r="14502" spans="84:91" s="51" customFormat="1">
      <c r="CF14502" s="239"/>
      <c r="CM14502" s="336"/>
    </row>
    <row r="14503" spans="84:91" s="51" customFormat="1">
      <c r="CF14503" s="239"/>
      <c r="CM14503" s="336"/>
    </row>
    <row r="14504" spans="84:91" s="51" customFormat="1">
      <c r="CF14504" s="239"/>
      <c r="CM14504" s="336"/>
    </row>
    <row r="14505" spans="84:91" s="51" customFormat="1">
      <c r="CF14505" s="239"/>
      <c r="CM14505" s="336"/>
    </row>
    <row r="14506" spans="84:91" s="51" customFormat="1">
      <c r="CF14506" s="239"/>
      <c r="CM14506" s="336"/>
    </row>
    <row r="14507" spans="84:91" s="51" customFormat="1">
      <c r="CF14507" s="239"/>
      <c r="CM14507" s="336"/>
    </row>
    <row r="14508" spans="84:91" s="51" customFormat="1">
      <c r="CF14508" s="239"/>
      <c r="CM14508" s="336"/>
    </row>
    <row r="14509" spans="84:91" s="51" customFormat="1">
      <c r="CF14509" s="239"/>
      <c r="CM14509" s="336"/>
    </row>
    <row r="14510" spans="84:91" s="51" customFormat="1">
      <c r="CF14510" s="239"/>
      <c r="CM14510" s="336"/>
    </row>
    <row r="14511" spans="84:91" s="51" customFormat="1">
      <c r="CF14511" s="239"/>
      <c r="CM14511" s="336"/>
    </row>
    <row r="14512" spans="84:91" s="51" customFormat="1">
      <c r="CF14512" s="239"/>
      <c r="CM14512" s="336"/>
    </row>
    <row r="14513" spans="84:91" s="51" customFormat="1">
      <c r="CF14513" s="239"/>
      <c r="CM14513" s="336"/>
    </row>
    <row r="14514" spans="84:91" s="51" customFormat="1">
      <c r="CF14514" s="239"/>
      <c r="CM14514" s="336"/>
    </row>
    <row r="14515" spans="84:91" s="51" customFormat="1">
      <c r="CF14515" s="239"/>
      <c r="CM14515" s="336"/>
    </row>
    <row r="14516" spans="84:91" s="51" customFormat="1">
      <c r="CF14516" s="239"/>
      <c r="CM14516" s="336"/>
    </row>
    <row r="14517" spans="84:91" s="51" customFormat="1">
      <c r="CF14517" s="239"/>
      <c r="CM14517" s="336"/>
    </row>
    <row r="14518" spans="84:91" s="51" customFormat="1">
      <c r="CF14518" s="239"/>
      <c r="CM14518" s="336"/>
    </row>
    <row r="14519" spans="84:91" s="51" customFormat="1">
      <c r="CF14519" s="239"/>
      <c r="CM14519" s="336"/>
    </row>
    <row r="14520" spans="84:91" s="51" customFormat="1">
      <c r="CF14520" s="239"/>
      <c r="CM14520" s="336"/>
    </row>
    <row r="14521" spans="84:91" s="51" customFormat="1">
      <c r="CF14521" s="239"/>
      <c r="CM14521" s="336"/>
    </row>
    <row r="14522" spans="84:91" s="51" customFormat="1">
      <c r="CF14522" s="239"/>
      <c r="CM14522" s="336"/>
    </row>
    <row r="14523" spans="84:91" s="51" customFormat="1">
      <c r="CF14523" s="239"/>
      <c r="CM14523" s="336"/>
    </row>
    <row r="14524" spans="84:91" s="51" customFormat="1">
      <c r="CF14524" s="239"/>
      <c r="CM14524" s="336"/>
    </row>
    <row r="14525" spans="84:91" s="51" customFormat="1">
      <c r="CF14525" s="239"/>
      <c r="CM14525" s="336"/>
    </row>
    <row r="14526" spans="84:91" s="51" customFormat="1">
      <c r="CF14526" s="239"/>
      <c r="CM14526" s="336"/>
    </row>
    <row r="14527" spans="84:91" s="51" customFormat="1">
      <c r="CF14527" s="239"/>
      <c r="CM14527" s="336"/>
    </row>
    <row r="14528" spans="84:91" s="51" customFormat="1">
      <c r="CF14528" s="239"/>
      <c r="CM14528" s="336"/>
    </row>
    <row r="14529" spans="84:91" s="51" customFormat="1">
      <c r="CF14529" s="239"/>
      <c r="CM14529" s="336"/>
    </row>
    <row r="14530" spans="84:91" s="51" customFormat="1">
      <c r="CF14530" s="239"/>
      <c r="CM14530" s="336"/>
    </row>
    <row r="14531" spans="84:91" s="51" customFormat="1">
      <c r="CF14531" s="239"/>
      <c r="CM14531" s="336"/>
    </row>
    <row r="14532" spans="84:91" s="51" customFormat="1">
      <c r="CF14532" s="239"/>
      <c r="CM14532" s="336"/>
    </row>
    <row r="14533" spans="84:91" s="51" customFormat="1">
      <c r="CF14533" s="239"/>
      <c r="CM14533" s="336"/>
    </row>
    <row r="14534" spans="84:91" s="51" customFormat="1">
      <c r="CF14534" s="239"/>
      <c r="CM14534" s="336"/>
    </row>
    <row r="14535" spans="84:91" s="51" customFormat="1">
      <c r="CF14535" s="239"/>
      <c r="CM14535" s="336"/>
    </row>
    <row r="14536" spans="84:91" s="51" customFormat="1">
      <c r="CF14536" s="239"/>
      <c r="CM14536" s="336"/>
    </row>
    <row r="14537" spans="84:91" s="51" customFormat="1">
      <c r="CF14537" s="239"/>
      <c r="CM14537" s="336"/>
    </row>
    <row r="14538" spans="84:91" s="51" customFormat="1">
      <c r="CF14538" s="239"/>
      <c r="CM14538" s="336"/>
    </row>
    <row r="14539" spans="84:91" s="51" customFormat="1">
      <c r="CF14539" s="239"/>
      <c r="CM14539" s="336"/>
    </row>
    <row r="14540" spans="84:91" s="51" customFormat="1">
      <c r="CF14540" s="239"/>
      <c r="CM14540" s="336"/>
    </row>
    <row r="14541" spans="84:91" s="51" customFormat="1">
      <c r="CF14541" s="239"/>
      <c r="CM14541" s="336"/>
    </row>
    <row r="14542" spans="84:91" s="51" customFormat="1">
      <c r="CF14542" s="239"/>
      <c r="CM14542" s="336"/>
    </row>
    <row r="14543" spans="84:91" s="51" customFormat="1">
      <c r="CF14543" s="239"/>
      <c r="CM14543" s="336"/>
    </row>
    <row r="14544" spans="84:91" s="51" customFormat="1">
      <c r="CF14544" s="239"/>
      <c r="CM14544" s="336"/>
    </row>
    <row r="14545" spans="84:91" s="51" customFormat="1">
      <c r="CF14545" s="239"/>
      <c r="CM14545" s="336"/>
    </row>
    <row r="14546" spans="84:91" s="51" customFormat="1">
      <c r="CF14546" s="239"/>
      <c r="CM14546" s="336"/>
    </row>
    <row r="14547" spans="84:91" s="51" customFormat="1">
      <c r="CF14547" s="239"/>
      <c r="CM14547" s="336"/>
    </row>
    <row r="14548" spans="84:91" s="51" customFormat="1">
      <c r="CF14548" s="239"/>
      <c r="CM14548" s="336"/>
    </row>
    <row r="14549" spans="84:91" s="51" customFormat="1">
      <c r="CF14549" s="239"/>
      <c r="CM14549" s="336"/>
    </row>
    <row r="14550" spans="84:91" s="51" customFormat="1">
      <c r="CF14550" s="239"/>
      <c r="CM14550" s="336"/>
    </row>
    <row r="14551" spans="84:91" s="51" customFormat="1">
      <c r="CF14551" s="239"/>
      <c r="CM14551" s="336"/>
    </row>
    <row r="14552" spans="84:91" s="51" customFormat="1">
      <c r="CF14552" s="239"/>
      <c r="CM14552" s="336"/>
    </row>
    <row r="14553" spans="84:91" s="51" customFormat="1">
      <c r="CF14553" s="239"/>
      <c r="CM14553" s="336"/>
    </row>
    <row r="14554" spans="84:91" s="51" customFormat="1">
      <c r="CF14554" s="239"/>
      <c r="CM14554" s="336"/>
    </row>
    <row r="14555" spans="84:91" s="51" customFormat="1">
      <c r="CF14555" s="239"/>
      <c r="CM14555" s="336"/>
    </row>
    <row r="14556" spans="84:91" s="51" customFormat="1">
      <c r="CF14556" s="239"/>
      <c r="CM14556" s="336"/>
    </row>
    <row r="14557" spans="84:91" s="51" customFormat="1">
      <c r="CF14557" s="239"/>
      <c r="CM14557" s="336"/>
    </row>
    <row r="14558" spans="84:91" s="51" customFormat="1">
      <c r="CF14558" s="239"/>
      <c r="CM14558" s="336"/>
    </row>
    <row r="14559" spans="84:91" s="51" customFormat="1">
      <c r="CF14559" s="239"/>
      <c r="CM14559" s="336"/>
    </row>
    <row r="14560" spans="84:91" s="51" customFormat="1">
      <c r="CF14560" s="239"/>
      <c r="CM14560" s="336"/>
    </row>
    <row r="14561" spans="84:91" s="51" customFormat="1">
      <c r="CF14561" s="239"/>
      <c r="CM14561" s="336"/>
    </row>
    <row r="14562" spans="84:91" s="51" customFormat="1">
      <c r="CF14562" s="239"/>
      <c r="CM14562" s="336"/>
    </row>
    <row r="14563" spans="84:91" s="51" customFormat="1">
      <c r="CF14563" s="239"/>
      <c r="CM14563" s="336"/>
    </row>
    <row r="14564" spans="84:91" s="51" customFormat="1">
      <c r="CF14564" s="239"/>
      <c r="CM14564" s="336"/>
    </row>
    <row r="14565" spans="84:91" s="51" customFormat="1">
      <c r="CF14565" s="239"/>
      <c r="CM14565" s="336"/>
    </row>
    <row r="14566" spans="84:91" s="51" customFormat="1">
      <c r="CF14566" s="239"/>
      <c r="CM14566" s="336"/>
    </row>
    <row r="14567" spans="84:91" s="51" customFormat="1">
      <c r="CF14567" s="239"/>
      <c r="CM14567" s="336"/>
    </row>
    <row r="14568" spans="84:91" s="51" customFormat="1">
      <c r="CF14568" s="239"/>
      <c r="CM14568" s="336"/>
    </row>
    <row r="14569" spans="84:91" s="51" customFormat="1">
      <c r="CF14569" s="239"/>
      <c r="CM14569" s="336"/>
    </row>
    <row r="14570" spans="84:91" s="51" customFormat="1">
      <c r="CF14570" s="239"/>
      <c r="CM14570" s="336"/>
    </row>
    <row r="14571" spans="84:91" s="51" customFormat="1">
      <c r="CF14571" s="239"/>
      <c r="CM14571" s="336"/>
    </row>
    <row r="14572" spans="84:91" s="51" customFormat="1">
      <c r="CF14572" s="239"/>
      <c r="CM14572" s="336"/>
    </row>
    <row r="14573" spans="84:91" s="51" customFormat="1">
      <c r="CF14573" s="239"/>
      <c r="CM14573" s="336"/>
    </row>
    <row r="14574" spans="84:91" s="51" customFormat="1">
      <c r="CF14574" s="239"/>
      <c r="CM14574" s="336"/>
    </row>
    <row r="14575" spans="84:91" s="51" customFormat="1">
      <c r="CF14575" s="239"/>
      <c r="CM14575" s="336"/>
    </row>
    <row r="14576" spans="84:91" s="51" customFormat="1">
      <c r="CF14576" s="239"/>
      <c r="CM14576" s="336"/>
    </row>
    <row r="14577" spans="84:91" s="51" customFormat="1">
      <c r="CF14577" s="239"/>
      <c r="CM14577" s="336"/>
    </row>
    <row r="14578" spans="84:91" s="51" customFormat="1">
      <c r="CF14578" s="239"/>
      <c r="CM14578" s="336"/>
    </row>
    <row r="14579" spans="84:91" s="51" customFormat="1">
      <c r="CF14579" s="239"/>
      <c r="CM14579" s="336"/>
    </row>
    <row r="14580" spans="84:91" s="51" customFormat="1">
      <c r="CF14580" s="239"/>
      <c r="CM14580" s="336"/>
    </row>
    <row r="14581" spans="84:91" s="51" customFormat="1">
      <c r="CF14581" s="239"/>
      <c r="CM14581" s="336"/>
    </row>
    <row r="14582" spans="84:91" s="51" customFormat="1">
      <c r="CF14582" s="239"/>
      <c r="CM14582" s="336"/>
    </row>
    <row r="14583" spans="84:91" s="51" customFormat="1">
      <c r="CF14583" s="239"/>
      <c r="CM14583" s="336"/>
    </row>
    <row r="14584" spans="84:91" s="51" customFormat="1">
      <c r="CF14584" s="239"/>
      <c r="CM14584" s="336"/>
    </row>
    <row r="14585" spans="84:91" s="51" customFormat="1">
      <c r="CF14585" s="239"/>
      <c r="CM14585" s="336"/>
    </row>
    <row r="14586" spans="84:91" s="51" customFormat="1">
      <c r="CF14586" s="239"/>
      <c r="CM14586" s="336"/>
    </row>
    <row r="14587" spans="84:91" s="51" customFormat="1">
      <c r="CF14587" s="239"/>
      <c r="CM14587" s="336"/>
    </row>
    <row r="14588" spans="84:91" s="51" customFormat="1">
      <c r="CF14588" s="239"/>
      <c r="CM14588" s="336"/>
    </row>
    <row r="14589" spans="84:91" s="51" customFormat="1">
      <c r="CF14589" s="239"/>
      <c r="CM14589" s="336"/>
    </row>
    <row r="14590" spans="84:91" s="51" customFormat="1">
      <c r="CF14590" s="239"/>
      <c r="CM14590" s="336"/>
    </row>
    <row r="14591" spans="84:91" s="51" customFormat="1">
      <c r="CF14591" s="239"/>
      <c r="CM14591" s="336"/>
    </row>
    <row r="14592" spans="84:91" s="51" customFormat="1">
      <c r="CF14592" s="239"/>
      <c r="CM14592" s="336"/>
    </row>
    <row r="14593" spans="84:91" s="51" customFormat="1">
      <c r="CF14593" s="239"/>
      <c r="CM14593" s="336"/>
    </row>
    <row r="14594" spans="84:91" s="51" customFormat="1">
      <c r="CF14594" s="239"/>
      <c r="CM14594" s="336"/>
    </row>
    <row r="14595" spans="84:91" s="51" customFormat="1">
      <c r="CF14595" s="239"/>
      <c r="CM14595" s="336"/>
    </row>
    <row r="14596" spans="84:91" s="51" customFormat="1">
      <c r="CF14596" s="239"/>
      <c r="CM14596" s="336"/>
    </row>
    <row r="14597" spans="84:91" s="51" customFormat="1">
      <c r="CF14597" s="239"/>
      <c r="CM14597" s="336"/>
    </row>
    <row r="14598" spans="84:91" s="51" customFormat="1">
      <c r="CF14598" s="239"/>
      <c r="CM14598" s="336"/>
    </row>
    <row r="14599" spans="84:91" s="51" customFormat="1">
      <c r="CF14599" s="239"/>
      <c r="CM14599" s="336"/>
    </row>
    <row r="14600" spans="84:91" s="51" customFormat="1">
      <c r="CF14600" s="239"/>
      <c r="CM14600" s="336"/>
    </row>
    <row r="14601" spans="84:91" s="51" customFormat="1">
      <c r="CF14601" s="239"/>
      <c r="CM14601" s="336"/>
    </row>
    <row r="14602" spans="84:91" s="51" customFormat="1">
      <c r="CF14602" s="239"/>
      <c r="CM14602" s="336"/>
    </row>
    <row r="14603" spans="84:91" s="51" customFormat="1">
      <c r="CF14603" s="239"/>
      <c r="CM14603" s="336"/>
    </row>
    <row r="14604" spans="84:91" s="51" customFormat="1">
      <c r="CF14604" s="239"/>
      <c r="CM14604" s="336"/>
    </row>
    <row r="14605" spans="84:91" s="51" customFormat="1">
      <c r="CF14605" s="239"/>
      <c r="CM14605" s="336"/>
    </row>
    <row r="14606" spans="84:91" s="51" customFormat="1">
      <c r="CF14606" s="239"/>
      <c r="CM14606" s="336"/>
    </row>
    <row r="14607" spans="84:91" s="51" customFormat="1">
      <c r="CF14607" s="239"/>
      <c r="CM14607" s="336"/>
    </row>
    <row r="14608" spans="84:91" s="51" customFormat="1">
      <c r="CF14608" s="239"/>
      <c r="CM14608" s="336"/>
    </row>
    <row r="14609" spans="84:91" s="51" customFormat="1">
      <c r="CF14609" s="239"/>
      <c r="CM14609" s="336"/>
    </row>
    <row r="14610" spans="84:91" s="51" customFormat="1">
      <c r="CF14610" s="239"/>
      <c r="CM14610" s="336"/>
    </row>
    <row r="14611" spans="84:91" s="51" customFormat="1">
      <c r="CF14611" s="239"/>
      <c r="CM14611" s="336"/>
    </row>
    <row r="14612" spans="84:91" s="51" customFormat="1">
      <c r="CF14612" s="239"/>
      <c r="CM14612" s="336"/>
    </row>
    <row r="14613" spans="84:91" s="51" customFormat="1">
      <c r="CF14613" s="239"/>
      <c r="CM14613" s="336"/>
    </row>
    <row r="14614" spans="84:91" s="51" customFormat="1">
      <c r="CF14614" s="239"/>
      <c r="CM14614" s="336"/>
    </row>
    <row r="14615" spans="84:91" s="51" customFormat="1">
      <c r="CF14615" s="239"/>
      <c r="CM14615" s="336"/>
    </row>
    <row r="14616" spans="84:91" s="51" customFormat="1">
      <c r="CF14616" s="239"/>
      <c r="CM14616" s="336"/>
    </row>
    <row r="14617" spans="84:91" s="51" customFormat="1">
      <c r="CF14617" s="239"/>
      <c r="CM14617" s="336"/>
    </row>
    <row r="14618" spans="84:91" s="51" customFormat="1">
      <c r="CF14618" s="239"/>
      <c r="CM14618" s="336"/>
    </row>
    <row r="14619" spans="84:91" s="51" customFormat="1">
      <c r="CF14619" s="239"/>
      <c r="CM14619" s="336"/>
    </row>
    <row r="14620" spans="84:91" s="51" customFormat="1">
      <c r="CF14620" s="239"/>
      <c r="CM14620" s="336"/>
    </row>
    <row r="14621" spans="84:91" s="51" customFormat="1">
      <c r="CF14621" s="239"/>
      <c r="CM14621" s="336"/>
    </row>
    <row r="14622" spans="84:91" s="51" customFormat="1">
      <c r="CF14622" s="239"/>
      <c r="CM14622" s="336"/>
    </row>
    <row r="14623" spans="84:91" s="51" customFormat="1">
      <c r="CF14623" s="239"/>
      <c r="CM14623" s="336"/>
    </row>
    <row r="14624" spans="84:91" s="51" customFormat="1">
      <c r="CF14624" s="239"/>
      <c r="CM14624" s="336"/>
    </row>
    <row r="14625" spans="84:91" s="51" customFormat="1">
      <c r="CF14625" s="239"/>
      <c r="CM14625" s="336"/>
    </row>
    <row r="14626" spans="84:91" s="51" customFormat="1">
      <c r="CF14626" s="239"/>
      <c r="CM14626" s="336"/>
    </row>
    <row r="14627" spans="84:91" s="51" customFormat="1">
      <c r="CF14627" s="239"/>
      <c r="CM14627" s="336"/>
    </row>
    <row r="14628" spans="84:91" s="51" customFormat="1">
      <c r="CF14628" s="239"/>
      <c r="CM14628" s="336"/>
    </row>
    <row r="14629" spans="84:91" s="51" customFormat="1">
      <c r="CF14629" s="239"/>
      <c r="CM14629" s="336"/>
    </row>
    <row r="14630" spans="84:91" s="51" customFormat="1">
      <c r="CF14630" s="239"/>
      <c r="CM14630" s="336"/>
    </row>
    <row r="14631" spans="84:91" s="51" customFormat="1">
      <c r="CF14631" s="239"/>
      <c r="CM14631" s="336"/>
    </row>
    <row r="14632" spans="84:91" s="51" customFormat="1">
      <c r="CF14632" s="239"/>
      <c r="CM14632" s="336"/>
    </row>
    <row r="14633" spans="84:91" s="51" customFormat="1">
      <c r="CF14633" s="239"/>
      <c r="CM14633" s="336"/>
    </row>
    <row r="14634" spans="84:91" s="51" customFormat="1">
      <c r="CF14634" s="239"/>
      <c r="CM14634" s="336"/>
    </row>
    <row r="14635" spans="84:91" s="51" customFormat="1">
      <c r="CF14635" s="239"/>
      <c r="CM14635" s="336"/>
    </row>
    <row r="14636" spans="84:91" s="51" customFormat="1">
      <c r="CF14636" s="239"/>
      <c r="CM14636" s="336"/>
    </row>
    <row r="14637" spans="84:91" s="51" customFormat="1">
      <c r="CF14637" s="239"/>
      <c r="CM14637" s="336"/>
    </row>
    <row r="14638" spans="84:91" s="51" customFormat="1">
      <c r="CF14638" s="239"/>
      <c r="CM14638" s="336"/>
    </row>
    <row r="14639" spans="84:91" s="51" customFormat="1">
      <c r="CF14639" s="239"/>
      <c r="CM14639" s="336"/>
    </row>
    <row r="14640" spans="84:91" s="51" customFormat="1">
      <c r="CF14640" s="239"/>
      <c r="CM14640" s="336"/>
    </row>
    <row r="14641" spans="84:91" s="51" customFormat="1">
      <c r="CF14641" s="239"/>
      <c r="CM14641" s="336"/>
    </row>
    <row r="14642" spans="84:91" s="51" customFormat="1">
      <c r="CF14642" s="239"/>
      <c r="CM14642" s="336"/>
    </row>
    <row r="14643" spans="84:91" s="51" customFormat="1">
      <c r="CF14643" s="239"/>
      <c r="CM14643" s="336"/>
    </row>
    <row r="14644" spans="84:91" s="51" customFormat="1">
      <c r="CF14644" s="239"/>
      <c r="CM14644" s="336"/>
    </row>
    <row r="14645" spans="84:91" s="51" customFormat="1">
      <c r="CF14645" s="239"/>
      <c r="CM14645" s="336"/>
    </row>
    <row r="14646" spans="84:91" s="51" customFormat="1">
      <c r="CF14646" s="239"/>
      <c r="CM14646" s="336"/>
    </row>
    <row r="14647" spans="84:91" s="51" customFormat="1">
      <c r="CF14647" s="239"/>
      <c r="CM14647" s="336"/>
    </row>
    <row r="14648" spans="84:91" s="51" customFormat="1">
      <c r="CF14648" s="239"/>
      <c r="CM14648" s="336"/>
    </row>
    <row r="14649" spans="84:91" s="51" customFormat="1">
      <c r="CF14649" s="239"/>
      <c r="CM14649" s="336"/>
    </row>
    <row r="14650" spans="84:91" s="51" customFormat="1">
      <c r="CF14650" s="239"/>
      <c r="CM14650" s="336"/>
    </row>
    <row r="14651" spans="84:91" s="51" customFormat="1">
      <c r="CF14651" s="239"/>
      <c r="CM14651" s="336"/>
    </row>
    <row r="14652" spans="84:91" s="51" customFormat="1">
      <c r="CF14652" s="239"/>
      <c r="CM14652" s="336"/>
    </row>
    <row r="14653" spans="84:91" s="51" customFormat="1">
      <c r="CF14653" s="239"/>
      <c r="CM14653" s="336"/>
    </row>
    <row r="14654" spans="84:91" s="51" customFormat="1">
      <c r="CF14654" s="239"/>
      <c r="CM14654" s="336"/>
    </row>
    <row r="14655" spans="84:91" s="51" customFormat="1">
      <c r="CF14655" s="239"/>
      <c r="CM14655" s="336"/>
    </row>
    <row r="14656" spans="84:91" s="51" customFormat="1">
      <c r="CF14656" s="239"/>
      <c r="CM14656" s="336"/>
    </row>
    <row r="14657" spans="84:91" s="51" customFormat="1">
      <c r="CF14657" s="239"/>
      <c r="CM14657" s="336"/>
    </row>
    <row r="14658" spans="84:91" s="51" customFormat="1">
      <c r="CF14658" s="239"/>
      <c r="CM14658" s="336"/>
    </row>
    <row r="14659" spans="84:91" s="51" customFormat="1">
      <c r="CF14659" s="239"/>
      <c r="CM14659" s="336"/>
    </row>
    <row r="14660" spans="84:91" s="51" customFormat="1">
      <c r="CF14660" s="239"/>
      <c r="CM14660" s="336"/>
    </row>
    <row r="14661" spans="84:91" s="51" customFormat="1">
      <c r="CF14661" s="239"/>
      <c r="CM14661" s="336"/>
    </row>
    <row r="14662" spans="84:91" s="51" customFormat="1">
      <c r="CF14662" s="239"/>
      <c r="CM14662" s="336"/>
    </row>
    <row r="14663" spans="84:91" s="51" customFormat="1">
      <c r="CF14663" s="239"/>
      <c r="CM14663" s="336"/>
    </row>
    <row r="14664" spans="84:91" s="51" customFormat="1">
      <c r="CF14664" s="239"/>
      <c r="CM14664" s="336"/>
    </row>
    <row r="14665" spans="84:91" s="51" customFormat="1">
      <c r="CF14665" s="239"/>
      <c r="CM14665" s="336"/>
    </row>
    <row r="14666" spans="84:91" s="51" customFormat="1">
      <c r="CF14666" s="239"/>
      <c r="CM14666" s="336"/>
    </row>
    <row r="14667" spans="84:91" s="51" customFormat="1">
      <c r="CF14667" s="239"/>
      <c r="CM14667" s="336"/>
    </row>
    <row r="14668" spans="84:91" s="51" customFormat="1">
      <c r="CF14668" s="239"/>
      <c r="CM14668" s="336"/>
    </row>
    <row r="14669" spans="84:91" s="51" customFormat="1">
      <c r="CF14669" s="239"/>
      <c r="CM14669" s="336"/>
    </row>
    <row r="14670" spans="84:91" s="51" customFormat="1">
      <c r="CF14670" s="239"/>
      <c r="CM14670" s="336"/>
    </row>
    <row r="14671" spans="84:91" s="51" customFormat="1">
      <c r="CF14671" s="239"/>
      <c r="CM14671" s="336"/>
    </row>
    <row r="14672" spans="84:91" s="51" customFormat="1">
      <c r="CF14672" s="239"/>
      <c r="CM14672" s="336"/>
    </row>
    <row r="14673" spans="84:91" s="51" customFormat="1">
      <c r="CF14673" s="239"/>
      <c r="CM14673" s="336"/>
    </row>
    <row r="14674" spans="84:91" s="51" customFormat="1">
      <c r="CF14674" s="239"/>
      <c r="CM14674" s="336"/>
    </row>
    <row r="14675" spans="84:91" s="51" customFormat="1">
      <c r="CF14675" s="239"/>
      <c r="CM14675" s="336"/>
    </row>
    <row r="14676" spans="84:91" s="51" customFormat="1">
      <c r="CF14676" s="239"/>
      <c r="CM14676" s="336"/>
    </row>
    <row r="14677" spans="84:91" s="51" customFormat="1">
      <c r="CF14677" s="239"/>
      <c r="CM14677" s="336"/>
    </row>
    <row r="14678" spans="84:91" s="51" customFormat="1">
      <c r="CF14678" s="239"/>
      <c r="CM14678" s="336"/>
    </row>
    <row r="14679" spans="84:91" s="51" customFormat="1">
      <c r="CF14679" s="239"/>
      <c r="CM14679" s="336"/>
    </row>
    <row r="14680" spans="84:91" s="51" customFormat="1">
      <c r="CF14680" s="239"/>
      <c r="CM14680" s="336"/>
    </row>
    <row r="14681" spans="84:91" s="51" customFormat="1">
      <c r="CF14681" s="239"/>
      <c r="CM14681" s="336"/>
    </row>
    <row r="14682" spans="84:91" s="51" customFormat="1">
      <c r="CF14682" s="239"/>
      <c r="CM14682" s="336"/>
    </row>
    <row r="14683" spans="84:91" s="51" customFormat="1">
      <c r="CF14683" s="239"/>
      <c r="CM14683" s="336"/>
    </row>
    <row r="14684" spans="84:91" s="51" customFormat="1">
      <c r="CF14684" s="239"/>
      <c r="CM14684" s="336"/>
    </row>
    <row r="14685" spans="84:91" s="51" customFormat="1">
      <c r="CF14685" s="239"/>
      <c r="CM14685" s="336"/>
    </row>
    <row r="14686" spans="84:91" s="51" customFormat="1">
      <c r="CF14686" s="239"/>
      <c r="CM14686" s="336"/>
    </row>
    <row r="14687" spans="84:91" s="51" customFormat="1">
      <c r="CF14687" s="239"/>
      <c r="CM14687" s="336"/>
    </row>
    <row r="14688" spans="84:91" s="51" customFormat="1">
      <c r="CF14688" s="239"/>
      <c r="CM14688" s="336"/>
    </row>
    <row r="14689" spans="84:91" s="51" customFormat="1">
      <c r="CF14689" s="239"/>
      <c r="CM14689" s="336"/>
    </row>
    <row r="14690" spans="84:91" s="51" customFormat="1">
      <c r="CF14690" s="239"/>
      <c r="CM14690" s="336"/>
    </row>
    <row r="14691" spans="84:91" s="51" customFormat="1">
      <c r="CF14691" s="239"/>
      <c r="CM14691" s="336"/>
    </row>
    <row r="14692" spans="84:91" s="51" customFormat="1">
      <c r="CF14692" s="239"/>
      <c r="CM14692" s="336"/>
    </row>
    <row r="14693" spans="84:91" s="51" customFormat="1">
      <c r="CF14693" s="239"/>
      <c r="CM14693" s="336"/>
    </row>
    <row r="14694" spans="84:91" s="51" customFormat="1">
      <c r="CF14694" s="239"/>
      <c r="CM14694" s="336"/>
    </row>
    <row r="14695" spans="84:91" s="51" customFormat="1">
      <c r="CF14695" s="239"/>
      <c r="CM14695" s="336"/>
    </row>
    <row r="14696" spans="84:91" s="51" customFormat="1">
      <c r="CF14696" s="239"/>
      <c r="CM14696" s="336"/>
    </row>
    <row r="14697" spans="84:91" s="51" customFormat="1">
      <c r="CF14697" s="239"/>
      <c r="CM14697" s="336"/>
    </row>
    <row r="14698" spans="84:91" s="51" customFormat="1">
      <c r="CF14698" s="239"/>
      <c r="CM14698" s="336"/>
    </row>
    <row r="14699" spans="84:91" s="51" customFormat="1">
      <c r="CF14699" s="239"/>
      <c r="CM14699" s="336"/>
    </row>
    <row r="14700" spans="84:91" s="51" customFormat="1">
      <c r="CF14700" s="239"/>
      <c r="CM14700" s="336"/>
    </row>
    <row r="14701" spans="84:91" s="51" customFormat="1">
      <c r="CF14701" s="239"/>
      <c r="CM14701" s="336"/>
    </row>
    <row r="14702" spans="84:91" s="51" customFormat="1">
      <c r="CF14702" s="239"/>
      <c r="CM14702" s="336"/>
    </row>
    <row r="14703" spans="84:91" s="51" customFormat="1">
      <c r="CF14703" s="239"/>
      <c r="CM14703" s="336"/>
    </row>
    <row r="14704" spans="84:91" s="51" customFormat="1">
      <c r="CF14704" s="239"/>
      <c r="CM14704" s="336"/>
    </row>
    <row r="14705" spans="84:91" s="51" customFormat="1">
      <c r="CF14705" s="239"/>
      <c r="CM14705" s="336"/>
    </row>
    <row r="14706" spans="84:91" s="51" customFormat="1">
      <c r="CF14706" s="239"/>
      <c r="CM14706" s="336"/>
    </row>
    <row r="14707" spans="84:91" s="51" customFormat="1">
      <c r="CF14707" s="239"/>
      <c r="CM14707" s="336"/>
    </row>
    <row r="14708" spans="84:91" s="51" customFormat="1">
      <c r="CF14708" s="239"/>
      <c r="CM14708" s="336"/>
    </row>
    <row r="14709" spans="84:91" s="51" customFormat="1">
      <c r="CF14709" s="239"/>
      <c r="CM14709" s="336"/>
    </row>
    <row r="14710" spans="84:91" s="51" customFormat="1">
      <c r="CF14710" s="239"/>
      <c r="CM14710" s="336"/>
    </row>
    <row r="14711" spans="84:91" s="51" customFormat="1">
      <c r="CF14711" s="239"/>
      <c r="CM14711" s="336"/>
    </row>
    <row r="14712" spans="84:91" s="51" customFormat="1">
      <c r="CF14712" s="239"/>
      <c r="CM14712" s="336"/>
    </row>
    <row r="14713" spans="84:91" s="51" customFormat="1">
      <c r="CF14713" s="239"/>
      <c r="CM14713" s="336"/>
    </row>
    <row r="14714" spans="84:91" s="51" customFormat="1">
      <c r="CF14714" s="239"/>
      <c r="CM14714" s="336"/>
    </row>
    <row r="14715" spans="84:91" s="51" customFormat="1">
      <c r="CF14715" s="239"/>
      <c r="CM14715" s="336"/>
    </row>
    <row r="14716" spans="84:91" s="51" customFormat="1">
      <c r="CF14716" s="239"/>
      <c r="CM14716" s="336"/>
    </row>
    <row r="14717" spans="84:91" s="51" customFormat="1">
      <c r="CF14717" s="239"/>
      <c r="CM14717" s="336"/>
    </row>
    <row r="14718" spans="84:91" s="51" customFormat="1">
      <c r="CF14718" s="239"/>
      <c r="CM14718" s="336"/>
    </row>
    <row r="14719" spans="84:91" s="51" customFormat="1">
      <c r="CF14719" s="239"/>
      <c r="CM14719" s="336"/>
    </row>
    <row r="14720" spans="84:91" s="51" customFormat="1">
      <c r="CF14720" s="239"/>
      <c r="CM14720" s="336"/>
    </row>
    <row r="14721" spans="84:91" s="51" customFormat="1">
      <c r="CF14721" s="239"/>
      <c r="CM14721" s="336"/>
    </row>
    <row r="14722" spans="84:91" s="51" customFormat="1">
      <c r="CF14722" s="239"/>
      <c r="CM14722" s="336"/>
    </row>
    <row r="14723" spans="84:91" s="51" customFormat="1">
      <c r="CF14723" s="239"/>
      <c r="CM14723" s="336"/>
    </row>
    <row r="14724" spans="84:91" s="51" customFormat="1">
      <c r="CF14724" s="239"/>
      <c r="CM14724" s="336"/>
    </row>
    <row r="14725" spans="84:91" s="51" customFormat="1">
      <c r="CF14725" s="239"/>
      <c r="CM14725" s="336"/>
    </row>
    <row r="14726" spans="84:91" s="51" customFormat="1">
      <c r="CF14726" s="239"/>
      <c r="CM14726" s="336"/>
    </row>
    <row r="14727" spans="84:91" s="51" customFormat="1">
      <c r="CF14727" s="239"/>
      <c r="CM14727" s="336"/>
    </row>
    <row r="14728" spans="84:91" s="51" customFormat="1">
      <c r="CF14728" s="239"/>
      <c r="CM14728" s="336"/>
    </row>
    <row r="14729" spans="84:91" s="51" customFormat="1">
      <c r="CF14729" s="239"/>
      <c r="CM14729" s="336"/>
    </row>
    <row r="14730" spans="84:91" s="51" customFormat="1">
      <c r="CF14730" s="239"/>
      <c r="CM14730" s="336"/>
    </row>
    <row r="14731" spans="84:91" s="51" customFormat="1">
      <c r="CF14731" s="239"/>
      <c r="CM14731" s="336"/>
    </row>
    <row r="14732" spans="84:91" s="51" customFormat="1">
      <c r="CF14732" s="239"/>
      <c r="CM14732" s="336"/>
    </row>
    <row r="14733" spans="84:91" s="51" customFormat="1">
      <c r="CF14733" s="239"/>
      <c r="CM14733" s="336"/>
    </row>
    <row r="14734" spans="84:91" s="51" customFormat="1">
      <c r="CF14734" s="239"/>
      <c r="CM14734" s="336"/>
    </row>
    <row r="14735" spans="84:91" s="51" customFormat="1">
      <c r="CF14735" s="239"/>
      <c r="CM14735" s="336"/>
    </row>
    <row r="14736" spans="84:91" s="51" customFormat="1">
      <c r="CF14736" s="239"/>
      <c r="CM14736" s="336"/>
    </row>
    <row r="14737" spans="84:91" s="51" customFormat="1">
      <c r="CF14737" s="239"/>
      <c r="CM14737" s="336"/>
    </row>
    <row r="14738" spans="84:91" s="51" customFormat="1">
      <c r="CF14738" s="239"/>
      <c r="CM14738" s="336"/>
    </row>
    <row r="14739" spans="84:91" s="51" customFormat="1">
      <c r="CF14739" s="239"/>
      <c r="CM14739" s="336"/>
    </row>
    <row r="14740" spans="84:91" s="51" customFormat="1">
      <c r="CF14740" s="239"/>
      <c r="CM14740" s="336"/>
    </row>
    <row r="14741" spans="84:91" s="51" customFormat="1">
      <c r="CF14741" s="239"/>
      <c r="CM14741" s="336"/>
    </row>
    <row r="14742" spans="84:91" s="51" customFormat="1">
      <c r="CF14742" s="239"/>
      <c r="CM14742" s="336"/>
    </row>
    <row r="14743" spans="84:91" s="51" customFormat="1">
      <c r="CF14743" s="239"/>
      <c r="CM14743" s="336"/>
    </row>
    <row r="14744" spans="84:91" s="51" customFormat="1">
      <c r="CF14744" s="239"/>
      <c r="CM14744" s="336"/>
    </row>
    <row r="14745" spans="84:91" s="51" customFormat="1">
      <c r="CF14745" s="239"/>
      <c r="CM14745" s="336"/>
    </row>
    <row r="14746" spans="84:91" s="51" customFormat="1">
      <c r="CF14746" s="239"/>
      <c r="CM14746" s="336"/>
    </row>
    <row r="14747" spans="84:91" s="51" customFormat="1">
      <c r="CF14747" s="239"/>
      <c r="CM14747" s="336"/>
    </row>
    <row r="14748" spans="84:91" s="51" customFormat="1">
      <c r="CF14748" s="239"/>
      <c r="CM14748" s="336"/>
    </row>
    <row r="14749" spans="84:91" s="51" customFormat="1">
      <c r="CF14749" s="239"/>
      <c r="CM14749" s="336"/>
    </row>
    <row r="14750" spans="84:91" s="51" customFormat="1">
      <c r="CF14750" s="239"/>
      <c r="CM14750" s="336"/>
    </row>
    <row r="14751" spans="84:91" s="51" customFormat="1">
      <c r="CF14751" s="239"/>
      <c r="CM14751" s="336"/>
    </row>
    <row r="14752" spans="84:91" s="51" customFormat="1">
      <c r="CF14752" s="239"/>
      <c r="CM14752" s="336"/>
    </row>
    <row r="14753" spans="84:91" s="51" customFormat="1">
      <c r="CF14753" s="239"/>
      <c r="CM14753" s="336"/>
    </row>
    <row r="14754" spans="84:91" s="51" customFormat="1">
      <c r="CF14754" s="239"/>
      <c r="CM14754" s="336"/>
    </row>
    <row r="14755" spans="84:91" s="51" customFormat="1">
      <c r="CF14755" s="239"/>
      <c r="CM14755" s="336"/>
    </row>
    <row r="14756" spans="84:91" s="51" customFormat="1">
      <c r="CF14756" s="239"/>
      <c r="CM14756" s="336"/>
    </row>
    <row r="14757" spans="84:91" s="51" customFormat="1">
      <c r="CF14757" s="239"/>
      <c r="CM14757" s="336"/>
    </row>
    <row r="14758" spans="84:91" s="51" customFormat="1">
      <c r="CF14758" s="239"/>
      <c r="CM14758" s="336"/>
    </row>
    <row r="14759" spans="84:91" s="51" customFormat="1">
      <c r="CF14759" s="239"/>
      <c r="CM14759" s="336"/>
    </row>
    <row r="14760" spans="84:91" s="51" customFormat="1">
      <c r="CF14760" s="239"/>
      <c r="CM14760" s="336"/>
    </row>
    <row r="14761" spans="84:91" s="51" customFormat="1">
      <c r="CF14761" s="239"/>
      <c r="CM14761" s="336"/>
    </row>
    <row r="14762" spans="84:91" s="51" customFormat="1">
      <c r="CF14762" s="239"/>
      <c r="CM14762" s="336"/>
    </row>
    <row r="14763" spans="84:91" s="51" customFormat="1">
      <c r="CF14763" s="239"/>
      <c r="CM14763" s="336"/>
    </row>
    <row r="14764" spans="84:91" s="51" customFormat="1">
      <c r="CF14764" s="239"/>
      <c r="CM14764" s="336"/>
    </row>
    <row r="14765" spans="84:91" s="51" customFormat="1">
      <c r="CF14765" s="239"/>
      <c r="CM14765" s="336"/>
    </row>
    <row r="14766" spans="84:91" s="51" customFormat="1">
      <c r="CF14766" s="239"/>
      <c r="CM14766" s="336"/>
    </row>
    <row r="14767" spans="84:91" s="51" customFormat="1">
      <c r="CF14767" s="239"/>
      <c r="CM14767" s="336"/>
    </row>
    <row r="14768" spans="84:91" s="51" customFormat="1">
      <c r="CF14768" s="239"/>
      <c r="CM14768" s="336"/>
    </row>
    <row r="14769" spans="84:91" s="51" customFormat="1">
      <c r="CF14769" s="239"/>
      <c r="CM14769" s="336"/>
    </row>
    <row r="14770" spans="84:91" s="51" customFormat="1">
      <c r="CF14770" s="239"/>
      <c r="CM14770" s="336"/>
    </row>
    <row r="14771" spans="84:91" s="51" customFormat="1">
      <c r="CF14771" s="239"/>
      <c r="CM14771" s="336"/>
    </row>
    <row r="14772" spans="84:91" s="51" customFormat="1">
      <c r="CF14772" s="239"/>
      <c r="CM14772" s="336"/>
    </row>
    <row r="14773" spans="84:91" s="51" customFormat="1">
      <c r="CF14773" s="239"/>
      <c r="CM14773" s="336"/>
    </row>
    <row r="14774" spans="84:91" s="51" customFormat="1">
      <c r="CF14774" s="239"/>
      <c r="CM14774" s="336"/>
    </row>
    <row r="14775" spans="84:91" s="51" customFormat="1">
      <c r="CF14775" s="239"/>
      <c r="CM14775" s="336"/>
    </row>
    <row r="14776" spans="84:91" s="51" customFormat="1">
      <c r="CF14776" s="239"/>
      <c r="CM14776" s="336"/>
    </row>
    <row r="14777" spans="84:91" s="51" customFormat="1">
      <c r="CF14777" s="239"/>
      <c r="CM14777" s="336"/>
    </row>
    <row r="14778" spans="84:91" s="51" customFormat="1">
      <c r="CF14778" s="239"/>
      <c r="CM14778" s="336"/>
    </row>
    <row r="14779" spans="84:91" s="51" customFormat="1">
      <c r="CF14779" s="239"/>
      <c r="CM14779" s="336"/>
    </row>
    <row r="14780" spans="84:91" s="51" customFormat="1">
      <c r="CF14780" s="239"/>
      <c r="CM14780" s="336"/>
    </row>
    <row r="14781" spans="84:91" s="51" customFormat="1">
      <c r="CF14781" s="239"/>
      <c r="CM14781" s="336"/>
    </row>
    <row r="14782" spans="84:91" s="51" customFormat="1">
      <c r="CF14782" s="239"/>
      <c r="CM14782" s="336"/>
    </row>
    <row r="14783" spans="84:91" s="51" customFormat="1">
      <c r="CF14783" s="239"/>
      <c r="CM14783" s="336"/>
    </row>
    <row r="14784" spans="84:91" s="51" customFormat="1">
      <c r="CF14784" s="239"/>
      <c r="CM14784" s="336"/>
    </row>
    <row r="14785" spans="84:91" s="51" customFormat="1">
      <c r="CF14785" s="239"/>
      <c r="CM14785" s="336"/>
    </row>
    <row r="14786" spans="84:91" s="51" customFormat="1">
      <c r="CF14786" s="239"/>
      <c r="CM14786" s="336"/>
    </row>
    <row r="14787" spans="84:91" s="51" customFormat="1">
      <c r="CF14787" s="239"/>
      <c r="CM14787" s="336"/>
    </row>
    <row r="14788" spans="84:91" s="51" customFormat="1">
      <c r="CF14788" s="239"/>
      <c r="CM14788" s="336"/>
    </row>
    <row r="14789" spans="84:91" s="51" customFormat="1">
      <c r="CF14789" s="239"/>
      <c r="CM14789" s="336"/>
    </row>
    <row r="14790" spans="84:91" s="51" customFormat="1">
      <c r="CF14790" s="239"/>
      <c r="CM14790" s="336"/>
    </row>
    <row r="14791" spans="84:91" s="51" customFormat="1">
      <c r="CF14791" s="239"/>
      <c r="CM14791" s="336"/>
    </row>
    <row r="14792" spans="84:91" s="51" customFormat="1">
      <c r="CF14792" s="239"/>
      <c r="CM14792" s="336"/>
    </row>
    <row r="14793" spans="84:91" s="51" customFormat="1">
      <c r="CF14793" s="239"/>
      <c r="CM14793" s="336"/>
    </row>
    <row r="14794" spans="84:91" s="51" customFormat="1">
      <c r="CF14794" s="239"/>
      <c r="CM14794" s="336"/>
    </row>
    <row r="14795" spans="84:91" s="51" customFormat="1">
      <c r="CF14795" s="239"/>
      <c r="CM14795" s="336"/>
    </row>
    <row r="14796" spans="84:91" s="51" customFormat="1">
      <c r="CF14796" s="239"/>
      <c r="CM14796" s="336"/>
    </row>
    <row r="14797" spans="84:91" s="51" customFormat="1">
      <c r="CF14797" s="239"/>
      <c r="CM14797" s="336"/>
    </row>
    <row r="14798" spans="84:91" s="51" customFormat="1">
      <c r="CF14798" s="239"/>
      <c r="CM14798" s="336"/>
    </row>
    <row r="14799" spans="84:91" s="51" customFormat="1">
      <c r="CF14799" s="239"/>
      <c r="CM14799" s="336"/>
    </row>
    <row r="14800" spans="84:91" s="51" customFormat="1">
      <c r="CF14800" s="239"/>
      <c r="CM14800" s="336"/>
    </row>
    <row r="14801" spans="84:91" s="51" customFormat="1">
      <c r="CF14801" s="239"/>
      <c r="CM14801" s="336"/>
    </row>
    <row r="14802" spans="84:91" s="51" customFormat="1">
      <c r="CF14802" s="239"/>
      <c r="CM14802" s="336"/>
    </row>
    <row r="14803" spans="84:91" s="51" customFormat="1">
      <c r="CF14803" s="239"/>
      <c r="CM14803" s="336"/>
    </row>
    <row r="14804" spans="84:91" s="51" customFormat="1">
      <c r="CF14804" s="239"/>
      <c r="CM14804" s="336"/>
    </row>
    <row r="14805" spans="84:91" s="51" customFormat="1">
      <c r="CF14805" s="239"/>
      <c r="CM14805" s="336"/>
    </row>
    <row r="14806" spans="84:91" s="51" customFormat="1">
      <c r="CF14806" s="239"/>
      <c r="CM14806" s="336"/>
    </row>
    <row r="14807" spans="84:91" s="51" customFormat="1">
      <c r="CF14807" s="239"/>
      <c r="CM14807" s="336"/>
    </row>
    <row r="14808" spans="84:91" s="51" customFormat="1">
      <c r="CF14808" s="239"/>
      <c r="CM14808" s="336"/>
    </row>
    <row r="14809" spans="84:91" s="51" customFormat="1">
      <c r="CF14809" s="239"/>
      <c r="CM14809" s="336"/>
    </row>
    <row r="14810" spans="84:91" s="51" customFormat="1">
      <c r="CF14810" s="239"/>
      <c r="CM14810" s="336"/>
    </row>
    <row r="14811" spans="84:91" s="51" customFormat="1">
      <c r="CF14811" s="239"/>
      <c r="CM14811" s="336"/>
    </row>
    <row r="14812" spans="84:91" s="51" customFormat="1">
      <c r="CF14812" s="239"/>
      <c r="CM14812" s="336"/>
    </row>
    <row r="14813" spans="84:91" s="51" customFormat="1">
      <c r="CF14813" s="239"/>
      <c r="CM14813" s="336"/>
    </row>
    <row r="14814" spans="84:91" s="51" customFormat="1">
      <c r="CF14814" s="239"/>
      <c r="CM14814" s="336"/>
    </row>
    <row r="14815" spans="84:91" s="51" customFormat="1">
      <c r="CF14815" s="239"/>
      <c r="CM14815" s="336"/>
    </row>
    <row r="14816" spans="84:91" s="51" customFormat="1">
      <c r="CF14816" s="239"/>
      <c r="CM14816" s="336"/>
    </row>
    <row r="14817" spans="84:91" s="51" customFormat="1">
      <c r="CF14817" s="239"/>
      <c r="CM14817" s="336"/>
    </row>
    <row r="14818" spans="84:91" s="51" customFormat="1">
      <c r="CF14818" s="239"/>
      <c r="CM14818" s="336"/>
    </row>
    <row r="14819" spans="84:91" s="51" customFormat="1">
      <c r="CF14819" s="239"/>
      <c r="CM14819" s="336"/>
    </row>
    <row r="14820" spans="84:91" s="51" customFormat="1">
      <c r="CF14820" s="239"/>
      <c r="CM14820" s="336"/>
    </row>
    <row r="14821" spans="84:91" s="51" customFormat="1">
      <c r="CF14821" s="239"/>
      <c r="CM14821" s="336"/>
    </row>
    <row r="14822" spans="84:91" s="51" customFormat="1">
      <c r="CF14822" s="239"/>
      <c r="CM14822" s="336"/>
    </row>
    <row r="14823" spans="84:91" s="51" customFormat="1">
      <c r="CF14823" s="239"/>
      <c r="CM14823" s="336"/>
    </row>
    <row r="14824" spans="84:91" s="51" customFormat="1">
      <c r="CF14824" s="239"/>
      <c r="CM14824" s="336"/>
    </row>
    <row r="14825" spans="84:91" s="51" customFormat="1">
      <c r="CF14825" s="239"/>
      <c r="CM14825" s="336"/>
    </row>
    <row r="14826" spans="84:91" s="51" customFormat="1">
      <c r="CF14826" s="239"/>
      <c r="CM14826" s="336"/>
    </row>
    <row r="14827" spans="84:91" s="51" customFormat="1">
      <c r="CF14827" s="239"/>
      <c r="CM14827" s="336"/>
    </row>
    <row r="14828" spans="84:91" s="51" customFormat="1">
      <c r="CF14828" s="239"/>
      <c r="CM14828" s="336"/>
    </row>
    <row r="14829" spans="84:91" s="51" customFormat="1">
      <c r="CF14829" s="239"/>
      <c r="CM14829" s="336"/>
    </row>
    <row r="14830" spans="84:91" s="51" customFormat="1">
      <c r="CF14830" s="239"/>
      <c r="CM14830" s="336"/>
    </row>
    <row r="14831" spans="84:91" s="51" customFormat="1">
      <c r="CF14831" s="239"/>
      <c r="CM14831" s="336"/>
    </row>
    <row r="14832" spans="84:91" s="51" customFormat="1">
      <c r="CF14832" s="239"/>
      <c r="CM14832" s="336"/>
    </row>
    <row r="14833" spans="84:91" s="51" customFormat="1">
      <c r="CF14833" s="239"/>
      <c r="CM14833" s="336"/>
    </row>
    <row r="14834" spans="84:91" s="51" customFormat="1">
      <c r="CF14834" s="239"/>
      <c r="CM14834" s="336"/>
    </row>
    <row r="14835" spans="84:91" s="51" customFormat="1">
      <c r="CF14835" s="239"/>
      <c r="CM14835" s="336"/>
    </row>
    <row r="14836" spans="84:91" s="51" customFormat="1">
      <c r="CF14836" s="239"/>
      <c r="CM14836" s="336"/>
    </row>
    <row r="14837" spans="84:91" s="51" customFormat="1">
      <c r="CF14837" s="239"/>
      <c r="CM14837" s="336"/>
    </row>
    <row r="14838" spans="84:91" s="51" customFormat="1">
      <c r="CF14838" s="239"/>
      <c r="CM14838" s="336"/>
    </row>
    <row r="14839" spans="84:91" s="51" customFormat="1">
      <c r="CF14839" s="239"/>
      <c r="CM14839" s="336"/>
    </row>
    <row r="14840" spans="84:91" s="51" customFormat="1">
      <c r="CF14840" s="239"/>
      <c r="CM14840" s="336"/>
    </row>
    <row r="14841" spans="84:91" s="51" customFormat="1">
      <c r="CF14841" s="239"/>
      <c r="CM14841" s="336"/>
    </row>
    <row r="14842" spans="84:91" s="51" customFormat="1">
      <c r="CF14842" s="239"/>
      <c r="CM14842" s="336"/>
    </row>
    <row r="14843" spans="84:91" s="51" customFormat="1">
      <c r="CF14843" s="239"/>
      <c r="CM14843" s="336"/>
    </row>
    <row r="14844" spans="84:91" s="51" customFormat="1">
      <c r="CF14844" s="239"/>
      <c r="CM14844" s="336"/>
    </row>
    <row r="14845" spans="84:91" s="51" customFormat="1">
      <c r="CF14845" s="239"/>
      <c r="CM14845" s="336"/>
    </row>
    <row r="14846" spans="84:91" s="51" customFormat="1">
      <c r="CF14846" s="239"/>
      <c r="CM14846" s="336"/>
    </row>
    <row r="14847" spans="84:91" s="51" customFormat="1">
      <c r="CF14847" s="239"/>
      <c r="CM14847" s="336"/>
    </row>
    <row r="14848" spans="84:91" s="51" customFormat="1">
      <c r="CF14848" s="239"/>
      <c r="CM14848" s="336"/>
    </row>
    <row r="14849" spans="84:91" s="51" customFormat="1">
      <c r="CF14849" s="239"/>
      <c r="CM14849" s="336"/>
    </row>
    <row r="14850" spans="84:91" s="51" customFormat="1">
      <c r="CF14850" s="239"/>
      <c r="CM14850" s="336"/>
    </row>
    <row r="14851" spans="84:91" s="51" customFormat="1">
      <c r="CF14851" s="239"/>
      <c r="CM14851" s="336"/>
    </row>
    <row r="14852" spans="84:91" s="51" customFormat="1">
      <c r="CF14852" s="239"/>
      <c r="CM14852" s="336"/>
    </row>
    <row r="14853" spans="84:91" s="51" customFormat="1">
      <c r="CF14853" s="239"/>
      <c r="CM14853" s="336"/>
    </row>
    <row r="14854" spans="84:91" s="51" customFormat="1">
      <c r="CF14854" s="239"/>
      <c r="CM14854" s="336"/>
    </row>
    <row r="14855" spans="84:91" s="51" customFormat="1">
      <c r="CF14855" s="239"/>
      <c r="CM14855" s="336"/>
    </row>
    <row r="14856" spans="84:91" s="51" customFormat="1">
      <c r="CF14856" s="239"/>
      <c r="CM14856" s="336"/>
    </row>
    <row r="14857" spans="84:91" s="51" customFormat="1">
      <c r="CF14857" s="239"/>
      <c r="CM14857" s="336"/>
    </row>
    <row r="14858" spans="84:91" s="51" customFormat="1">
      <c r="CF14858" s="239"/>
      <c r="CM14858" s="336"/>
    </row>
    <row r="14859" spans="84:91" s="51" customFormat="1">
      <c r="CF14859" s="239"/>
      <c r="CM14859" s="336"/>
    </row>
    <row r="14860" spans="84:91" s="51" customFormat="1">
      <c r="CF14860" s="239"/>
      <c r="CM14860" s="336"/>
    </row>
    <row r="14861" spans="84:91" s="51" customFormat="1">
      <c r="CF14861" s="239"/>
      <c r="CM14861" s="336"/>
    </row>
    <row r="14862" spans="84:91" s="51" customFormat="1">
      <c r="CF14862" s="239"/>
      <c r="CM14862" s="336"/>
    </row>
    <row r="14863" spans="84:91" s="51" customFormat="1">
      <c r="CF14863" s="239"/>
      <c r="CM14863" s="336"/>
    </row>
    <row r="14864" spans="84:91" s="51" customFormat="1">
      <c r="CF14864" s="239"/>
      <c r="CM14864" s="336"/>
    </row>
    <row r="14865" spans="84:91" s="51" customFormat="1">
      <c r="CF14865" s="239"/>
      <c r="CM14865" s="336"/>
    </row>
    <row r="14866" spans="84:91" s="51" customFormat="1">
      <c r="CF14866" s="239"/>
      <c r="CM14866" s="336"/>
    </row>
    <row r="14867" spans="84:91" s="51" customFormat="1">
      <c r="CF14867" s="239"/>
      <c r="CM14867" s="336"/>
    </row>
    <row r="14868" spans="84:91" s="51" customFormat="1">
      <c r="CF14868" s="239"/>
      <c r="CM14868" s="336"/>
    </row>
    <row r="14869" spans="84:91" s="51" customFormat="1">
      <c r="CF14869" s="239"/>
      <c r="CM14869" s="336"/>
    </row>
    <row r="14870" spans="84:91" s="51" customFormat="1">
      <c r="CF14870" s="239"/>
      <c r="CM14870" s="336"/>
    </row>
    <row r="14871" spans="84:91" s="51" customFormat="1">
      <c r="CF14871" s="239"/>
      <c r="CM14871" s="336"/>
    </row>
    <row r="14872" spans="84:91" s="51" customFormat="1">
      <c r="CF14872" s="239"/>
      <c r="CM14872" s="336"/>
    </row>
    <row r="14873" spans="84:91" s="51" customFormat="1">
      <c r="CF14873" s="239"/>
      <c r="CM14873" s="336"/>
    </row>
    <row r="14874" spans="84:91" s="51" customFormat="1">
      <c r="CF14874" s="239"/>
      <c r="CM14874" s="336"/>
    </row>
    <row r="14875" spans="84:91" s="51" customFormat="1">
      <c r="CF14875" s="239"/>
      <c r="CM14875" s="336"/>
    </row>
    <row r="14876" spans="84:91" s="51" customFormat="1">
      <c r="CF14876" s="239"/>
      <c r="CM14876" s="336"/>
    </row>
    <row r="14877" spans="84:91" s="51" customFormat="1">
      <c r="CF14877" s="239"/>
      <c r="CM14877" s="336"/>
    </row>
    <row r="14878" spans="84:91" s="51" customFormat="1">
      <c r="CF14878" s="239"/>
      <c r="CM14878" s="336"/>
    </row>
    <row r="14879" spans="84:91" s="51" customFormat="1">
      <c r="CF14879" s="239"/>
      <c r="CM14879" s="336"/>
    </row>
    <row r="14880" spans="84:91" s="51" customFormat="1">
      <c r="CF14880" s="239"/>
      <c r="CM14880" s="336"/>
    </row>
    <row r="14881" spans="84:91" s="51" customFormat="1">
      <c r="CF14881" s="239"/>
      <c r="CM14881" s="336"/>
    </row>
    <row r="14882" spans="84:91" s="51" customFormat="1">
      <c r="CF14882" s="239"/>
      <c r="CM14882" s="336"/>
    </row>
    <row r="14883" spans="84:91" s="51" customFormat="1">
      <c r="CF14883" s="239"/>
      <c r="CM14883" s="336"/>
    </row>
    <row r="14884" spans="84:91" s="51" customFormat="1">
      <c r="CF14884" s="239"/>
      <c r="CM14884" s="336"/>
    </row>
    <row r="14885" spans="84:91" s="51" customFormat="1">
      <c r="CF14885" s="239"/>
      <c r="CM14885" s="336"/>
    </row>
    <row r="14886" spans="84:91" s="51" customFormat="1">
      <c r="CF14886" s="239"/>
      <c r="CM14886" s="336"/>
    </row>
    <row r="14887" spans="84:91" s="51" customFormat="1">
      <c r="CF14887" s="239"/>
      <c r="CM14887" s="336"/>
    </row>
    <row r="14888" spans="84:91" s="51" customFormat="1">
      <c r="CF14888" s="239"/>
      <c r="CM14888" s="336"/>
    </row>
    <row r="14889" spans="84:91" s="51" customFormat="1">
      <c r="CF14889" s="239"/>
      <c r="CM14889" s="336"/>
    </row>
    <row r="14890" spans="84:91" s="51" customFormat="1">
      <c r="CF14890" s="239"/>
      <c r="CM14890" s="336"/>
    </row>
    <row r="14891" spans="84:91" s="51" customFormat="1">
      <c r="CF14891" s="239"/>
      <c r="CM14891" s="336"/>
    </row>
    <row r="14892" spans="84:91" s="51" customFormat="1">
      <c r="CF14892" s="239"/>
      <c r="CM14892" s="336"/>
    </row>
    <row r="14893" spans="84:91" s="51" customFormat="1">
      <c r="CF14893" s="239"/>
      <c r="CM14893" s="336"/>
    </row>
    <row r="14894" spans="84:91" s="51" customFormat="1">
      <c r="CF14894" s="239"/>
      <c r="CM14894" s="336"/>
    </row>
    <row r="14895" spans="84:91" s="51" customFormat="1">
      <c r="CF14895" s="239"/>
      <c r="CM14895" s="336"/>
    </row>
    <row r="14896" spans="84:91" s="51" customFormat="1">
      <c r="CF14896" s="239"/>
      <c r="CM14896" s="336"/>
    </row>
    <row r="14897" spans="84:91" s="51" customFormat="1">
      <c r="CF14897" s="239"/>
      <c r="CM14897" s="336"/>
    </row>
    <row r="14898" spans="84:91" s="51" customFormat="1">
      <c r="CF14898" s="239"/>
      <c r="CM14898" s="336"/>
    </row>
    <row r="14899" spans="84:91" s="51" customFormat="1">
      <c r="CF14899" s="239"/>
      <c r="CM14899" s="336"/>
    </row>
    <row r="14900" spans="84:91" s="51" customFormat="1">
      <c r="CF14900" s="239"/>
      <c r="CM14900" s="336"/>
    </row>
    <row r="14901" spans="84:91" s="51" customFormat="1">
      <c r="CF14901" s="239"/>
      <c r="CM14901" s="336"/>
    </row>
    <row r="14902" spans="84:91" s="51" customFormat="1">
      <c r="CF14902" s="239"/>
      <c r="CM14902" s="336"/>
    </row>
    <row r="14903" spans="84:91" s="51" customFormat="1">
      <c r="CF14903" s="239"/>
      <c r="CM14903" s="336"/>
    </row>
    <row r="14904" spans="84:91" s="51" customFormat="1">
      <c r="CF14904" s="239"/>
      <c r="CM14904" s="336"/>
    </row>
    <row r="14905" spans="84:91" s="51" customFormat="1">
      <c r="CF14905" s="239"/>
      <c r="CM14905" s="336"/>
    </row>
    <row r="14906" spans="84:91" s="51" customFormat="1">
      <c r="CF14906" s="239"/>
      <c r="CM14906" s="336"/>
    </row>
    <row r="14907" spans="84:91" s="51" customFormat="1">
      <c r="CF14907" s="239"/>
      <c r="CM14907" s="336"/>
    </row>
    <row r="14908" spans="84:91" s="51" customFormat="1">
      <c r="CF14908" s="239"/>
      <c r="CM14908" s="336"/>
    </row>
    <row r="14909" spans="84:91" s="51" customFormat="1">
      <c r="CF14909" s="239"/>
      <c r="CM14909" s="336"/>
    </row>
    <row r="14910" spans="84:91" s="51" customFormat="1">
      <c r="CF14910" s="239"/>
      <c r="CM14910" s="336"/>
    </row>
    <row r="14911" spans="84:91" s="51" customFormat="1">
      <c r="CF14911" s="239"/>
      <c r="CM14911" s="336"/>
    </row>
    <row r="14912" spans="84:91" s="51" customFormat="1">
      <c r="CF14912" s="239"/>
      <c r="CM14912" s="336"/>
    </row>
    <row r="14913" spans="84:91" s="51" customFormat="1">
      <c r="CF14913" s="239"/>
      <c r="CM14913" s="336"/>
    </row>
    <row r="14914" spans="84:91" s="51" customFormat="1">
      <c r="CF14914" s="239"/>
      <c r="CM14914" s="336"/>
    </row>
    <row r="14915" spans="84:91" s="51" customFormat="1">
      <c r="CF14915" s="239"/>
      <c r="CM14915" s="336"/>
    </row>
    <row r="14916" spans="84:91" s="51" customFormat="1">
      <c r="CF14916" s="239"/>
      <c r="CM14916" s="336"/>
    </row>
    <row r="14917" spans="84:91" s="51" customFormat="1">
      <c r="CF14917" s="239"/>
      <c r="CM14917" s="336"/>
    </row>
    <row r="14918" spans="84:91" s="51" customFormat="1">
      <c r="CF14918" s="239"/>
      <c r="CM14918" s="336"/>
    </row>
    <row r="14919" spans="84:91" s="51" customFormat="1">
      <c r="CF14919" s="239"/>
      <c r="CM14919" s="336"/>
    </row>
    <row r="14920" spans="84:91" s="51" customFormat="1">
      <c r="CF14920" s="239"/>
      <c r="CM14920" s="336"/>
    </row>
    <row r="14921" spans="84:91" s="51" customFormat="1">
      <c r="CF14921" s="239"/>
      <c r="CM14921" s="336"/>
    </row>
    <row r="14922" spans="84:91" s="51" customFormat="1">
      <c r="CF14922" s="239"/>
      <c r="CM14922" s="336"/>
    </row>
    <row r="14923" spans="84:91" s="51" customFormat="1">
      <c r="CF14923" s="239"/>
      <c r="CM14923" s="336"/>
    </row>
    <row r="14924" spans="84:91" s="51" customFormat="1">
      <c r="CF14924" s="239"/>
      <c r="CM14924" s="336"/>
    </row>
    <row r="14925" spans="84:91" s="51" customFormat="1">
      <c r="CF14925" s="239"/>
      <c r="CM14925" s="336"/>
    </row>
    <row r="14926" spans="84:91" s="51" customFormat="1">
      <c r="CF14926" s="239"/>
      <c r="CM14926" s="336"/>
    </row>
    <row r="14927" spans="84:91" s="51" customFormat="1">
      <c r="CF14927" s="239"/>
      <c r="CM14927" s="336"/>
    </row>
    <row r="14928" spans="84:91" s="51" customFormat="1">
      <c r="CF14928" s="239"/>
      <c r="CM14928" s="336"/>
    </row>
    <row r="14929" spans="84:91" s="51" customFormat="1">
      <c r="CF14929" s="239"/>
      <c r="CM14929" s="336"/>
    </row>
    <row r="14930" spans="84:91" s="51" customFormat="1">
      <c r="CF14930" s="239"/>
      <c r="CM14930" s="336"/>
    </row>
    <row r="14931" spans="84:91" s="51" customFormat="1">
      <c r="CF14931" s="239"/>
      <c r="CM14931" s="336"/>
    </row>
    <row r="14932" spans="84:91" s="51" customFormat="1">
      <c r="CF14932" s="239"/>
      <c r="CM14932" s="336"/>
    </row>
    <row r="14933" spans="84:91" s="51" customFormat="1">
      <c r="CF14933" s="239"/>
      <c r="CM14933" s="336"/>
    </row>
    <row r="14934" spans="84:91" s="51" customFormat="1">
      <c r="CF14934" s="239"/>
      <c r="CM14934" s="336"/>
    </row>
    <row r="14935" spans="84:91" s="51" customFormat="1">
      <c r="CF14935" s="239"/>
      <c r="CM14935" s="336"/>
    </row>
    <row r="14936" spans="84:91" s="51" customFormat="1">
      <c r="CF14936" s="239"/>
      <c r="CM14936" s="336"/>
    </row>
    <row r="14937" spans="84:91" s="51" customFormat="1">
      <c r="CF14937" s="239"/>
      <c r="CM14937" s="336"/>
    </row>
    <row r="14938" spans="84:91" s="51" customFormat="1">
      <c r="CF14938" s="239"/>
      <c r="CM14938" s="336"/>
    </row>
    <row r="14939" spans="84:91" s="51" customFormat="1">
      <c r="CF14939" s="239"/>
      <c r="CM14939" s="336"/>
    </row>
    <row r="14940" spans="84:91" s="51" customFormat="1">
      <c r="CF14940" s="239"/>
      <c r="CM14940" s="336"/>
    </row>
    <row r="14941" spans="84:91" s="51" customFormat="1">
      <c r="CF14941" s="239"/>
      <c r="CM14941" s="336"/>
    </row>
    <row r="14942" spans="84:91" s="51" customFormat="1">
      <c r="CF14942" s="239"/>
      <c r="CM14942" s="336"/>
    </row>
    <row r="14943" spans="84:91" s="51" customFormat="1">
      <c r="CF14943" s="239"/>
      <c r="CM14943" s="336"/>
    </row>
    <row r="14944" spans="84:91" s="51" customFormat="1">
      <c r="CF14944" s="239"/>
      <c r="CM14944" s="336"/>
    </row>
    <row r="14945" spans="84:91" s="51" customFormat="1">
      <c r="CF14945" s="239"/>
      <c r="CM14945" s="336"/>
    </row>
    <row r="14946" spans="84:91" s="51" customFormat="1">
      <c r="CF14946" s="239"/>
      <c r="CM14946" s="336"/>
    </row>
    <row r="14947" spans="84:91" s="51" customFormat="1">
      <c r="CF14947" s="239"/>
      <c r="CM14947" s="336"/>
    </row>
    <row r="14948" spans="84:91" s="51" customFormat="1">
      <c r="CF14948" s="239"/>
      <c r="CM14948" s="336"/>
    </row>
    <row r="14949" spans="84:91" s="51" customFormat="1">
      <c r="CF14949" s="239"/>
      <c r="CM14949" s="336"/>
    </row>
    <row r="14950" spans="84:91" s="51" customFormat="1">
      <c r="CF14950" s="239"/>
      <c r="CM14950" s="336"/>
    </row>
    <row r="14951" spans="84:91" s="51" customFormat="1">
      <c r="CF14951" s="239"/>
      <c r="CM14951" s="336"/>
    </row>
    <row r="14952" spans="84:91" s="51" customFormat="1">
      <c r="CF14952" s="239"/>
      <c r="CM14952" s="336"/>
    </row>
    <row r="14953" spans="84:91" s="51" customFormat="1">
      <c r="CF14953" s="239"/>
      <c r="CM14953" s="336"/>
    </row>
    <row r="14954" spans="84:91" s="51" customFormat="1">
      <c r="CF14954" s="239"/>
      <c r="CM14954" s="336"/>
    </row>
    <row r="14955" spans="84:91" s="51" customFormat="1">
      <c r="CF14955" s="239"/>
      <c r="CM14955" s="336"/>
    </row>
    <row r="14956" spans="84:91" s="51" customFormat="1">
      <c r="CF14956" s="239"/>
      <c r="CM14956" s="336"/>
    </row>
    <row r="14957" spans="84:91" s="51" customFormat="1">
      <c r="CF14957" s="239"/>
      <c r="CM14957" s="336"/>
    </row>
    <row r="14958" spans="84:91" s="51" customFormat="1">
      <c r="CF14958" s="239"/>
      <c r="CM14958" s="336"/>
    </row>
    <row r="14959" spans="84:91" s="51" customFormat="1">
      <c r="CF14959" s="239"/>
      <c r="CM14959" s="336"/>
    </row>
    <row r="14960" spans="84:91" s="51" customFormat="1">
      <c r="CF14960" s="239"/>
      <c r="CM14960" s="336"/>
    </row>
    <row r="14961" spans="84:91" s="51" customFormat="1">
      <c r="CF14961" s="239"/>
      <c r="CM14961" s="336"/>
    </row>
    <row r="14962" spans="84:91" s="51" customFormat="1">
      <c r="CF14962" s="239"/>
      <c r="CM14962" s="336"/>
    </row>
    <row r="14963" spans="84:91" s="51" customFormat="1">
      <c r="CF14963" s="239"/>
      <c r="CM14963" s="336"/>
    </row>
    <row r="14964" spans="84:91" s="51" customFormat="1">
      <c r="CF14964" s="239"/>
      <c r="CM14964" s="336"/>
    </row>
    <row r="14965" spans="84:91" s="51" customFormat="1">
      <c r="CF14965" s="239"/>
      <c r="CM14965" s="336"/>
    </row>
    <row r="14966" spans="84:91" s="51" customFormat="1">
      <c r="CF14966" s="239"/>
      <c r="CM14966" s="336"/>
    </row>
    <row r="14967" spans="84:91" s="51" customFormat="1">
      <c r="CF14967" s="239"/>
      <c r="CM14967" s="336"/>
    </row>
    <row r="14968" spans="84:91" s="51" customFormat="1">
      <c r="CF14968" s="239"/>
      <c r="CM14968" s="336"/>
    </row>
    <row r="14969" spans="84:91" s="51" customFormat="1">
      <c r="CF14969" s="239"/>
      <c r="CM14969" s="336"/>
    </row>
    <row r="14970" spans="84:91" s="51" customFormat="1">
      <c r="CF14970" s="239"/>
      <c r="CM14970" s="336"/>
    </row>
    <row r="14971" spans="84:91" s="51" customFormat="1">
      <c r="CF14971" s="239"/>
      <c r="CM14971" s="336"/>
    </row>
    <row r="14972" spans="84:91" s="51" customFormat="1">
      <c r="CF14972" s="239"/>
      <c r="CM14972" s="336"/>
    </row>
    <row r="14973" spans="84:91" s="51" customFormat="1">
      <c r="CF14973" s="239"/>
      <c r="CM14973" s="336"/>
    </row>
    <row r="14974" spans="84:91" s="51" customFormat="1">
      <c r="CF14974" s="239"/>
      <c r="CM14974" s="336"/>
    </row>
    <row r="14975" spans="84:91" s="51" customFormat="1">
      <c r="CF14975" s="239"/>
      <c r="CM14975" s="336"/>
    </row>
    <row r="14976" spans="84:91" s="51" customFormat="1">
      <c r="CF14976" s="239"/>
      <c r="CM14976" s="336"/>
    </row>
    <row r="14977" spans="84:91" s="51" customFormat="1">
      <c r="CF14977" s="239"/>
      <c r="CM14977" s="336"/>
    </row>
    <row r="14978" spans="84:91" s="51" customFormat="1">
      <c r="CF14978" s="239"/>
      <c r="CM14978" s="336"/>
    </row>
    <row r="14979" spans="84:91" s="51" customFormat="1">
      <c r="CF14979" s="239"/>
      <c r="CM14979" s="336"/>
    </row>
    <row r="14980" spans="84:91" s="51" customFormat="1">
      <c r="CF14980" s="239"/>
      <c r="CM14980" s="336"/>
    </row>
    <row r="14981" spans="84:91" s="51" customFormat="1">
      <c r="CF14981" s="239"/>
      <c r="CM14981" s="336"/>
    </row>
    <row r="14982" spans="84:91" s="51" customFormat="1">
      <c r="CF14982" s="239"/>
      <c r="CM14982" s="336"/>
    </row>
    <row r="14983" spans="84:91" s="51" customFormat="1">
      <c r="CF14983" s="239"/>
      <c r="CM14983" s="336"/>
    </row>
    <row r="14984" spans="84:91" s="51" customFormat="1">
      <c r="CF14984" s="239"/>
      <c r="CM14984" s="336"/>
    </row>
    <row r="14985" spans="84:91" s="51" customFormat="1">
      <c r="CF14985" s="239"/>
      <c r="CM14985" s="336"/>
    </row>
    <row r="14986" spans="84:91" s="51" customFormat="1">
      <c r="CF14986" s="239"/>
      <c r="CM14986" s="336"/>
    </row>
    <row r="14987" spans="84:91" s="51" customFormat="1">
      <c r="CF14987" s="239"/>
      <c r="CM14987" s="336"/>
    </row>
    <row r="14988" spans="84:91" s="51" customFormat="1">
      <c r="CF14988" s="239"/>
      <c r="CM14988" s="336"/>
    </row>
    <row r="14989" spans="84:91" s="51" customFormat="1">
      <c r="CF14989" s="239"/>
      <c r="CM14989" s="336"/>
    </row>
    <row r="14990" spans="84:91" s="51" customFormat="1">
      <c r="CF14990" s="239"/>
      <c r="CM14990" s="336"/>
    </row>
    <row r="14991" spans="84:91" s="51" customFormat="1">
      <c r="CF14991" s="239"/>
      <c r="CM14991" s="336"/>
    </row>
    <row r="14992" spans="84:91" s="51" customFormat="1">
      <c r="CF14992" s="239"/>
      <c r="CM14992" s="336"/>
    </row>
    <row r="14993" spans="84:91" s="51" customFormat="1">
      <c r="CF14993" s="239"/>
      <c r="CM14993" s="336"/>
    </row>
    <row r="14994" spans="84:91" s="51" customFormat="1">
      <c r="CF14994" s="239"/>
      <c r="CM14994" s="336"/>
    </row>
    <row r="14995" spans="84:91" s="51" customFormat="1">
      <c r="CF14995" s="239"/>
      <c r="CM14995" s="336"/>
    </row>
    <row r="14996" spans="84:91" s="51" customFormat="1">
      <c r="CF14996" s="239"/>
      <c r="CM14996" s="336"/>
    </row>
    <row r="14997" spans="84:91" s="51" customFormat="1">
      <c r="CF14997" s="239"/>
      <c r="CM14997" s="336"/>
    </row>
    <row r="14998" spans="84:91" s="51" customFormat="1">
      <c r="CF14998" s="239"/>
      <c r="CM14998" s="336"/>
    </row>
    <row r="14999" spans="84:91" s="51" customFormat="1">
      <c r="CF14999" s="239"/>
      <c r="CM14999" s="336"/>
    </row>
    <row r="15000" spans="84:91" s="51" customFormat="1">
      <c r="CF15000" s="239"/>
      <c r="CM15000" s="336"/>
    </row>
    <row r="15001" spans="84:91" s="51" customFormat="1">
      <c r="CF15001" s="239"/>
      <c r="CM15001" s="336"/>
    </row>
    <row r="15002" spans="84:91" s="51" customFormat="1">
      <c r="CF15002" s="239"/>
      <c r="CM15002" s="336"/>
    </row>
    <row r="15003" spans="84:91" s="51" customFormat="1">
      <c r="CF15003" s="239"/>
      <c r="CM15003" s="336"/>
    </row>
    <row r="15004" spans="84:91" s="51" customFormat="1">
      <c r="CF15004" s="239"/>
      <c r="CM15004" s="336"/>
    </row>
    <row r="15005" spans="84:91" s="51" customFormat="1">
      <c r="CF15005" s="239"/>
      <c r="CM15005" s="336"/>
    </row>
    <row r="15006" spans="84:91" s="51" customFormat="1">
      <c r="CF15006" s="239"/>
      <c r="CM15006" s="336"/>
    </row>
    <row r="15007" spans="84:91" s="51" customFormat="1">
      <c r="CF15007" s="239"/>
      <c r="CM15007" s="336"/>
    </row>
    <row r="15008" spans="84:91" s="51" customFormat="1">
      <c r="CF15008" s="239"/>
      <c r="CM15008" s="336"/>
    </row>
    <row r="15009" spans="84:91" s="51" customFormat="1">
      <c r="CF15009" s="239"/>
      <c r="CM15009" s="336"/>
    </row>
    <row r="15010" spans="84:91" s="51" customFormat="1">
      <c r="CF15010" s="239"/>
      <c r="CM15010" s="336"/>
    </row>
    <row r="15011" spans="84:91" s="51" customFormat="1">
      <c r="CF15011" s="239"/>
      <c r="CM15011" s="336"/>
    </row>
    <row r="15012" spans="84:91" s="51" customFormat="1">
      <c r="CF15012" s="239"/>
      <c r="CM15012" s="336"/>
    </row>
    <row r="15013" spans="84:91" s="51" customFormat="1">
      <c r="CF15013" s="239"/>
      <c r="CM15013" s="336"/>
    </row>
    <row r="15014" spans="84:91" s="51" customFormat="1">
      <c r="CF15014" s="239"/>
      <c r="CM15014" s="336"/>
    </row>
    <row r="15015" spans="84:91" s="51" customFormat="1">
      <c r="CF15015" s="239"/>
      <c r="CM15015" s="336"/>
    </row>
    <row r="15016" spans="84:91" s="51" customFormat="1">
      <c r="CF15016" s="239"/>
      <c r="CM15016" s="336"/>
    </row>
    <row r="15017" spans="84:91" s="51" customFormat="1">
      <c r="CF15017" s="239"/>
      <c r="CM15017" s="336"/>
    </row>
    <row r="15018" spans="84:91" s="51" customFormat="1">
      <c r="CF15018" s="239"/>
      <c r="CM15018" s="336"/>
    </row>
    <row r="15019" spans="84:91" s="51" customFormat="1">
      <c r="CF15019" s="239"/>
      <c r="CM15019" s="336"/>
    </row>
    <row r="15020" spans="84:91" s="51" customFormat="1">
      <c r="CF15020" s="239"/>
      <c r="CM15020" s="336"/>
    </row>
    <row r="15021" spans="84:91" s="51" customFormat="1">
      <c r="CF15021" s="239"/>
      <c r="CM15021" s="336"/>
    </row>
    <row r="15022" spans="84:91" s="51" customFormat="1">
      <c r="CF15022" s="239"/>
      <c r="CM15022" s="336"/>
    </row>
    <row r="15023" spans="84:91" s="51" customFormat="1">
      <c r="CF15023" s="239"/>
      <c r="CM15023" s="336"/>
    </row>
    <row r="15024" spans="84:91" s="51" customFormat="1">
      <c r="CF15024" s="239"/>
      <c r="CM15024" s="336"/>
    </row>
    <row r="15025" spans="84:91" s="51" customFormat="1">
      <c r="CF15025" s="239"/>
      <c r="CM15025" s="336"/>
    </row>
    <row r="15026" spans="84:91" s="51" customFormat="1">
      <c r="CF15026" s="239"/>
      <c r="CM15026" s="336"/>
    </row>
    <row r="15027" spans="84:91" s="51" customFormat="1">
      <c r="CF15027" s="239"/>
      <c r="CM15027" s="336"/>
    </row>
    <row r="15028" spans="84:91" s="51" customFormat="1">
      <c r="CF15028" s="239"/>
      <c r="CM15028" s="336"/>
    </row>
    <row r="15029" spans="84:91" s="51" customFormat="1">
      <c r="CF15029" s="239"/>
      <c r="CM15029" s="336"/>
    </row>
    <row r="15030" spans="84:91" s="51" customFormat="1">
      <c r="CF15030" s="239"/>
      <c r="CM15030" s="336"/>
    </row>
    <row r="15031" spans="84:91" s="51" customFormat="1">
      <c r="CF15031" s="239"/>
      <c r="CM15031" s="336"/>
    </row>
    <row r="15032" spans="84:91" s="51" customFormat="1">
      <c r="CF15032" s="239"/>
      <c r="CM15032" s="336"/>
    </row>
    <row r="15033" spans="84:91" s="51" customFormat="1">
      <c r="CF15033" s="239"/>
      <c r="CM15033" s="336"/>
    </row>
    <row r="15034" spans="84:91" s="51" customFormat="1">
      <c r="CF15034" s="239"/>
      <c r="CM15034" s="336"/>
    </row>
    <row r="15035" spans="84:91" s="51" customFormat="1">
      <c r="CF15035" s="239"/>
      <c r="CM15035" s="336"/>
    </row>
    <row r="15036" spans="84:91" s="51" customFormat="1">
      <c r="CF15036" s="239"/>
      <c r="CM15036" s="336"/>
    </row>
    <row r="15037" spans="84:91" s="51" customFormat="1">
      <c r="CF15037" s="239"/>
      <c r="CM15037" s="336"/>
    </row>
    <row r="15038" spans="84:91" s="51" customFormat="1">
      <c r="CF15038" s="239"/>
      <c r="CM15038" s="336"/>
    </row>
    <row r="15039" spans="84:91" s="51" customFormat="1">
      <c r="CF15039" s="239"/>
      <c r="CM15039" s="336"/>
    </row>
    <row r="15040" spans="84:91" s="51" customFormat="1">
      <c r="CF15040" s="239"/>
      <c r="CM15040" s="336"/>
    </row>
    <row r="15041" spans="84:91" s="51" customFormat="1">
      <c r="CF15041" s="239"/>
      <c r="CM15041" s="336"/>
    </row>
    <row r="15042" spans="84:91" s="51" customFormat="1">
      <c r="CF15042" s="239"/>
      <c r="CM15042" s="336"/>
    </row>
    <row r="15043" spans="84:91" s="51" customFormat="1">
      <c r="CF15043" s="239"/>
      <c r="CM15043" s="336"/>
    </row>
    <row r="15044" spans="84:91" s="51" customFormat="1">
      <c r="CF15044" s="239"/>
      <c r="CM15044" s="336"/>
    </row>
    <row r="15045" spans="84:91" s="51" customFormat="1">
      <c r="CF15045" s="239"/>
      <c r="CM15045" s="336"/>
    </row>
    <row r="15046" spans="84:91" s="51" customFormat="1">
      <c r="CF15046" s="239"/>
      <c r="CM15046" s="336"/>
    </row>
    <row r="15047" spans="84:91" s="51" customFormat="1">
      <c r="CF15047" s="239"/>
      <c r="CM15047" s="336"/>
    </row>
    <row r="15048" spans="84:91" s="51" customFormat="1">
      <c r="CF15048" s="239"/>
      <c r="CM15048" s="336"/>
    </row>
    <row r="15049" spans="84:91" s="51" customFormat="1">
      <c r="CF15049" s="239"/>
      <c r="CM15049" s="336"/>
    </row>
    <row r="15050" spans="84:91" s="51" customFormat="1">
      <c r="CF15050" s="239"/>
      <c r="CM15050" s="336"/>
    </row>
    <row r="15051" spans="84:91" s="51" customFormat="1">
      <c r="CF15051" s="239"/>
      <c r="CM15051" s="336"/>
    </row>
    <row r="15052" spans="84:91" s="51" customFormat="1">
      <c r="CF15052" s="239"/>
      <c r="CM15052" s="336"/>
    </row>
    <row r="15053" spans="84:91" s="51" customFormat="1">
      <c r="CF15053" s="239"/>
      <c r="CM15053" s="336"/>
    </row>
    <row r="15054" spans="84:91" s="51" customFormat="1">
      <c r="CF15054" s="239"/>
      <c r="CM15054" s="336"/>
    </row>
    <row r="15055" spans="84:91" s="51" customFormat="1">
      <c r="CF15055" s="239"/>
      <c r="CM15055" s="336"/>
    </row>
    <row r="15056" spans="84:91" s="51" customFormat="1">
      <c r="CF15056" s="239"/>
      <c r="CM15056" s="336"/>
    </row>
    <row r="15057" spans="84:91" s="51" customFormat="1">
      <c r="CF15057" s="239"/>
      <c r="CM15057" s="336"/>
    </row>
    <row r="15058" spans="84:91" s="51" customFormat="1">
      <c r="CF15058" s="239"/>
      <c r="CM15058" s="336"/>
    </row>
    <row r="15059" spans="84:91" s="51" customFormat="1">
      <c r="CF15059" s="239"/>
      <c r="CM15059" s="336"/>
    </row>
    <row r="15060" spans="84:91" s="51" customFormat="1">
      <c r="CF15060" s="239"/>
      <c r="CM15060" s="336"/>
    </row>
    <row r="15061" spans="84:91" s="51" customFormat="1">
      <c r="CF15061" s="239"/>
      <c r="CM15061" s="336"/>
    </row>
    <row r="15062" spans="84:91" s="51" customFormat="1">
      <c r="CF15062" s="239"/>
      <c r="CM15062" s="336"/>
    </row>
    <row r="15063" spans="84:91" s="51" customFormat="1">
      <c r="CF15063" s="239"/>
      <c r="CM15063" s="336"/>
    </row>
    <row r="15064" spans="84:91" s="51" customFormat="1">
      <c r="CF15064" s="239"/>
      <c r="CM15064" s="336"/>
    </row>
    <row r="15065" spans="84:91" s="51" customFormat="1">
      <c r="CF15065" s="239"/>
      <c r="CM15065" s="336"/>
    </row>
    <row r="15066" spans="84:91" s="51" customFormat="1">
      <c r="CF15066" s="239"/>
      <c r="CM15066" s="336"/>
    </row>
    <row r="15067" spans="84:91" s="51" customFormat="1">
      <c r="CF15067" s="239"/>
      <c r="CM15067" s="336"/>
    </row>
    <row r="15068" spans="84:91" s="51" customFormat="1">
      <c r="CF15068" s="239"/>
      <c r="CM15068" s="336"/>
    </row>
    <row r="15069" spans="84:91" s="51" customFormat="1">
      <c r="CF15069" s="239"/>
      <c r="CM15069" s="336"/>
    </row>
    <row r="15070" spans="84:91" s="51" customFormat="1">
      <c r="CF15070" s="239"/>
      <c r="CM15070" s="336"/>
    </row>
    <row r="15071" spans="84:91" s="51" customFormat="1">
      <c r="CF15071" s="239"/>
      <c r="CM15071" s="336"/>
    </row>
    <row r="15072" spans="84:91" s="51" customFormat="1">
      <c r="CF15072" s="239"/>
      <c r="CM15072" s="336"/>
    </row>
    <row r="15073" spans="84:91" s="51" customFormat="1">
      <c r="CF15073" s="239"/>
      <c r="CM15073" s="336"/>
    </row>
    <row r="15074" spans="84:91" s="51" customFormat="1">
      <c r="CF15074" s="239"/>
      <c r="CM15074" s="336"/>
    </row>
    <row r="15075" spans="84:91" s="51" customFormat="1">
      <c r="CF15075" s="239"/>
      <c r="CM15075" s="336"/>
    </row>
    <row r="15076" spans="84:91" s="51" customFormat="1">
      <c r="CF15076" s="239"/>
      <c r="CM15076" s="336"/>
    </row>
    <row r="15077" spans="84:91" s="51" customFormat="1">
      <c r="CF15077" s="239"/>
      <c r="CM15077" s="336"/>
    </row>
    <row r="15078" spans="84:91" s="51" customFormat="1">
      <c r="CF15078" s="239"/>
      <c r="CM15078" s="336"/>
    </row>
    <row r="15079" spans="84:91" s="51" customFormat="1">
      <c r="CF15079" s="239"/>
      <c r="CM15079" s="336"/>
    </row>
    <row r="15080" spans="84:91" s="51" customFormat="1">
      <c r="CF15080" s="239"/>
      <c r="CM15080" s="336"/>
    </row>
    <row r="15081" spans="84:91" s="51" customFormat="1">
      <c r="CF15081" s="239"/>
      <c r="CM15081" s="336"/>
    </row>
    <row r="15082" spans="84:91" s="51" customFormat="1">
      <c r="CF15082" s="239"/>
      <c r="CM15082" s="336"/>
    </row>
    <row r="15083" spans="84:91" s="51" customFormat="1">
      <c r="CF15083" s="239"/>
      <c r="CM15083" s="336"/>
    </row>
    <row r="15084" spans="84:91" s="51" customFormat="1">
      <c r="CF15084" s="239"/>
      <c r="CM15084" s="336"/>
    </row>
    <row r="15085" spans="84:91" s="51" customFormat="1">
      <c r="CF15085" s="239"/>
      <c r="CM15085" s="336"/>
    </row>
    <row r="15086" spans="84:91" s="51" customFormat="1">
      <c r="CF15086" s="239"/>
      <c r="CM15086" s="336"/>
    </row>
    <row r="15087" spans="84:91" s="51" customFormat="1">
      <c r="CF15087" s="239"/>
      <c r="CM15087" s="336"/>
    </row>
    <row r="15088" spans="84:91" s="51" customFormat="1">
      <c r="CF15088" s="239"/>
      <c r="CM15088" s="336"/>
    </row>
    <row r="15089" spans="84:91" s="51" customFormat="1">
      <c r="CF15089" s="239"/>
      <c r="CM15089" s="336"/>
    </row>
    <row r="15090" spans="84:91" s="51" customFormat="1">
      <c r="CF15090" s="239"/>
      <c r="CM15090" s="336"/>
    </row>
    <row r="15091" spans="84:91" s="51" customFormat="1">
      <c r="CF15091" s="239"/>
      <c r="CM15091" s="336"/>
    </row>
    <row r="15092" spans="84:91" s="51" customFormat="1">
      <c r="CF15092" s="239"/>
      <c r="CM15092" s="336"/>
    </row>
    <row r="15093" spans="84:91" s="51" customFormat="1">
      <c r="CF15093" s="239"/>
      <c r="CM15093" s="336"/>
    </row>
    <row r="15094" spans="84:91" s="51" customFormat="1">
      <c r="CF15094" s="239"/>
      <c r="CM15094" s="336"/>
    </row>
    <row r="15095" spans="84:91" s="51" customFormat="1">
      <c r="CF15095" s="239"/>
      <c r="CM15095" s="336"/>
    </row>
    <row r="15096" spans="84:91" s="51" customFormat="1">
      <c r="CF15096" s="239"/>
      <c r="CM15096" s="336"/>
    </row>
    <row r="15097" spans="84:91" s="51" customFormat="1">
      <c r="CF15097" s="239"/>
      <c r="CM15097" s="336"/>
    </row>
    <row r="15098" spans="84:91" s="51" customFormat="1">
      <c r="CF15098" s="239"/>
      <c r="CM15098" s="336"/>
    </row>
    <row r="15099" spans="84:91" s="51" customFormat="1">
      <c r="CF15099" s="239"/>
      <c r="CM15099" s="336"/>
    </row>
    <row r="15100" spans="84:91" s="51" customFormat="1">
      <c r="CF15100" s="239"/>
      <c r="CM15100" s="336"/>
    </row>
    <row r="15101" spans="84:91" s="51" customFormat="1">
      <c r="CF15101" s="239"/>
      <c r="CM15101" s="336"/>
    </row>
    <row r="15102" spans="84:91" s="51" customFormat="1">
      <c r="CF15102" s="239"/>
      <c r="CM15102" s="336"/>
    </row>
    <row r="15103" spans="84:91" s="51" customFormat="1">
      <c r="CF15103" s="239"/>
      <c r="CM15103" s="336"/>
    </row>
    <row r="15104" spans="84:91" s="51" customFormat="1">
      <c r="CF15104" s="239"/>
      <c r="CM15104" s="336"/>
    </row>
    <row r="15105" spans="84:91" s="51" customFormat="1">
      <c r="CF15105" s="239"/>
      <c r="CM15105" s="336"/>
    </row>
    <row r="15106" spans="84:91" s="51" customFormat="1">
      <c r="CF15106" s="239"/>
      <c r="CM15106" s="336"/>
    </row>
    <row r="15107" spans="84:91" s="51" customFormat="1">
      <c r="CF15107" s="239"/>
      <c r="CM15107" s="336"/>
    </row>
    <row r="15108" spans="84:91" s="51" customFormat="1">
      <c r="CF15108" s="239"/>
      <c r="CM15108" s="336"/>
    </row>
    <row r="15109" spans="84:91" s="51" customFormat="1">
      <c r="CF15109" s="239"/>
      <c r="CM15109" s="336"/>
    </row>
    <row r="15110" spans="84:91" s="51" customFormat="1">
      <c r="CF15110" s="239"/>
      <c r="CM15110" s="336"/>
    </row>
    <row r="15111" spans="84:91" s="51" customFormat="1">
      <c r="CF15111" s="239"/>
      <c r="CM15111" s="336"/>
    </row>
    <row r="15112" spans="84:91" s="51" customFormat="1">
      <c r="CF15112" s="239"/>
      <c r="CM15112" s="336"/>
    </row>
    <row r="15113" spans="84:91" s="51" customFormat="1">
      <c r="CF15113" s="239"/>
      <c r="CM15113" s="336"/>
    </row>
    <row r="15114" spans="84:91" s="51" customFormat="1">
      <c r="CF15114" s="239"/>
      <c r="CM15114" s="336"/>
    </row>
    <row r="15115" spans="84:91" s="51" customFormat="1">
      <c r="CF15115" s="239"/>
      <c r="CM15115" s="336"/>
    </row>
    <row r="15116" spans="84:91" s="51" customFormat="1">
      <c r="CF15116" s="239"/>
      <c r="CM15116" s="336"/>
    </row>
    <row r="15117" spans="84:91" s="51" customFormat="1">
      <c r="CF15117" s="239"/>
      <c r="CM15117" s="336"/>
    </row>
    <row r="15118" spans="84:91" s="51" customFormat="1">
      <c r="CF15118" s="239"/>
      <c r="CM15118" s="336"/>
    </row>
    <row r="15119" spans="84:91" s="51" customFormat="1">
      <c r="CF15119" s="239"/>
      <c r="CM15119" s="336"/>
    </row>
    <row r="15120" spans="84:91" s="51" customFormat="1">
      <c r="CF15120" s="239"/>
      <c r="CM15120" s="336"/>
    </row>
    <row r="15121" spans="84:91" s="51" customFormat="1">
      <c r="CF15121" s="239"/>
      <c r="CM15121" s="336"/>
    </row>
    <row r="15122" spans="84:91" s="51" customFormat="1">
      <c r="CF15122" s="239"/>
      <c r="CM15122" s="336"/>
    </row>
    <row r="15123" spans="84:91" s="51" customFormat="1">
      <c r="CF15123" s="239"/>
      <c r="CM15123" s="336"/>
    </row>
    <row r="15124" spans="84:91" s="51" customFormat="1">
      <c r="CF15124" s="239"/>
      <c r="CM15124" s="336"/>
    </row>
    <row r="15125" spans="84:91" s="51" customFormat="1">
      <c r="CF15125" s="239"/>
      <c r="CM15125" s="336"/>
    </row>
    <row r="15126" spans="84:91" s="51" customFormat="1">
      <c r="CF15126" s="239"/>
      <c r="CM15126" s="336"/>
    </row>
    <row r="15127" spans="84:91" s="51" customFormat="1">
      <c r="CF15127" s="239"/>
      <c r="CM15127" s="336"/>
    </row>
    <row r="15128" spans="84:91" s="51" customFormat="1">
      <c r="CF15128" s="239"/>
      <c r="CM15128" s="336"/>
    </row>
    <row r="15129" spans="84:91" s="51" customFormat="1">
      <c r="CF15129" s="239"/>
      <c r="CM15129" s="336"/>
    </row>
    <row r="15130" spans="84:91" s="51" customFormat="1">
      <c r="CF15130" s="239"/>
      <c r="CM15130" s="336"/>
    </row>
    <row r="15131" spans="84:91" s="51" customFormat="1">
      <c r="CF15131" s="239"/>
      <c r="CM15131" s="336"/>
    </row>
    <row r="15132" spans="84:91" s="51" customFormat="1">
      <c r="CF15132" s="239"/>
      <c r="CM15132" s="336"/>
    </row>
    <row r="15133" spans="84:91" s="51" customFormat="1">
      <c r="CF15133" s="239"/>
      <c r="CM15133" s="336"/>
    </row>
    <row r="15134" spans="84:91" s="51" customFormat="1">
      <c r="CF15134" s="239"/>
      <c r="CM15134" s="336"/>
    </row>
    <row r="15135" spans="84:91" s="51" customFormat="1">
      <c r="CF15135" s="239"/>
      <c r="CM15135" s="336"/>
    </row>
    <row r="15136" spans="84:91" s="51" customFormat="1">
      <c r="CF15136" s="239"/>
      <c r="CM15136" s="336"/>
    </row>
    <row r="15137" spans="84:91" s="51" customFormat="1">
      <c r="CF15137" s="239"/>
      <c r="CM15137" s="336"/>
    </row>
    <row r="15138" spans="84:91" s="51" customFormat="1">
      <c r="CF15138" s="239"/>
      <c r="CM15138" s="336"/>
    </row>
    <row r="15139" spans="84:91" s="51" customFormat="1">
      <c r="CF15139" s="239"/>
      <c r="CM15139" s="336"/>
    </row>
    <row r="15140" spans="84:91" s="51" customFormat="1">
      <c r="CF15140" s="239"/>
      <c r="CM15140" s="336"/>
    </row>
    <row r="15141" spans="84:91" s="51" customFormat="1">
      <c r="CF15141" s="239"/>
      <c r="CM15141" s="336"/>
    </row>
    <row r="15142" spans="84:91" s="51" customFormat="1">
      <c r="CF15142" s="239"/>
      <c r="CM15142" s="336"/>
    </row>
    <row r="15143" spans="84:91" s="51" customFormat="1">
      <c r="CF15143" s="239"/>
      <c r="CM15143" s="336"/>
    </row>
    <row r="15144" spans="84:91" s="51" customFormat="1">
      <c r="CF15144" s="239"/>
      <c r="CM15144" s="336"/>
    </row>
    <row r="15145" spans="84:91" s="51" customFormat="1">
      <c r="CF15145" s="239"/>
      <c r="CM15145" s="336"/>
    </row>
    <row r="15146" spans="84:91" s="51" customFormat="1">
      <c r="CF15146" s="239"/>
      <c r="CM15146" s="336"/>
    </row>
    <row r="15147" spans="84:91" s="51" customFormat="1">
      <c r="CF15147" s="239"/>
      <c r="CM15147" s="336"/>
    </row>
    <row r="15148" spans="84:91" s="51" customFormat="1">
      <c r="CF15148" s="239"/>
      <c r="CM15148" s="336"/>
    </row>
    <row r="15149" spans="84:91" s="51" customFormat="1">
      <c r="CF15149" s="239"/>
      <c r="CM15149" s="336"/>
    </row>
    <row r="15150" spans="84:91" s="51" customFormat="1">
      <c r="CF15150" s="239"/>
      <c r="CM15150" s="336"/>
    </row>
    <row r="15151" spans="84:91" s="51" customFormat="1">
      <c r="CF15151" s="239"/>
      <c r="CM15151" s="336"/>
    </row>
    <row r="15152" spans="84:91" s="51" customFormat="1">
      <c r="CF15152" s="239"/>
      <c r="CM15152" s="336"/>
    </row>
    <row r="15153" spans="84:91" s="51" customFormat="1">
      <c r="CF15153" s="239"/>
      <c r="CM15153" s="336"/>
    </row>
    <row r="15154" spans="84:91" s="51" customFormat="1">
      <c r="CF15154" s="239"/>
      <c r="CM15154" s="336"/>
    </row>
    <row r="15155" spans="84:91" s="51" customFormat="1">
      <c r="CF15155" s="239"/>
      <c r="CM15155" s="336"/>
    </row>
    <row r="15156" spans="84:91" s="51" customFormat="1">
      <c r="CF15156" s="239"/>
      <c r="CM15156" s="336"/>
    </row>
    <row r="15157" spans="84:91" s="51" customFormat="1">
      <c r="CF15157" s="239"/>
      <c r="CM15157" s="336"/>
    </row>
    <row r="15158" spans="84:91" s="51" customFormat="1">
      <c r="CF15158" s="239"/>
      <c r="CM15158" s="336"/>
    </row>
    <row r="15159" spans="84:91" s="51" customFormat="1">
      <c r="CF15159" s="239"/>
      <c r="CM15159" s="336"/>
    </row>
    <row r="15160" spans="84:91" s="51" customFormat="1">
      <c r="CF15160" s="239"/>
      <c r="CM15160" s="336"/>
    </row>
    <row r="15161" spans="84:91" s="51" customFormat="1">
      <c r="CF15161" s="239"/>
      <c r="CM15161" s="336"/>
    </row>
    <row r="15162" spans="84:91" s="51" customFormat="1">
      <c r="CF15162" s="239"/>
      <c r="CM15162" s="336"/>
    </row>
    <row r="15163" spans="84:91" s="51" customFormat="1">
      <c r="CF15163" s="239"/>
      <c r="CM15163" s="336"/>
    </row>
    <row r="15164" spans="84:91" s="51" customFormat="1">
      <c r="CF15164" s="239"/>
      <c r="CM15164" s="336"/>
    </row>
    <row r="15165" spans="84:91" s="51" customFormat="1">
      <c r="CF15165" s="239"/>
      <c r="CM15165" s="336"/>
    </row>
    <row r="15166" spans="84:91" s="51" customFormat="1">
      <c r="CF15166" s="239"/>
      <c r="CM15166" s="336"/>
    </row>
    <row r="15167" spans="84:91" s="51" customFormat="1">
      <c r="CF15167" s="239"/>
      <c r="CM15167" s="336"/>
    </row>
    <row r="15168" spans="84:91" s="51" customFormat="1">
      <c r="CF15168" s="239"/>
      <c r="CM15168" s="336"/>
    </row>
    <row r="15169" spans="84:91" s="51" customFormat="1">
      <c r="CF15169" s="239"/>
      <c r="CM15169" s="336"/>
    </row>
    <row r="15170" spans="84:91" s="51" customFormat="1">
      <c r="CF15170" s="239"/>
      <c r="CM15170" s="336"/>
    </row>
    <row r="15171" spans="84:91" s="51" customFormat="1">
      <c r="CF15171" s="239"/>
      <c r="CM15171" s="336"/>
    </row>
    <row r="15172" spans="84:91" s="51" customFormat="1">
      <c r="CF15172" s="239"/>
      <c r="CM15172" s="336"/>
    </row>
    <row r="15173" spans="84:91" s="51" customFormat="1">
      <c r="CF15173" s="239"/>
      <c r="CM15173" s="336"/>
    </row>
    <row r="15174" spans="84:91" s="51" customFormat="1">
      <c r="CF15174" s="239"/>
      <c r="CM15174" s="336"/>
    </row>
    <row r="15175" spans="84:91" s="51" customFormat="1">
      <c r="CF15175" s="239"/>
      <c r="CM15175" s="336"/>
    </row>
    <row r="15176" spans="84:91" s="51" customFormat="1">
      <c r="CF15176" s="239"/>
      <c r="CM15176" s="336"/>
    </row>
    <row r="15177" spans="84:91" s="51" customFormat="1">
      <c r="CF15177" s="239"/>
      <c r="CM15177" s="336"/>
    </row>
    <row r="15178" spans="84:91" s="51" customFormat="1">
      <c r="CF15178" s="239"/>
      <c r="CM15178" s="336"/>
    </row>
    <row r="15179" spans="84:91" s="51" customFormat="1">
      <c r="CF15179" s="239"/>
      <c r="CM15179" s="336"/>
    </row>
    <row r="15180" spans="84:91" s="51" customFormat="1">
      <c r="CF15180" s="239"/>
      <c r="CM15180" s="336"/>
    </row>
    <row r="15181" spans="84:91" s="51" customFormat="1">
      <c r="CF15181" s="239"/>
      <c r="CM15181" s="336"/>
    </row>
    <row r="15182" spans="84:91" s="51" customFormat="1">
      <c r="CF15182" s="239"/>
      <c r="CM15182" s="336"/>
    </row>
    <row r="15183" spans="84:91" s="51" customFormat="1">
      <c r="CF15183" s="239"/>
      <c r="CM15183" s="336"/>
    </row>
    <row r="15184" spans="84:91" s="51" customFormat="1">
      <c r="CF15184" s="239"/>
      <c r="CM15184" s="336"/>
    </row>
    <row r="15185" spans="84:91" s="51" customFormat="1">
      <c r="CF15185" s="239"/>
      <c r="CM15185" s="336"/>
    </row>
    <row r="15186" spans="84:91" s="51" customFormat="1">
      <c r="CF15186" s="239"/>
      <c r="CM15186" s="336"/>
    </row>
    <row r="15187" spans="84:91" s="51" customFormat="1">
      <c r="CF15187" s="239"/>
      <c r="CM15187" s="336"/>
    </row>
    <row r="15188" spans="84:91" s="51" customFormat="1">
      <c r="CF15188" s="239"/>
      <c r="CM15188" s="336"/>
    </row>
    <row r="15189" spans="84:91" s="51" customFormat="1">
      <c r="CF15189" s="239"/>
      <c r="CM15189" s="336"/>
    </row>
    <row r="15190" spans="84:91" s="51" customFormat="1">
      <c r="CF15190" s="239"/>
      <c r="CM15190" s="336"/>
    </row>
    <row r="15191" spans="84:91" s="51" customFormat="1">
      <c r="CF15191" s="239"/>
      <c r="CM15191" s="336"/>
    </row>
    <row r="15192" spans="84:91" s="51" customFormat="1">
      <c r="CF15192" s="239"/>
      <c r="CM15192" s="336"/>
    </row>
    <row r="15193" spans="84:91" s="51" customFormat="1">
      <c r="CF15193" s="239"/>
      <c r="CM15193" s="336"/>
    </row>
    <row r="15194" spans="84:91" s="51" customFormat="1">
      <c r="CF15194" s="239"/>
      <c r="CM15194" s="336"/>
    </row>
    <row r="15195" spans="84:91" s="51" customFormat="1">
      <c r="CF15195" s="239"/>
      <c r="CM15195" s="336"/>
    </row>
    <row r="15196" spans="84:91" s="51" customFormat="1">
      <c r="CF15196" s="239"/>
      <c r="CM15196" s="336"/>
    </row>
    <row r="15197" spans="84:91" s="51" customFormat="1">
      <c r="CF15197" s="239"/>
      <c r="CM15197" s="336"/>
    </row>
    <row r="15198" spans="84:91" s="51" customFormat="1">
      <c r="CF15198" s="239"/>
      <c r="CM15198" s="336"/>
    </row>
    <row r="15199" spans="84:91" s="51" customFormat="1">
      <c r="CF15199" s="239"/>
      <c r="CM15199" s="336"/>
    </row>
    <row r="15200" spans="84:91" s="51" customFormat="1">
      <c r="CF15200" s="239"/>
      <c r="CM15200" s="336"/>
    </row>
    <row r="15201" spans="84:91" s="51" customFormat="1">
      <c r="CF15201" s="239"/>
      <c r="CM15201" s="336"/>
    </row>
    <row r="15202" spans="84:91" s="51" customFormat="1">
      <c r="CF15202" s="239"/>
      <c r="CM15202" s="336"/>
    </row>
    <row r="15203" spans="84:91" s="51" customFormat="1">
      <c r="CF15203" s="239"/>
      <c r="CM15203" s="336"/>
    </row>
    <row r="15204" spans="84:91" s="51" customFormat="1">
      <c r="CF15204" s="239"/>
      <c r="CM15204" s="336"/>
    </row>
    <row r="15205" spans="84:91" s="51" customFormat="1">
      <c r="CF15205" s="239"/>
      <c r="CM15205" s="336"/>
    </row>
    <row r="15206" spans="84:91" s="51" customFormat="1">
      <c r="CF15206" s="239"/>
      <c r="CM15206" s="336"/>
    </row>
    <row r="15207" spans="84:91" s="51" customFormat="1">
      <c r="CF15207" s="239"/>
      <c r="CM15207" s="336"/>
    </row>
    <row r="15208" spans="84:91" s="51" customFormat="1">
      <c r="CF15208" s="239"/>
      <c r="CM15208" s="336"/>
    </row>
    <row r="15209" spans="84:91" s="51" customFormat="1">
      <c r="CF15209" s="239"/>
      <c r="CM15209" s="336"/>
    </row>
    <row r="15210" spans="84:91" s="51" customFormat="1">
      <c r="CF15210" s="239"/>
      <c r="CM15210" s="336"/>
    </row>
    <row r="15211" spans="84:91" s="51" customFormat="1">
      <c r="CF15211" s="239"/>
      <c r="CM15211" s="336"/>
    </row>
    <row r="15212" spans="84:91" s="51" customFormat="1">
      <c r="CF15212" s="239"/>
      <c r="CM15212" s="336"/>
    </row>
    <row r="15213" spans="84:91" s="51" customFormat="1">
      <c r="CF15213" s="239"/>
      <c r="CM15213" s="336"/>
    </row>
    <row r="15214" spans="84:91" s="51" customFormat="1">
      <c r="CF15214" s="239"/>
      <c r="CM15214" s="336"/>
    </row>
    <row r="15215" spans="84:91" s="51" customFormat="1">
      <c r="CF15215" s="239"/>
      <c r="CM15215" s="336"/>
    </row>
    <row r="15216" spans="84:91" s="51" customFormat="1">
      <c r="CF15216" s="239"/>
      <c r="CM15216" s="336"/>
    </row>
    <row r="15217" spans="84:91" s="51" customFormat="1">
      <c r="CF15217" s="239"/>
      <c r="CM15217" s="336"/>
    </row>
    <row r="15218" spans="84:91" s="51" customFormat="1">
      <c r="CF15218" s="239"/>
      <c r="CM15218" s="336"/>
    </row>
    <row r="15219" spans="84:91" s="51" customFormat="1">
      <c r="CF15219" s="239"/>
      <c r="CM15219" s="336"/>
    </row>
    <row r="15220" spans="84:91" s="51" customFormat="1">
      <c r="CF15220" s="239"/>
      <c r="CM15220" s="336"/>
    </row>
    <row r="15221" spans="84:91" s="51" customFormat="1">
      <c r="CF15221" s="239"/>
      <c r="CM15221" s="336"/>
    </row>
    <row r="15222" spans="84:91" s="51" customFormat="1">
      <c r="CF15222" s="239"/>
      <c r="CM15222" s="336"/>
    </row>
    <row r="15223" spans="84:91" s="51" customFormat="1">
      <c r="CF15223" s="239"/>
      <c r="CM15223" s="336"/>
    </row>
    <row r="15224" spans="84:91" s="51" customFormat="1">
      <c r="CF15224" s="239"/>
      <c r="CM15224" s="336"/>
    </row>
    <row r="15225" spans="84:91" s="51" customFormat="1">
      <c r="CF15225" s="239"/>
      <c r="CM15225" s="336"/>
    </row>
    <row r="15226" spans="84:91" s="51" customFormat="1">
      <c r="CF15226" s="239"/>
      <c r="CM15226" s="336"/>
    </row>
    <row r="15227" spans="84:91" s="51" customFormat="1">
      <c r="CF15227" s="239"/>
      <c r="CM15227" s="336"/>
    </row>
    <row r="15228" spans="84:91" s="51" customFormat="1">
      <c r="CF15228" s="239"/>
      <c r="CM15228" s="336"/>
    </row>
    <row r="15229" spans="84:91" s="51" customFormat="1">
      <c r="CF15229" s="239"/>
      <c r="CM15229" s="336"/>
    </row>
    <row r="15230" spans="84:91" s="51" customFormat="1">
      <c r="CF15230" s="239"/>
      <c r="CM15230" s="336"/>
    </row>
    <row r="15231" spans="84:91" s="51" customFormat="1">
      <c r="CF15231" s="239"/>
      <c r="CM15231" s="336"/>
    </row>
    <row r="15232" spans="84:91" s="51" customFormat="1">
      <c r="CF15232" s="239"/>
      <c r="CM15232" s="336"/>
    </row>
    <row r="15233" spans="84:91" s="51" customFormat="1">
      <c r="CF15233" s="239"/>
      <c r="CM15233" s="336"/>
    </row>
    <row r="15234" spans="84:91" s="51" customFormat="1">
      <c r="CF15234" s="239"/>
      <c r="CM15234" s="336"/>
    </row>
    <row r="15235" spans="84:91" s="51" customFormat="1">
      <c r="CF15235" s="239"/>
      <c r="CM15235" s="336"/>
    </row>
    <row r="15236" spans="84:91" s="51" customFormat="1">
      <c r="CF15236" s="239"/>
      <c r="CM15236" s="336"/>
    </row>
    <row r="15237" spans="84:91" s="51" customFormat="1">
      <c r="CF15237" s="239"/>
      <c r="CM15237" s="336"/>
    </row>
    <row r="15238" spans="84:91" s="51" customFormat="1">
      <c r="CF15238" s="239"/>
      <c r="CM15238" s="336"/>
    </row>
    <row r="15239" spans="84:91" s="51" customFormat="1">
      <c r="CF15239" s="239"/>
      <c r="CM15239" s="336"/>
    </row>
    <row r="15240" spans="84:91" s="51" customFormat="1">
      <c r="CF15240" s="239"/>
      <c r="CM15240" s="336"/>
    </row>
    <row r="15241" spans="84:91" s="51" customFormat="1">
      <c r="CF15241" s="239"/>
      <c r="CM15241" s="336"/>
    </row>
    <row r="15242" spans="84:91" s="51" customFormat="1">
      <c r="CF15242" s="239"/>
      <c r="CM15242" s="336"/>
    </row>
    <row r="15243" spans="84:91" s="51" customFormat="1">
      <c r="CF15243" s="239"/>
      <c r="CM15243" s="336"/>
    </row>
    <row r="15244" spans="84:91" s="51" customFormat="1">
      <c r="CF15244" s="239"/>
      <c r="CM15244" s="336"/>
    </row>
    <row r="15245" spans="84:91" s="51" customFormat="1">
      <c r="CF15245" s="239"/>
      <c r="CM15245" s="336"/>
    </row>
    <row r="15246" spans="84:91" s="51" customFormat="1">
      <c r="CF15246" s="239"/>
      <c r="CM15246" s="336"/>
    </row>
    <row r="15247" spans="84:91" s="51" customFormat="1">
      <c r="CF15247" s="239"/>
      <c r="CM15247" s="336"/>
    </row>
    <row r="15248" spans="84:91" s="51" customFormat="1">
      <c r="CF15248" s="239"/>
      <c r="CM15248" s="336"/>
    </row>
    <row r="15249" spans="84:91" s="51" customFormat="1">
      <c r="CF15249" s="239"/>
      <c r="CM15249" s="336"/>
    </row>
    <row r="15250" spans="84:91" s="51" customFormat="1">
      <c r="CF15250" s="239"/>
      <c r="CM15250" s="336"/>
    </row>
    <row r="15251" spans="84:91" s="51" customFormat="1">
      <c r="CF15251" s="239"/>
      <c r="CM15251" s="336"/>
    </row>
    <row r="15252" spans="84:91" s="51" customFormat="1">
      <c r="CF15252" s="239"/>
      <c r="CM15252" s="336"/>
    </row>
    <row r="15253" spans="84:91" s="51" customFormat="1">
      <c r="CF15253" s="239"/>
      <c r="CM15253" s="336"/>
    </row>
    <row r="15254" spans="84:91" s="51" customFormat="1">
      <c r="CF15254" s="239"/>
      <c r="CM15254" s="336"/>
    </row>
    <row r="15255" spans="84:91" s="51" customFormat="1">
      <c r="CF15255" s="239"/>
      <c r="CM15255" s="336"/>
    </row>
    <row r="15256" spans="84:91" s="51" customFormat="1">
      <c r="CF15256" s="239"/>
      <c r="CM15256" s="336"/>
    </row>
    <row r="15257" spans="84:91" s="51" customFormat="1">
      <c r="CF15257" s="239"/>
      <c r="CM15257" s="336"/>
    </row>
    <row r="15258" spans="84:91" s="51" customFormat="1">
      <c r="CF15258" s="239"/>
      <c r="CM15258" s="336"/>
    </row>
    <row r="15259" spans="84:91" s="51" customFormat="1">
      <c r="CF15259" s="239"/>
      <c r="CM15259" s="336"/>
    </row>
    <row r="15260" spans="84:91" s="51" customFormat="1">
      <c r="CF15260" s="239"/>
      <c r="CM15260" s="336"/>
    </row>
    <row r="15261" spans="84:91" s="51" customFormat="1">
      <c r="CF15261" s="239"/>
      <c r="CM15261" s="336"/>
    </row>
    <row r="15262" spans="84:91" s="51" customFormat="1">
      <c r="CF15262" s="239"/>
      <c r="CM15262" s="336"/>
    </row>
    <row r="15263" spans="84:91" s="51" customFormat="1">
      <c r="CF15263" s="239"/>
      <c r="CM15263" s="336"/>
    </row>
    <row r="15264" spans="84:91" s="51" customFormat="1">
      <c r="CF15264" s="239"/>
      <c r="CM15264" s="336"/>
    </row>
    <row r="15265" spans="84:91" s="51" customFormat="1">
      <c r="CF15265" s="239"/>
      <c r="CM15265" s="336"/>
    </row>
    <row r="15266" spans="84:91" s="51" customFormat="1">
      <c r="CF15266" s="239"/>
      <c r="CM15266" s="336"/>
    </row>
    <row r="15267" spans="84:91" s="51" customFormat="1">
      <c r="CF15267" s="239"/>
      <c r="CM15267" s="336"/>
    </row>
    <row r="15268" spans="84:91" s="51" customFormat="1">
      <c r="CF15268" s="239"/>
      <c r="CM15268" s="336"/>
    </row>
    <row r="15269" spans="84:91" s="51" customFormat="1">
      <c r="CF15269" s="239"/>
      <c r="CM15269" s="336"/>
    </row>
    <row r="15270" spans="84:91" s="51" customFormat="1">
      <c r="CF15270" s="239"/>
      <c r="CM15270" s="336"/>
    </row>
    <row r="15271" spans="84:91" s="51" customFormat="1">
      <c r="CF15271" s="239"/>
      <c r="CM15271" s="336"/>
    </row>
    <row r="15272" spans="84:91" s="51" customFormat="1">
      <c r="CF15272" s="239"/>
      <c r="CM15272" s="336"/>
    </row>
    <row r="15273" spans="84:91" s="51" customFormat="1">
      <c r="CF15273" s="239"/>
      <c r="CM15273" s="336"/>
    </row>
    <row r="15274" spans="84:91" s="51" customFormat="1">
      <c r="CF15274" s="239"/>
      <c r="CM15274" s="336"/>
    </row>
    <row r="15275" spans="84:91" s="51" customFormat="1">
      <c r="CF15275" s="239"/>
      <c r="CM15275" s="336"/>
    </row>
    <row r="15276" spans="84:91" s="51" customFormat="1">
      <c r="CF15276" s="239"/>
      <c r="CM15276" s="336"/>
    </row>
    <row r="15277" spans="84:91" s="51" customFormat="1">
      <c r="CF15277" s="239"/>
      <c r="CM15277" s="336"/>
    </row>
    <row r="15278" spans="84:91" s="51" customFormat="1">
      <c r="CF15278" s="239"/>
      <c r="CM15278" s="336"/>
    </row>
    <row r="15279" spans="84:91" s="51" customFormat="1">
      <c r="CF15279" s="239"/>
      <c r="CM15279" s="336"/>
    </row>
    <row r="15280" spans="84:91" s="51" customFormat="1">
      <c r="CF15280" s="239"/>
      <c r="CM15280" s="336"/>
    </row>
    <row r="15281" spans="84:91" s="51" customFormat="1">
      <c r="CF15281" s="239"/>
      <c r="CM15281" s="336"/>
    </row>
    <row r="15282" spans="84:91" s="51" customFormat="1">
      <c r="CF15282" s="239"/>
      <c r="CM15282" s="336"/>
    </row>
    <row r="15283" spans="84:91" s="51" customFormat="1">
      <c r="CF15283" s="239"/>
      <c r="CM15283" s="336"/>
    </row>
    <row r="15284" spans="84:91" s="51" customFormat="1">
      <c r="CF15284" s="239"/>
      <c r="CM15284" s="336"/>
    </row>
    <row r="15285" spans="84:91" s="51" customFormat="1">
      <c r="CF15285" s="239"/>
      <c r="CM15285" s="336"/>
    </row>
    <row r="15286" spans="84:91" s="51" customFormat="1">
      <c r="CF15286" s="239"/>
      <c r="CM15286" s="336"/>
    </row>
    <row r="15287" spans="84:91" s="51" customFormat="1">
      <c r="CF15287" s="239"/>
      <c r="CM15287" s="336"/>
    </row>
    <row r="15288" spans="84:91" s="51" customFormat="1">
      <c r="CF15288" s="239"/>
      <c r="CM15288" s="336"/>
    </row>
    <row r="15289" spans="84:91" s="51" customFormat="1">
      <c r="CF15289" s="239"/>
      <c r="CM15289" s="336"/>
    </row>
    <row r="15290" spans="84:91" s="51" customFormat="1">
      <c r="CF15290" s="239"/>
      <c r="CM15290" s="336"/>
    </row>
    <row r="15291" spans="84:91" s="51" customFormat="1">
      <c r="CF15291" s="239"/>
      <c r="CM15291" s="336"/>
    </row>
    <row r="15292" spans="84:91" s="51" customFormat="1">
      <c r="CF15292" s="239"/>
      <c r="CM15292" s="336"/>
    </row>
    <row r="15293" spans="84:91" s="51" customFormat="1">
      <c r="CF15293" s="239"/>
      <c r="CM15293" s="336"/>
    </row>
    <row r="15294" spans="84:91" s="51" customFormat="1">
      <c r="CF15294" s="239"/>
      <c r="CM15294" s="336"/>
    </row>
    <row r="15295" spans="84:91" s="51" customFormat="1">
      <c r="CF15295" s="239"/>
      <c r="CM15295" s="336"/>
    </row>
    <row r="15296" spans="84:91" s="51" customFormat="1">
      <c r="CF15296" s="239"/>
      <c r="CM15296" s="336"/>
    </row>
    <row r="15297" spans="84:91" s="51" customFormat="1">
      <c r="CF15297" s="239"/>
      <c r="CM15297" s="336"/>
    </row>
    <row r="15298" spans="84:91" s="51" customFormat="1">
      <c r="CF15298" s="239"/>
      <c r="CM15298" s="336"/>
    </row>
    <row r="15299" spans="84:91" s="51" customFormat="1">
      <c r="CF15299" s="239"/>
      <c r="CM15299" s="336"/>
    </row>
    <row r="15300" spans="84:91" s="51" customFormat="1">
      <c r="CF15300" s="239"/>
      <c r="CM15300" s="336"/>
    </row>
    <row r="15301" spans="84:91" s="51" customFormat="1">
      <c r="CF15301" s="239"/>
      <c r="CM15301" s="336"/>
    </row>
    <row r="15302" spans="84:91" s="51" customFormat="1">
      <c r="CF15302" s="239"/>
      <c r="CM15302" s="336"/>
    </row>
    <row r="15303" spans="84:91" s="51" customFormat="1">
      <c r="CF15303" s="239"/>
      <c r="CM15303" s="336"/>
    </row>
    <row r="15304" spans="84:91" s="51" customFormat="1">
      <c r="CF15304" s="239"/>
      <c r="CM15304" s="336"/>
    </row>
    <row r="15305" spans="84:91" s="51" customFormat="1">
      <c r="CF15305" s="239"/>
      <c r="CM15305" s="336"/>
    </row>
    <row r="15306" spans="84:91" s="51" customFormat="1">
      <c r="CF15306" s="239"/>
      <c r="CM15306" s="336"/>
    </row>
    <row r="15307" spans="84:91" s="51" customFormat="1">
      <c r="CF15307" s="239"/>
      <c r="CM15307" s="336"/>
    </row>
    <row r="15308" spans="84:91" s="51" customFormat="1">
      <c r="CF15308" s="239"/>
      <c r="CM15308" s="336"/>
    </row>
    <row r="15309" spans="84:91" s="51" customFormat="1">
      <c r="CF15309" s="239"/>
      <c r="CM15309" s="336"/>
    </row>
    <row r="15310" spans="84:91" s="51" customFormat="1">
      <c r="CF15310" s="239"/>
      <c r="CM15310" s="336"/>
    </row>
    <row r="15311" spans="84:91" s="51" customFormat="1">
      <c r="CF15311" s="239"/>
      <c r="CM15311" s="336"/>
    </row>
    <row r="15312" spans="84:91" s="51" customFormat="1">
      <c r="CF15312" s="239"/>
      <c r="CM15312" s="336"/>
    </row>
    <row r="15313" spans="84:91" s="51" customFormat="1">
      <c r="CF15313" s="239"/>
      <c r="CM15313" s="336"/>
    </row>
    <row r="15314" spans="84:91" s="51" customFormat="1">
      <c r="CF15314" s="239"/>
      <c r="CM15314" s="336"/>
    </row>
    <row r="15315" spans="84:91" s="51" customFormat="1">
      <c r="CF15315" s="239"/>
      <c r="CM15315" s="336"/>
    </row>
    <row r="15316" spans="84:91" s="51" customFormat="1">
      <c r="CF15316" s="239"/>
      <c r="CM15316" s="336"/>
    </row>
    <row r="15317" spans="84:91" s="51" customFormat="1">
      <c r="CF15317" s="239"/>
      <c r="CM15317" s="336"/>
    </row>
    <row r="15318" spans="84:91" s="51" customFormat="1">
      <c r="CF15318" s="239"/>
      <c r="CM15318" s="336"/>
    </row>
    <row r="15319" spans="84:91" s="51" customFormat="1">
      <c r="CF15319" s="239"/>
      <c r="CM15319" s="336"/>
    </row>
    <row r="15320" spans="84:91" s="51" customFormat="1">
      <c r="CF15320" s="239"/>
      <c r="CM15320" s="336"/>
    </row>
    <row r="15321" spans="84:91" s="51" customFormat="1">
      <c r="CF15321" s="239"/>
      <c r="CM15321" s="336"/>
    </row>
    <row r="15322" spans="84:91" s="51" customFormat="1">
      <c r="CF15322" s="239"/>
      <c r="CM15322" s="336"/>
    </row>
    <row r="15323" spans="84:91" s="51" customFormat="1">
      <c r="CF15323" s="239"/>
      <c r="CM15323" s="336"/>
    </row>
    <row r="15324" spans="84:91" s="51" customFormat="1">
      <c r="CF15324" s="239"/>
      <c r="CM15324" s="336"/>
    </row>
    <row r="15325" spans="84:91" s="51" customFormat="1">
      <c r="CF15325" s="239"/>
      <c r="CM15325" s="336"/>
    </row>
    <row r="15326" spans="84:91" s="51" customFormat="1">
      <c r="CF15326" s="239"/>
      <c r="CM15326" s="336"/>
    </row>
    <row r="15327" spans="84:91" s="51" customFormat="1">
      <c r="CF15327" s="239"/>
      <c r="CM15327" s="336"/>
    </row>
    <row r="15328" spans="84:91" s="51" customFormat="1">
      <c r="CF15328" s="239"/>
      <c r="CM15328" s="336"/>
    </row>
    <row r="15329" spans="84:91" s="51" customFormat="1">
      <c r="CF15329" s="239"/>
      <c r="CM15329" s="336"/>
    </row>
    <row r="15330" spans="84:91" s="51" customFormat="1">
      <c r="CF15330" s="239"/>
      <c r="CM15330" s="336"/>
    </row>
    <row r="15331" spans="84:91" s="51" customFormat="1">
      <c r="CF15331" s="239"/>
      <c r="CM15331" s="336"/>
    </row>
    <row r="15332" spans="84:91" s="51" customFormat="1">
      <c r="CF15332" s="239"/>
      <c r="CM15332" s="336"/>
    </row>
    <row r="15333" spans="84:91" s="51" customFormat="1">
      <c r="CF15333" s="239"/>
      <c r="CM15333" s="336"/>
    </row>
    <row r="15334" spans="84:91" s="51" customFormat="1">
      <c r="CF15334" s="239"/>
      <c r="CM15334" s="336"/>
    </row>
    <row r="15335" spans="84:91" s="51" customFormat="1">
      <c r="CF15335" s="239"/>
      <c r="CM15335" s="336"/>
    </row>
    <row r="15336" spans="84:91" s="51" customFormat="1">
      <c r="CF15336" s="239"/>
      <c r="CM15336" s="336"/>
    </row>
    <row r="15337" spans="84:91" s="51" customFormat="1">
      <c r="CF15337" s="239"/>
      <c r="CM15337" s="336"/>
    </row>
    <row r="15338" spans="84:91" s="51" customFormat="1">
      <c r="CF15338" s="239"/>
      <c r="CM15338" s="336"/>
    </row>
    <row r="15339" spans="84:91" s="51" customFormat="1">
      <c r="CF15339" s="239"/>
      <c r="CM15339" s="336"/>
    </row>
    <row r="15340" spans="84:91" s="51" customFormat="1">
      <c r="CF15340" s="239"/>
      <c r="CM15340" s="336"/>
    </row>
    <row r="15341" spans="84:91" s="51" customFormat="1">
      <c r="CF15341" s="239"/>
      <c r="CM15341" s="336"/>
    </row>
    <row r="15342" spans="84:91" s="51" customFormat="1">
      <c r="CF15342" s="239"/>
      <c r="CM15342" s="336"/>
    </row>
    <row r="15343" spans="84:91" s="51" customFormat="1">
      <c r="CF15343" s="239"/>
      <c r="CM15343" s="336"/>
    </row>
    <row r="15344" spans="84:91" s="51" customFormat="1">
      <c r="CF15344" s="239"/>
      <c r="CM15344" s="336"/>
    </row>
    <row r="15345" spans="84:91" s="51" customFormat="1">
      <c r="CF15345" s="239"/>
      <c r="CM15345" s="336"/>
    </row>
    <row r="15346" spans="84:91" s="51" customFormat="1">
      <c r="CF15346" s="239"/>
      <c r="CM15346" s="336"/>
    </row>
    <row r="15347" spans="84:91" s="51" customFormat="1">
      <c r="CF15347" s="239"/>
      <c r="CM15347" s="336"/>
    </row>
    <row r="15348" spans="84:91" s="51" customFormat="1">
      <c r="CF15348" s="239"/>
      <c r="CM15348" s="336"/>
    </row>
    <row r="15349" spans="84:91" s="51" customFormat="1">
      <c r="CF15349" s="239"/>
      <c r="CM15349" s="336"/>
    </row>
    <row r="15350" spans="84:91" s="51" customFormat="1">
      <c r="CF15350" s="239"/>
      <c r="CM15350" s="336"/>
    </row>
    <row r="15351" spans="84:91" s="51" customFormat="1">
      <c r="CF15351" s="239"/>
      <c r="CM15351" s="336"/>
    </row>
    <row r="15352" spans="84:91" s="51" customFormat="1">
      <c r="CF15352" s="239"/>
      <c r="CM15352" s="336"/>
    </row>
    <row r="15353" spans="84:91" s="51" customFormat="1">
      <c r="CF15353" s="239"/>
      <c r="CM15353" s="336"/>
    </row>
    <row r="15354" spans="84:91" s="51" customFormat="1">
      <c r="CF15354" s="239"/>
      <c r="CM15354" s="336"/>
    </row>
    <row r="15355" spans="84:91" s="51" customFormat="1">
      <c r="CF15355" s="239"/>
      <c r="CM15355" s="336"/>
    </row>
    <row r="15356" spans="84:91" s="51" customFormat="1">
      <c r="CF15356" s="239"/>
      <c r="CM15356" s="336"/>
    </row>
    <row r="15357" spans="84:91" s="51" customFormat="1">
      <c r="CF15357" s="239"/>
      <c r="CM15357" s="336"/>
    </row>
    <row r="15358" spans="84:91" s="51" customFormat="1">
      <c r="CF15358" s="239"/>
      <c r="CM15358" s="336"/>
    </row>
    <row r="15359" spans="84:91" s="51" customFormat="1">
      <c r="CF15359" s="239"/>
      <c r="CM15359" s="336"/>
    </row>
    <row r="15360" spans="84:91" s="51" customFormat="1">
      <c r="CF15360" s="239"/>
      <c r="CM15360" s="336"/>
    </row>
    <row r="15361" spans="84:91" s="51" customFormat="1">
      <c r="CF15361" s="239"/>
      <c r="CM15361" s="336"/>
    </row>
    <row r="15362" spans="84:91" s="51" customFormat="1">
      <c r="CF15362" s="239"/>
      <c r="CM15362" s="336"/>
    </row>
    <row r="15363" spans="84:91" s="51" customFormat="1">
      <c r="CF15363" s="239"/>
      <c r="CM15363" s="336"/>
    </row>
    <row r="15364" spans="84:91" s="51" customFormat="1">
      <c r="CF15364" s="239"/>
      <c r="CM15364" s="336"/>
    </row>
    <row r="15365" spans="84:91" s="51" customFormat="1">
      <c r="CF15365" s="239"/>
      <c r="CM15365" s="336"/>
    </row>
    <row r="15366" spans="84:91" s="51" customFormat="1">
      <c r="CF15366" s="239"/>
      <c r="CM15366" s="336"/>
    </row>
    <row r="15367" spans="84:91" s="51" customFormat="1">
      <c r="CF15367" s="239"/>
      <c r="CM15367" s="336"/>
    </row>
    <row r="15368" spans="84:91" s="51" customFormat="1">
      <c r="CF15368" s="239"/>
      <c r="CM15368" s="336"/>
    </row>
    <row r="15369" spans="84:91" s="51" customFormat="1">
      <c r="CF15369" s="239"/>
      <c r="CM15369" s="336"/>
    </row>
    <row r="15370" spans="84:91" s="51" customFormat="1">
      <c r="CF15370" s="239"/>
      <c r="CM15370" s="336"/>
    </row>
    <row r="15371" spans="84:91" s="51" customFormat="1">
      <c r="CF15371" s="239"/>
      <c r="CM15371" s="336"/>
    </row>
    <row r="15372" spans="84:91" s="51" customFormat="1">
      <c r="CF15372" s="239"/>
      <c r="CM15372" s="336"/>
    </row>
    <row r="15373" spans="84:91" s="51" customFormat="1">
      <c r="CF15373" s="239"/>
      <c r="CM15373" s="336"/>
    </row>
    <row r="15374" spans="84:91" s="51" customFormat="1">
      <c r="CF15374" s="239"/>
      <c r="CM15374" s="336"/>
    </row>
    <row r="15375" spans="84:91" s="51" customFormat="1">
      <c r="CF15375" s="239"/>
      <c r="CM15375" s="336"/>
    </row>
    <row r="15376" spans="84:91" s="51" customFormat="1">
      <c r="CF15376" s="239"/>
      <c r="CM15376" s="336"/>
    </row>
    <row r="15377" spans="84:91" s="51" customFormat="1">
      <c r="CF15377" s="239"/>
      <c r="CM15377" s="336"/>
    </row>
    <row r="15378" spans="84:91" s="51" customFormat="1">
      <c r="CF15378" s="239"/>
      <c r="CM15378" s="336"/>
    </row>
    <row r="15379" spans="84:91" s="51" customFormat="1">
      <c r="CF15379" s="239"/>
      <c r="CM15379" s="336"/>
    </row>
    <row r="15380" spans="84:91" s="51" customFormat="1">
      <c r="CF15380" s="239"/>
      <c r="CM15380" s="336"/>
    </row>
    <row r="15381" spans="84:91" s="51" customFormat="1">
      <c r="CF15381" s="239"/>
      <c r="CM15381" s="336"/>
    </row>
    <row r="15382" spans="84:91" s="51" customFormat="1">
      <c r="CF15382" s="239"/>
      <c r="CM15382" s="336"/>
    </row>
    <row r="15383" spans="84:91" s="51" customFormat="1">
      <c r="CF15383" s="239"/>
      <c r="CM15383" s="336"/>
    </row>
    <row r="15384" spans="84:91" s="51" customFormat="1">
      <c r="CF15384" s="239"/>
      <c r="CM15384" s="336"/>
    </row>
    <row r="15385" spans="84:91" s="51" customFormat="1">
      <c r="CF15385" s="239"/>
      <c r="CM15385" s="336"/>
    </row>
    <row r="15386" spans="84:91" s="51" customFormat="1">
      <c r="CF15386" s="239"/>
      <c r="CM15386" s="336"/>
    </row>
    <row r="15387" spans="84:91" s="51" customFormat="1">
      <c r="CF15387" s="239"/>
      <c r="CM15387" s="336"/>
    </row>
    <row r="15388" spans="84:91" s="51" customFormat="1">
      <c r="CF15388" s="239"/>
      <c r="CM15388" s="336"/>
    </row>
    <row r="15389" spans="84:91" s="51" customFormat="1">
      <c r="CF15389" s="239"/>
      <c r="CM15389" s="336"/>
    </row>
    <row r="15390" spans="84:91" s="51" customFormat="1">
      <c r="CF15390" s="239"/>
      <c r="CM15390" s="336"/>
    </row>
    <row r="15391" spans="84:91" s="51" customFormat="1">
      <c r="CF15391" s="239"/>
      <c r="CM15391" s="336"/>
    </row>
    <row r="15392" spans="84:91" s="51" customFormat="1">
      <c r="CF15392" s="239"/>
      <c r="CM15392" s="336"/>
    </row>
    <row r="15393" spans="84:91" s="51" customFormat="1">
      <c r="CF15393" s="239"/>
      <c r="CM15393" s="336"/>
    </row>
    <row r="15394" spans="84:91" s="51" customFormat="1">
      <c r="CF15394" s="239"/>
      <c r="CM15394" s="336"/>
    </row>
    <row r="15395" spans="84:91" s="51" customFormat="1">
      <c r="CF15395" s="239"/>
      <c r="CM15395" s="336"/>
    </row>
    <row r="15396" spans="84:91" s="51" customFormat="1">
      <c r="CF15396" s="239"/>
      <c r="CM15396" s="336"/>
    </row>
    <row r="15397" spans="84:91" s="51" customFormat="1">
      <c r="CF15397" s="239"/>
      <c r="CM15397" s="336"/>
    </row>
    <row r="15398" spans="84:91" s="51" customFormat="1">
      <c r="CF15398" s="239"/>
      <c r="CM15398" s="336"/>
    </row>
    <row r="15399" spans="84:91" s="51" customFormat="1">
      <c r="CF15399" s="239"/>
      <c r="CM15399" s="336"/>
    </row>
    <row r="15400" spans="84:91" s="51" customFormat="1">
      <c r="CF15400" s="239"/>
      <c r="CM15400" s="336"/>
    </row>
    <row r="15401" spans="84:91" s="51" customFormat="1">
      <c r="CF15401" s="239"/>
      <c r="CM15401" s="336"/>
    </row>
    <row r="15402" spans="84:91" s="51" customFormat="1">
      <c r="CF15402" s="239"/>
      <c r="CM15402" s="336"/>
    </row>
    <row r="15403" spans="84:91" s="51" customFormat="1">
      <c r="CF15403" s="239"/>
      <c r="CM15403" s="336"/>
    </row>
    <row r="15404" spans="84:91" s="51" customFormat="1">
      <c r="CF15404" s="239"/>
      <c r="CM15404" s="336"/>
    </row>
    <row r="15405" spans="84:91" s="51" customFormat="1">
      <c r="CF15405" s="239"/>
      <c r="CM15405" s="336"/>
    </row>
    <row r="15406" spans="84:91" s="51" customFormat="1">
      <c r="CF15406" s="239"/>
      <c r="CM15406" s="336"/>
    </row>
    <row r="15407" spans="84:91" s="51" customFormat="1">
      <c r="CF15407" s="239"/>
      <c r="CM15407" s="336"/>
    </row>
    <row r="15408" spans="84:91" s="51" customFormat="1">
      <c r="CF15408" s="239"/>
      <c r="CM15408" s="336"/>
    </row>
    <row r="15409" spans="84:91" s="51" customFormat="1">
      <c r="CF15409" s="239"/>
      <c r="CM15409" s="336"/>
    </row>
    <row r="15410" spans="84:91" s="51" customFormat="1">
      <c r="CF15410" s="239"/>
      <c r="CM15410" s="336"/>
    </row>
    <row r="15411" spans="84:91" s="51" customFormat="1">
      <c r="CF15411" s="239"/>
      <c r="CM15411" s="336"/>
    </row>
    <row r="15412" spans="84:91" s="51" customFormat="1">
      <c r="CF15412" s="239"/>
      <c r="CM15412" s="336"/>
    </row>
    <row r="15413" spans="84:91" s="51" customFormat="1">
      <c r="CF15413" s="239"/>
      <c r="CM15413" s="336"/>
    </row>
    <row r="15414" spans="84:91" s="51" customFormat="1">
      <c r="CF15414" s="239"/>
      <c r="CM15414" s="336"/>
    </row>
    <row r="15415" spans="84:91" s="51" customFormat="1">
      <c r="CF15415" s="239"/>
      <c r="CM15415" s="336"/>
    </row>
    <row r="15416" spans="84:91" s="51" customFormat="1">
      <c r="CF15416" s="239"/>
      <c r="CM15416" s="336"/>
    </row>
    <row r="15417" spans="84:91" s="51" customFormat="1">
      <c r="CF15417" s="239"/>
      <c r="CM15417" s="336"/>
    </row>
    <row r="15418" spans="84:91" s="51" customFormat="1">
      <c r="CF15418" s="239"/>
      <c r="CM15418" s="336"/>
    </row>
    <row r="15419" spans="84:91" s="51" customFormat="1">
      <c r="CF15419" s="239"/>
      <c r="CM15419" s="336"/>
    </row>
    <row r="15420" spans="84:91" s="51" customFormat="1">
      <c r="CF15420" s="239"/>
      <c r="CM15420" s="336"/>
    </row>
    <row r="15421" spans="84:91" s="51" customFormat="1">
      <c r="CF15421" s="239"/>
      <c r="CM15421" s="336"/>
    </row>
    <row r="15422" spans="84:91" s="51" customFormat="1">
      <c r="CF15422" s="239"/>
      <c r="CM15422" s="336"/>
    </row>
    <row r="15423" spans="84:91" s="51" customFormat="1">
      <c r="CF15423" s="239"/>
      <c r="CM15423" s="336"/>
    </row>
    <row r="15424" spans="84:91" s="51" customFormat="1">
      <c r="CF15424" s="239"/>
      <c r="CM15424" s="336"/>
    </row>
    <row r="15425" spans="84:91" s="51" customFormat="1">
      <c r="CF15425" s="239"/>
      <c r="CM15425" s="336"/>
    </row>
    <row r="15426" spans="84:91" s="51" customFormat="1">
      <c r="CF15426" s="239"/>
      <c r="CM15426" s="336"/>
    </row>
    <row r="15427" spans="84:91" s="51" customFormat="1">
      <c r="CF15427" s="239"/>
      <c r="CM15427" s="336"/>
    </row>
    <row r="15428" spans="84:91" s="51" customFormat="1">
      <c r="CF15428" s="239"/>
      <c r="CM15428" s="336"/>
    </row>
    <row r="15429" spans="84:91" s="51" customFormat="1">
      <c r="CF15429" s="239"/>
      <c r="CM15429" s="336"/>
    </row>
    <row r="15430" spans="84:91" s="51" customFormat="1">
      <c r="CF15430" s="239"/>
      <c r="CM15430" s="336"/>
    </row>
    <row r="15431" spans="84:91" s="51" customFormat="1">
      <c r="CF15431" s="239"/>
      <c r="CM15431" s="336"/>
    </row>
    <row r="15432" spans="84:91" s="51" customFormat="1">
      <c r="CF15432" s="239"/>
      <c r="CM15432" s="336"/>
    </row>
    <row r="15433" spans="84:91" s="51" customFormat="1">
      <c r="CF15433" s="239"/>
      <c r="CM15433" s="336"/>
    </row>
    <row r="15434" spans="84:91" s="51" customFormat="1">
      <c r="CF15434" s="239"/>
      <c r="CM15434" s="336"/>
    </row>
    <row r="15435" spans="84:91" s="51" customFormat="1">
      <c r="CF15435" s="239"/>
      <c r="CM15435" s="336"/>
    </row>
    <row r="15436" spans="84:91" s="51" customFormat="1">
      <c r="CF15436" s="239"/>
      <c r="CM15436" s="336"/>
    </row>
    <row r="15437" spans="84:91" s="51" customFormat="1">
      <c r="CF15437" s="239"/>
      <c r="CM15437" s="336"/>
    </row>
    <row r="15438" spans="84:91" s="51" customFormat="1">
      <c r="CF15438" s="239"/>
      <c r="CM15438" s="336"/>
    </row>
    <row r="15439" spans="84:91" s="51" customFormat="1">
      <c r="CF15439" s="239"/>
      <c r="CM15439" s="336"/>
    </row>
    <row r="15440" spans="84:91" s="51" customFormat="1">
      <c r="CF15440" s="239"/>
      <c r="CM15440" s="336"/>
    </row>
    <row r="15441" spans="84:91" s="51" customFormat="1">
      <c r="CF15441" s="239"/>
      <c r="CM15441" s="336"/>
    </row>
    <row r="15442" spans="84:91" s="51" customFormat="1">
      <c r="CF15442" s="239"/>
      <c r="CM15442" s="336"/>
    </row>
    <row r="15443" spans="84:91" s="51" customFormat="1">
      <c r="CF15443" s="239"/>
      <c r="CM15443" s="336"/>
    </row>
    <row r="15444" spans="84:91" s="51" customFormat="1">
      <c r="CF15444" s="239"/>
      <c r="CM15444" s="336"/>
    </row>
    <row r="15445" spans="84:91" s="51" customFormat="1">
      <c r="CF15445" s="239"/>
      <c r="CM15445" s="336"/>
    </row>
    <row r="15446" spans="84:91" s="51" customFormat="1">
      <c r="CF15446" s="239"/>
      <c r="CM15446" s="336"/>
    </row>
    <row r="15447" spans="84:91" s="51" customFormat="1">
      <c r="CF15447" s="239"/>
      <c r="CM15447" s="336"/>
    </row>
    <row r="15448" spans="84:91" s="51" customFormat="1">
      <c r="CF15448" s="239"/>
      <c r="CM15448" s="336"/>
    </row>
    <row r="15449" spans="84:91" s="51" customFormat="1">
      <c r="CF15449" s="239"/>
      <c r="CM15449" s="336"/>
    </row>
    <row r="15450" spans="84:91" s="51" customFormat="1">
      <c r="CF15450" s="239"/>
      <c r="CM15450" s="336"/>
    </row>
    <row r="15451" spans="84:91" s="51" customFormat="1">
      <c r="CF15451" s="239"/>
      <c r="CM15451" s="336"/>
    </row>
    <row r="15452" spans="84:91" s="51" customFormat="1">
      <c r="CF15452" s="239"/>
      <c r="CM15452" s="336"/>
    </row>
    <row r="15453" spans="84:91" s="51" customFormat="1">
      <c r="CF15453" s="239"/>
      <c r="CM15453" s="336"/>
    </row>
    <row r="15454" spans="84:91" s="51" customFormat="1">
      <c r="CF15454" s="239"/>
      <c r="CM15454" s="336"/>
    </row>
    <row r="15455" spans="84:91" s="51" customFormat="1">
      <c r="CF15455" s="239"/>
      <c r="CM15455" s="336"/>
    </row>
    <row r="15456" spans="84:91" s="51" customFormat="1">
      <c r="CF15456" s="239"/>
      <c r="CM15456" s="336"/>
    </row>
    <row r="15457" spans="84:91" s="51" customFormat="1">
      <c r="CF15457" s="239"/>
      <c r="CM15457" s="336"/>
    </row>
    <row r="15458" spans="84:91" s="51" customFormat="1">
      <c r="CF15458" s="239"/>
      <c r="CM15458" s="336"/>
    </row>
    <row r="15459" spans="84:91" s="51" customFormat="1">
      <c r="CF15459" s="239"/>
      <c r="CM15459" s="336"/>
    </row>
    <row r="15460" spans="84:91" s="51" customFormat="1">
      <c r="CF15460" s="239"/>
      <c r="CM15460" s="336"/>
    </row>
    <row r="15461" spans="84:91" s="51" customFormat="1">
      <c r="CF15461" s="239"/>
      <c r="CM15461" s="336"/>
    </row>
    <row r="15462" spans="84:91" s="51" customFormat="1">
      <c r="CF15462" s="239"/>
      <c r="CM15462" s="336"/>
    </row>
    <row r="15463" spans="84:91" s="51" customFormat="1">
      <c r="CF15463" s="239"/>
      <c r="CM15463" s="336"/>
    </row>
    <row r="15464" spans="84:91" s="51" customFormat="1">
      <c r="CF15464" s="239"/>
      <c r="CM15464" s="336"/>
    </row>
    <row r="15465" spans="84:91" s="51" customFormat="1">
      <c r="CF15465" s="239"/>
      <c r="CM15465" s="336"/>
    </row>
    <row r="15466" spans="84:91" s="51" customFormat="1">
      <c r="CF15466" s="239"/>
      <c r="CM15466" s="336"/>
    </row>
    <row r="15467" spans="84:91" s="51" customFormat="1">
      <c r="CF15467" s="239"/>
      <c r="CM15467" s="336"/>
    </row>
    <row r="15468" spans="84:91" s="51" customFormat="1">
      <c r="CF15468" s="239"/>
      <c r="CM15468" s="336"/>
    </row>
    <row r="15469" spans="84:91" s="51" customFormat="1">
      <c r="CF15469" s="239"/>
      <c r="CM15469" s="336"/>
    </row>
    <row r="15470" spans="84:91" s="51" customFormat="1">
      <c r="CF15470" s="239"/>
      <c r="CM15470" s="336"/>
    </row>
    <row r="15471" spans="84:91" s="51" customFormat="1">
      <c r="CF15471" s="239"/>
      <c r="CM15471" s="336"/>
    </row>
    <row r="15472" spans="84:91" s="51" customFormat="1">
      <c r="CF15472" s="239"/>
      <c r="CM15472" s="336"/>
    </row>
    <row r="15473" spans="84:91" s="51" customFormat="1">
      <c r="CF15473" s="239"/>
      <c r="CM15473" s="336"/>
    </row>
    <row r="15474" spans="84:91" s="51" customFormat="1">
      <c r="CF15474" s="239"/>
      <c r="CM15474" s="336"/>
    </row>
    <row r="15475" spans="84:91" s="51" customFormat="1">
      <c r="CF15475" s="239"/>
      <c r="CM15475" s="336"/>
    </row>
    <row r="15476" spans="84:91" s="51" customFormat="1">
      <c r="CF15476" s="239"/>
      <c r="CM15476" s="336"/>
    </row>
    <row r="15477" spans="84:91" s="51" customFormat="1">
      <c r="CF15477" s="239"/>
      <c r="CM15477" s="336"/>
    </row>
    <row r="15478" spans="84:91" s="51" customFormat="1">
      <c r="CF15478" s="239"/>
      <c r="CM15478" s="336"/>
    </row>
    <row r="15479" spans="84:91" s="51" customFormat="1">
      <c r="CF15479" s="239"/>
      <c r="CM15479" s="336"/>
    </row>
    <row r="15480" spans="84:91" s="51" customFormat="1">
      <c r="CF15480" s="239"/>
      <c r="CM15480" s="336"/>
    </row>
    <row r="15481" spans="84:91" s="51" customFormat="1">
      <c r="CF15481" s="239"/>
      <c r="CM15481" s="336"/>
    </row>
    <row r="15482" spans="84:91" s="51" customFormat="1">
      <c r="CF15482" s="239"/>
      <c r="CM15482" s="336"/>
    </row>
    <row r="15483" spans="84:91" s="51" customFormat="1">
      <c r="CF15483" s="239"/>
      <c r="CM15483" s="336"/>
    </row>
    <row r="15484" spans="84:91" s="51" customFormat="1">
      <c r="CF15484" s="239"/>
      <c r="CM15484" s="336"/>
    </row>
    <row r="15485" spans="84:91" s="51" customFormat="1">
      <c r="CF15485" s="239"/>
      <c r="CM15485" s="336"/>
    </row>
    <row r="15486" spans="84:91" s="51" customFormat="1">
      <c r="CF15486" s="239"/>
      <c r="CM15486" s="336"/>
    </row>
    <row r="15487" spans="84:91" s="51" customFormat="1">
      <c r="CF15487" s="239"/>
      <c r="CM15487" s="336"/>
    </row>
    <row r="15488" spans="84:91" s="51" customFormat="1">
      <c r="CF15488" s="239"/>
      <c r="CM15488" s="336"/>
    </row>
    <row r="15489" spans="84:91" s="51" customFormat="1">
      <c r="CF15489" s="239"/>
      <c r="CM15489" s="336"/>
    </row>
    <row r="15490" spans="84:91" s="51" customFormat="1">
      <c r="CF15490" s="239"/>
      <c r="CM15490" s="336"/>
    </row>
    <row r="15491" spans="84:91" s="51" customFormat="1">
      <c r="CF15491" s="239"/>
      <c r="CM15491" s="336"/>
    </row>
    <row r="15492" spans="84:91" s="51" customFormat="1">
      <c r="CF15492" s="239"/>
      <c r="CM15492" s="336"/>
    </row>
    <row r="15493" spans="84:91" s="51" customFormat="1">
      <c r="CF15493" s="239"/>
      <c r="CM15493" s="336"/>
    </row>
    <row r="15494" spans="84:91" s="51" customFormat="1">
      <c r="CF15494" s="239"/>
      <c r="CM15494" s="336"/>
    </row>
    <row r="15495" spans="84:91" s="51" customFormat="1">
      <c r="CF15495" s="239"/>
      <c r="CM15495" s="336"/>
    </row>
    <row r="15496" spans="84:91" s="51" customFormat="1">
      <c r="CF15496" s="239"/>
      <c r="CM15496" s="336"/>
    </row>
    <row r="15497" spans="84:91" s="51" customFormat="1">
      <c r="CF15497" s="239"/>
      <c r="CM15497" s="336"/>
    </row>
    <row r="15498" spans="84:91" s="51" customFormat="1">
      <c r="CF15498" s="239"/>
      <c r="CM15498" s="336"/>
    </row>
    <row r="15499" spans="84:91" s="51" customFormat="1">
      <c r="CF15499" s="239"/>
      <c r="CM15499" s="336"/>
    </row>
    <row r="15500" spans="84:91" s="51" customFormat="1">
      <c r="CF15500" s="239"/>
      <c r="CM15500" s="336"/>
    </row>
    <row r="15501" spans="84:91" s="51" customFormat="1">
      <c r="CF15501" s="239"/>
      <c r="CM15501" s="336"/>
    </row>
    <row r="15502" spans="84:91" s="51" customFormat="1">
      <c r="CF15502" s="239"/>
      <c r="CM15502" s="336"/>
    </row>
    <row r="15503" spans="84:91" s="51" customFormat="1">
      <c r="CF15503" s="239"/>
      <c r="CM15503" s="336"/>
    </row>
    <row r="15504" spans="84:91" s="51" customFormat="1">
      <c r="CF15504" s="239"/>
      <c r="CM15504" s="336"/>
    </row>
    <row r="15505" spans="84:91" s="51" customFormat="1">
      <c r="CF15505" s="239"/>
      <c r="CM15505" s="336"/>
    </row>
    <row r="15506" spans="84:91" s="51" customFormat="1">
      <c r="CF15506" s="239"/>
      <c r="CM15506" s="336"/>
    </row>
    <row r="15507" spans="84:91" s="51" customFormat="1">
      <c r="CF15507" s="239"/>
      <c r="CM15507" s="336"/>
    </row>
    <row r="15508" spans="84:91" s="51" customFormat="1">
      <c r="CF15508" s="239"/>
      <c r="CM15508" s="336"/>
    </row>
    <row r="15509" spans="84:91" s="51" customFormat="1">
      <c r="CF15509" s="239"/>
      <c r="CM15509" s="336"/>
    </row>
    <row r="15510" spans="84:91" s="51" customFormat="1">
      <c r="CF15510" s="239"/>
      <c r="CM15510" s="336"/>
    </row>
    <row r="15511" spans="84:91" s="51" customFormat="1">
      <c r="CF15511" s="239"/>
      <c r="CM15511" s="336"/>
    </row>
    <row r="15512" spans="84:91" s="51" customFormat="1">
      <c r="CF15512" s="239"/>
      <c r="CM15512" s="336"/>
    </row>
    <row r="15513" spans="84:91" s="51" customFormat="1">
      <c r="CF15513" s="239"/>
      <c r="CM15513" s="336"/>
    </row>
    <row r="15514" spans="84:91" s="51" customFormat="1">
      <c r="CF15514" s="239"/>
      <c r="CM15514" s="336"/>
    </row>
    <row r="15515" spans="84:91" s="51" customFormat="1">
      <c r="CF15515" s="239"/>
      <c r="CM15515" s="336"/>
    </row>
    <row r="15516" spans="84:91" s="51" customFormat="1">
      <c r="CF15516" s="239"/>
      <c r="CM15516" s="336"/>
    </row>
    <row r="15517" spans="84:91" s="51" customFormat="1">
      <c r="CF15517" s="239"/>
      <c r="CM15517" s="336"/>
    </row>
    <row r="15518" spans="84:91" s="51" customFormat="1">
      <c r="CF15518" s="239"/>
      <c r="CM15518" s="336"/>
    </row>
    <row r="15519" spans="84:91" s="51" customFormat="1">
      <c r="CF15519" s="239"/>
      <c r="CM15519" s="336"/>
    </row>
    <row r="15520" spans="84:91" s="51" customFormat="1">
      <c r="CF15520" s="239"/>
      <c r="CM15520" s="336"/>
    </row>
    <row r="15521" spans="84:91" s="51" customFormat="1">
      <c r="CF15521" s="239"/>
      <c r="CM15521" s="336"/>
    </row>
    <row r="15522" spans="84:91" s="51" customFormat="1">
      <c r="CF15522" s="239"/>
      <c r="CM15522" s="336"/>
    </row>
    <row r="15523" spans="84:91" s="51" customFormat="1">
      <c r="CF15523" s="239"/>
      <c r="CM15523" s="336"/>
    </row>
    <row r="15524" spans="84:91" s="51" customFormat="1">
      <c r="CF15524" s="239"/>
      <c r="CM15524" s="336"/>
    </row>
    <row r="15525" spans="84:91" s="51" customFormat="1">
      <c r="CF15525" s="239"/>
      <c r="CM15525" s="336"/>
    </row>
    <row r="15526" spans="84:91" s="51" customFormat="1">
      <c r="CF15526" s="239"/>
      <c r="CM15526" s="336"/>
    </row>
    <row r="15527" spans="84:91" s="51" customFormat="1">
      <c r="CF15527" s="239"/>
      <c r="CM15527" s="336"/>
    </row>
    <row r="15528" spans="84:91" s="51" customFormat="1">
      <c r="CF15528" s="239"/>
      <c r="CM15528" s="336"/>
    </row>
    <row r="15529" spans="84:91" s="51" customFormat="1">
      <c r="CF15529" s="239"/>
      <c r="CM15529" s="336"/>
    </row>
    <row r="15530" spans="84:91" s="51" customFormat="1">
      <c r="CF15530" s="239"/>
      <c r="CM15530" s="336"/>
    </row>
    <row r="15531" spans="84:91" s="51" customFormat="1">
      <c r="CF15531" s="239"/>
      <c r="CM15531" s="336"/>
    </row>
    <row r="15532" spans="84:91" s="51" customFormat="1">
      <c r="CF15532" s="239"/>
      <c r="CM15532" s="336"/>
    </row>
    <row r="15533" spans="84:91" s="51" customFormat="1">
      <c r="CF15533" s="239"/>
      <c r="CM15533" s="336"/>
    </row>
    <row r="15534" spans="84:91" s="51" customFormat="1">
      <c r="CF15534" s="239"/>
      <c r="CM15534" s="336"/>
    </row>
    <row r="15535" spans="84:91" s="51" customFormat="1">
      <c r="CF15535" s="239"/>
      <c r="CM15535" s="336"/>
    </row>
    <row r="15536" spans="84:91" s="51" customFormat="1">
      <c r="CF15536" s="239"/>
      <c r="CM15536" s="336"/>
    </row>
    <row r="15537" spans="84:91" s="51" customFormat="1">
      <c r="CF15537" s="239"/>
      <c r="CM15537" s="336"/>
    </row>
    <row r="15538" spans="84:91" s="51" customFormat="1">
      <c r="CF15538" s="239"/>
      <c r="CM15538" s="336"/>
    </row>
    <row r="15539" spans="84:91" s="51" customFormat="1">
      <c r="CF15539" s="239"/>
      <c r="CM15539" s="336"/>
    </row>
    <row r="15540" spans="84:91" s="51" customFormat="1">
      <c r="CF15540" s="239"/>
      <c r="CM15540" s="336"/>
    </row>
    <row r="15541" spans="84:91" s="51" customFormat="1">
      <c r="CF15541" s="239"/>
      <c r="CM15541" s="336"/>
    </row>
    <row r="15542" spans="84:91" s="51" customFormat="1">
      <c r="CF15542" s="239"/>
      <c r="CM15542" s="336"/>
    </row>
    <row r="15543" spans="84:91" s="51" customFormat="1">
      <c r="CF15543" s="239"/>
      <c r="CM15543" s="336"/>
    </row>
    <row r="15544" spans="84:91" s="51" customFormat="1">
      <c r="CF15544" s="239"/>
      <c r="CM15544" s="336"/>
    </row>
    <row r="15545" spans="84:91" s="51" customFormat="1">
      <c r="CF15545" s="239"/>
      <c r="CM15545" s="336"/>
    </row>
    <row r="15546" spans="84:91" s="51" customFormat="1">
      <c r="CF15546" s="239"/>
      <c r="CM15546" s="336"/>
    </row>
    <row r="15547" spans="84:91" s="51" customFormat="1">
      <c r="CF15547" s="239"/>
      <c r="CM15547" s="336"/>
    </row>
    <row r="15548" spans="84:91" s="51" customFormat="1">
      <c r="CF15548" s="239"/>
      <c r="CM15548" s="336"/>
    </row>
    <row r="15549" spans="84:91" s="51" customFormat="1">
      <c r="CF15549" s="239"/>
      <c r="CM15549" s="336"/>
    </row>
    <row r="15550" spans="84:91" s="51" customFormat="1">
      <c r="CF15550" s="239"/>
      <c r="CM15550" s="336"/>
    </row>
    <row r="15551" spans="84:91" s="51" customFormat="1">
      <c r="CF15551" s="239"/>
      <c r="CM15551" s="336"/>
    </row>
    <row r="15552" spans="84:91" s="51" customFormat="1">
      <c r="CF15552" s="239"/>
      <c r="CM15552" s="336"/>
    </row>
    <row r="15553" spans="84:91" s="51" customFormat="1">
      <c r="CF15553" s="239"/>
      <c r="CM15553" s="336"/>
    </row>
    <row r="15554" spans="84:91" s="51" customFormat="1">
      <c r="CF15554" s="239"/>
      <c r="CM15554" s="336"/>
    </row>
    <row r="15555" spans="84:91" s="51" customFormat="1">
      <c r="CF15555" s="239"/>
      <c r="CM15555" s="336"/>
    </row>
    <row r="15556" spans="84:91" s="51" customFormat="1">
      <c r="CF15556" s="239"/>
      <c r="CM15556" s="336"/>
    </row>
    <row r="15557" spans="84:91" s="51" customFormat="1">
      <c r="CF15557" s="239"/>
      <c r="CM15557" s="336"/>
    </row>
    <row r="15558" spans="84:91" s="51" customFormat="1">
      <c r="CF15558" s="239"/>
      <c r="CM15558" s="336"/>
    </row>
    <row r="15559" spans="84:91" s="51" customFormat="1">
      <c r="CF15559" s="239"/>
      <c r="CM15559" s="336"/>
    </row>
    <row r="15560" spans="84:91" s="51" customFormat="1">
      <c r="CF15560" s="239"/>
      <c r="CM15560" s="336"/>
    </row>
    <row r="15561" spans="84:91" s="51" customFormat="1">
      <c r="CF15561" s="239"/>
      <c r="CM15561" s="336"/>
    </row>
    <row r="15562" spans="84:91" s="51" customFormat="1">
      <c r="CF15562" s="239"/>
      <c r="CM15562" s="336"/>
    </row>
    <row r="15563" spans="84:91" s="51" customFormat="1">
      <c r="CF15563" s="239"/>
      <c r="CM15563" s="336"/>
    </row>
    <row r="15564" spans="84:91" s="51" customFormat="1">
      <c r="CF15564" s="239"/>
      <c r="CM15564" s="336"/>
    </row>
    <row r="15565" spans="84:91" s="51" customFormat="1">
      <c r="CF15565" s="239"/>
      <c r="CM15565" s="336"/>
    </row>
    <row r="15566" spans="84:91" s="51" customFormat="1">
      <c r="CF15566" s="239"/>
      <c r="CM15566" s="336"/>
    </row>
    <row r="15567" spans="84:91" s="51" customFormat="1">
      <c r="CF15567" s="239"/>
      <c r="CM15567" s="336"/>
    </row>
    <row r="15568" spans="84:91" s="51" customFormat="1">
      <c r="CF15568" s="239"/>
      <c r="CM15568" s="336"/>
    </row>
    <row r="15569" spans="84:91" s="51" customFormat="1">
      <c r="CF15569" s="239"/>
      <c r="CM15569" s="336"/>
    </row>
    <row r="15570" spans="84:91" s="51" customFormat="1">
      <c r="CF15570" s="239"/>
      <c r="CM15570" s="336"/>
    </row>
    <row r="15571" spans="84:91" s="51" customFormat="1">
      <c r="CF15571" s="239"/>
      <c r="CM15571" s="336"/>
    </row>
    <row r="15572" spans="84:91" s="51" customFormat="1">
      <c r="CF15572" s="239"/>
      <c r="CM15572" s="336"/>
    </row>
    <row r="15573" spans="84:91" s="51" customFormat="1">
      <c r="CF15573" s="239"/>
      <c r="CM15573" s="336"/>
    </row>
    <row r="15574" spans="84:91" s="51" customFormat="1">
      <c r="CF15574" s="239"/>
      <c r="CM15574" s="336"/>
    </row>
    <row r="15575" spans="84:91" s="51" customFormat="1">
      <c r="CF15575" s="239"/>
      <c r="CM15575" s="336"/>
    </row>
    <row r="15576" spans="84:91" s="51" customFormat="1">
      <c r="CF15576" s="239"/>
      <c r="CM15576" s="336"/>
    </row>
    <row r="15577" spans="84:91" s="51" customFormat="1">
      <c r="CF15577" s="239"/>
      <c r="CM15577" s="336"/>
    </row>
    <row r="15578" spans="84:91" s="51" customFormat="1">
      <c r="CF15578" s="239"/>
      <c r="CM15578" s="336"/>
    </row>
    <row r="15579" spans="84:91" s="51" customFormat="1">
      <c r="CF15579" s="239"/>
      <c r="CM15579" s="336"/>
    </row>
    <row r="15580" spans="84:91" s="51" customFormat="1">
      <c r="CF15580" s="239"/>
      <c r="CM15580" s="336"/>
    </row>
    <row r="15581" spans="84:91" s="51" customFormat="1">
      <c r="CF15581" s="239"/>
      <c r="CM15581" s="336"/>
    </row>
    <row r="15582" spans="84:91" s="51" customFormat="1">
      <c r="CF15582" s="239"/>
      <c r="CM15582" s="336"/>
    </row>
    <row r="15583" spans="84:91" s="51" customFormat="1">
      <c r="CF15583" s="239"/>
      <c r="CM15583" s="336"/>
    </row>
    <row r="15584" spans="84:91" s="51" customFormat="1">
      <c r="CF15584" s="239"/>
      <c r="CM15584" s="336"/>
    </row>
    <row r="15585" spans="84:91" s="51" customFormat="1">
      <c r="CF15585" s="239"/>
      <c r="CM15585" s="336"/>
    </row>
    <row r="15586" spans="84:91" s="51" customFormat="1">
      <c r="CF15586" s="239"/>
      <c r="CM15586" s="336"/>
    </row>
    <row r="15587" spans="84:91" s="51" customFormat="1">
      <c r="CF15587" s="239"/>
      <c r="CM15587" s="336"/>
    </row>
    <row r="15588" spans="84:91" s="51" customFormat="1">
      <c r="CF15588" s="239"/>
      <c r="CM15588" s="336"/>
    </row>
    <row r="15589" spans="84:91" s="51" customFormat="1">
      <c r="CF15589" s="239"/>
      <c r="CM15589" s="336"/>
    </row>
    <row r="15590" spans="84:91" s="51" customFormat="1">
      <c r="CF15590" s="239"/>
      <c r="CM15590" s="336"/>
    </row>
    <row r="15591" spans="84:91" s="51" customFormat="1">
      <c r="CF15591" s="239"/>
      <c r="CM15591" s="336"/>
    </row>
    <row r="15592" spans="84:91" s="51" customFormat="1">
      <c r="CF15592" s="239"/>
      <c r="CM15592" s="336"/>
    </row>
    <row r="15593" spans="84:91" s="51" customFormat="1">
      <c r="CF15593" s="239"/>
      <c r="CM15593" s="336"/>
    </row>
    <row r="15594" spans="84:91" s="51" customFormat="1">
      <c r="CF15594" s="239"/>
      <c r="CM15594" s="336"/>
    </row>
    <row r="15595" spans="84:91" s="51" customFormat="1">
      <c r="CF15595" s="239"/>
      <c r="CM15595" s="336"/>
    </row>
    <row r="15596" spans="84:91" s="51" customFormat="1">
      <c r="CF15596" s="239"/>
      <c r="CM15596" s="336"/>
    </row>
    <row r="15597" spans="84:91" s="51" customFormat="1">
      <c r="CF15597" s="239"/>
      <c r="CM15597" s="336"/>
    </row>
    <row r="15598" spans="84:91" s="51" customFormat="1">
      <c r="CF15598" s="239"/>
      <c r="CM15598" s="336"/>
    </row>
    <row r="15599" spans="84:91" s="51" customFormat="1">
      <c r="CF15599" s="239"/>
      <c r="CM15599" s="336"/>
    </row>
    <row r="15600" spans="84:91" s="51" customFormat="1">
      <c r="CF15600" s="239"/>
      <c r="CM15600" s="336"/>
    </row>
    <row r="15601" spans="84:91" s="51" customFormat="1">
      <c r="CF15601" s="239"/>
      <c r="CM15601" s="336"/>
    </row>
    <row r="15602" spans="84:91" s="51" customFormat="1">
      <c r="CF15602" s="239"/>
      <c r="CM15602" s="336"/>
    </row>
    <row r="15603" spans="84:91" s="51" customFormat="1">
      <c r="CF15603" s="239"/>
      <c r="CM15603" s="336"/>
    </row>
    <row r="15604" spans="84:91" s="51" customFormat="1">
      <c r="CF15604" s="239"/>
      <c r="CM15604" s="336"/>
    </row>
    <row r="15605" spans="84:91" s="51" customFormat="1">
      <c r="CF15605" s="239"/>
      <c r="CM15605" s="336"/>
    </row>
    <row r="15606" spans="84:91" s="51" customFormat="1">
      <c r="CF15606" s="239"/>
      <c r="CM15606" s="336"/>
    </row>
    <row r="15607" spans="84:91" s="51" customFormat="1">
      <c r="CF15607" s="239"/>
      <c r="CM15607" s="336"/>
    </row>
    <row r="15608" spans="84:91" s="51" customFormat="1">
      <c r="CF15608" s="239"/>
      <c r="CM15608" s="336"/>
    </row>
    <row r="15609" spans="84:91" s="51" customFormat="1">
      <c r="CF15609" s="239"/>
      <c r="CM15609" s="336"/>
    </row>
    <row r="15610" spans="84:91" s="51" customFormat="1">
      <c r="CF15610" s="239"/>
      <c r="CM15610" s="336"/>
    </row>
    <row r="15611" spans="84:91" s="51" customFormat="1">
      <c r="CF15611" s="239"/>
      <c r="CM15611" s="336"/>
    </row>
    <row r="15612" spans="84:91" s="51" customFormat="1">
      <c r="CF15612" s="239"/>
      <c r="CM15612" s="336"/>
    </row>
    <row r="15613" spans="84:91" s="51" customFormat="1">
      <c r="CF15613" s="239"/>
      <c r="CM15613" s="336"/>
    </row>
    <row r="15614" spans="84:91" s="51" customFormat="1">
      <c r="CF15614" s="239"/>
      <c r="CM15614" s="336"/>
    </row>
    <row r="15615" spans="84:91" s="51" customFormat="1">
      <c r="CF15615" s="239"/>
      <c r="CM15615" s="336"/>
    </row>
    <row r="15616" spans="84:91" s="51" customFormat="1">
      <c r="CF15616" s="239"/>
      <c r="CM15616" s="336"/>
    </row>
    <row r="15617" spans="84:91" s="51" customFormat="1">
      <c r="CF15617" s="239"/>
      <c r="CM15617" s="336"/>
    </row>
    <row r="15618" spans="84:91" s="51" customFormat="1">
      <c r="CF15618" s="239"/>
      <c r="CM15618" s="336"/>
    </row>
    <row r="15619" spans="84:91" s="51" customFormat="1">
      <c r="CF15619" s="239"/>
      <c r="CM15619" s="336"/>
    </row>
    <row r="15620" spans="84:91" s="51" customFormat="1">
      <c r="CF15620" s="239"/>
      <c r="CM15620" s="336"/>
    </row>
    <row r="15621" spans="84:91" s="51" customFormat="1">
      <c r="CF15621" s="239"/>
      <c r="CM15621" s="336"/>
    </row>
    <row r="15622" spans="84:91" s="51" customFormat="1">
      <c r="CF15622" s="239"/>
      <c r="CM15622" s="336"/>
    </row>
    <row r="15623" spans="84:91" s="51" customFormat="1">
      <c r="CF15623" s="239"/>
      <c r="CM15623" s="336"/>
    </row>
    <row r="15624" spans="84:91" s="51" customFormat="1">
      <c r="CF15624" s="239"/>
      <c r="CM15624" s="336"/>
    </row>
    <row r="15625" spans="84:91" s="51" customFormat="1">
      <c r="CF15625" s="239"/>
      <c r="CM15625" s="336"/>
    </row>
    <row r="15626" spans="84:91" s="51" customFormat="1">
      <c r="CF15626" s="239"/>
      <c r="CM15626" s="336"/>
    </row>
    <row r="15627" spans="84:91" s="51" customFormat="1">
      <c r="CF15627" s="239"/>
      <c r="CM15627" s="336"/>
    </row>
    <row r="15628" spans="84:91" s="51" customFormat="1">
      <c r="CF15628" s="239"/>
      <c r="CM15628" s="336"/>
    </row>
    <row r="15629" spans="84:91" s="51" customFormat="1">
      <c r="CF15629" s="239"/>
      <c r="CM15629" s="336"/>
    </row>
    <row r="15630" spans="84:91" s="51" customFormat="1">
      <c r="CF15630" s="239"/>
      <c r="CM15630" s="336"/>
    </row>
    <row r="15631" spans="84:91" s="51" customFormat="1">
      <c r="CF15631" s="239"/>
      <c r="CM15631" s="336"/>
    </row>
    <row r="15632" spans="84:91" s="51" customFormat="1">
      <c r="CF15632" s="239"/>
      <c r="CM15632" s="336"/>
    </row>
    <row r="15633" spans="84:91" s="51" customFormat="1">
      <c r="CF15633" s="239"/>
      <c r="CM15633" s="336"/>
    </row>
    <row r="15634" spans="84:91" s="51" customFormat="1">
      <c r="CF15634" s="239"/>
      <c r="CM15634" s="336"/>
    </row>
    <row r="15635" spans="84:91" s="51" customFormat="1">
      <c r="CF15635" s="239"/>
      <c r="CM15635" s="336"/>
    </row>
    <row r="15636" spans="84:91" s="51" customFormat="1">
      <c r="CF15636" s="239"/>
      <c r="CM15636" s="336"/>
    </row>
    <row r="15637" spans="84:91" s="51" customFormat="1">
      <c r="CF15637" s="239"/>
      <c r="CM15637" s="336"/>
    </row>
    <row r="15638" spans="84:91" s="51" customFormat="1">
      <c r="CF15638" s="239"/>
      <c r="CM15638" s="336"/>
    </row>
    <row r="15639" spans="84:91" s="51" customFormat="1">
      <c r="CF15639" s="239"/>
      <c r="CM15639" s="336"/>
    </row>
    <row r="15640" spans="84:91" s="51" customFormat="1">
      <c r="CF15640" s="239"/>
      <c r="CM15640" s="336"/>
    </row>
    <row r="15641" spans="84:91" s="51" customFormat="1">
      <c r="CF15641" s="239"/>
      <c r="CM15641" s="336"/>
    </row>
    <row r="15642" spans="84:91" s="51" customFormat="1">
      <c r="CF15642" s="239"/>
      <c r="CM15642" s="336"/>
    </row>
    <row r="15643" spans="84:91" s="51" customFormat="1">
      <c r="CF15643" s="239"/>
      <c r="CM15643" s="336"/>
    </row>
    <row r="15644" spans="84:91" s="51" customFormat="1">
      <c r="CF15644" s="239"/>
      <c r="CM15644" s="336"/>
    </row>
    <row r="15645" spans="84:91" s="51" customFormat="1">
      <c r="CF15645" s="239"/>
      <c r="CM15645" s="336"/>
    </row>
    <row r="15646" spans="84:91" s="51" customFormat="1">
      <c r="CF15646" s="239"/>
      <c r="CM15646" s="336"/>
    </row>
    <row r="15647" spans="84:91" s="51" customFormat="1">
      <c r="CF15647" s="239"/>
      <c r="CM15647" s="336"/>
    </row>
    <row r="15648" spans="84:91" s="51" customFormat="1">
      <c r="CF15648" s="239"/>
      <c r="CM15648" s="336"/>
    </row>
    <row r="15649" spans="84:91" s="51" customFormat="1">
      <c r="CF15649" s="239"/>
      <c r="CM15649" s="336"/>
    </row>
    <row r="15650" spans="84:91" s="51" customFormat="1">
      <c r="CF15650" s="239"/>
      <c r="CM15650" s="336"/>
    </row>
    <row r="15651" spans="84:91" s="51" customFormat="1">
      <c r="CF15651" s="239"/>
      <c r="CM15651" s="336"/>
    </row>
    <row r="15652" spans="84:91" s="51" customFormat="1">
      <c r="CF15652" s="239"/>
      <c r="CM15652" s="336"/>
    </row>
    <row r="15653" spans="84:91" s="51" customFormat="1">
      <c r="CF15653" s="239"/>
      <c r="CM15653" s="336"/>
    </row>
    <row r="15654" spans="84:91" s="51" customFormat="1">
      <c r="CF15654" s="239"/>
      <c r="CM15654" s="336"/>
    </row>
    <row r="15655" spans="84:91" s="51" customFormat="1">
      <c r="CF15655" s="239"/>
      <c r="CM15655" s="336"/>
    </row>
    <row r="15656" spans="84:91" s="51" customFormat="1">
      <c r="CF15656" s="239"/>
      <c r="CM15656" s="336"/>
    </row>
    <row r="15657" spans="84:91" s="51" customFormat="1">
      <c r="CF15657" s="239"/>
      <c r="CM15657" s="336"/>
    </row>
    <row r="15658" spans="84:91" s="51" customFormat="1">
      <c r="CF15658" s="239"/>
      <c r="CM15658" s="336"/>
    </row>
    <row r="15659" spans="84:91" s="51" customFormat="1">
      <c r="CF15659" s="239"/>
      <c r="CM15659" s="336"/>
    </row>
    <row r="15660" spans="84:91" s="51" customFormat="1">
      <c r="CF15660" s="239"/>
      <c r="CM15660" s="336"/>
    </row>
    <row r="15661" spans="84:91" s="51" customFormat="1">
      <c r="CF15661" s="239"/>
      <c r="CM15661" s="336"/>
    </row>
    <row r="15662" spans="84:91" s="51" customFormat="1">
      <c r="CF15662" s="239"/>
      <c r="CM15662" s="336"/>
    </row>
    <row r="15663" spans="84:91" s="51" customFormat="1">
      <c r="CF15663" s="239"/>
      <c r="CM15663" s="336"/>
    </row>
    <row r="15664" spans="84:91" s="51" customFormat="1">
      <c r="CF15664" s="239"/>
      <c r="CM15664" s="336"/>
    </row>
    <row r="15665" spans="84:91" s="51" customFormat="1">
      <c r="CF15665" s="239"/>
      <c r="CM15665" s="336"/>
    </row>
    <row r="15666" spans="84:91" s="51" customFormat="1">
      <c r="CF15666" s="239"/>
      <c r="CM15666" s="336"/>
    </row>
    <row r="15667" spans="84:91" s="51" customFormat="1">
      <c r="CF15667" s="239"/>
      <c r="CM15667" s="336"/>
    </row>
    <row r="15668" spans="84:91" s="51" customFormat="1">
      <c r="CF15668" s="239"/>
      <c r="CM15668" s="336"/>
    </row>
    <row r="15669" spans="84:91" s="51" customFormat="1">
      <c r="CF15669" s="239"/>
      <c r="CM15669" s="336"/>
    </row>
    <row r="15670" spans="84:91" s="51" customFormat="1">
      <c r="CF15670" s="239"/>
      <c r="CM15670" s="336"/>
    </row>
    <row r="15671" spans="84:91" s="51" customFormat="1">
      <c r="CF15671" s="239"/>
      <c r="CM15671" s="336"/>
    </row>
    <row r="15672" spans="84:91" s="51" customFormat="1">
      <c r="CF15672" s="239"/>
      <c r="CM15672" s="336"/>
    </row>
    <row r="15673" spans="84:91" s="51" customFormat="1">
      <c r="CF15673" s="239"/>
      <c r="CM15673" s="336"/>
    </row>
    <row r="15674" spans="84:91" s="51" customFormat="1">
      <c r="CF15674" s="239"/>
      <c r="CM15674" s="336"/>
    </row>
    <row r="15675" spans="84:91" s="51" customFormat="1">
      <c r="CF15675" s="239"/>
      <c r="CM15675" s="336"/>
    </row>
    <row r="15676" spans="84:91" s="51" customFormat="1">
      <c r="CF15676" s="239"/>
      <c r="CM15676" s="336"/>
    </row>
    <row r="15677" spans="84:91" s="51" customFormat="1">
      <c r="CF15677" s="239"/>
      <c r="CM15677" s="336"/>
    </row>
    <row r="15678" spans="84:91" s="51" customFormat="1">
      <c r="CF15678" s="239"/>
      <c r="CM15678" s="336"/>
    </row>
    <row r="15679" spans="84:91" s="51" customFormat="1">
      <c r="CF15679" s="239"/>
      <c r="CM15679" s="336"/>
    </row>
    <row r="15680" spans="84:91" s="51" customFormat="1">
      <c r="CF15680" s="239"/>
      <c r="CM15680" s="336"/>
    </row>
    <row r="15681" spans="84:91" s="51" customFormat="1">
      <c r="CF15681" s="239"/>
      <c r="CM15681" s="336"/>
    </row>
    <row r="15682" spans="84:91" s="51" customFormat="1">
      <c r="CF15682" s="239"/>
      <c r="CM15682" s="336"/>
    </row>
    <row r="15683" spans="84:91" s="51" customFormat="1">
      <c r="CF15683" s="239"/>
      <c r="CM15683" s="336"/>
    </row>
    <row r="15684" spans="84:91" s="51" customFormat="1">
      <c r="CF15684" s="239"/>
      <c r="CM15684" s="336"/>
    </row>
    <row r="15685" spans="84:91" s="51" customFormat="1">
      <c r="CF15685" s="239"/>
      <c r="CM15685" s="336"/>
    </row>
    <row r="15686" spans="84:91" s="51" customFormat="1">
      <c r="CF15686" s="239"/>
      <c r="CM15686" s="336"/>
    </row>
    <row r="15687" spans="84:91" s="51" customFormat="1">
      <c r="CF15687" s="239"/>
      <c r="CM15687" s="336"/>
    </row>
    <row r="15688" spans="84:91" s="51" customFormat="1">
      <c r="CF15688" s="239"/>
      <c r="CM15688" s="336"/>
    </row>
    <row r="15689" spans="84:91" s="51" customFormat="1">
      <c r="CF15689" s="239"/>
      <c r="CM15689" s="336"/>
    </row>
    <row r="15690" spans="84:91" s="51" customFormat="1">
      <c r="CF15690" s="239"/>
      <c r="CM15690" s="336"/>
    </row>
    <row r="15691" spans="84:91" s="51" customFormat="1">
      <c r="CF15691" s="239"/>
      <c r="CM15691" s="336"/>
    </row>
    <row r="15692" spans="84:91" s="51" customFormat="1">
      <c r="CF15692" s="239"/>
      <c r="CM15692" s="336"/>
    </row>
    <row r="15693" spans="84:91" s="51" customFormat="1">
      <c r="CF15693" s="239"/>
      <c r="CM15693" s="336"/>
    </row>
    <row r="15694" spans="84:91" s="51" customFormat="1">
      <c r="CF15694" s="239"/>
      <c r="CM15694" s="336"/>
    </row>
    <row r="15695" spans="84:91" s="51" customFormat="1">
      <c r="CF15695" s="239"/>
      <c r="CM15695" s="336"/>
    </row>
    <row r="15696" spans="84:91" s="51" customFormat="1">
      <c r="CF15696" s="239"/>
      <c r="CM15696" s="336"/>
    </row>
    <row r="15697" spans="84:91" s="51" customFormat="1">
      <c r="CF15697" s="239"/>
      <c r="CM15697" s="336"/>
    </row>
    <row r="15698" spans="84:91" s="51" customFormat="1">
      <c r="CF15698" s="239"/>
      <c r="CM15698" s="336"/>
    </row>
    <row r="15699" spans="84:91" s="51" customFormat="1">
      <c r="CF15699" s="239"/>
      <c r="CM15699" s="336"/>
    </row>
    <row r="15700" spans="84:91" s="51" customFormat="1">
      <c r="CF15700" s="239"/>
      <c r="CM15700" s="336"/>
    </row>
    <row r="15701" spans="84:91" s="51" customFormat="1">
      <c r="CF15701" s="239"/>
      <c r="CM15701" s="336"/>
    </row>
    <row r="15702" spans="84:91" s="51" customFormat="1">
      <c r="CF15702" s="239"/>
      <c r="CM15702" s="336"/>
    </row>
    <row r="15703" spans="84:91" s="51" customFormat="1">
      <c r="CF15703" s="239"/>
      <c r="CM15703" s="336"/>
    </row>
    <row r="15704" spans="84:91" s="51" customFormat="1">
      <c r="CF15704" s="239"/>
      <c r="CM15704" s="336"/>
    </row>
    <row r="15705" spans="84:91" s="51" customFormat="1">
      <c r="CF15705" s="239"/>
      <c r="CM15705" s="336"/>
    </row>
    <row r="15706" spans="84:91" s="51" customFormat="1">
      <c r="CF15706" s="239"/>
      <c r="CM15706" s="336"/>
    </row>
    <row r="15707" spans="84:91" s="51" customFormat="1">
      <c r="CF15707" s="239"/>
      <c r="CM15707" s="336"/>
    </row>
    <row r="15708" spans="84:91" s="51" customFormat="1">
      <c r="CF15708" s="239"/>
      <c r="CM15708" s="336"/>
    </row>
    <row r="15709" spans="84:91" s="51" customFormat="1">
      <c r="CF15709" s="239"/>
      <c r="CM15709" s="336"/>
    </row>
    <row r="15710" spans="84:91" s="51" customFormat="1">
      <c r="CF15710" s="239"/>
      <c r="CM15710" s="336"/>
    </row>
    <row r="15711" spans="84:91" s="51" customFormat="1">
      <c r="CF15711" s="239"/>
      <c r="CM15711" s="336"/>
    </row>
    <row r="15712" spans="84:91" s="51" customFormat="1">
      <c r="CF15712" s="239"/>
      <c r="CM15712" s="336"/>
    </row>
    <row r="15713" spans="84:91" s="51" customFormat="1">
      <c r="CF15713" s="239"/>
      <c r="CM15713" s="336"/>
    </row>
    <row r="15714" spans="84:91" s="51" customFormat="1">
      <c r="CF15714" s="239"/>
      <c r="CM15714" s="336"/>
    </row>
    <row r="15715" spans="84:91" s="51" customFormat="1">
      <c r="CF15715" s="239"/>
      <c r="CM15715" s="336"/>
    </row>
    <row r="15716" spans="84:91" s="51" customFormat="1">
      <c r="CF15716" s="239"/>
      <c r="CM15716" s="336"/>
    </row>
    <row r="15717" spans="84:91" s="51" customFormat="1">
      <c r="CF15717" s="239"/>
      <c r="CM15717" s="336"/>
    </row>
    <row r="15718" spans="84:91" s="51" customFormat="1">
      <c r="CF15718" s="239"/>
      <c r="CM15718" s="336"/>
    </row>
    <row r="15719" spans="84:91" s="51" customFormat="1">
      <c r="CF15719" s="239"/>
      <c r="CM15719" s="336"/>
    </row>
    <row r="15720" spans="84:91" s="51" customFormat="1">
      <c r="CF15720" s="239"/>
      <c r="CM15720" s="336"/>
    </row>
    <row r="15721" spans="84:91" s="51" customFormat="1">
      <c r="CF15721" s="239"/>
      <c r="CM15721" s="336"/>
    </row>
    <row r="15722" spans="84:91" s="51" customFormat="1">
      <c r="CF15722" s="239"/>
      <c r="CM15722" s="336"/>
    </row>
    <row r="15723" spans="84:91" s="51" customFormat="1">
      <c r="CF15723" s="239"/>
      <c r="CM15723" s="336"/>
    </row>
    <row r="15724" spans="84:91" s="51" customFormat="1">
      <c r="CF15724" s="239"/>
      <c r="CM15724" s="336"/>
    </row>
    <row r="15725" spans="84:91" s="51" customFormat="1">
      <c r="CF15725" s="239"/>
      <c r="CM15725" s="336"/>
    </row>
    <row r="15726" spans="84:91" s="51" customFormat="1">
      <c r="CF15726" s="239"/>
      <c r="CM15726" s="336"/>
    </row>
    <row r="15727" spans="84:91" s="51" customFormat="1">
      <c r="CF15727" s="239"/>
      <c r="CM15727" s="336"/>
    </row>
    <row r="15728" spans="84:91" s="51" customFormat="1">
      <c r="CF15728" s="239"/>
      <c r="CM15728" s="336"/>
    </row>
    <row r="15729" spans="84:91" s="51" customFormat="1">
      <c r="CF15729" s="239"/>
      <c r="CM15729" s="336"/>
    </row>
    <row r="15730" spans="84:91" s="51" customFormat="1">
      <c r="CF15730" s="239"/>
      <c r="CM15730" s="336"/>
    </row>
    <row r="15731" spans="84:91" s="51" customFormat="1">
      <c r="CF15731" s="239"/>
      <c r="CM15731" s="336"/>
    </row>
    <row r="15732" spans="84:91" s="51" customFormat="1">
      <c r="CF15732" s="239"/>
      <c r="CM15732" s="336"/>
    </row>
    <row r="15733" spans="84:91" s="51" customFormat="1">
      <c r="CF15733" s="239"/>
      <c r="CM15733" s="336"/>
    </row>
    <row r="15734" spans="84:91" s="51" customFormat="1">
      <c r="CF15734" s="239"/>
      <c r="CM15734" s="336"/>
    </row>
    <row r="15735" spans="84:91" s="51" customFormat="1">
      <c r="CF15735" s="239"/>
      <c r="CM15735" s="336"/>
    </row>
    <row r="15736" spans="84:91" s="51" customFormat="1">
      <c r="CF15736" s="239"/>
      <c r="CM15736" s="336"/>
    </row>
    <row r="15737" spans="84:91" s="51" customFormat="1">
      <c r="CF15737" s="239"/>
      <c r="CM15737" s="336"/>
    </row>
    <row r="15738" spans="84:91" s="51" customFormat="1">
      <c r="CF15738" s="239"/>
      <c r="CM15738" s="336"/>
    </row>
    <row r="15739" spans="84:91" s="51" customFormat="1">
      <c r="CF15739" s="239"/>
      <c r="CM15739" s="336"/>
    </row>
    <row r="15740" spans="84:91" s="51" customFormat="1">
      <c r="CF15740" s="239"/>
      <c r="CM15740" s="336"/>
    </row>
    <row r="15741" spans="84:91" s="51" customFormat="1">
      <c r="CF15741" s="239"/>
      <c r="CM15741" s="336"/>
    </row>
    <row r="15742" spans="84:91" s="51" customFormat="1">
      <c r="CF15742" s="239"/>
      <c r="CM15742" s="336"/>
    </row>
    <row r="15743" spans="84:91" s="51" customFormat="1">
      <c r="CF15743" s="239"/>
      <c r="CM15743" s="336"/>
    </row>
    <row r="15744" spans="84:91" s="51" customFormat="1">
      <c r="CF15744" s="239"/>
      <c r="CM15744" s="336"/>
    </row>
    <row r="15745" spans="84:91" s="51" customFormat="1">
      <c r="CF15745" s="239"/>
      <c r="CM15745" s="336"/>
    </row>
    <row r="15746" spans="84:91" s="51" customFormat="1">
      <c r="CF15746" s="239"/>
      <c r="CM15746" s="336"/>
    </row>
    <row r="15747" spans="84:91" s="51" customFormat="1">
      <c r="CF15747" s="239"/>
      <c r="CM15747" s="336"/>
    </row>
    <row r="15748" spans="84:91" s="51" customFormat="1">
      <c r="CF15748" s="239"/>
      <c r="CM15748" s="336"/>
    </row>
    <row r="15749" spans="84:91" s="51" customFormat="1">
      <c r="CF15749" s="239"/>
      <c r="CM15749" s="336"/>
    </row>
    <row r="15750" spans="84:91" s="51" customFormat="1">
      <c r="CF15750" s="239"/>
      <c r="CM15750" s="336"/>
    </row>
    <row r="15751" spans="84:91" s="51" customFormat="1">
      <c r="CF15751" s="239"/>
      <c r="CM15751" s="336"/>
    </row>
    <row r="15752" spans="84:91" s="51" customFormat="1">
      <c r="CF15752" s="239"/>
      <c r="CM15752" s="336"/>
    </row>
    <row r="15753" spans="84:91" s="51" customFormat="1">
      <c r="CF15753" s="239"/>
      <c r="CM15753" s="336"/>
    </row>
    <row r="15754" spans="84:91" s="51" customFormat="1">
      <c r="CF15754" s="239"/>
      <c r="CM15754" s="336"/>
    </row>
    <row r="15755" spans="84:91" s="51" customFormat="1">
      <c r="CF15755" s="239"/>
      <c r="CM15755" s="336"/>
    </row>
    <row r="15756" spans="84:91" s="51" customFormat="1">
      <c r="CF15756" s="239"/>
      <c r="CM15756" s="336"/>
    </row>
    <row r="15757" spans="84:91" s="51" customFormat="1">
      <c r="CF15757" s="239"/>
      <c r="CM15757" s="336"/>
    </row>
    <row r="15758" spans="84:91" s="51" customFormat="1">
      <c r="CF15758" s="239"/>
      <c r="CM15758" s="336"/>
    </row>
    <row r="15759" spans="84:91" s="51" customFormat="1">
      <c r="CF15759" s="239"/>
      <c r="CM15759" s="336"/>
    </row>
    <row r="15760" spans="84:91" s="51" customFormat="1">
      <c r="CF15760" s="239"/>
      <c r="CM15760" s="336"/>
    </row>
    <row r="15761" spans="84:91" s="51" customFormat="1">
      <c r="CF15761" s="239"/>
      <c r="CM15761" s="336"/>
    </row>
    <row r="15762" spans="84:91" s="51" customFormat="1">
      <c r="CF15762" s="239"/>
      <c r="CM15762" s="336"/>
    </row>
    <row r="15763" spans="84:91" s="51" customFormat="1">
      <c r="CF15763" s="239"/>
      <c r="CM15763" s="336"/>
    </row>
    <row r="15764" spans="84:91" s="51" customFormat="1">
      <c r="CF15764" s="239"/>
      <c r="CM15764" s="336"/>
    </row>
    <row r="15765" spans="84:91" s="51" customFormat="1">
      <c r="CF15765" s="239"/>
      <c r="CM15765" s="336"/>
    </row>
    <row r="15766" spans="84:91" s="51" customFormat="1">
      <c r="CF15766" s="239"/>
      <c r="CM15766" s="336"/>
    </row>
    <row r="15767" spans="84:91" s="51" customFormat="1">
      <c r="CF15767" s="239"/>
      <c r="CM15767" s="336"/>
    </row>
    <row r="15768" spans="84:91" s="51" customFormat="1">
      <c r="CF15768" s="239"/>
      <c r="CM15768" s="336"/>
    </row>
    <row r="15769" spans="84:91" s="51" customFormat="1">
      <c r="CF15769" s="239"/>
      <c r="CM15769" s="336"/>
    </row>
    <row r="15770" spans="84:91" s="51" customFormat="1">
      <c r="CF15770" s="239"/>
      <c r="CM15770" s="336"/>
    </row>
    <row r="15771" spans="84:91" s="51" customFormat="1">
      <c r="CF15771" s="239"/>
      <c r="CM15771" s="336"/>
    </row>
    <row r="15772" spans="84:91" s="51" customFormat="1">
      <c r="CF15772" s="239"/>
      <c r="CM15772" s="336"/>
    </row>
    <row r="15773" spans="84:91" s="51" customFormat="1">
      <c r="CF15773" s="239"/>
      <c r="CM15773" s="336"/>
    </row>
    <row r="15774" spans="84:91" s="51" customFormat="1">
      <c r="CF15774" s="239"/>
      <c r="CM15774" s="336"/>
    </row>
    <row r="15775" spans="84:91" s="51" customFormat="1">
      <c r="CF15775" s="239"/>
      <c r="CM15775" s="336"/>
    </row>
    <row r="15776" spans="84:91" s="51" customFormat="1">
      <c r="CF15776" s="239"/>
      <c r="CM15776" s="336"/>
    </row>
    <row r="15777" spans="84:91" s="51" customFormat="1">
      <c r="CF15777" s="239"/>
      <c r="CM15777" s="336"/>
    </row>
    <row r="15778" spans="84:91" s="51" customFormat="1">
      <c r="CF15778" s="239"/>
      <c r="CM15778" s="336"/>
    </row>
    <row r="15779" spans="84:91" s="51" customFormat="1">
      <c r="CF15779" s="239"/>
      <c r="CM15779" s="336"/>
    </row>
    <row r="15780" spans="84:91" s="51" customFormat="1">
      <c r="CF15780" s="239"/>
      <c r="CM15780" s="336"/>
    </row>
    <row r="15781" spans="84:91" s="51" customFormat="1">
      <c r="CF15781" s="239"/>
      <c r="CM15781" s="336"/>
    </row>
    <row r="15782" spans="84:91" s="51" customFormat="1">
      <c r="CF15782" s="239"/>
      <c r="CM15782" s="336"/>
    </row>
    <row r="15783" spans="84:91" s="51" customFormat="1">
      <c r="CF15783" s="239"/>
      <c r="CM15783" s="336"/>
    </row>
    <row r="15784" spans="84:91" s="51" customFormat="1">
      <c r="CF15784" s="239"/>
      <c r="CM15784" s="336"/>
    </row>
    <row r="15785" spans="84:91" s="51" customFormat="1">
      <c r="CF15785" s="239"/>
      <c r="CM15785" s="336"/>
    </row>
    <row r="15786" spans="84:91" s="51" customFormat="1">
      <c r="CF15786" s="239"/>
      <c r="CM15786" s="336"/>
    </row>
    <row r="15787" spans="84:91" s="51" customFormat="1">
      <c r="CF15787" s="239"/>
      <c r="CM15787" s="336"/>
    </row>
    <row r="15788" spans="84:91" s="51" customFormat="1">
      <c r="CF15788" s="239"/>
      <c r="CM15788" s="336"/>
    </row>
    <row r="15789" spans="84:91" s="51" customFormat="1">
      <c r="CF15789" s="239"/>
      <c r="CM15789" s="336"/>
    </row>
    <row r="15790" spans="84:91" s="51" customFormat="1">
      <c r="CF15790" s="239"/>
      <c r="CM15790" s="336"/>
    </row>
    <row r="15791" spans="84:91" s="51" customFormat="1">
      <c r="CF15791" s="239"/>
      <c r="CM15791" s="336"/>
    </row>
    <row r="15792" spans="84:91" s="51" customFormat="1">
      <c r="CF15792" s="239"/>
      <c r="CM15792" s="336"/>
    </row>
    <row r="15793" spans="84:91" s="51" customFormat="1">
      <c r="CF15793" s="239"/>
      <c r="CM15793" s="336"/>
    </row>
    <row r="15794" spans="84:91" s="51" customFormat="1">
      <c r="CF15794" s="239"/>
      <c r="CM15794" s="336"/>
    </row>
    <row r="15795" spans="84:91" s="51" customFormat="1">
      <c r="CF15795" s="239"/>
      <c r="CM15795" s="336"/>
    </row>
    <row r="15796" spans="84:91" s="51" customFormat="1">
      <c r="CF15796" s="239"/>
      <c r="CM15796" s="336"/>
    </row>
    <row r="15797" spans="84:91" s="51" customFormat="1">
      <c r="CF15797" s="239"/>
      <c r="CM15797" s="336"/>
    </row>
    <row r="15798" spans="84:91" s="51" customFormat="1">
      <c r="CF15798" s="239"/>
      <c r="CM15798" s="336"/>
    </row>
    <row r="15799" spans="84:91" s="51" customFormat="1">
      <c r="CF15799" s="239"/>
      <c r="CM15799" s="336"/>
    </row>
    <row r="15800" spans="84:91" s="51" customFormat="1">
      <c r="CF15800" s="239"/>
      <c r="CM15800" s="336"/>
    </row>
    <row r="15801" spans="84:91" s="51" customFormat="1">
      <c r="CF15801" s="239"/>
      <c r="CM15801" s="336"/>
    </row>
    <row r="15802" spans="84:91" s="51" customFormat="1">
      <c r="CF15802" s="239"/>
      <c r="CM15802" s="336"/>
    </row>
    <row r="15803" spans="84:91" s="51" customFormat="1">
      <c r="CF15803" s="239"/>
      <c r="CM15803" s="336"/>
    </row>
    <row r="15804" spans="84:91" s="51" customFormat="1">
      <c r="CF15804" s="239"/>
      <c r="CM15804" s="336"/>
    </row>
    <row r="15805" spans="84:91" s="51" customFormat="1">
      <c r="CF15805" s="239"/>
      <c r="CM15805" s="336"/>
    </row>
    <row r="15806" spans="84:91" s="51" customFormat="1">
      <c r="CF15806" s="239"/>
      <c r="CM15806" s="336"/>
    </row>
    <row r="15807" spans="84:91" s="51" customFormat="1">
      <c r="CF15807" s="239"/>
      <c r="CM15807" s="336"/>
    </row>
    <row r="15808" spans="84:91" s="51" customFormat="1">
      <c r="CF15808" s="239"/>
      <c r="CM15808" s="336"/>
    </row>
    <row r="15809" spans="84:91" s="51" customFormat="1">
      <c r="CF15809" s="239"/>
      <c r="CM15809" s="336"/>
    </row>
    <row r="15810" spans="84:91" s="51" customFormat="1">
      <c r="CF15810" s="239"/>
      <c r="CM15810" s="336"/>
    </row>
    <row r="15811" spans="84:91" s="51" customFormat="1">
      <c r="CF15811" s="239"/>
      <c r="CM15811" s="336"/>
    </row>
    <row r="15812" spans="84:91" s="51" customFormat="1">
      <c r="CF15812" s="239"/>
      <c r="CM15812" s="336"/>
    </row>
    <row r="15813" spans="84:91" s="51" customFormat="1">
      <c r="CF15813" s="239"/>
      <c r="CM15813" s="336"/>
    </row>
    <row r="15814" spans="84:91" s="51" customFormat="1">
      <c r="CF15814" s="239"/>
      <c r="CM15814" s="336"/>
    </row>
    <row r="15815" spans="84:91" s="51" customFormat="1">
      <c r="CF15815" s="239"/>
      <c r="CM15815" s="336"/>
    </row>
    <row r="15816" spans="84:91" s="51" customFormat="1">
      <c r="CF15816" s="239"/>
      <c r="CM15816" s="336"/>
    </row>
    <row r="15817" spans="84:91" s="51" customFormat="1">
      <c r="CF15817" s="239"/>
      <c r="CM15817" s="336"/>
    </row>
    <row r="15818" spans="84:91" s="51" customFormat="1">
      <c r="CF15818" s="239"/>
      <c r="CM15818" s="336"/>
    </row>
    <row r="15819" spans="84:91" s="51" customFormat="1">
      <c r="CF15819" s="239"/>
      <c r="CM15819" s="336"/>
    </row>
    <row r="15820" spans="84:91" s="51" customFormat="1">
      <c r="CF15820" s="239"/>
      <c r="CM15820" s="336"/>
    </row>
    <row r="15821" spans="84:91" s="51" customFormat="1">
      <c r="CF15821" s="239"/>
      <c r="CM15821" s="336"/>
    </row>
    <row r="15822" spans="84:91" s="51" customFormat="1">
      <c r="CF15822" s="239"/>
      <c r="CM15822" s="336"/>
    </row>
    <row r="15823" spans="84:91" s="51" customFormat="1">
      <c r="CF15823" s="239"/>
      <c r="CM15823" s="336"/>
    </row>
    <row r="15824" spans="84:91" s="51" customFormat="1">
      <c r="CF15824" s="239"/>
      <c r="CM15824" s="336"/>
    </row>
    <row r="15825" spans="84:91" s="51" customFormat="1">
      <c r="CF15825" s="239"/>
      <c r="CM15825" s="336"/>
    </row>
    <row r="15826" spans="84:91" s="51" customFormat="1">
      <c r="CF15826" s="239"/>
      <c r="CM15826" s="336"/>
    </row>
    <row r="15827" spans="84:91" s="51" customFormat="1">
      <c r="CF15827" s="239"/>
      <c r="CM15827" s="336"/>
    </row>
    <row r="15828" spans="84:91" s="51" customFormat="1">
      <c r="CF15828" s="239"/>
      <c r="CM15828" s="336"/>
    </row>
    <row r="15829" spans="84:91" s="51" customFormat="1">
      <c r="CF15829" s="239"/>
      <c r="CM15829" s="336"/>
    </row>
    <row r="15830" spans="84:91" s="51" customFormat="1">
      <c r="CF15830" s="239"/>
      <c r="CM15830" s="336"/>
    </row>
    <row r="15831" spans="84:91" s="51" customFormat="1">
      <c r="CF15831" s="239"/>
      <c r="CM15831" s="336"/>
    </row>
    <row r="15832" spans="84:91" s="51" customFormat="1">
      <c r="CF15832" s="239"/>
      <c r="CM15832" s="336"/>
    </row>
    <row r="15833" spans="84:91" s="51" customFormat="1">
      <c r="CF15833" s="239"/>
      <c r="CM15833" s="336"/>
    </row>
    <row r="15834" spans="84:91" s="51" customFormat="1">
      <c r="CF15834" s="239"/>
      <c r="CM15834" s="336"/>
    </row>
    <row r="15835" spans="84:91" s="51" customFormat="1">
      <c r="CF15835" s="239"/>
      <c r="CM15835" s="336"/>
    </row>
    <row r="15836" spans="84:91" s="51" customFormat="1">
      <c r="CF15836" s="239"/>
      <c r="CM15836" s="336"/>
    </row>
    <row r="15837" spans="84:91" s="51" customFormat="1">
      <c r="CF15837" s="239"/>
      <c r="CM15837" s="336"/>
    </row>
    <row r="15838" spans="84:91" s="51" customFormat="1">
      <c r="CF15838" s="239"/>
      <c r="CM15838" s="336"/>
    </row>
    <row r="15839" spans="84:91" s="51" customFormat="1">
      <c r="CF15839" s="239"/>
      <c r="CM15839" s="336"/>
    </row>
    <row r="15840" spans="84:91" s="51" customFormat="1">
      <c r="CF15840" s="239"/>
      <c r="CM15840" s="336"/>
    </row>
    <row r="15841" spans="84:91" s="51" customFormat="1">
      <c r="CF15841" s="239"/>
      <c r="CM15841" s="336"/>
    </row>
    <row r="15842" spans="84:91" s="51" customFormat="1">
      <c r="CF15842" s="239"/>
      <c r="CM15842" s="336"/>
    </row>
    <row r="15843" spans="84:91" s="51" customFormat="1">
      <c r="CF15843" s="239"/>
      <c r="CM15843" s="336"/>
    </row>
    <row r="15844" spans="84:91" s="51" customFormat="1">
      <c r="CF15844" s="239"/>
      <c r="CM15844" s="336"/>
    </row>
    <row r="15845" spans="84:91" s="51" customFormat="1">
      <c r="CF15845" s="239"/>
      <c r="CM15845" s="336"/>
    </row>
    <row r="15846" spans="84:91" s="51" customFormat="1">
      <c r="CF15846" s="239"/>
      <c r="CM15846" s="336"/>
    </row>
    <row r="15847" spans="84:91" s="51" customFormat="1">
      <c r="CF15847" s="239"/>
      <c r="CM15847" s="336"/>
    </row>
    <row r="15848" spans="84:91" s="51" customFormat="1">
      <c r="CF15848" s="239"/>
      <c r="CM15848" s="336"/>
    </row>
    <row r="15849" spans="84:91" s="51" customFormat="1">
      <c r="CF15849" s="239"/>
      <c r="CM15849" s="336"/>
    </row>
    <row r="15850" spans="84:91" s="51" customFormat="1">
      <c r="CF15850" s="239"/>
      <c r="CM15850" s="336"/>
    </row>
    <row r="15851" spans="84:91" s="51" customFormat="1">
      <c r="CF15851" s="239"/>
      <c r="CM15851" s="336"/>
    </row>
    <row r="15852" spans="84:91" s="51" customFormat="1">
      <c r="CF15852" s="239"/>
      <c r="CM15852" s="336"/>
    </row>
    <row r="15853" spans="84:91" s="51" customFormat="1">
      <c r="CF15853" s="239"/>
      <c r="CM15853" s="336"/>
    </row>
    <row r="15854" spans="84:91" s="51" customFormat="1">
      <c r="CF15854" s="239"/>
      <c r="CM15854" s="336"/>
    </row>
    <row r="15855" spans="84:91" s="51" customFormat="1">
      <c r="CF15855" s="239"/>
      <c r="CM15855" s="336"/>
    </row>
    <row r="15856" spans="84:91" s="51" customFormat="1">
      <c r="CF15856" s="239"/>
      <c r="CM15856" s="336"/>
    </row>
    <row r="15857" spans="84:91" s="51" customFormat="1">
      <c r="CF15857" s="239"/>
      <c r="CM15857" s="336"/>
    </row>
    <row r="15858" spans="84:91" s="51" customFormat="1">
      <c r="CF15858" s="239"/>
      <c r="CM15858" s="336"/>
    </row>
    <row r="15859" spans="84:91" s="51" customFormat="1">
      <c r="CF15859" s="239"/>
      <c r="CM15859" s="336"/>
    </row>
    <row r="15860" spans="84:91" s="51" customFormat="1">
      <c r="CF15860" s="239"/>
      <c r="CM15860" s="336"/>
    </row>
    <row r="15861" spans="84:91" s="51" customFormat="1">
      <c r="CF15861" s="239"/>
      <c r="CM15861" s="336"/>
    </row>
    <row r="15862" spans="84:91" s="51" customFormat="1">
      <c r="CF15862" s="239"/>
      <c r="CM15862" s="336"/>
    </row>
    <row r="15863" spans="84:91" s="51" customFormat="1">
      <c r="CF15863" s="239"/>
      <c r="CM15863" s="336"/>
    </row>
    <row r="15864" spans="84:91" s="51" customFormat="1">
      <c r="CF15864" s="239"/>
      <c r="CM15864" s="336"/>
    </row>
    <row r="15865" spans="84:91" s="51" customFormat="1">
      <c r="CF15865" s="239"/>
      <c r="CM15865" s="336"/>
    </row>
    <row r="15866" spans="84:91" s="51" customFormat="1">
      <c r="CF15866" s="239"/>
      <c r="CM15866" s="336"/>
    </row>
    <row r="15867" spans="84:91" s="51" customFormat="1">
      <c r="CF15867" s="239"/>
      <c r="CM15867" s="336"/>
    </row>
    <row r="15868" spans="84:91" s="51" customFormat="1">
      <c r="CF15868" s="239"/>
      <c r="CM15868" s="336"/>
    </row>
    <row r="15869" spans="84:91" s="51" customFormat="1">
      <c r="CF15869" s="239"/>
      <c r="CM15869" s="336"/>
    </row>
    <row r="15870" spans="84:91" s="51" customFormat="1">
      <c r="CF15870" s="239"/>
      <c r="CM15870" s="336"/>
    </row>
    <row r="15871" spans="84:91" s="51" customFormat="1">
      <c r="CF15871" s="239"/>
      <c r="CM15871" s="336"/>
    </row>
    <row r="15872" spans="84:91" s="51" customFormat="1">
      <c r="CF15872" s="239"/>
      <c r="CM15872" s="336"/>
    </row>
    <row r="15873" spans="84:91" s="51" customFormat="1">
      <c r="CF15873" s="239"/>
      <c r="CM15873" s="336"/>
    </row>
    <row r="15874" spans="84:91" s="51" customFormat="1">
      <c r="CF15874" s="239"/>
      <c r="CM15874" s="336"/>
    </row>
    <row r="15875" spans="84:91" s="51" customFormat="1">
      <c r="CF15875" s="239"/>
      <c r="CM15875" s="336"/>
    </row>
    <row r="15876" spans="84:91" s="51" customFormat="1">
      <c r="CF15876" s="239"/>
      <c r="CM15876" s="336"/>
    </row>
    <row r="15877" spans="84:91" s="51" customFormat="1">
      <c r="CF15877" s="239"/>
      <c r="CM15877" s="336"/>
    </row>
    <row r="15878" spans="84:91" s="51" customFormat="1">
      <c r="CF15878" s="239"/>
      <c r="CM15878" s="336"/>
    </row>
    <row r="15879" spans="84:91" s="51" customFormat="1">
      <c r="CF15879" s="239"/>
      <c r="CM15879" s="336"/>
    </row>
    <row r="15880" spans="84:91" s="51" customFormat="1">
      <c r="CF15880" s="239"/>
      <c r="CM15880" s="336"/>
    </row>
    <row r="15881" spans="84:91" s="51" customFormat="1">
      <c r="CF15881" s="239"/>
      <c r="CM15881" s="336"/>
    </row>
    <row r="15882" spans="84:91" s="51" customFormat="1">
      <c r="CF15882" s="239"/>
      <c r="CM15882" s="336"/>
    </row>
    <row r="15883" spans="84:91" s="51" customFormat="1">
      <c r="CF15883" s="239"/>
      <c r="CM15883" s="336"/>
    </row>
    <row r="15884" spans="84:91" s="51" customFormat="1">
      <c r="CF15884" s="239"/>
      <c r="CM15884" s="336"/>
    </row>
    <row r="15885" spans="84:91" s="51" customFormat="1">
      <c r="CF15885" s="239"/>
      <c r="CM15885" s="336"/>
    </row>
    <row r="15886" spans="84:91" s="51" customFormat="1">
      <c r="CF15886" s="239"/>
      <c r="CM15886" s="336"/>
    </row>
    <row r="15887" spans="84:91" s="51" customFormat="1">
      <c r="CF15887" s="239"/>
      <c r="CM15887" s="336"/>
    </row>
    <row r="15888" spans="84:91" s="51" customFormat="1">
      <c r="CF15888" s="239"/>
      <c r="CM15888" s="336"/>
    </row>
    <row r="15889" spans="84:91" s="51" customFormat="1">
      <c r="CF15889" s="239"/>
      <c r="CM15889" s="336"/>
    </row>
    <row r="15890" spans="84:91" s="51" customFormat="1">
      <c r="CF15890" s="239"/>
      <c r="CM15890" s="336"/>
    </row>
    <row r="15891" spans="84:91" s="51" customFormat="1">
      <c r="CF15891" s="239"/>
      <c r="CM15891" s="336"/>
    </row>
    <row r="15892" spans="84:91" s="51" customFormat="1">
      <c r="CF15892" s="239"/>
      <c r="CM15892" s="336"/>
    </row>
    <row r="15893" spans="84:91" s="51" customFormat="1">
      <c r="CF15893" s="239"/>
      <c r="CM15893" s="336"/>
    </row>
    <row r="15894" spans="84:91" s="51" customFormat="1">
      <c r="CF15894" s="239"/>
      <c r="CM15894" s="336"/>
    </row>
    <row r="15895" spans="84:91" s="51" customFormat="1">
      <c r="CF15895" s="239"/>
      <c r="CM15895" s="336"/>
    </row>
    <row r="15896" spans="84:91" s="51" customFormat="1">
      <c r="CF15896" s="239"/>
      <c r="CM15896" s="336"/>
    </row>
    <row r="15897" spans="84:91" s="51" customFormat="1">
      <c r="CF15897" s="239"/>
      <c r="CM15897" s="336"/>
    </row>
    <row r="15898" spans="84:91" s="51" customFormat="1">
      <c r="CF15898" s="239"/>
      <c r="CM15898" s="336"/>
    </row>
    <row r="15899" spans="84:91" s="51" customFormat="1">
      <c r="CF15899" s="239"/>
      <c r="CM15899" s="336"/>
    </row>
    <row r="15900" spans="84:91" s="51" customFormat="1">
      <c r="CF15900" s="239"/>
      <c r="CM15900" s="336"/>
    </row>
    <row r="15901" spans="84:91" s="51" customFormat="1">
      <c r="CF15901" s="239"/>
      <c r="CM15901" s="336"/>
    </row>
    <row r="15902" spans="84:91" s="51" customFormat="1">
      <c r="CF15902" s="239"/>
      <c r="CM15902" s="336"/>
    </row>
    <row r="15903" spans="84:91" s="51" customFormat="1">
      <c r="CF15903" s="239"/>
      <c r="CM15903" s="336"/>
    </row>
    <row r="15904" spans="84:91" s="51" customFormat="1">
      <c r="CF15904" s="239"/>
      <c r="CM15904" s="336"/>
    </row>
    <row r="15905" spans="84:91" s="51" customFormat="1">
      <c r="CF15905" s="239"/>
      <c r="CM15905" s="336"/>
    </row>
    <row r="15906" spans="84:91" s="51" customFormat="1">
      <c r="CF15906" s="239"/>
      <c r="CM15906" s="336"/>
    </row>
    <row r="15907" spans="84:91" s="51" customFormat="1">
      <c r="CF15907" s="239"/>
      <c r="CM15907" s="336"/>
    </row>
    <row r="15908" spans="84:91" s="51" customFormat="1">
      <c r="CF15908" s="239"/>
      <c r="CM15908" s="336"/>
    </row>
    <row r="15909" spans="84:91" s="51" customFormat="1">
      <c r="CF15909" s="239"/>
      <c r="CM15909" s="336"/>
    </row>
    <row r="15910" spans="84:91" s="51" customFormat="1">
      <c r="CF15910" s="239"/>
      <c r="CM15910" s="336"/>
    </row>
    <row r="15911" spans="84:91" s="51" customFormat="1">
      <c r="CF15911" s="239"/>
      <c r="CM15911" s="336"/>
    </row>
    <row r="15912" spans="84:91" s="51" customFormat="1">
      <c r="CF15912" s="239"/>
      <c r="CM15912" s="336"/>
    </row>
    <row r="15913" spans="84:91" s="51" customFormat="1">
      <c r="CF15913" s="239"/>
      <c r="CM15913" s="336"/>
    </row>
    <row r="15914" spans="84:91" s="51" customFormat="1">
      <c r="CF15914" s="239"/>
      <c r="CM15914" s="336"/>
    </row>
    <row r="15915" spans="84:91" s="51" customFormat="1">
      <c r="CF15915" s="239"/>
      <c r="CM15915" s="336"/>
    </row>
    <row r="15916" spans="84:91" s="51" customFormat="1">
      <c r="CF15916" s="239"/>
      <c r="CM15916" s="336"/>
    </row>
    <row r="15917" spans="84:91" s="51" customFormat="1">
      <c r="CF15917" s="239"/>
      <c r="CM15917" s="336"/>
    </row>
    <row r="15918" spans="84:91" s="51" customFormat="1">
      <c r="CF15918" s="239"/>
      <c r="CM15918" s="336"/>
    </row>
    <row r="15919" spans="84:91" s="51" customFormat="1">
      <c r="CF15919" s="239"/>
      <c r="CM15919" s="336"/>
    </row>
    <row r="15920" spans="84:91" s="51" customFormat="1">
      <c r="CF15920" s="239"/>
      <c r="CM15920" s="336"/>
    </row>
    <row r="15921" spans="84:91" s="51" customFormat="1">
      <c r="CF15921" s="239"/>
      <c r="CM15921" s="336"/>
    </row>
    <row r="15922" spans="84:91" s="51" customFormat="1">
      <c r="CF15922" s="239"/>
      <c r="CM15922" s="336"/>
    </row>
    <row r="15923" spans="84:91" s="51" customFormat="1">
      <c r="CF15923" s="239"/>
      <c r="CM15923" s="336"/>
    </row>
    <row r="15924" spans="84:91" s="51" customFormat="1">
      <c r="CF15924" s="239"/>
      <c r="CM15924" s="336"/>
    </row>
    <row r="15925" spans="84:91" s="51" customFormat="1">
      <c r="CF15925" s="239"/>
      <c r="CM15925" s="336"/>
    </row>
    <row r="15926" spans="84:91" s="51" customFormat="1">
      <c r="CF15926" s="239"/>
      <c r="CM15926" s="336"/>
    </row>
    <row r="15927" spans="84:91" s="51" customFormat="1">
      <c r="CF15927" s="239"/>
      <c r="CM15927" s="336"/>
    </row>
    <row r="15928" spans="84:91" s="51" customFormat="1">
      <c r="CF15928" s="239"/>
      <c r="CM15928" s="336"/>
    </row>
    <row r="15929" spans="84:91" s="51" customFormat="1">
      <c r="CF15929" s="239"/>
      <c r="CM15929" s="336"/>
    </row>
    <row r="15930" spans="84:91" s="51" customFormat="1">
      <c r="CF15930" s="239"/>
      <c r="CM15930" s="336"/>
    </row>
    <row r="15931" spans="84:91" s="51" customFormat="1">
      <c r="CF15931" s="239"/>
      <c r="CM15931" s="336"/>
    </row>
    <row r="15932" spans="84:91" s="51" customFormat="1">
      <c r="CF15932" s="239"/>
      <c r="CM15932" s="336"/>
    </row>
    <row r="15933" spans="84:91" s="51" customFormat="1">
      <c r="CF15933" s="239"/>
      <c r="CM15933" s="336"/>
    </row>
    <row r="15934" spans="84:91" s="51" customFormat="1">
      <c r="CF15934" s="239"/>
      <c r="CM15934" s="336"/>
    </row>
    <row r="15935" spans="84:91" s="51" customFormat="1">
      <c r="CF15935" s="239"/>
      <c r="CM15935" s="336"/>
    </row>
    <row r="15936" spans="84:91" s="51" customFormat="1">
      <c r="CF15936" s="239"/>
      <c r="CM15936" s="336"/>
    </row>
    <row r="15937" spans="84:91" s="51" customFormat="1">
      <c r="CF15937" s="239"/>
      <c r="CM15937" s="336"/>
    </row>
    <row r="15938" spans="84:91" s="51" customFormat="1">
      <c r="CF15938" s="239"/>
      <c r="CM15938" s="336"/>
    </row>
    <row r="15939" spans="84:91" s="51" customFormat="1">
      <c r="CF15939" s="239"/>
      <c r="CM15939" s="336"/>
    </row>
    <row r="15940" spans="84:91" s="51" customFormat="1">
      <c r="CF15940" s="239"/>
      <c r="CM15940" s="336"/>
    </row>
    <row r="15941" spans="84:91" s="51" customFormat="1">
      <c r="CF15941" s="239"/>
      <c r="CM15941" s="336"/>
    </row>
    <row r="15942" spans="84:91" s="51" customFormat="1">
      <c r="CF15942" s="239"/>
      <c r="CM15942" s="336"/>
    </row>
    <row r="15943" spans="84:91" s="51" customFormat="1">
      <c r="CF15943" s="239"/>
      <c r="CM15943" s="336"/>
    </row>
    <row r="15944" spans="84:91" s="51" customFormat="1">
      <c r="CF15944" s="239"/>
      <c r="CM15944" s="336"/>
    </row>
    <row r="15945" spans="84:91" s="51" customFormat="1">
      <c r="CF15945" s="239"/>
      <c r="CM15945" s="336"/>
    </row>
    <row r="15946" spans="84:91" s="51" customFormat="1">
      <c r="CF15946" s="239"/>
      <c r="CM15946" s="336"/>
    </row>
    <row r="15947" spans="84:91" s="51" customFormat="1">
      <c r="CF15947" s="239"/>
      <c r="CM15947" s="336"/>
    </row>
    <row r="15948" spans="84:91" s="51" customFormat="1">
      <c r="CF15948" s="239"/>
      <c r="CM15948" s="336"/>
    </row>
    <row r="15949" spans="84:91" s="51" customFormat="1">
      <c r="CF15949" s="239"/>
      <c r="CM15949" s="336"/>
    </row>
    <row r="15950" spans="84:91" s="51" customFormat="1">
      <c r="CF15950" s="239"/>
      <c r="CM15950" s="336"/>
    </row>
    <row r="15951" spans="84:91" s="51" customFormat="1">
      <c r="CF15951" s="239"/>
      <c r="CM15951" s="336"/>
    </row>
    <row r="15952" spans="84:91" s="51" customFormat="1">
      <c r="CF15952" s="239"/>
      <c r="CM15952" s="336"/>
    </row>
    <row r="15953" spans="84:91" s="51" customFormat="1">
      <c r="CF15953" s="239"/>
      <c r="CM15953" s="336"/>
    </row>
    <row r="15954" spans="84:91" s="51" customFormat="1">
      <c r="CF15954" s="239"/>
      <c r="CM15954" s="336"/>
    </row>
    <row r="15955" spans="84:91" s="51" customFormat="1">
      <c r="CF15955" s="239"/>
      <c r="CM15955" s="336"/>
    </row>
    <row r="15956" spans="84:91" s="51" customFormat="1">
      <c r="CF15956" s="239"/>
      <c r="CM15956" s="336"/>
    </row>
    <row r="15957" spans="84:91" s="51" customFormat="1">
      <c r="CF15957" s="239"/>
      <c r="CM15957" s="336"/>
    </row>
    <row r="15958" spans="84:91" s="51" customFormat="1">
      <c r="CF15958" s="239"/>
      <c r="CM15958" s="336"/>
    </row>
    <row r="15959" spans="84:91" s="51" customFormat="1">
      <c r="CF15959" s="239"/>
      <c r="CM15959" s="336"/>
    </row>
    <row r="15960" spans="84:91" s="51" customFormat="1">
      <c r="CF15960" s="239"/>
      <c r="CM15960" s="336"/>
    </row>
    <row r="15961" spans="84:91" s="51" customFormat="1">
      <c r="CF15961" s="239"/>
      <c r="CM15961" s="336"/>
    </row>
    <row r="15962" spans="84:91" s="51" customFormat="1">
      <c r="CF15962" s="239"/>
      <c r="CM15962" s="336"/>
    </row>
    <row r="15963" spans="84:91" s="51" customFormat="1">
      <c r="CF15963" s="239"/>
      <c r="CM15963" s="336"/>
    </row>
    <row r="15964" spans="84:91" s="51" customFormat="1">
      <c r="CF15964" s="239"/>
      <c r="CM15964" s="336"/>
    </row>
    <row r="15965" spans="84:91" s="51" customFormat="1">
      <c r="CF15965" s="239"/>
      <c r="CM15965" s="336"/>
    </row>
    <row r="15966" spans="84:91" s="51" customFormat="1">
      <c r="CF15966" s="239"/>
      <c r="CM15966" s="336"/>
    </row>
    <row r="15967" spans="84:91" s="51" customFormat="1">
      <c r="CF15967" s="239"/>
      <c r="CM15967" s="336"/>
    </row>
    <row r="15968" spans="84:91" s="51" customFormat="1">
      <c r="CF15968" s="239"/>
      <c r="CM15968" s="336"/>
    </row>
    <row r="15969" spans="84:91" s="51" customFormat="1">
      <c r="CF15969" s="239"/>
      <c r="CM15969" s="336"/>
    </row>
    <row r="15970" spans="84:91" s="51" customFormat="1">
      <c r="CF15970" s="239"/>
      <c r="CM15970" s="336"/>
    </row>
    <row r="15971" spans="84:91" s="51" customFormat="1">
      <c r="CF15971" s="239"/>
      <c r="CM15971" s="336"/>
    </row>
    <row r="15972" spans="84:91" s="51" customFormat="1">
      <c r="CF15972" s="239"/>
      <c r="CM15972" s="336"/>
    </row>
    <row r="15973" spans="84:91" s="51" customFormat="1">
      <c r="CF15973" s="239"/>
      <c r="CM15973" s="336"/>
    </row>
    <row r="15974" spans="84:91" s="51" customFormat="1">
      <c r="CF15974" s="239"/>
      <c r="CM15974" s="336"/>
    </row>
    <row r="15975" spans="84:91" s="51" customFormat="1">
      <c r="CF15975" s="239"/>
      <c r="CM15975" s="336"/>
    </row>
    <row r="15976" spans="84:91" s="51" customFormat="1">
      <c r="CF15976" s="239"/>
      <c r="CM15976" s="336"/>
    </row>
    <row r="15977" spans="84:91" s="51" customFormat="1">
      <c r="CF15977" s="239"/>
      <c r="CM15977" s="336"/>
    </row>
    <row r="15978" spans="84:91" s="51" customFormat="1">
      <c r="CF15978" s="239"/>
      <c r="CM15978" s="336"/>
    </row>
    <row r="15979" spans="84:91" s="51" customFormat="1">
      <c r="CF15979" s="239"/>
      <c r="CM15979" s="336"/>
    </row>
    <row r="15980" spans="84:91" s="51" customFormat="1">
      <c r="CF15980" s="239"/>
      <c r="CM15980" s="336"/>
    </row>
    <row r="15981" spans="84:91" s="51" customFormat="1">
      <c r="CF15981" s="239"/>
      <c r="CM15981" s="336"/>
    </row>
    <row r="15982" spans="84:91" s="51" customFormat="1">
      <c r="CF15982" s="239"/>
      <c r="CM15982" s="336"/>
    </row>
    <row r="15983" spans="84:91" s="51" customFormat="1">
      <c r="CF15983" s="239"/>
      <c r="CM15983" s="336"/>
    </row>
    <row r="15984" spans="84:91" s="51" customFormat="1">
      <c r="CF15984" s="239"/>
      <c r="CM15984" s="336"/>
    </row>
    <row r="15985" spans="84:91" s="51" customFormat="1">
      <c r="CF15985" s="239"/>
      <c r="CM15985" s="336"/>
    </row>
    <row r="15986" spans="84:91" s="51" customFormat="1">
      <c r="CF15986" s="239"/>
      <c r="CM15986" s="336"/>
    </row>
    <row r="15987" spans="84:91" s="51" customFormat="1">
      <c r="CF15987" s="239"/>
      <c r="CM15987" s="336"/>
    </row>
    <row r="15988" spans="84:91" s="51" customFormat="1">
      <c r="CF15988" s="239"/>
      <c r="CM15988" s="336"/>
    </row>
    <row r="15989" spans="84:91" s="51" customFormat="1">
      <c r="CF15989" s="239"/>
      <c r="CM15989" s="336"/>
    </row>
    <row r="15990" spans="84:91" s="51" customFormat="1">
      <c r="CF15990" s="239"/>
      <c r="CM15990" s="336"/>
    </row>
    <row r="15991" spans="84:91" s="51" customFormat="1">
      <c r="CF15991" s="239"/>
      <c r="CM15991" s="336"/>
    </row>
    <row r="15992" spans="84:91" s="51" customFormat="1">
      <c r="CF15992" s="239"/>
      <c r="CM15992" s="336"/>
    </row>
    <row r="15993" spans="84:91" s="51" customFormat="1">
      <c r="CF15993" s="239"/>
      <c r="CM15993" s="336"/>
    </row>
    <row r="15994" spans="84:91" s="51" customFormat="1">
      <c r="CF15994" s="239"/>
      <c r="CM15994" s="336"/>
    </row>
    <row r="15995" spans="84:91" s="51" customFormat="1">
      <c r="CF15995" s="239"/>
      <c r="CM15995" s="336"/>
    </row>
    <row r="15996" spans="84:91" s="51" customFormat="1">
      <c r="CF15996" s="239"/>
      <c r="CM15996" s="336"/>
    </row>
    <row r="15997" spans="84:91" s="51" customFormat="1">
      <c r="CF15997" s="239"/>
      <c r="CM15997" s="336"/>
    </row>
    <row r="15998" spans="84:91" s="51" customFormat="1">
      <c r="CF15998" s="239"/>
      <c r="CM15998" s="336"/>
    </row>
    <row r="15999" spans="84:91" s="51" customFormat="1">
      <c r="CF15999" s="239"/>
      <c r="CM15999" s="336"/>
    </row>
    <row r="16000" spans="84:91" s="51" customFormat="1">
      <c r="CF16000" s="239"/>
      <c r="CM16000" s="336"/>
    </row>
    <row r="16001" spans="84:91" s="51" customFormat="1">
      <c r="CF16001" s="239"/>
      <c r="CM16001" s="336"/>
    </row>
    <row r="16002" spans="84:91" s="51" customFormat="1">
      <c r="CF16002" s="239"/>
      <c r="CM16002" s="336"/>
    </row>
    <row r="16003" spans="84:91" s="51" customFormat="1">
      <c r="CF16003" s="239"/>
      <c r="CM16003" s="336"/>
    </row>
    <row r="16004" spans="84:91" s="51" customFormat="1">
      <c r="CF16004" s="239"/>
      <c r="CM16004" s="336"/>
    </row>
    <row r="16005" spans="84:91" s="51" customFormat="1">
      <c r="CF16005" s="239"/>
      <c r="CM16005" s="336"/>
    </row>
    <row r="16006" spans="84:91" s="51" customFormat="1">
      <c r="CF16006" s="239"/>
      <c r="CM16006" s="336"/>
    </row>
    <row r="16007" spans="84:91" s="51" customFormat="1">
      <c r="CF16007" s="239"/>
      <c r="CM16007" s="336"/>
    </row>
    <row r="16008" spans="84:91" s="51" customFormat="1">
      <c r="CF16008" s="239"/>
      <c r="CM16008" s="336"/>
    </row>
    <row r="16009" spans="84:91" s="51" customFormat="1">
      <c r="CF16009" s="239"/>
      <c r="CM16009" s="336"/>
    </row>
    <row r="16010" spans="84:91" s="51" customFormat="1">
      <c r="CF16010" s="239"/>
      <c r="CM16010" s="336"/>
    </row>
    <row r="16011" spans="84:91" s="51" customFormat="1">
      <c r="CF16011" s="239"/>
      <c r="CM16011" s="336"/>
    </row>
    <row r="16012" spans="84:91" s="51" customFormat="1">
      <c r="CF16012" s="239"/>
      <c r="CM16012" s="336"/>
    </row>
    <row r="16013" spans="84:91" s="51" customFormat="1">
      <c r="CF16013" s="239"/>
      <c r="CM16013" s="336"/>
    </row>
    <row r="16014" spans="84:91" s="51" customFormat="1">
      <c r="CF16014" s="239"/>
      <c r="CM16014" s="336"/>
    </row>
    <row r="16015" spans="84:91" s="51" customFormat="1">
      <c r="CF16015" s="239"/>
      <c r="CM16015" s="336"/>
    </row>
    <row r="16016" spans="84:91" s="51" customFormat="1">
      <c r="CF16016" s="239"/>
      <c r="CM16016" s="336"/>
    </row>
    <row r="16017" spans="84:91" s="51" customFormat="1">
      <c r="CF16017" s="239"/>
      <c r="CM16017" s="336"/>
    </row>
    <row r="16018" spans="84:91" s="51" customFormat="1">
      <c r="CF16018" s="239"/>
      <c r="CM16018" s="336"/>
    </row>
    <row r="16019" spans="84:91" s="51" customFormat="1">
      <c r="CF16019" s="239"/>
      <c r="CM16019" s="336"/>
    </row>
    <row r="16020" spans="84:91" s="51" customFormat="1">
      <c r="CF16020" s="239"/>
      <c r="CM16020" s="336"/>
    </row>
    <row r="16021" spans="84:91" s="51" customFormat="1">
      <c r="CF16021" s="239"/>
      <c r="CM16021" s="336"/>
    </row>
    <row r="16022" spans="84:91" s="51" customFormat="1">
      <c r="CF16022" s="239"/>
      <c r="CM16022" s="336"/>
    </row>
    <row r="16023" spans="84:91" s="51" customFormat="1">
      <c r="CF16023" s="239"/>
      <c r="CM16023" s="336"/>
    </row>
    <row r="16024" spans="84:91" s="51" customFormat="1">
      <c r="CF16024" s="239"/>
      <c r="CM16024" s="336"/>
    </row>
    <row r="16025" spans="84:91" s="51" customFormat="1">
      <c r="CF16025" s="239"/>
      <c r="CM16025" s="336"/>
    </row>
    <row r="16026" spans="84:91" s="51" customFormat="1">
      <c r="CF16026" s="239"/>
      <c r="CM16026" s="336"/>
    </row>
    <row r="16027" spans="84:91" s="51" customFormat="1">
      <c r="CF16027" s="239"/>
      <c r="CM16027" s="336"/>
    </row>
    <row r="16028" spans="84:91" s="51" customFormat="1">
      <c r="CF16028" s="239"/>
      <c r="CM16028" s="336"/>
    </row>
    <row r="16029" spans="84:91" s="51" customFormat="1">
      <c r="CF16029" s="239"/>
      <c r="CM16029" s="336"/>
    </row>
    <row r="16030" spans="84:91" s="51" customFormat="1">
      <c r="CF16030" s="239"/>
      <c r="CM16030" s="336"/>
    </row>
    <row r="16031" spans="84:91" s="51" customFormat="1">
      <c r="CF16031" s="239"/>
      <c r="CM16031" s="336"/>
    </row>
    <row r="16032" spans="84:91" s="51" customFormat="1">
      <c r="CF16032" s="239"/>
      <c r="CM16032" s="336"/>
    </row>
    <row r="16033" spans="84:91" s="51" customFormat="1">
      <c r="CF16033" s="239"/>
      <c r="CM16033" s="336"/>
    </row>
    <row r="16034" spans="84:91" s="51" customFormat="1">
      <c r="CF16034" s="239"/>
      <c r="CM16034" s="336"/>
    </row>
    <row r="16035" spans="84:91" s="51" customFormat="1">
      <c r="CF16035" s="239"/>
      <c r="CM16035" s="336"/>
    </row>
    <row r="16036" spans="84:91" s="51" customFormat="1">
      <c r="CF16036" s="239"/>
      <c r="CM16036" s="336"/>
    </row>
    <row r="16037" spans="84:91" s="51" customFormat="1">
      <c r="CF16037" s="239"/>
      <c r="CM16037" s="336"/>
    </row>
    <row r="16038" spans="84:91" s="51" customFormat="1">
      <c r="CF16038" s="239"/>
      <c r="CM16038" s="336"/>
    </row>
    <row r="16039" spans="84:91" s="51" customFormat="1">
      <c r="CF16039" s="239"/>
      <c r="CM16039" s="336"/>
    </row>
    <row r="16040" spans="84:91" s="51" customFormat="1">
      <c r="CF16040" s="239"/>
      <c r="CM16040" s="336"/>
    </row>
    <row r="16041" spans="84:91" s="51" customFormat="1">
      <c r="CF16041" s="239"/>
      <c r="CM16041" s="336"/>
    </row>
    <row r="16042" spans="84:91" s="51" customFormat="1">
      <c r="CF16042" s="239"/>
      <c r="CM16042" s="336"/>
    </row>
    <row r="16043" spans="84:91" s="51" customFormat="1">
      <c r="CF16043" s="239"/>
      <c r="CM16043" s="336"/>
    </row>
    <row r="16044" spans="84:91" s="51" customFormat="1">
      <c r="CF16044" s="239"/>
      <c r="CM16044" s="336"/>
    </row>
    <row r="16045" spans="84:91" s="51" customFormat="1">
      <c r="CF16045" s="239"/>
      <c r="CM16045" s="336"/>
    </row>
    <row r="16046" spans="84:91" s="51" customFormat="1">
      <c r="CF16046" s="239"/>
      <c r="CM16046" s="336"/>
    </row>
    <row r="16047" spans="84:91" s="51" customFormat="1">
      <c r="CF16047" s="239"/>
      <c r="CM16047" s="336"/>
    </row>
    <row r="16048" spans="84:91" s="51" customFormat="1">
      <c r="CF16048" s="239"/>
      <c r="CM16048" s="336"/>
    </row>
    <row r="16049" spans="84:91" s="51" customFormat="1">
      <c r="CF16049" s="239"/>
      <c r="CM16049" s="336"/>
    </row>
    <row r="16050" spans="84:91" s="51" customFormat="1">
      <c r="CF16050" s="239"/>
      <c r="CM16050" s="336"/>
    </row>
    <row r="16051" spans="84:91" s="51" customFormat="1">
      <c r="CF16051" s="239"/>
      <c r="CM16051" s="336"/>
    </row>
    <row r="16052" spans="84:91" s="51" customFormat="1">
      <c r="CF16052" s="239"/>
      <c r="CM16052" s="336"/>
    </row>
    <row r="16053" spans="84:91" s="51" customFormat="1">
      <c r="CF16053" s="239"/>
      <c r="CM16053" s="336"/>
    </row>
    <row r="16054" spans="84:91" s="51" customFormat="1">
      <c r="CF16054" s="239"/>
      <c r="CM16054" s="336"/>
    </row>
    <row r="16055" spans="84:91" s="51" customFormat="1">
      <c r="CF16055" s="239"/>
      <c r="CM16055" s="336"/>
    </row>
    <row r="16056" spans="84:91" s="51" customFormat="1">
      <c r="CF16056" s="239"/>
      <c r="CM16056" s="336"/>
    </row>
    <row r="16057" spans="84:91" s="51" customFormat="1">
      <c r="CF16057" s="239"/>
      <c r="CM16057" s="336"/>
    </row>
    <row r="16058" spans="84:91" s="51" customFormat="1">
      <c r="CF16058" s="239"/>
      <c r="CM16058" s="336"/>
    </row>
    <row r="16059" spans="84:91" s="51" customFormat="1">
      <c r="CF16059" s="239"/>
      <c r="CM16059" s="336"/>
    </row>
    <row r="16060" spans="84:91" s="51" customFormat="1">
      <c r="CF16060" s="239"/>
      <c r="CM16060" s="336"/>
    </row>
    <row r="16061" spans="84:91" s="51" customFormat="1">
      <c r="CF16061" s="239"/>
      <c r="CM16061" s="336"/>
    </row>
    <row r="16062" spans="84:91" s="51" customFormat="1">
      <c r="CF16062" s="239"/>
      <c r="CM16062" s="336"/>
    </row>
    <row r="16063" spans="84:91" s="51" customFormat="1">
      <c r="CF16063" s="239"/>
      <c r="CM16063" s="336"/>
    </row>
    <row r="16064" spans="84:91" s="51" customFormat="1">
      <c r="CF16064" s="239"/>
      <c r="CM16064" s="336"/>
    </row>
    <row r="16065" spans="84:91" s="51" customFormat="1">
      <c r="CF16065" s="239"/>
      <c r="CM16065" s="336"/>
    </row>
    <row r="16066" spans="84:91" s="51" customFormat="1">
      <c r="CF16066" s="239"/>
      <c r="CM16066" s="336"/>
    </row>
    <row r="16067" spans="84:91" s="51" customFormat="1">
      <c r="CF16067" s="239"/>
      <c r="CM16067" s="336"/>
    </row>
    <row r="16068" spans="84:91" s="51" customFormat="1">
      <c r="CF16068" s="239"/>
      <c r="CM16068" s="336"/>
    </row>
    <row r="16069" spans="84:91" s="51" customFormat="1">
      <c r="CF16069" s="239"/>
      <c r="CM16069" s="336"/>
    </row>
    <row r="16070" spans="84:91" s="51" customFormat="1">
      <c r="CF16070" s="239"/>
      <c r="CM16070" s="336"/>
    </row>
    <row r="16071" spans="84:91" s="51" customFormat="1">
      <c r="CF16071" s="239"/>
      <c r="CM16071" s="336"/>
    </row>
    <row r="16072" spans="84:91" s="51" customFormat="1">
      <c r="CF16072" s="239"/>
      <c r="CM16072" s="336"/>
    </row>
    <row r="16073" spans="84:91" s="51" customFormat="1">
      <c r="CF16073" s="239"/>
      <c r="CM16073" s="336"/>
    </row>
    <row r="16074" spans="84:91" s="51" customFormat="1">
      <c r="CF16074" s="239"/>
      <c r="CM16074" s="336"/>
    </row>
    <row r="16075" spans="84:91" s="51" customFormat="1">
      <c r="CF16075" s="239"/>
      <c r="CM16075" s="336"/>
    </row>
    <row r="16076" spans="84:91" s="51" customFormat="1">
      <c r="CF16076" s="239"/>
      <c r="CM16076" s="336"/>
    </row>
    <row r="16077" spans="84:91" s="51" customFormat="1">
      <c r="CF16077" s="239"/>
      <c r="CM16077" s="336"/>
    </row>
    <row r="16078" spans="84:91" s="51" customFormat="1">
      <c r="CF16078" s="239"/>
      <c r="CM16078" s="336"/>
    </row>
    <row r="16079" spans="84:91" s="51" customFormat="1">
      <c r="CF16079" s="239"/>
      <c r="CM16079" s="336"/>
    </row>
    <row r="16080" spans="84:91" s="51" customFormat="1">
      <c r="CF16080" s="239"/>
      <c r="CM16080" s="336"/>
    </row>
    <row r="16081" spans="84:91" s="51" customFormat="1">
      <c r="CF16081" s="239"/>
      <c r="CM16081" s="336"/>
    </row>
    <row r="16082" spans="84:91" s="51" customFormat="1">
      <c r="CF16082" s="239"/>
      <c r="CM16082" s="336"/>
    </row>
    <row r="16083" spans="84:91" s="51" customFormat="1">
      <c r="CF16083" s="239"/>
      <c r="CM16083" s="336"/>
    </row>
    <row r="16084" spans="84:91" s="51" customFormat="1">
      <c r="CF16084" s="239"/>
      <c r="CM16084" s="336"/>
    </row>
    <row r="16085" spans="84:91" s="51" customFormat="1">
      <c r="CF16085" s="239"/>
      <c r="CM16085" s="336"/>
    </row>
    <row r="16086" spans="84:91" s="51" customFormat="1">
      <c r="CF16086" s="239"/>
      <c r="CM16086" s="336"/>
    </row>
    <row r="16087" spans="84:91" s="51" customFormat="1">
      <c r="CF16087" s="239"/>
      <c r="CM16087" s="336"/>
    </row>
    <row r="16088" spans="84:91" s="51" customFormat="1">
      <c r="CF16088" s="239"/>
      <c r="CM16088" s="336"/>
    </row>
    <row r="16089" spans="84:91" s="51" customFormat="1">
      <c r="CF16089" s="239"/>
      <c r="CM16089" s="336"/>
    </row>
    <row r="16090" spans="84:91" s="51" customFormat="1">
      <c r="CF16090" s="239"/>
      <c r="CM16090" s="336"/>
    </row>
    <row r="16091" spans="84:91" s="51" customFormat="1">
      <c r="CF16091" s="239"/>
      <c r="CM16091" s="336"/>
    </row>
    <row r="16092" spans="84:91" s="51" customFormat="1">
      <c r="CF16092" s="239"/>
      <c r="CM16092" s="336"/>
    </row>
    <row r="16093" spans="84:91" s="51" customFormat="1">
      <c r="CF16093" s="239"/>
      <c r="CM16093" s="336"/>
    </row>
    <row r="16094" spans="84:91" s="51" customFormat="1">
      <c r="CF16094" s="239"/>
      <c r="CM16094" s="336"/>
    </row>
    <row r="16095" spans="84:91" s="51" customFormat="1">
      <c r="CF16095" s="239"/>
      <c r="CM16095" s="336"/>
    </row>
    <row r="16096" spans="84:91" s="51" customFormat="1">
      <c r="CF16096" s="239"/>
      <c r="CM16096" s="336"/>
    </row>
    <row r="16097" spans="84:91" s="51" customFormat="1">
      <c r="CF16097" s="239"/>
      <c r="CM16097" s="336"/>
    </row>
    <row r="16098" spans="84:91" s="51" customFormat="1">
      <c r="CF16098" s="239"/>
      <c r="CM16098" s="336"/>
    </row>
    <row r="16099" spans="84:91" s="51" customFormat="1">
      <c r="CF16099" s="239"/>
      <c r="CM16099" s="336"/>
    </row>
    <row r="16100" spans="84:91" s="51" customFormat="1">
      <c r="CF16100" s="239"/>
      <c r="CM16100" s="336"/>
    </row>
    <row r="16101" spans="84:91" s="51" customFormat="1">
      <c r="CF16101" s="239"/>
      <c r="CM16101" s="336"/>
    </row>
    <row r="16102" spans="84:91" s="51" customFormat="1">
      <c r="CF16102" s="239"/>
      <c r="CM16102" s="336"/>
    </row>
    <row r="16103" spans="84:91" s="51" customFormat="1">
      <c r="CF16103" s="239"/>
      <c r="CM16103" s="336"/>
    </row>
    <row r="16104" spans="84:91" s="51" customFormat="1">
      <c r="CF16104" s="239"/>
      <c r="CM16104" s="336"/>
    </row>
    <row r="16105" spans="84:91" s="51" customFormat="1">
      <c r="CF16105" s="239"/>
      <c r="CM16105" s="336"/>
    </row>
    <row r="16106" spans="84:91" s="51" customFormat="1">
      <c r="CF16106" s="239"/>
      <c r="CM16106" s="336"/>
    </row>
    <row r="16107" spans="84:91" s="51" customFormat="1">
      <c r="CF16107" s="239"/>
      <c r="CM16107" s="336"/>
    </row>
    <row r="16108" spans="84:91" s="51" customFormat="1">
      <c r="CF16108" s="239"/>
      <c r="CM16108" s="336"/>
    </row>
    <row r="16109" spans="84:91" s="51" customFormat="1">
      <c r="CF16109" s="239"/>
      <c r="CM16109" s="336"/>
    </row>
    <row r="16110" spans="84:91" s="51" customFormat="1">
      <c r="CF16110" s="239"/>
      <c r="CM16110" s="336"/>
    </row>
    <row r="16111" spans="84:91" s="51" customFormat="1">
      <c r="CF16111" s="239"/>
      <c r="CM16111" s="336"/>
    </row>
    <row r="16112" spans="84:91" s="51" customFormat="1">
      <c r="CF16112" s="239"/>
      <c r="CM16112" s="336"/>
    </row>
    <row r="16113" spans="84:91" s="51" customFormat="1">
      <c r="CF16113" s="239"/>
      <c r="CM16113" s="336"/>
    </row>
    <row r="16114" spans="84:91" s="51" customFormat="1">
      <c r="CF16114" s="239"/>
      <c r="CM16114" s="336"/>
    </row>
    <row r="16115" spans="84:91" s="51" customFormat="1">
      <c r="CF16115" s="239"/>
      <c r="CM16115" s="336"/>
    </row>
    <row r="16116" spans="84:91" s="51" customFormat="1">
      <c r="CF16116" s="239"/>
      <c r="CM16116" s="336"/>
    </row>
    <row r="16117" spans="84:91" s="51" customFormat="1">
      <c r="CF16117" s="239"/>
      <c r="CM16117" s="336"/>
    </row>
    <row r="16118" spans="84:91" s="51" customFormat="1">
      <c r="CF16118" s="239"/>
      <c r="CM16118" s="336"/>
    </row>
    <row r="16119" spans="84:91" s="51" customFormat="1">
      <c r="CF16119" s="239"/>
      <c r="CM16119" s="336"/>
    </row>
    <row r="16120" spans="84:91" s="51" customFormat="1">
      <c r="CF16120" s="239"/>
      <c r="CM16120" s="336"/>
    </row>
    <row r="16121" spans="84:91" s="51" customFormat="1">
      <c r="CF16121" s="239"/>
      <c r="CM16121" s="336"/>
    </row>
    <row r="16122" spans="84:91" s="51" customFormat="1">
      <c r="CF16122" s="239"/>
      <c r="CM16122" s="336"/>
    </row>
    <row r="16123" spans="84:91" s="51" customFormat="1">
      <c r="CF16123" s="239"/>
      <c r="CM16123" s="336"/>
    </row>
    <row r="16124" spans="84:91" s="51" customFormat="1">
      <c r="CF16124" s="239"/>
      <c r="CM16124" s="336"/>
    </row>
    <row r="16125" spans="84:91" s="51" customFormat="1">
      <c r="CF16125" s="239"/>
      <c r="CM16125" s="336"/>
    </row>
    <row r="16126" spans="84:91" s="51" customFormat="1">
      <c r="CF16126" s="239"/>
      <c r="CM16126" s="336"/>
    </row>
    <row r="16127" spans="84:91" s="51" customFormat="1">
      <c r="CF16127" s="239"/>
      <c r="CM16127" s="336"/>
    </row>
    <row r="16128" spans="84:91" s="51" customFormat="1">
      <c r="CF16128" s="239"/>
      <c r="CM16128" s="336"/>
    </row>
    <row r="16129" spans="84:91" s="51" customFormat="1">
      <c r="CF16129" s="239"/>
      <c r="CM16129" s="336"/>
    </row>
    <row r="16130" spans="84:91" s="51" customFormat="1">
      <c r="CF16130" s="239"/>
      <c r="CM16130" s="336"/>
    </row>
    <row r="16131" spans="84:91" s="51" customFormat="1">
      <c r="CF16131" s="239"/>
      <c r="CM16131" s="336"/>
    </row>
    <row r="16132" spans="84:91" s="51" customFormat="1">
      <c r="CF16132" s="239"/>
      <c r="CM16132" s="336"/>
    </row>
    <row r="16133" spans="84:91" s="51" customFormat="1">
      <c r="CF16133" s="239"/>
      <c r="CM16133" s="336"/>
    </row>
    <row r="16134" spans="84:91" s="51" customFormat="1">
      <c r="CF16134" s="239"/>
      <c r="CM16134" s="336"/>
    </row>
    <row r="16135" spans="84:91" s="51" customFormat="1">
      <c r="CF16135" s="239"/>
      <c r="CM16135" s="336"/>
    </row>
    <row r="16136" spans="84:91" s="51" customFormat="1">
      <c r="CF16136" s="239"/>
      <c r="CM16136" s="336"/>
    </row>
    <row r="16137" spans="84:91" s="51" customFormat="1">
      <c r="CF16137" s="239"/>
      <c r="CM16137" s="336"/>
    </row>
    <row r="16138" spans="84:91" s="51" customFormat="1">
      <c r="CF16138" s="239"/>
      <c r="CM16138" s="336"/>
    </row>
    <row r="16139" spans="84:91" s="51" customFormat="1">
      <c r="CF16139" s="239"/>
      <c r="CM16139" s="336"/>
    </row>
    <row r="16140" spans="84:91" s="51" customFormat="1">
      <c r="CF16140" s="239"/>
      <c r="CM16140" s="336"/>
    </row>
    <row r="16141" spans="84:91" s="51" customFormat="1">
      <c r="CF16141" s="239"/>
      <c r="CM16141" s="336"/>
    </row>
    <row r="16142" spans="84:91" s="51" customFormat="1">
      <c r="CF16142" s="239"/>
      <c r="CM16142" s="336"/>
    </row>
    <row r="16143" spans="84:91" s="51" customFormat="1">
      <c r="CF16143" s="239"/>
      <c r="CM16143" s="336"/>
    </row>
    <row r="16144" spans="84:91" s="51" customFormat="1">
      <c r="CF16144" s="239"/>
      <c r="CM16144" s="336"/>
    </row>
    <row r="16145" spans="84:91" s="51" customFormat="1">
      <c r="CF16145" s="239"/>
      <c r="CM16145" s="336"/>
    </row>
    <row r="16146" spans="84:91" s="51" customFormat="1">
      <c r="CF16146" s="239"/>
      <c r="CM16146" s="336"/>
    </row>
    <row r="16147" spans="84:91" s="51" customFormat="1">
      <c r="CF16147" s="239"/>
      <c r="CM16147" s="336"/>
    </row>
    <row r="16148" spans="84:91" s="51" customFormat="1">
      <c r="CF16148" s="239"/>
      <c r="CM16148" s="336"/>
    </row>
    <row r="16149" spans="84:91" s="51" customFormat="1">
      <c r="CF16149" s="239"/>
      <c r="CM16149" s="336"/>
    </row>
    <row r="16150" spans="84:91" s="51" customFormat="1">
      <c r="CF16150" s="239"/>
      <c r="CM16150" s="336"/>
    </row>
    <row r="16151" spans="84:91" s="51" customFormat="1">
      <c r="CF16151" s="239"/>
      <c r="CM16151" s="336"/>
    </row>
    <row r="16152" spans="84:91" s="51" customFormat="1">
      <c r="CF16152" s="239"/>
      <c r="CM16152" s="336"/>
    </row>
    <row r="16153" spans="84:91" s="51" customFormat="1">
      <c r="CF16153" s="239"/>
      <c r="CM16153" s="336"/>
    </row>
    <row r="16154" spans="84:91" s="51" customFormat="1">
      <c r="CF16154" s="239"/>
      <c r="CM16154" s="336"/>
    </row>
    <row r="16155" spans="84:91" s="51" customFormat="1">
      <c r="CF16155" s="239"/>
      <c r="CM16155" s="336"/>
    </row>
    <row r="16156" spans="84:91" s="51" customFormat="1">
      <c r="CF16156" s="239"/>
      <c r="CM16156" s="336"/>
    </row>
    <row r="16157" spans="84:91" s="51" customFormat="1">
      <c r="CF16157" s="239"/>
      <c r="CM16157" s="336"/>
    </row>
    <row r="16158" spans="84:91" s="51" customFormat="1">
      <c r="CF16158" s="239"/>
      <c r="CM16158" s="336"/>
    </row>
    <row r="16159" spans="84:91" s="51" customFormat="1">
      <c r="CF16159" s="239"/>
      <c r="CM16159" s="336"/>
    </row>
    <row r="16160" spans="84:91" s="51" customFormat="1">
      <c r="CF16160" s="239"/>
      <c r="CM16160" s="336"/>
    </row>
    <row r="16161" spans="84:91" s="51" customFormat="1">
      <c r="CF16161" s="239"/>
      <c r="CM16161" s="336"/>
    </row>
    <row r="16162" spans="84:91" s="51" customFormat="1">
      <c r="CF16162" s="239"/>
      <c r="CM16162" s="336"/>
    </row>
    <row r="16163" spans="84:91" s="51" customFormat="1">
      <c r="CF16163" s="239"/>
      <c r="CM16163" s="336"/>
    </row>
    <row r="16164" spans="84:91" s="51" customFormat="1">
      <c r="CF16164" s="239"/>
      <c r="CM16164" s="336"/>
    </row>
    <row r="16165" spans="84:91" s="51" customFormat="1">
      <c r="CF16165" s="239"/>
      <c r="CM16165" s="336"/>
    </row>
    <row r="16166" spans="84:91" s="51" customFormat="1">
      <c r="CF16166" s="239"/>
      <c r="CM16166" s="336"/>
    </row>
    <row r="16167" spans="84:91" s="51" customFormat="1">
      <c r="CF16167" s="239"/>
      <c r="CM16167" s="336"/>
    </row>
    <row r="16168" spans="84:91" s="51" customFormat="1">
      <c r="CF16168" s="239"/>
      <c r="CM16168" s="336"/>
    </row>
    <row r="16169" spans="84:91" s="51" customFormat="1">
      <c r="CF16169" s="239"/>
      <c r="CM16169" s="336"/>
    </row>
    <row r="16170" spans="84:91" s="51" customFormat="1">
      <c r="CF16170" s="239"/>
      <c r="CM16170" s="336"/>
    </row>
    <row r="16171" spans="84:91" s="51" customFormat="1">
      <c r="CF16171" s="239"/>
      <c r="CM16171" s="336"/>
    </row>
    <row r="16172" spans="84:91" s="51" customFormat="1">
      <c r="CF16172" s="239"/>
      <c r="CM16172" s="336"/>
    </row>
    <row r="16173" spans="84:91" s="51" customFormat="1">
      <c r="CF16173" s="239"/>
      <c r="CM16173" s="336"/>
    </row>
    <row r="16174" spans="84:91" s="51" customFormat="1">
      <c r="CF16174" s="239"/>
      <c r="CM16174" s="336"/>
    </row>
    <row r="16175" spans="84:91" s="51" customFormat="1">
      <c r="CF16175" s="239"/>
      <c r="CM16175" s="336"/>
    </row>
    <row r="16176" spans="84:91" s="51" customFormat="1">
      <c r="CF16176" s="239"/>
      <c r="CM16176" s="336"/>
    </row>
    <row r="16177" spans="84:91" s="51" customFormat="1">
      <c r="CF16177" s="239"/>
      <c r="CM16177" s="336"/>
    </row>
    <row r="16178" spans="84:91" s="51" customFormat="1">
      <c r="CF16178" s="239"/>
      <c r="CM16178" s="336"/>
    </row>
    <row r="16179" spans="84:91" s="51" customFormat="1">
      <c r="CF16179" s="239"/>
      <c r="CM16179" s="336"/>
    </row>
    <row r="16180" spans="84:91" s="51" customFormat="1">
      <c r="CF16180" s="239"/>
      <c r="CM16180" s="336"/>
    </row>
    <row r="16181" spans="84:91" s="51" customFormat="1">
      <c r="CF16181" s="239"/>
      <c r="CM16181" s="336"/>
    </row>
    <row r="16182" spans="84:91" s="51" customFormat="1">
      <c r="CF16182" s="239"/>
      <c r="CM16182" s="336"/>
    </row>
    <row r="16183" spans="84:91" s="51" customFormat="1">
      <c r="CF16183" s="239"/>
      <c r="CM16183" s="336"/>
    </row>
    <row r="16184" spans="84:91" s="51" customFormat="1">
      <c r="CF16184" s="239"/>
      <c r="CM16184" s="336"/>
    </row>
    <row r="16185" spans="84:91" s="51" customFormat="1">
      <c r="CF16185" s="239"/>
      <c r="CM16185" s="336"/>
    </row>
    <row r="16186" spans="84:91" s="51" customFormat="1">
      <c r="CF16186" s="239"/>
      <c r="CM16186" s="336"/>
    </row>
    <row r="16187" spans="84:91" s="51" customFormat="1">
      <c r="CF16187" s="239"/>
      <c r="CM16187" s="336"/>
    </row>
    <row r="16188" spans="84:91" s="51" customFormat="1">
      <c r="CF16188" s="239"/>
      <c r="CM16188" s="336"/>
    </row>
    <row r="16189" spans="84:91" s="51" customFormat="1">
      <c r="CF16189" s="239"/>
      <c r="CM16189" s="336"/>
    </row>
    <row r="16190" spans="84:91" s="51" customFormat="1">
      <c r="CF16190" s="239"/>
      <c r="CM16190" s="336"/>
    </row>
    <row r="16191" spans="84:91" s="51" customFormat="1">
      <c r="CF16191" s="239"/>
      <c r="CM16191" s="336"/>
    </row>
    <row r="16192" spans="84:91" s="51" customFormat="1">
      <c r="CF16192" s="239"/>
      <c r="CM16192" s="336"/>
    </row>
    <row r="16193" spans="84:91" s="51" customFormat="1">
      <c r="CF16193" s="239"/>
      <c r="CM16193" s="336"/>
    </row>
    <row r="16194" spans="84:91" s="51" customFormat="1">
      <c r="CF16194" s="239"/>
      <c r="CM16194" s="336"/>
    </row>
    <row r="16195" spans="84:91" s="51" customFormat="1">
      <c r="CF16195" s="239"/>
      <c r="CM16195" s="336"/>
    </row>
    <row r="16196" spans="84:91" s="51" customFormat="1">
      <c r="CF16196" s="239"/>
      <c r="CM16196" s="336"/>
    </row>
    <row r="16197" spans="84:91" s="51" customFormat="1">
      <c r="CF16197" s="239"/>
      <c r="CM16197" s="336"/>
    </row>
    <row r="16198" spans="84:91" s="51" customFormat="1">
      <c r="CF16198" s="239"/>
      <c r="CM16198" s="336"/>
    </row>
    <row r="16199" spans="84:91" s="51" customFormat="1">
      <c r="CF16199" s="239"/>
      <c r="CM16199" s="336"/>
    </row>
    <row r="16200" spans="84:91" s="51" customFormat="1">
      <c r="CF16200" s="239"/>
      <c r="CM16200" s="336"/>
    </row>
    <row r="16201" spans="84:91" s="51" customFormat="1">
      <c r="CF16201" s="239"/>
      <c r="CM16201" s="336"/>
    </row>
    <row r="16202" spans="84:91" s="51" customFormat="1">
      <c r="CF16202" s="239"/>
      <c r="CM16202" s="336"/>
    </row>
    <row r="16203" spans="84:91" s="51" customFormat="1">
      <c r="CF16203" s="239"/>
      <c r="CM16203" s="336"/>
    </row>
    <row r="16204" spans="84:91" s="51" customFormat="1">
      <c r="CF16204" s="239"/>
      <c r="CM16204" s="336"/>
    </row>
    <row r="16205" spans="84:91" s="51" customFormat="1">
      <c r="CF16205" s="239"/>
      <c r="CM16205" s="336"/>
    </row>
    <row r="16206" spans="84:91" s="51" customFormat="1">
      <c r="CF16206" s="239"/>
      <c r="CM16206" s="336"/>
    </row>
    <row r="16207" spans="84:91" s="51" customFormat="1">
      <c r="CF16207" s="239"/>
      <c r="CM16207" s="336"/>
    </row>
    <row r="16208" spans="84:91" s="51" customFormat="1">
      <c r="CF16208" s="239"/>
      <c r="CM16208" s="336"/>
    </row>
    <row r="16209" spans="84:91" s="51" customFormat="1">
      <c r="CF16209" s="239"/>
      <c r="CM16209" s="336"/>
    </row>
    <row r="16210" spans="84:91" s="51" customFormat="1">
      <c r="CF16210" s="239"/>
      <c r="CM16210" s="336"/>
    </row>
    <row r="16211" spans="84:91" s="51" customFormat="1">
      <c r="CF16211" s="239"/>
      <c r="CM16211" s="336"/>
    </row>
    <row r="16212" spans="84:91" s="51" customFormat="1">
      <c r="CF16212" s="239"/>
      <c r="CM16212" s="336"/>
    </row>
    <row r="16213" spans="84:91" s="51" customFormat="1">
      <c r="CF16213" s="239"/>
      <c r="CM16213" s="336"/>
    </row>
    <row r="16214" spans="84:91" s="51" customFormat="1">
      <c r="CF16214" s="239"/>
      <c r="CM16214" s="336"/>
    </row>
    <row r="16215" spans="84:91" s="51" customFormat="1">
      <c r="CF16215" s="239"/>
      <c r="CM16215" s="336"/>
    </row>
    <row r="16216" spans="84:91" s="51" customFormat="1">
      <c r="CF16216" s="239"/>
      <c r="CM16216" s="336"/>
    </row>
    <row r="16217" spans="84:91" s="51" customFormat="1">
      <c r="CF16217" s="239"/>
      <c r="CM16217" s="336"/>
    </row>
    <row r="16218" spans="84:91" s="51" customFormat="1">
      <c r="CF16218" s="239"/>
      <c r="CM16218" s="336"/>
    </row>
    <row r="16219" spans="84:91" s="51" customFormat="1">
      <c r="CF16219" s="239"/>
      <c r="CM16219" s="336"/>
    </row>
    <row r="16220" spans="84:91" s="51" customFormat="1">
      <c r="CF16220" s="239"/>
      <c r="CM16220" s="336"/>
    </row>
    <row r="16221" spans="84:91" s="51" customFormat="1">
      <c r="CF16221" s="239"/>
      <c r="CM16221" s="336"/>
    </row>
    <row r="16222" spans="84:91" s="51" customFormat="1">
      <c r="CF16222" s="239"/>
      <c r="CM16222" s="336"/>
    </row>
    <row r="16223" spans="84:91" s="51" customFormat="1">
      <c r="CF16223" s="239"/>
      <c r="CM16223" s="336"/>
    </row>
    <row r="16224" spans="84:91" s="51" customFormat="1">
      <c r="CF16224" s="239"/>
      <c r="CM16224" s="336"/>
    </row>
    <row r="16225" spans="84:91" s="51" customFormat="1">
      <c r="CF16225" s="239"/>
      <c r="CM16225" s="336"/>
    </row>
    <row r="16226" spans="84:91" s="51" customFormat="1">
      <c r="CF16226" s="239"/>
      <c r="CM16226" s="336"/>
    </row>
    <row r="16227" spans="84:91" s="51" customFormat="1">
      <c r="CF16227" s="239"/>
      <c r="CM16227" s="336"/>
    </row>
    <row r="16228" spans="84:91" s="51" customFormat="1">
      <c r="CF16228" s="239"/>
      <c r="CM16228" s="336"/>
    </row>
    <row r="16229" spans="84:91" s="51" customFormat="1">
      <c r="CF16229" s="239"/>
      <c r="CM16229" s="336"/>
    </row>
    <row r="16230" spans="84:91" s="51" customFormat="1">
      <c r="CF16230" s="239"/>
      <c r="CM16230" s="336"/>
    </row>
    <row r="16231" spans="84:91" s="51" customFormat="1">
      <c r="CF16231" s="239"/>
      <c r="CM16231" s="336"/>
    </row>
    <row r="16232" spans="84:91" s="51" customFormat="1">
      <c r="CF16232" s="239"/>
      <c r="CM16232" s="336"/>
    </row>
    <row r="16233" spans="84:91" s="51" customFormat="1">
      <c r="CF16233" s="239"/>
      <c r="CM16233" s="336"/>
    </row>
    <row r="16234" spans="84:91" s="51" customFormat="1">
      <c r="CF16234" s="239"/>
      <c r="CM16234" s="336"/>
    </row>
    <row r="16235" spans="84:91" s="51" customFormat="1">
      <c r="CF16235" s="239"/>
      <c r="CM16235" s="336"/>
    </row>
    <row r="16236" spans="84:91" s="51" customFormat="1">
      <c r="CF16236" s="239"/>
      <c r="CM16236" s="336"/>
    </row>
    <row r="16237" spans="84:91" s="51" customFormat="1">
      <c r="CF16237" s="239"/>
      <c r="CM16237" s="336"/>
    </row>
    <row r="16238" spans="84:91" s="51" customFormat="1">
      <c r="CF16238" s="239"/>
      <c r="CM16238" s="336"/>
    </row>
    <row r="16239" spans="84:91" s="51" customFormat="1">
      <c r="CF16239" s="239"/>
      <c r="CM16239" s="336"/>
    </row>
    <row r="16240" spans="84:91" s="51" customFormat="1">
      <c r="CF16240" s="239"/>
      <c r="CM16240" s="336"/>
    </row>
    <row r="16241" spans="84:91" s="51" customFormat="1">
      <c r="CF16241" s="239"/>
      <c r="CM16241" s="336"/>
    </row>
    <row r="16242" spans="84:91" s="51" customFormat="1">
      <c r="CF16242" s="239"/>
      <c r="CM16242" s="336"/>
    </row>
    <row r="16243" spans="84:91" s="51" customFormat="1">
      <c r="CF16243" s="239"/>
      <c r="CM16243" s="336"/>
    </row>
    <row r="16244" spans="84:91" s="51" customFormat="1">
      <c r="CF16244" s="239"/>
      <c r="CM16244" s="336"/>
    </row>
    <row r="16245" spans="84:91" s="51" customFormat="1">
      <c r="CF16245" s="239"/>
      <c r="CM16245" s="336"/>
    </row>
    <row r="16246" spans="84:91" s="51" customFormat="1">
      <c r="CF16246" s="239"/>
      <c r="CM16246" s="336"/>
    </row>
    <row r="16247" spans="84:91" s="51" customFormat="1">
      <c r="CF16247" s="239"/>
      <c r="CM16247" s="336"/>
    </row>
    <row r="16248" spans="84:91" s="51" customFormat="1">
      <c r="CF16248" s="239"/>
      <c r="CM16248" s="336"/>
    </row>
    <row r="16249" spans="84:91" s="51" customFormat="1">
      <c r="CF16249" s="239"/>
      <c r="CM16249" s="336"/>
    </row>
    <row r="16250" spans="84:91" s="51" customFormat="1">
      <c r="CF16250" s="239"/>
      <c r="CM16250" s="336"/>
    </row>
    <row r="16251" spans="84:91" s="51" customFormat="1">
      <c r="CF16251" s="239"/>
      <c r="CM16251" s="336"/>
    </row>
    <row r="16252" spans="84:91" s="51" customFormat="1">
      <c r="CF16252" s="239"/>
      <c r="CM16252" s="336"/>
    </row>
    <row r="16253" spans="84:91" s="51" customFormat="1">
      <c r="CF16253" s="239"/>
      <c r="CM16253" s="336"/>
    </row>
    <row r="16254" spans="84:91" s="51" customFormat="1">
      <c r="CF16254" s="239"/>
      <c r="CM16254" s="336"/>
    </row>
    <row r="16255" spans="84:91" s="51" customFormat="1">
      <c r="CF16255" s="239"/>
      <c r="CM16255" s="336"/>
    </row>
    <row r="16256" spans="84:91" s="51" customFormat="1">
      <c r="CF16256" s="239"/>
      <c r="CM16256" s="336"/>
    </row>
    <row r="16257" spans="84:91" s="51" customFormat="1">
      <c r="CF16257" s="239"/>
      <c r="CM16257" s="336"/>
    </row>
    <row r="16258" spans="84:91" s="51" customFormat="1">
      <c r="CF16258" s="239"/>
      <c r="CM16258" s="336"/>
    </row>
    <row r="16259" spans="84:91" s="51" customFormat="1">
      <c r="CF16259" s="239"/>
      <c r="CM16259" s="336"/>
    </row>
    <row r="16260" spans="84:91" s="51" customFormat="1">
      <c r="CF16260" s="239"/>
      <c r="CM16260" s="336"/>
    </row>
    <row r="16261" spans="84:91" s="51" customFormat="1">
      <c r="CF16261" s="239"/>
      <c r="CM16261" s="336"/>
    </row>
    <row r="16262" spans="84:91" s="51" customFormat="1">
      <c r="CF16262" s="239"/>
      <c r="CM16262" s="336"/>
    </row>
    <row r="16263" spans="84:91" s="51" customFormat="1">
      <c r="CF16263" s="239"/>
      <c r="CM16263" s="336"/>
    </row>
    <row r="16264" spans="84:91" s="51" customFormat="1">
      <c r="CF16264" s="239"/>
      <c r="CM16264" s="336"/>
    </row>
    <row r="16265" spans="84:91" s="51" customFormat="1">
      <c r="CF16265" s="239"/>
      <c r="CM16265" s="336"/>
    </row>
    <row r="16266" spans="84:91" s="51" customFormat="1">
      <c r="CF16266" s="239"/>
      <c r="CM16266" s="336"/>
    </row>
    <row r="16267" spans="84:91" s="51" customFormat="1">
      <c r="CF16267" s="239"/>
      <c r="CM16267" s="336"/>
    </row>
    <row r="16268" spans="84:91" s="51" customFormat="1">
      <c r="CF16268" s="239"/>
      <c r="CM16268" s="336"/>
    </row>
    <row r="16269" spans="84:91" s="51" customFormat="1">
      <c r="CF16269" s="239"/>
      <c r="CM16269" s="336"/>
    </row>
    <row r="16270" spans="84:91" s="51" customFormat="1">
      <c r="CF16270" s="239"/>
      <c r="CM16270" s="336"/>
    </row>
    <row r="16271" spans="84:91" s="51" customFormat="1">
      <c r="CF16271" s="239"/>
      <c r="CM16271" s="336"/>
    </row>
    <row r="16272" spans="84:91" s="51" customFormat="1">
      <c r="CF16272" s="239"/>
      <c r="CM16272" s="336"/>
    </row>
    <row r="16273" spans="84:91" s="51" customFormat="1">
      <c r="CF16273" s="239"/>
      <c r="CM16273" s="336"/>
    </row>
    <row r="16274" spans="84:91" s="51" customFormat="1">
      <c r="CF16274" s="239"/>
      <c r="CM16274" s="336"/>
    </row>
    <row r="16275" spans="84:91" s="51" customFormat="1">
      <c r="CF16275" s="239"/>
      <c r="CM16275" s="336"/>
    </row>
    <row r="16276" spans="84:91" s="51" customFormat="1">
      <c r="CF16276" s="239"/>
      <c r="CM16276" s="336"/>
    </row>
    <row r="16277" spans="84:91" s="51" customFormat="1">
      <c r="CF16277" s="239"/>
      <c r="CM16277" s="336"/>
    </row>
    <row r="16278" spans="84:91" s="51" customFormat="1">
      <c r="CF16278" s="239"/>
      <c r="CM16278" s="336"/>
    </row>
    <row r="16279" spans="84:91" s="51" customFormat="1">
      <c r="CF16279" s="239"/>
      <c r="CM16279" s="336"/>
    </row>
    <row r="16280" spans="84:91" s="51" customFormat="1">
      <c r="CF16280" s="239"/>
      <c r="CM16280" s="336"/>
    </row>
    <row r="16281" spans="84:91" s="51" customFormat="1">
      <c r="CF16281" s="239"/>
      <c r="CM16281" s="336"/>
    </row>
    <row r="16282" spans="84:91" s="51" customFormat="1">
      <c r="CF16282" s="239"/>
      <c r="CM16282" s="336"/>
    </row>
    <row r="16283" spans="84:91" s="51" customFormat="1">
      <c r="CF16283" s="239"/>
      <c r="CM16283" s="336"/>
    </row>
    <row r="16284" spans="84:91" s="51" customFormat="1">
      <c r="CF16284" s="239"/>
      <c r="CM16284" s="336"/>
    </row>
    <row r="16285" spans="84:91" s="51" customFormat="1">
      <c r="CF16285" s="239"/>
      <c r="CM16285" s="336"/>
    </row>
    <row r="16286" spans="84:91" s="51" customFormat="1">
      <c r="CF16286" s="239"/>
      <c r="CM16286" s="336"/>
    </row>
    <row r="16287" spans="84:91" s="51" customFormat="1">
      <c r="CF16287" s="239"/>
      <c r="CM16287" s="336"/>
    </row>
    <row r="16288" spans="84:91" s="51" customFormat="1">
      <c r="CF16288" s="239"/>
      <c r="CM16288" s="336"/>
    </row>
    <row r="16289" spans="84:91" s="51" customFormat="1">
      <c r="CF16289" s="239"/>
      <c r="CM16289" s="336"/>
    </row>
    <row r="16290" spans="84:91" s="51" customFormat="1">
      <c r="CF16290" s="239"/>
      <c r="CM16290" s="336"/>
    </row>
    <row r="16291" spans="84:91" s="51" customFormat="1">
      <c r="CF16291" s="239"/>
      <c r="CM16291" s="336"/>
    </row>
    <row r="16292" spans="84:91" s="51" customFormat="1">
      <c r="CF16292" s="239"/>
      <c r="CM16292" s="336"/>
    </row>
    <row r="16293" spans="84:91" s="51" customFormat="1">
      <c r="CF16293" s="239"/>
      <c r="CM16293" s="336"/>
    </row>
    <row r="16294" spans="84:91" s="51" customFormat="1">
      <c r="CF16294" s="239"/>
      <c r="CM16294" s="336"/>
    </row>
    <row r="16295" spans="84:91" s="51" customFormat="1">
      <c r="CF16295" s="239"/>
      <c r="CM16295" s="336"/>
    </row>
    <row r="16296" spans="84:91" s="51" customFormat="1">
      <c r="CF16296" s="239"/>
      <c r="CM16296" s="336"/>
    </row>
    <row r="16297" spans="84:91" s="51" customFormat="1">
      <c r="CF16297" s="239"/>
      <c r="CM16297" s="336"/>
    </row>
    <row r="16298" spans="84:91" s="51" customFormat="1">
      <c r="CF16298" s="239"/>
      <c r="CM16298" s="336"/>
    </row>
    <row r="16299" spans="84:91" s="51" customFormat="1">
      <c r="CF16299" s="239"/>
      <c r="CM16299" s="336"/>
    </row>
    <row r="16300" spans="84:91" s="51" customFormat="1">
      <c r="CF16300" s="239"/>
      <c r="CM16300" s="336"/>
    </row>
    <row r="16301" spans="84:91" s="51" customFormat="1">
      <c r="CF16301" s="239"/>
      <c r="CM16301" s="336"/>
    </row>
    <row r="16302" spans="84:91" s="51" customFormat="1">
      <c r="CF16302" s="239"/>
      <c r="CM16302" s="336"/>
    </row>
    <row r="16303" spans="84:91" s="51" customFormat="1">
      <c r="CF16303" s="239"/>
      <c r="CM16303" s="336"/>
    </row>
    <row r="16304" spans="84:91" s="51" customFormat="1">
      <c r="CF16304" s="239"/>
      <c r="CM16304" s="336"/>
    </row>
    <row r="16305" spans="84:91" s="51" customFormat="1">
      <c r="CF16305" s="239"/>
      <c r="CM16305" s="336"/>
    </row>
    <row r="16306" spans="84:91" s="51" customFormat="1">
      <c r="CF16306" s="239"/>
      <c r="CM16306" s="336"/>
    </row>
    <row r="16307" spans="84:91" s="51" customFormat="1">
      <c r="CF16307" s="239"/>
      <c r="CM16307" s="336"/>
    </row>
    <row r="16308" spans="84:91" s="51" customFormat="1">
      <c r="CF16308" s="239"/>
      <c r="CM16308" s="336"/>
    </row>
    <row r="16309" spans="84:91" s="51" customFormat="1">
      <c r="CF16309" s="239"/>
      <c r="CM16309" s="336"/>
    </row>
    <row r="16310" spans="84:91" s="51" customFormat="1">
      <c r="CF16310" s="239"/>
      <c r="CM16310" s="336"/>
    </row>
    <row r="16311" spans="84:91" s="51" customFormat="1">
      <c r="CF16311" s="239"/>
      <c r="CM16311" s="336"/>
    </row>
    <row r="16312" spans="84:91" s="51" customFormat="1">
      <c r="CF16312" s="239"/>
      <c r="CM16312" s="336"/>
    </row>
    <row r="16313" spans="84:91" s="51" customFormat="1">
      <c r="CF16313" s="239"/>
      <c r="CM16313" s="336"/>
    </row>
    <row r="16314" spans="84:91" s="51" customFormat="1">
      <c r="CF16314" s="239"/>
      <c r="CM16314" s="336"/>
    </row>
    <row r="16315" spans="84:91" s="51" customFormat="1">
      <c r="CF16315" s="239"/>
      <c r="CM16315" s="336"/>
    </row>
    <row r="16316" spans="84:91" s="51" customFormat="1">
      <c r="CF16316" s="239"/>
      <c r="CM16316" s="336"/>
    </row>
    <row r="16317" spans="84:91" s="51" customFormat="1">
      <c r="CF16317" s="239"/>
      <c r="CM16317" s="336"/>
    </row>
    <row r="16318" spans="84:91" s="51" customFormat="1">
      <c r="CF16318" s="239"/>
      <c r="CM16318" s="336"/>
    </row>
    <row r="16319" spans="84:91" s="51" customFormat="1">
      <c r="CF16319" s="239"/>
      <c r="CM16319" s="336"/>
    </row>
    <row r="16320" spans="84:91" s="51" customFormat="1">
      <c r="CF16320" s="239"/>
      <c r="CM16320" s="336"/>
    </row>
    <row r="16321" spans="84:91" s="51" customFormat="1">
      <c r="CF16321" s="239"/>
      <c r="CM16321" s="336"/>
    </row>
    <row r="16322" spans="84:91" s="51" customFormat="1">
      <c r="CF16322" s="239"/>
      <c r="CM16322" s="336"/>
    </row>
    <row r="16323" spans="84:91" s="51" customFormat="1">
      <c r="CF16323" s="239"/>
      <c r="CM16323" s="336"/>
    </row>
    <row r="16324" spans="84:91" s="51" customFormat="1">
      <c r="CF16324" s="239"/>
      <c r="CM16324" s="336"/>
    </row>
    <row r="16325" spans="84:91" s="51" customFormat="1">
      <c r="CF16325" s="239"/>
      <c r="CM16325" s="336"/>
    </row>
    <row r="16326" spans="84:91" s="51" customFormat="1">
      <c r="CF16326" s="239"/>
      <c r="CM16326" s="336"/>
    </row>
    <row r="16327" spans="84:91" s="51" customFormat="1">
      <c r="CF16327" s="239"/>
      <c r="CM16327" s="336"/>
    </row>
    <row r="16328" spans="84:91" s="51" customFormat="1">
      <c r="CF16328" s="239"/>
      <c r="CM16328" s="336"/>
    </row>
    <row r="16329" spans="84:91" s="51" customFormat="1">
      <c r="CF16329" s="239"/>
      <c r="CM16329" s="336"/>
    </row>
    <row r="16330" spans="84:91" s="51" customFormat="1">
      <c r="CF16330" s="239"/>
      <c r="CM16330" s="336"/>
    </row>
    <row r="16331" spans="84:91" s="51" customFormat="1">
      <c r="CF16331" s="239"/>
      <c r="CM16331" s="336"/>
    </row>
    <row r="16332" spans="84:91" s="51" customFormat="1">
      <c r="CF16332" s="239"/>
      <c r="CM16332" s="336"/>
    </row>
    <row r="16333" spans="84:91" s="51" customFormat="1">
      <c r="CF16333" s="239"/>
      <c r="CM16333" s="336"/>
    </row>
    <row r="16334" spans="84:91" s="51" customFormat="1">
      <c r="CF16334" s="239"/>
      <c r="CM16334" s="336"/>
    </row>
    <row r="16335" spans="84:91" s="51" customFormat="1">
      <c r="CF16335" s="239"/>
      <c r="CM16335" s="336"/>
    </row>
    <row r="16336" spans="84:91" s="51" customFormat="1">
      <c r="CF16336" s="239"/>
      <c r="CM16336" s="336"/>
    </row>
    <row r="16337" spans="84:91" s="51" customFormat="1">
      <c r="CF16337" s="239"/>
      <c r="CM16337" s="336"/>
    </row>
    <row r="16338" spans="84:91" s="51" customFormat="1">
      <c r="CF16338" s="239"/>
      <c r="CM16338" s="336"/>
    </row>
    <row r="16339" spans="84:91" s="51" customFormat="1">
      <c r="CF16339" s="239"/>
      <c r="CM16339" s="336"/>
    </row>
    <row r="16340" spans="84:91" s="51" customFormat="1">
      <c r="CF16340" s="239"/>
      <c r="CM16340" s="336"/>
    </row>
    <row r="16341" spans="84:91" s="51" customFormat="1">
      <c r="CF16341" s="239"/>
      <c r="CM16341" s="336"/>
    </row>
    <row r="16342" spans="84:91" s="51" customFormat="1">
      <c r="CF16342" s="239"/>
      <c r="CM16342" s="336"/>
    </row>
    <row r="16343" spans="84:91" s="51" customFormat="1">
      <c r="CF16343" s="239"/>
      <c r="CM16343" s="336"/>
    </row>
    <row r="16344" spans="84:91" s="51" customFormat="1">
      <c r="CF16344" s="239"/>
      <c r="CM16344" s="336"/>
    </row>
    <row r="16345" spans="84:91" s="51" customFormat="1">
      <c r="CF16345" s="239"/>
      <c r="CM16345" s="336"/>
    </row>
    <row r="16346" spans="84:91" s="51" customFormat="1">
      <c r="CF16346" s="239"/>
      <c r="CM16346" s="336"/>
    </row>
    <row r="16347" spans="84:91" s="51" customFormat="1">
      <c r="CF16347" s="239"/>
      <c r="CM16347" s="336"/>
    </row>
    <row r="16348" spans="84:91" s="51" customFormat="1">
      <c r="CF16348" s="239"/>
      <c r="CM16348" s="336"/>
    </row>
    <row r="16349" spans="84:91" s="51" customFormat="1">
      <c r="CF16349" s="239"/>
      <c r="CM16349" s="336"/>
    </row>
    <row r="16350" spans="84:91" s="51" customFormat="1">
      <c r="CF16350" s="239"/>
      <c r="CM16350" s="336"/>
    </row>
    <row r="16351" spans="84:91" s="51" customFormat="1">
      <c r="CF16351" s="239"/>
      <c r="CM16351" s="336"/>
    </row>
    <row r="16352" spans="84:91" s="51" customFormat="1">
      <c r="CF16352" s="239"/>
      <c r="CM16352" s="336"/>
    </row>
    <row r="16353" spans="84:91" s="51" customFormat="1">
      <c r="CF16353" s="239"/>
      <c r="CM16353" s="336"/>
    </row>
    <row r="16354" spans="84:91" s="51" customFormat="1">
      <c r="CF16354" s="239"/>
      <c r="CM16354" s="336"/>
    </row>
    <row r="16355" spans="84:91" s="51" customFormat="1">
      <c r="CF16355" s="239"/>
      <c r="CM16355" s="336"/>
    </row>
    <row r="16356" spans="84:91" s="51" customFormat="1">
      <c r="CF16356" s="239"/>
      <c r="CM16356" s="336"/>
    </row>
    <row r="16357" spans="84:91" s="51" customFormat="1">
      <c r="CF16357" s="239"/>
      <c r="CM16357" s="336"/>
    </row>
    <row r="16358" spans="84:91" s="51" customFormat="1">
      <c r="CF16358" s="239"/>
      <c r="CM16358" s="336"/>
    </row>
    <row r="16359" spans="84:91" s="51" customFormat="1">
      <c r="CF16359" s="239"/>
      <c r="CM16359" s="336"/>
    </row>
    <row r="16360" spans="84:91" s="51" customFormat="1">
      <c r="CF16360" s="239"/>
      <c r="CM16360" s="336"/>
    </row>
    <row r="16361" spans="84:91" s="51" customFormat="1">
      <c r="CF16361" s="239"/>
      <c r="CM16361" s="336"/>
    </row>
    <row r="16362" spans="84:91" s="51" customFormat="1">
      <c r="CF16362" s="239"/>
      <c r="CM16362" s="336"/>
    </row>
    <row r="16363" spans="84:91" s="51" customFormat="1">
      <c r="CF16363" s="239"/>
      <c r="CM16363" s="336"/>
    </row>
    <row r="16364" spans="84:91" s="51" customFormat="1">
      <c r="CF16364" s="239"/>
      <c r="CM16364" s="336"/>
    </row>
    <row r="16365" spans="84:91" s="51" customFormat="1">
      <c r="CF16365" s="239"/>
      <c r="CM16365" s="336"/>
    </row>
    <row r="16366" spans="84:91" s="51" customFormat="1">
      <c r="CF16366" s="239"/>
      <c r="CM16366" s="336"/>
    </row>
    <row r="16367" spans="84:91" s="51" customFormat="1">
      <c r="CF16367" s="239"/>
      <c r="CM16367" s="336"/>
    </row>
    <row r="16368" spans="84:91" s="51" customFormat="1">
      <c r="CF16368" s="239"/>
      <c r="CM16368" s="336"/>
    </row>
    <row r="16369" spans="84:91" s="51" customFormat="1">
      <c r="CF16369" s="239"/>
      <c r="CM16369" s="336"/>
    </row>
    <row r="16370" spans="84:91" s="51" customFormat="1">
      <c r="CF16370" s="239"/>
      <c r="CM16370" s="336"/>
    </row>
    <row r="16371" spans="84:91" s="51" customFormat="1">
      <c r="CF16371" s="239"/>
      <c r="CM16371" s="336"/>
    </row>
    <row r="16372" spans="84:91" s="51" customFormat="1">
      <c r="CF16372" s="239"/>
      <c r="CM16372" s="336"/>
    </row>
    <row r="16373" spans="84:91" s="51" customFormat="1">
      <c r="CF16373" s="239"/>
      <c r="CM16373" s="336"/>
    </row>
    <row r="16374" spans="84:91" s="51" customFormat="1">
      <c r="CF16374" s="239"/>
      <c r="CM16374" s="336"/>
    </row>
    <row r="16375" spans="84:91" s="51" customFormat="1">
      <c r="CF16375" s="239"/>
      <c r="CM16375" s="336"/>
    </row>
    <row r="16376" spans="84:91" s="51" customFormat="1">
      <c r="CF16376" s="239"/>
      <c r="CM16376" s="336"/>
    </row>
    <row r="16377" spans="84:91" s="51" customFormat="1">
      <c r="CF16377" s="239"/>
      <c r="CM16377" s="336"/>
    </row>
    <row r="16378" spans="84:91" s="51" customFormat="1">
      <c r="CF16378" s="239"/>
      <c r="CM16378" s="336"/>
    </row>
    <row r="16379" spans="84:91" s="51" customFormat="1">
      <c r="CF16379" s="239"/>
      <c r="CM16379" s="336"/>
    </row>
    <row r="16380" spans="84:91" s="51" customFormat="1">
      <c r="CF16380" s="239"/>
      <c r="CM16380" s="336"/>
    </row>
    <row r="16381" spans="84:91" s="51" customFormat="1">
      <c r="CF16381" s="239"/>
      <c r="CM16381" s="336"/>
    </row>
    <row r="16382" spans="84:91" s="51" customFormat="1">
      <c r="CF16382" s="239"/>
      <c r="CM16382" s="336"/>
    </row>
    <row r="16383" spans="84:91" s="51" customFormat="1">
      <c r="CF16383" s="239"/>
      <c r="CM16383" s="336"/>
    </row>
    <row r="16384" spans="84:91" s="51" customFormat="1">
      <c r="CF16384" s="239"/>
      <c r="CM16384" s="336"/>
    </row>
    <row r="16385" spans="84:91" s="51" customFormat="1">
      <c r="CF16385" s="239"/>
      <c r="CM16385" s="336"/>
    </row>
    <row r="16386" spans="84:91" s="51" customFormat="1">
      <c r="CF16386" s="239"/>
      <c r="CM16386" s="336"/>
    </row>
    <row r="16387" spans="84:91" s="51" customFormat="1">
      <c r="CF16387" s="239"/>
      <c r="CM16387" s="336"/>
    </row>
    <row r="16388" spans="84:91" s="51" customFormat="1">
      <c r="CF16388" s="239"/>
      <c r="CM16388" s="336"/>
    </row>
    <row r="16389" spans="84:91" s="51" customFormat="1">
      <c r="CF16389" s="239"/>
      <c r="CM16389" s="336"/>
    </row>
    <row r="16390" spans="84:91" s="51" customFormat="1">
      <c r="CF16390" s="239"/>
      <c r="CM16390" s="336"/>
    </row>
    <row r="16391" spans="84:91" s="51" customFormat="1">
      <c r="CF16391" s="239"/>
      <c r="CM16391" s="336"/>
    </row>
    <row r="16392" spans="84:91" s="51" customFormat="1">
      <c r="CF16392" s="239"/>
      <c r="CM16392" s="336"/>
    </row>
    <row r="16393" spans="84:91" s="51" customFormat="1">
      <c r="CF16393" s="239"/>
      <c r="CM16393" s="336"/>
    </row>
    <row r="16394" spans="84:91" s="51" customFormat="1">
      <c r="CF16394" s="239"/>
      <c r="CM16394" s="336"/>
    </row>
    <row r="16395" spans="84:91" s="51" customFormat="1">
      <c r="CF16395" s="239"/>
      <c r="CM16395" s="336"/>
    </row>
    <row r="16396" spans="84:91" s="51" customFormat="1">
      <c r="CF16396" s="239"/>
      <c r="CM16396" s="336"/>
    </row>
    <row r="16397" spans="84:91" s="51" customFormat="1">
      <c r="CF16397" s="239"/>
      <c r="CM16397" s="336"/>
    </row>
    <row r="16398" spans="84:91" s="51" customFormat="1">
      <c r="CF16398" s="239"/>
      <c r="CM16398" s="336"/>
    </row>
    <row r="16399" spans="84:91" s="51" customFormat="1">
      <c r="CF16399" s="239"/>
      <c r="CM16399" s="336"/>
    </row>
    <row r="16400" spans="84:91" s="51" customFormat="1">
      <c r="CF16400" s="239"/>
      <c r="CM16400" s="336"/>
    </row>
    <row r="16401" spans="84:91" s="51" customFormat="1">
      <c r="CF16401" s="239"/>
      <c r="CM16401" s="336"/>
    </row>
    <row r="16402" spans="84:91" s="51" customFormat="1">
      <c r="CF16402" s="239"/>
      <c r="CM16402" s="336"/>
    </row>
    <row r="16403" spans="84:91" s="51" customFormat="1">
      <c r="CF16403" s="239"/>
      <c r="CM16403" s="336"/>
    </row>
    <row r="16404" spans="84:91" s="51" customFormat="1">
      <c r="CF16404" s="239"/>
      <c r="CM16404" s="336"/>
    </row>
    <row r="16405" spans="84:91" s="51" customFormat="1">
      <c r="CF16405" s="239"/>
      <c r="CM16405" s="336"/>
    </row>
    <row r="16406" spans="84:91" s="51" customFormat="1">
      <c r="CF16406" s="239"/>
      <c r="CM16406" s="336"/>
    </row>
    <row r="16407" spans="84:91" s="51" customFormat="1">
      <c r="CF16407" s="239"/>
      <c r="CM16407" s="336"/>
    </row>
    <row r="16408" spans="84:91" s="51" customFormat="1">
      <c r="CF16408" s="239"/>
      <c r="CM16408" s="336"/>
    </row>
    <row r="16409" spans="84:91" s="51" customFormat="1">
      <c r="CF16409" s="239"/>
      <c r="CM16409" s="336"/>
    </row>
    <row r="16410" spans="84:91" s="51" customFormat="1">
      <c r="CF16410" s="239"/>
      <c r="CM16410" s="336"/>
    </row>
    <row r="16411" spans="84:91" s="51" customFormat="1">
      <c r="CF16411" s="239"/>
      <c r="CM16411" s="336"/>
    </row>
    <row r="16412" spans="84:91" s="51" customFormat="1">
      <c r="CF16412" s="239"/>
      <c r="CM16412" s="336"/>
    </row>
    <row r="16413" spans="84:91" s="51" customFormat="1">
      <c r="CF16413" s="239"/>
      <c r="CM16413" s="336"/>
    </row>
    <row r="16414" spans="84:91" s="51" customFormat="1">
      <c r="CF16414" s="239"/>
      <c r="CM16414" s="336"/>
    </row>
    <row r="16415" spans="84:91" s="51" customFormat="1">
      <c r="CF16415" s="239"/>
      <c r="CM16415" s="336"/>
    </row>
    <row r="16416" spans="84:91" s="51" customFormat="1">
      <c r="CF16416" s="239"/>
      <c r="CM16416" s="336"/>
    </row>
    <row r="16417" spans="84:91" s="51" customFormat="1">
      <c r="CF16417" s="239"/>
      <c r="CM16417" s="336"/>
    </row>
    <row r="16418" spans="84:91" s="51" customFormat="1">
      <c r="CF16418" s="239"/>
      <c r="CM16418" s="336"/>
    </row>
    <row r="16419" spans="84:91" s="51" customFormat="1">
      <c r="CF16419" s="239"/>
      <c r="CM16419" s="336"/>
    </row>
    <row r="16420" spans="84:91" s="51" customFormat="1">
      <c r="CF16420" s="239"/>
      <c r="CM16420" s="336"/>
    </row>
    <row r="16421" spans="84:91" s="51" customFormat="1">
      <c r="CF16421" s="239"/>
      <c r="CM16421" s="336"/>
    </row>
    <row r="16422" spans="84:91" s="51" customFormat="1">
      <c r="CF16422" s="239"/>
      <c r="CM16422" s="336"/>
    </row>
    <row r="16423" spans="84:91" s="51" customFormat="1">
      <c r="CF16423" s="239"/>
      <c r="CM16423" s="336"/>
    </row>
    <row r="16424" spans="84:91" s="51" customFormat="1">
      <c r="CF16424" s="239"/>
      <c r="CM16424" s="336"/>
    </row>
    <row r="16425" spans="84:91" s="51" customFormat="1">
      <c r="CF16425" s="239"/>
      <c r="CM16425" s="336"/>
    </row>
    <row r="16426" spans="84:91" s="51" customFormat="1">
      <c r="CF16426" s="239"/>
      <c r="CM16426" s="336"/>
    </row>
    <row r="16427" spans="84:91" s="51" customFormat="1">
      <c r="CF16427" s="239"/>
      <c r="CM16427" s="336"/>
    </row>
    <row r="16428" spans="84:91" s="51" customFormat="1">
      <c r="CF16428" s="239"/>
      <c r="CM16428" s="336"/>
    </row>
    <row r="16429" spans="84:91" s="51" customFormat="1">
      <c r="CF16429" s="239"/>
      <c r="CM16429" s="336"/>
    </row>
    <row r="16430" spans="84:91" s="51" customFormat="1">
      <c r="CF16430" s="239"/>
      <c r="CM16430" s="336"/>
    </row>
    <row r="16431" spans="84:91" s="51" customFormat="1">
      <c r="CF16431" s="239"/>
      <c r="CM16431" s="336"/>
    </row>
    <row r="16432" spans="84:91" s="51" customFormat="1">
      <c r="CF16432" s="239"/>
      <c r="CM16432" s="336"/>
    </row>
    <row r="16433" spans="84:91" s="51" customFormat="1">
      <c r="CF16433" s="239"/>
      <c r="CM16433" s="336"/>
    </row>
    <row r="16434" spans="84:91" s="51" customFormat="1">
      <c r="CF16434" s="239"/>
      <c r="CM16434" s="336"/>
    </row>
    <row r="16435" spans="84:91" s="51" customFormat="1">
      <c r="CF16435" s="239"/>
      <c r="CM16435" s="336"/>
    </row>
    <row r="16436" spans="84:91" s="51" customFormat="1">
      <c r="CF16436" s="239"/>
      <c r="CM16436" s="336"/>
    </row>
    <row r="16437" spans="84:91" s="51" customFormat="1">
      <c r="CF16437" s="239"/>
      <c r="CM16437" s="336"/>
    </row>
    <row r="16438" spans="84:91" s="51" customFormat="1">
      <c r="CF16438" s="239"/>
      <c r="CM16438" s="336"/>
    </row>
    <row r="16439" spans="84:91" s="51" customFormat="1">
      <c r="CF16439" s="239"/>
      <c r="CM16439" s="336"/>
    </row>
    <row r="16440" spans="84:91" s="51" customFormat="1">
      <c r="CF16440" s="239"/>
      <c r="CM16440" s="336"/>
    </row>
    <row r="16441" spans="84:91" s="51" customFormat="1">
      <c r="CF16441" s="239"/>
      <c r="CM16441" s="336"/>
    </row>
    <row r="16442" spans="84:91" s="51" customFormat="1">
      <c r="CF16442" s="239"/>
      <c r="CM16442" s="336"/>
    </row>
    <row r="16443" spans="84:91" s="51" customFormat="1">
      <c r="CF16443" s="239"/>
      <c r="CM16443" s="336"/>
    </row>
    <row r="16444" spans="84:91" s="51" customFormat="1">
      <c r="CF16444" s="239"/>
      <c r="CM16444" s="336"/>
    </row>
    <row r="16445" spans="84:91" s="51" customFormat="1">
      <c r="CF16445" s="239"/>
      <c r="CM16445" s="336"/>
    </row>
    <row r="16446" spans="84:91" s="51" customFormat="1">
      <c r="CF16446" s="239"/>
      <c r="CM16446" s="336"/>
    </row>
    <row r="16447" spans="84:91" s="51" customFormat="1">
      <c r="CF16447" s="239"/>
      <c r="CM16447" s="336"/>
    </row>
    <row r="16448" spans="84:91" s="51" customFormat="1">
      <c r="CF16448" s="239"/>
      <c r="CM16448" s="336"/>
    </row>
    <row r="16449" spans="84:91" s="51" customFormat="1">
      <c r="CF16449" s="239"/>
      <c r="CM16449" s="336"/>
    </row>
    <row r="16450" spans="84:91" s="51" customFormat="1">
      <c r="CF16450" s="239"/>
      <c r="CM16450" s="336"/>
    </row>
    <row r="16451" spans="84:91" s="51" customFormat="1">
      <c r="CF16451" s="239"/>
      <c r="CM16451" s="336"/>
    </row>
    <row r="16452" spans="84:91" s="51" customFormat="1">
      <c r="CF16452" s="239"/>
      <c r="CM16452" s="336"/>
    </row>
    <row r="16453" spans="84:91" s="51" customFormat="1">
      <c r="CF16453" s="239"/>
      <c r="CM16453" s="336"/>
    </row>
    <row r="16454" spans="84:91" s="51" customFormat="1">
      <c r="CF16454" s="239"/>
      <c r="CM16454" s="336"/>
    </row>
    <row r="16455" spans="84:91" s="51" customFormat="1">
      <c r="CF16455" s="239"/>
      <c r="CM16455" s="336"/>
    </row>
    <row r="16456" spans="84:91" s="51" customFormat="1">
      <c r="CF16456" s="239"/>
      <c r="CM16456" s="336"/>
    </row>
    <row r="16457" spans="84:91" s="51" customFormat="1">
      <c r="CF16457" s="239"/>
      <c r="CM16457" s="336"/>
    </row>
    <row r="16458" spans="84:91" s="51" customFormat="1">
      <c r="CF16458" s="239"/>
      <c r="CM16458" s="336"/>
    </row>
    <row r="16459" spans="84:91" s="51" customFormat="1">
      <c r="CF16459" s="239"/>
      <c r="CM16459" s="336"/>
    </row>
    <row r="16460" spans="84:91" s="51" customFormat="1">
      <c r="CF16460" s="239"/>
      <c r="CM16460" s="336"/>
    </row>
    <row r="16461" spans="84:91" s="51" customFormat="1">
      <c r="CF16461" s="239"/>
      <c r="CM16461" s="336"/>
    </row>
    <row r="16462" spans="84:91" s="51" customFormat="1">
      <c r="CF16462" s="239"/>
      <c r="CM16462" s="336"/>
    </row>
    <row r="16463" spans="84:91" s="51" customFormat="1">
      <c r="CF16463" s="239"/>
      <c r="CM16463" s="336"/>
    </row>
    <row r="16464" spans="84:91" s="51" customFormat="1">
      <c r="CF16464" s="239"/>
      <c r="CM16464" s="336"/>
    </row>
    <row r="16465" spans="84:91" s="51" customFormat="1">
      <c r="CF16465" s="239"/>
      <c r="CM16465" s="336"/>
    </row>
    <row r="16466" spans="84:91" s="51" customFormat="1">
      <c r="CF16466" s="239"/>
      <c r="CM16466" s="336"/>
    </row>
    <row r="16467" spans="84:91" s="51" customFormat="1">
      <c r="CF16467" s="239"/>
      <c r="CM16467" s="336"/>
    </row>
    <row r="16468" spans="84:91" s="51" customFormat="1">
      <c r="CF16468" s="239"/>
      <c r="CM16468" s="336"/>
    </row>
    <row r="16469" spans="84:91" s="51" customFormat="1">
      <c r="CF16469" s="239"/>
      <c r="CM16469" s="336"/>
    </row>
    <row r="16470" spans="84:91" s="51" customFormat="1">
      <c r="CF16470" s="239"/>
      <c r="CM16470" s="336"/>
    </row>
    <row r="16471" spans="84:91" s="51" customFormat="1">
      <c r="CF16471" s="239"/>
      <c r="CM16471" s="336"/>
    </row>
    <row r="16472" spans="84:91" s="51" customFormat="1">
      <c r="CF16472" s="239"/>
      <c r="CM16472" s="336"/>
    </row>
    <row r="16473" spans="84:91" s="51" customFormat="1">
      <c r="CF16473" s="239"/>
      <c r="CM16473" s="336"/>
    </row>
    <row r="16474" spans="84:91" s="51" customFormat="1">
      <c r="CF16474" s="239"/>
      <c r="CM16474" s="336"/>
    </row>
    <row r="16475" spans="84:91" s="51" customFormat="1">
      <c r="CF16475" s="239"/>
      <c r="CM16475" s="336"/>
    </row>
    <row r="16476" spans="84:91" s="51" customFormat="1">
      <c r="CF16476" s="239"/>
      <c r="CM16476" s="336"/>
    </row>
    <row r="16477" spans="84:91" s="51" customFormat="1">
      <c r="CF16477" s="239"/>
      <c r="CM16477" s="336"/>
    </row>
    <row r="16478" spans="84:91" s="51" customFormat="1">
      <c r="CF16478" s="239"/>
      <c r="CM16478" s="336"/>
    </row>
    <row r="16479" spans="84:91" s="51" customFormat="1">
      <c r="CF16479" s="239"/>
      <c r="CM16479" s="336"/>
    </row>
    <row r="16480" spans="84:91" s="51" customFormat="1">
      <c r="CF16480" s="239"/>
      <c r="CM16480" s="336"/>
    </row>
    <row r="16481" spans="84:91" s="51" customFormat="1">
      <c r="CF16481" s="239"/>
      <c r="CM16481" s="336"/>
    </row>
    <row r="16482" spans="84:91" s="51" customFormat="1">
      <c r="CF16482" s="239"/>
      <c r="CM16482" s="336"/>
    </row>
    <row r="16483" spans="84:91" s="51" customFormat="1">
      <c r="CF16483" s="239"/>
      <c r="CM16483" s="336"/>
    </row>
    <row r="16484" spans="84:91" s="51" customFormat="1">
      <c r="CF16484" s="239"/>
      <c r="CM16484" s="336"/>
    </row>
    <row r="16485" spans="84:91" s="51" customFormat="1">
      <c r="CF16485" s="239"/>
      <c r="CM16485" s="336"/>
    </row>
    <row r="16486" spans="84:91" s="51" customFormat="1">
      <c r="CF16486" s="239"/>
      <c r="CM16486" s="336"/>
    </row>
    <row r="16487" spans="84:91" s="51" customFormat="1">
      <c r="CF16487" s="239"/>
      <c r="CM16487" s="336"/>
    </row>
    <row r="16488" spans="84:91" s="51" customFormat="1">
      <c r="CF16488" s="239"/>
      <c r="CM16488" s="336"/>
    </row>
    <row r="16489" spans="84:91" s="51" customFormat="1">
      <c r="CF16489" s="239"/>
      <c r="CM16489" s="336"/>
    </row>
    <row r="16490" spans="84:91" s="51" customFormat="1">
      <c r="CF16490" s="239"/>
      <c r="CM16490" s="336"/>
    </row>
    <row r="16491" spans="84:91" s="51" customFormat="1">
      <c r="CF16491" s="239"/>
      <c r="CM16491" s="336"/>
    </row>
    <row r="16492" spans="84:91" s="51" customFormat="1">
      <c r="CF16492" s="239"/>
      <c r="CM16492" s="336"/>
    </row>
    <row r="16493" spans="84:91" s="51" customFormat="1">
      <c r="CF16493" s="239"/>
      <c r="CM16493" s="336"/>
    </row>
    <row r="16494" spans="84:91" s="51" customFormat="1">
      <c r="CF16494" s="239"/>
      <c r="CM16494" s="336"/>
    </row>
    <row r="16495" spans="84:91" s="51" customFormat="1">
      <c r="CF16495" s="239"/>
      <c r="CM16495" s="336"/>
    </row>
    <row r="16496" spans="84:91" s="51" customFormat="1">
      <c r="CF16496" s="239"/>
      <c r="CM16496" s="336"/>
    </row>
    <row r="16497" spans="84:91" s="51" customFormat="1">
      <c r="CF16497" s="239"/>
      <c r="CM16497" s="336"/>
    </row>
    <row r="16498" spans="84:91" s="51" customFormat="1">
      <c r="CF16498" s="239"/>
      <c r="CM16498" s="336"/>
    </row>
    <row r="16499" spans="84:91" s="51" customFormat="1">
      <c r="CF16499" s="239"/>
      <c r="CM16499" s="336"/>
    </row>
    <row r="16500" spans="84:91" s="51" customFormat="1">
      <c r="CF16500" s="239"/>
      <c r="CM16500" s="336"/>
    </row>
    <row r="16501" spans="84:91" s="51" customFormat="1">
      <c r="CF16501" s="239"/>
      <c r="CM16501" s="336"/>
    </row>
    <row r="16502" spans="84:91" s="51" customFormat="1">
      <c r="CF16502" s="239"/>
      <c r="CM16502" s="336"/>
    </row>
    <row r="16503" spans="84:91" s="51" customFormat="1">
      <c r="CF16503" s="239"/>
      <c r="CM16503" s="336"/>
    </row>
    <row r="16504" spans="84:91" s="51" customFormat="1">
      <c r="CF16504" s="239"/>
      <c r="CM16504" s="336"/>
    </row>
    <row r="16505" spans="84:91" s="51" customFormat="1">
      <c r="CF16505" s="239"/>
      <c r="CM16505" s="336"/>
    </row>
    <row r="16506" spans="84:91" s="51" customFormat="1">
      <c r="CF16506" s="239"/>
      <c r="CM16506" s="336"/>
    </row>
    <row r="16507" spans="84:91" s="51" customFormat="1">
      <c r="CF16507" s="239"/>
      <c r="CM16507" s="336"/>
    </row>
    <row r="16508" spans="84:91" s="51" customFormat="1">
      <c r="CF16508" s="239"/>
      <c r="CM16508" s="336"/>
    </row>
    <row r="16509" spans="84:91" s="51" customFormat="1">
      <c r="CF16509" s="239"/>
      <c r="CM16509" s="336"/>
    </row>
    <row r="16510" spans="84:91" s="51" customFormat="1">
      <c r="CF16510" s="239"/>
      <c r="CM16510" s="336"/>
    </row>
    <row r="16511" spans="84:91" s="51" customFormat="1">
      <c r="CF16511" s="239"/>
      <c r="CM16511" s="336"/>
    </row>
    <row r="16512" spans="84:91" s="51" customFormat="1">
      <c r="CF16512" s="239"/>
      <c r="CM16512" s="336"/>
    </row>
    <row r="16513" spans="84:91" s="51" customFormat="1">
      <c r="CF16513" s="239"/>
      <c r="CM16513" s="336"/>
    </row>
    <row r="16514" spans="84:91" s="51" customFormat="1">
      <c r="CF16514" s="239"/>
      <c r="CM16514" s="336"/>
    </row>
    <row r="16515" spans="84:91" s="51" customFormat="1">
      <c r="CF16515" s="239"/>
      <c r="CM16515" s="336"/>
    </row>
    <row r="16516" spans="84:91" s="51" customFormat="1">
      <c r="CF16516" s="239"/>
      <c r="CM16516" s="336"/>
    </row>
    <row r="16517" spans="84:91" s="51" customFormat="1">
      <c r="CF16517" s="239"/>
      <c r="CM16517" s="336"/>
    </row>
    <row r="16518" spans="84:91" s="51" customFormat="1">
      <c r="CF16518" s="239"/>
      <c r="CM16518" s="336"/>
    </row>
    <row r="16519" spans="84:91" s="51" customFormat="1">
      <c r="CF16519" s="239"/>
      <c r="CM16519" s="336"/>
    </row>
    <row r="16520" spans="84:91" s="51" customFormat="1">
      <c r="CF16520" s="239"/>
      <c r="CM16520" s="336"/>
    </row>
    <row r="16521" spans="84:91" s="51" customFormat="1">
      <c r="CF16521" s="239"/>
      <c r="CM16521" s="336"/>
    </row>
    <row r="16522" spans="84:91" s="51" customFormat="1">
      <c r="CF16522" s="239"/>
      <c r="CM16522" s="336"/>
    </row>
    <row r="16523" spans="84:91" s="51" customFormat="1">
      <c r="CF16523" s="239"/>
      <c r="CM16523" s="336"/>
    </row>
    <row r="16524" spans="84:91" s="51" customFormat="1">
      <c r="CF16524" s="239"/>
      <c r="CM16524" s="336"/>
    </row>
    <row r="16525" spans="84:91" s="51" customFormat="1">
      <c r="CF16525" s="239"/>
      <c r="CM16525" s="336"/>
    </row>
    <row r="16526" spans="84:91" s="51" customFormat="1">
      <c r="CF16526" s="239"/>
      <c r="CM16526" s="336"/>
    </row>
    <row r="16527" spans="84:91" s="51" customFormat="1">
      <c r="CF16527" s="239"/>
      <c r="CM16527" s="336"/>
    </row>
    <row r="16528" spans="84:91" s="51" customFormat="1">
      <c r="CF16528" s="239"/>
      <c r="CM16528" s="336"/>
    </row>
    <row r="16529" spans="84:91" s="51" customFormat="1">
      <c r="CF16529" s="239"/>
      <c r="CM16529" s="336"/>
    </row>
    <row r="16530" spans="84:91" s="51" customFormat="1">
      <c r="CF16530" s="239"/>
      <c r="CM16530" s="336"/>
    </row>
    <row r="16531" spans="84:91" s="51" customFormat="1">
      <c r="CF16531" s="239"/>
      <c r="CM16531" s="336"/>
    </row>
    <row r="16532" spans="84:91" s="51" customFormat="1">
      <c r="CF16532" s="239"/>
      <c r="CM16532" s="336"/>
    </row>
    <row r="16533" spans="84:91" s="51" customFormat="1">
      <c r="CF16533" s="239"/>
      <c r="CM16533" s="336"/>
    </row>
    <row r="16534" spans="84:91" s="51" customFormat="1">
      <c r="CF16534" s="239"/>
      <c r="CM16534" s="336"/>
    </row>
    <row r="16535" spans="84:91" s="51" customFormat="1">
      <c r="CF16535" s="239"/>
      <c r="CM16535" s="336"/>
    </row>
    <row r="16536" spans="84:91" s="51" customFormat="1">
      <c r="CF16536" s="239"/>
      <c r="CM16536" s="336"/>
    </row>
    <row r="16537" spans="84:91" s="51" customFormat="1">
      <c r="CF16537" s="239"/>
      <c r="CM16537" s="336"/>
    </row>
    <row r="16538" spans="84:91" s="51" customFormat="1">
      <c r="CF16538" s="239"/>
      <c r="CM16538" s="336"/>
    </row>
    <row r="16539" spans="84:91" s="51" customFormat="1">
      <c r="CF16539" s="239"/>
      <c r="CM16539" s="336"/>
    </row>
    <row r="16540" spans="84:91" s="51" customFormat="1">
      <c r="CF16540" s="239"/>
      <c r="CM16540" s="336"/>
    </row>
    <row r="16541" spans="84:91" s="51" customFormat="1">
      <c r="CF16541" s="239"/>
      <c r="CM16541" s="336"/>
    </row>
    <row r="16542" spans="84:91" s="51" customFormat="1">
      <c r="CF16542" s="239"/>
      <c r="CM16542" s="336"/>
    </row>
    <row r="16543" spans="84:91" s="51" customFormat="1">
      <c r="CF16543" s="239"/>
      <c r="CM16543" s="336"/>
    </row>
    <row r="16544" spans="84:91" s="51" customFormat="1">
      <c r="CF16544" s="239"/>
      <c r="CM16544" s="336"/>
    </row>
    <row r="16545" spans="84:91" s="51" customFormat="1">
      <c r="CF16545" s="239"/>
      <c r="CM16545" s="336"/>
    </row>
    <row r="16546" spans="84:91" s="51" customFormat="1">
      <c r="CF16546" s="239"/>
      <c r="CM16546" s="336"/>
    </row>
    <row r="16547" spans="84:91" s="51" customFormat="1">
      <c r="CF16547" s="239"/>
      <c r="CM16547" s="336"/>
    </row>
    <row r="16548" spans="84:91" s="51" customFormat="1">
      <c r="CF16548" s="239"/>
      <c r="CM16548" s="336"/>
    </row>
    <row r="16549" spans="84:91" s="51" customFormat="1">
      <c r="CF16549" s="239"/>
      <c r="CM16549" s="336"/>
    </row>
    <row r="16550" spans="84:91" s="51" customFormat="1">
      <c r="CF16550" s="239"/>
      <c r="CM16550" s="336"/>
    </row>
    <row r="16551" spans="84:91" s="51" customFormat="1">
      <c r="CF16551" s="239"/>
      <c r="CM16551" s="336"/>
    </row>
    <row r="16552" spans="84:91" s="51" customFormat="1">
      <c r="CF16552" s="239"/>
      <c r="CM16552" s="336"/>
    </row>
    <row r="16553" spans="84:91" s="51" customFormat="1">
      <c r="CF16553" s="239"/>
      <c r="CM16553" s="336"/>
    </row>
    <row r="16554" spans="84:91" s="51" customFormat="1">
      <c r="CF16554" s="239"/>
      <c r="CM16554" s="336"/>
    </row>
    <row r="16555" spans="84:91" s="51" customFormat="1">
      <c r="CF16555" s="239"/>
      <c r="CM16555" s="336"/>
    </row>
    <row r="16556" spans="84:91" s="51" customFormat="1">
      <c r="CF16556" s="239"/>
      <c r="CM16556" s="336"/>
    </row>
    <row r="16557" spans="84:91" s="51" customFormat="1">
      <c r="CF16557" s="239"/>
      <c r="CM16557" s="336"/>
    </row>
    <row r="16558" spans="84:91" s="51" customFormat="1">
      <c r="CF16558" s="239"/>
      <c r="CM16558" s="336"/>
    </row>
    <row r="16559" spans="84:91" s="51" customFormat="1">
      <c r="CF16559" s="239"/>
      <c r="CM16559" s="336"/>
    </row>
    <row r="16560" spans="84:91" s="51" customFormat="1">
      <c r="CF16560" s="239"/>
      <c r="CM16560" s="336"/>
    </row>
    <row r="16561" spans="84:91" s="51" customFormat="1">
      <c r="CF16561" s="239"/>
      <c r="CM16561" s="336"/>
    </row>
    <row r="16562" spans="84:91" s="51" customFormat="1">
      <c r="CF16562" s="239"/>
      <c r="CM16562" s="336"/>
    </row>
    <row r="16563" spans="84:91" s="51" customFormat="1">
      <c r="CF16563" s="239"/>
      <c r="CM16563" s="336"/>
    </row>
    <row r="16564" spans="84:91" s="51" customFormat="1">
      <c r="CF16564" s="239"/>
      <c r="CM16564" s="336"/>
    </row>
    <row r="16565" spans="84:91" s="51" customFormat="1">
      <c r="CF16565" s="239"/>
      <c r="CM16565" s="336"/>
    </row>
    <row r="16566" spans="84:91" s="51" customFormat="1">
      <c r="CF16566" s="239"/>
      <c r="CM16566" s="336"/>
    </row>
    <row r="16567" spans="84:91" s="51" customFormat="1">
      <c r="CF16567" s="239"/>
      <c r="CM16567" s="336"/>
    </row>
    <row r="16568" spans="84:91" s="51" customFormat="1">
      <c r="CF16568" s="239"/>
      <c r="CM16568" s="336"/>
    </row>
    <row r="16569" spans="84:91" s="51" customFormat="1">
      <c r="CF16569" s="239"/>
      <c r="CM16569" s="336"/>
    </row>
    <row r="16570" spans="84:91" s="51" customFormat="1">
      <c r="CF16570" s="239"/>
      <c r="CM16570" s="336"/>
    </row>
    <row r="16571" spans="84:91" s="51" customFormat="1">
      <c r="CF16571" s="239"/>
      <c r="CM16571" s="336"/>
    </row>
    <row r="16572" spans="84:91" s="51" customFormat="1">
      <c r="CF16572" s="239"/>
      <c r="CM16572" s="336"/>
    </row>
    <row r="16573" spans="84:91" s="51" customFormat="1">
      <c r="CF16573" s="239"/>
      <c r="CM16573" s="336"/>
    </row>
    <row r="16574" spans="84:91" s="51" customFormat="1">
      <c r="CF16574" s="239"/>
      <c r="CM16574" s="336"/>
    </row>
    <row r="16575" spans="84:91" s="51" customFormat="1">
      <c r="CF16575" s="239"/>
      <c r="CM16575" s="336"/>
    </row>
    <row r="16576" spans="84:91" s="51" customFormat="1">
      <c r="CF16576" s="239"/>
      <c r="CM16576" s="336"/>
    </row>
    <row r="16577" spans="84:91" s="51" customFormat="1">
      <c r="CF16577" s="239"/>
      <c r="CM16577" s="336"/>
    </row>
    <row r="16578" spans="84:91" s="51" customFormat="1">
      <c r="CF16578" s="239"/>
      <c r="CM16578" s="336"/>
    </row>
    <row r="16579" spans="84:91" s="51" customFormat="1">
      <c r="CF16579" s="239"/>
      <c r="CM16579" s="336"/>
    </row>
    <row r="16580" spans="84:91" s="51" customFormat="1">
      <c r="CF16580" s="239"/>
      <c r="CM16580" s="336"/>
    </row>
    <row r="16581" spans="84:91" s="51" customFormat="1">
      <c r="CF16581" s="239"/>
      <c r="CM16581" s="336"/>
    </row>
    <row r="16582" spans="84:91" s="51" customFormat="1">
      <c r="CF16582" s="239"/>
      <c r="CM16582" s="336"/>
    </row>
    <row r="16583" spans="84:91" s="51" customFormat="1">
      <c r="CF16583" s="239"/>
      <c r="CM16583" s="336"/>
    </row>
    <row r="16584" spans="84:91" s="51" customFormat="1">
      <c r="CF16584" s="239"/>
      <c r="CM16584" s="336"/>
    </row>
    <row r="16585" spans="84:91" s="51" customFormat="1">
      <c r="CF16585" s="239"/>
      <c r="CM16585" s="336"/>
    </row>
    <row r="16586" spans="84:91" s="51" customFormat="1">
      <c r="CF16586" s="239"/>
      <c r="CM16586" s="336"/>
    </row>
    <row r="16587" spans="84:91" s="51" customFormat="1">
      <c r="CF16587" s="239"/>
      <c r="CM16587" s="336"/>
    </row>
    <row r="16588" spans="84:91" s="51" customFormat="1">
      <c r="CF16588" s="239"/>
      <c r="CM16588" s="336"/>
    </row>
    <row r="16589" spans="84:91" s="51" customFormat="1">
      <c r="CF16589" s="239"/>
      <c r="CM16589" s="336"/>
    </row>
    <row r="16590" spans="84:91" s="51" customFormat="1">
      <c r="CF16590" s="239"/>
      <c r="CM16590" s="336"/>
    </row>
    <row r="16591" spans="84:91" s="51" customFormat="1">
      <c r="CF16591" s="239"/>
      <c r="CM16591" s="336"/>
    </row>
    <row r="16592" spans="84:91" s="51" customFormat="1">
      <c r="CF16592" s="239"/>
      <c r="CM16592" s="336"/>
    </row>
    <row r="16593" spans="84:91" s="51" customFormat="1">
      <c r="CF16593" s="239"/>
      <c r="CM16593" s="336"/>
    </row>
    <row r="16594" spans="84:91" s="51" customFormat="1">
      <c r="CF16594" s="239"/>
      <c r="CM16594" s="336"/>
    </row>
    <row r="16595" spans="84:91" s="51" customFormat="1">
      <c r="CF16595" s="239"/>
      <c r="CM16595" s="336"/>
    </row>
    <row r="16596" spans="84:91" s="51" customFormat="1">
      <c r="CF16596" s="239"/>
      <c r="CM16596" s="336"/>
    </row>
    <row r="16597" spans="84:91" s="51" customFormat="1">
      <c r="CF16597" s="239"/>
      <c r="CM16597" s="336"/>
    </row>
    <row r="16598" spans="84:91" s="51" customFormat="1">
      <c r="CF16598" s="239"/>
      <c r="CM16598" s="336"/>
    </row>
    <row r="16599" spans="84:91" s="51" customFormat="1">
      <c r="CF16599" s="239"/>
      <c r="CM16599" s="336"/>
    </row>
    <row r="16600" spans="84:91" s="51" customFormat="1">
      <c r="CF16600" s="239"/>
      <c r="CM16600" s="336"/>
    </row>
    <row r="16601" spans="84:91" s="51" customFormat="1">
      <c r="CF16601" s="239"/>
      <c r="CM16601" s="336"/>
    </row>
    <row r="16602" spans="84:91" s="51" customFormat="1">
      <c r="CF16602" s="239"/>
      <c r="CM16602" s="336"/>
    </row>
    <row r="16603" spans="84:91" s="51" customFormat="1">
      <c r="CF16603" s="239"/>
      <c r="CM16603" s="336"/>
    </row>
    <row r="16604" spans="84:91" s="51" customFormat="1">
      <c r="CF16604" s="239"/>
      <c r="CM16604" s="336"/>
    </row>
    <row r="16605" spans="84:91" s="51" customFormat="1">
      <c r="CF16605" s="239"/>
      <c r="CM16605" s="336"/>
    </row>
    <row r="16606" spans="84:91" s="51" customFormat="1">
      <c r="CF16606" s="239"/>
      <c r="CM16606" s="336"/>
    </row>
    <row r="16607" spans="84:91" s="51" customFormat="1">
      <c r="CF16607" s="239"/>
      <c r="CM16607" s="336"/>
    </row>
    <row r="16608" spans="84:91" s="51" customFormat="1">
      <c r="CF16608" s="239"/>
      <c r="CM16608" s="336"/>
    </row>
    <row r="16609" spans="84:91" s="51" customFormat="1">
      <c r="CF16609" s="239"/>
      <c r="CM16609" s="336"/>
    </row>
    <row r="16610" spans="84:91" s="51" customFormat="1">
      <c r="CF16610" s="239"/>
      <c r="CM16610" s="336"/>
    </row>
    <row r="16611" spans="84:91" s="51" customFormat="1">
      <c r="CF16611" s="239"/>
      <c r="CM16611" s="336"/>
    </row>
    <row r="16612" spans="84:91" s="51" customFormat="1">
      <c r="CF16612" s="239"/>
      <c r="CM16612" s="336"/>
    </row>
    <row r="16613" spans="84:91" s="51" customFormat="1">
      <c r="CF16613" s="239"/>
      <c r="CM16613" s="336"/>
    </row>
    <row r="16614" spans="84:91" s="51" customFormat="1">
      <c r="CF16614" s="239"/>
      <c r="CM16614" s="336"/>
    </row>
    <row r="16615" spans="84:91" s="51" customFormat="1">
      <c r="CF16615" s="239"/>
      <c r="CM16615" s="336"/>
    </row>
    <row r="16616" spans="84:91" s="51" customFormat="1">
      <c r="CF16616" s="239"/>
      <c r="CM16616" s="336"/>
    </row>
    <row r="16617" spans="84:91" s="51" customFormat="1">
      <c r="CF16617" s="239"/>
      <c r="CM16617" s="336"/>
    </row>
    <row r="16618" spans="84:91" s="51" customFormat="1">
      <c r="CF16618" s="239"/>
      <c r="CM16618" s="336"/>
    </row>
    <row r="16619" spans="84:91" s="51" customFormat="1">
      <c r="CF16619" s="239"/>
      <c r="CM16619" s="336"/>
    </row>
    <row r="16620" spans="84:91" s="51" customFormat="1">
      <c r="CF16620" s="239"/>
      <c r="CM16620" s="336"/>
    </row>
    <row r="16621" spans="84:91" s="51" customFormat="1">
      <c r="CF16621" s="239"/>
      <c r="CM16621" s="336"/>
    </row>
    <row r="16622" spans="84:91" s="51" customFormat="1">
      <c r="CF16622" s="239"/>
      <c r="CM16622" s="336"/>
    </row>
    <row r="16623" spans="84:91" s="51" customFormat="1">
      <c r="CF16623" s="239"/>
      <c r="CM16623" s="336"/>
    </row>
    <row r="16624" spans="84:91" s="51" customFormat="1">
      <c r="CF16624" s="239"/>
      <c r="CM16624" s="336"/>
    </row>
    <row r="16625" spans="84:91" s="51" customFormat="1">
      <c r="CF16625" s="239"/>
      <c r="CM16625" s="336"/>
    </row>
    <row r="16626" spans="84:91" s="51" customFormat="1">
      <c r="CF16626" s="239"/>
      <c r="CM16626" s="336"/>
    </row>
    <row r="16627" spans="84:91" s="51" customFormat="1">
      <c r="CF16627" s="239"/>
      <c r="CM16627" s="336"/>
    </row>
    <row r="16628" spans="84:91" s="51" customFormat="1">
      <c r="CF16628" s="239"/>
      <c r="CM16628" s="336"/>
    </row>
    <row r="16629" spans="84:91" s="51" customFormat="1">
      <c r="CF16629" s="239"/>
      <c r="CM16629" s="336"/>
    </row>
    <row r="16630" spans="84:91" s="51" customFormat="1">
      <c r="CF16630" s="239"/>
      <c r="CM16630" s="336"/>
    </row>
    <row r="16631" spans="84:91" s="51" customFormat="1">
      <c r="CF16631" s="239"/>
      <c r="CM16631" s="336"/>
    </row>
    <row r="16632" spans="84:91" s="51" customFormat="1">
      <c r="CF16632" s="239"/>
      <c r="CM16632" s="336"/>
    </row>
    <row r="16633" spans="84:91" s="51" customFormat="1">
      <c r="CF16633" s="239"/>
      <c r="CM16633" s="336"/>
    </row>
    <row r="16634" spans="84:91" s="51" customFormat="1">
      <c r="CF16634" s="239"/>
      <c r="CM16634" s="336"/>
    </row>
    <row r="16635" spans="84:91" s="51" customFormat="1">
      <c r="CF16635" s="239"/>
      <c r="CM16635" s="336"/>
    </row>
    <row r="16636" spans="84:91" s="51" customFormat="1">
      <c r="CF16636" s="239"/>
      <c r="CM16636" s="336"/>
    </row>
    <row r="16637" spans="84:91" s="51" customFormat="1">
      <c r="CF16637" s="239"/>
      <c r="CM16637" s="336"/>
    </row>
    <row r="16638" spans="84:91" s="51" customFormat="1">
      <c r="CF16638" s="239"/>
      <c r="CM16638" s="336"/>
    </row>
    <row r="16639" spans="84:91" s="51" customFormat="1">
      <c r="CF16639" s="239"/>
      <c r="CM16639" s="336"/>
    </row>
    <row r="16640" spans="84:91" s="51" customFormat="1">
      <c r="CF16640" s="239"/>
      <c r="CM16640" s="336"/>
    </row>
    <row r="16641" spans="84:91" s="51" customFormat="1">
      <c r="CF16641" s="239"/>
      <c r="CM16641" s="336"/>
    </row>
    <row r="16642" spans="84:91" s="51" customFormat="1">
      <c r="CF16642" s="239"/>
      <c r="CM16642" s="336"/>
    </row>
    <row r="16643" spans="84:91" s="51" customFormat="1">
      <c r="CF16643" s="239"/>
      <c r="CM16643" s="336"/>
    </row>
    <row r="16644" spans="84:91" s="51" customFormat="1">
      <c r="CF16644" s="239"/>
      <c r="CM16644" s="336"/>
    </row>
    <row r="16645" spans="84:91" s="51" customFormat="1">
      <c r="CF16645" s="239"/>
      <c r="CM16645" s="336"/>
    </row>
    <row r="16646" spans="84:91" s="51" customFormat="1">
      <c r="CF16646" s="239"/>
      <c r="CM16646" s="336"/>
    </row>
    <row r="16647" spans="84:91" s="51" customFormat="1">
      <c r="CF16647" s="239"/>
      <c r="CM16647" s="336"/>
    </row>
    <row r="16648" spans="84:91" s="51" customFormat="1">
      <c r="CF16648" s="239"/>
      <c r="CM16648" s="336"/>
    </row>
    <row r="16649" spans="84:91" s="51" customFormat="1">
      <c r="CF16649" s="239"/>
      <c r="CM16649" s="336"/>
    </row>
    <row r="16650" spans="84:91" s="51" customFormat="1">
      <c r="CF16650" s="239"/>
      <c r="CM16650" s="336"/>
    </row>
    <row r="16651" spans="84:91" s="51" customFormat="1">
      <c r="CF16651" s="239"/>
      <c r="CM16651" s="336"/>
    </row>
    <row r="16652" spans="84:91" s="51" customFormat="1">
      <c r="CF16652" s="239"/>
      <c r="CM16652" s="336"/>
    </row>
    <row r="16653" spans="84:91" s="51" customFormat="1">
      <c r="CF16653" s="239"/>
      <c r="CM16653" s="336"/>
    </row>
    <row r="16654" spans="84:91" s="51" customFormat="1">
      <c r="CF16654" s="239"/>
      <c r="CM16654" s="336"/>
    </row>
    <row r="16655" spans="84:91" s="51" customFormat="1">
      <c r="CF16655" s="239"/>
      <c r="CM16655" s="336"/>
    </row>
    <row r="16656" spans="84:91" s="51" customFormat="1">
      <c r="CF16656" s="239"/>
      <c r="CM16656" s="336"/>
    </row>
    <row r="16657" spans="84:91" s="51" customFormat="1">
      <c r="CF16657" s="239"/>
      <c r="CM16657" s="336"/>
    </row>
    <row r="16658" spans="84:91" s="51" customFormat="1">
      <c r="CF16658" s="239"/>
      <c r="CM16658" s="336"/>
    </row>
    <row r="16659" spans="84:91" s="51" customFormat="1">
      <c r="CF16659" s="239"/>
      <c r="CM16659" s="336"/>
    </row>
    <row r="16660" spans="84:91" s="51" customFormat="1">
      <c r="CF16660" s="239"/>
      <c r="CM16660" s="336"/>
    </row>
    <row r="16661" spans="84:91" s="51" customFormat="1">
      <c r="CF16661" s="239"/>
      <c r="CM16661" s="336"/>
    </row>
    <row r="16662" spans="84:91" s="51" customFormat="1">
      <c r="CF16662" s="239"/>
      <c r="CM16662" s="336"/>
    </row>
    <row r="16663" spans="84:91" s="51" customFormat="1">
      <c r="CF16663" s="239"/>
      <c r="CM16663" s="336"/>
    </row>
    <row r="16664" spans="84:91" s="51" customFormat="1">
      <c r="CF16664" s="239"/>
      <c r="CM16664" s="336"/>
    </row>
    <row r="16665" spans="84:91" s="51" customFormat="1">
      <c r="CF16665" s="239"/>
      <c r="CM16665" s="336"/>
    </row>
    <row r="16666" spans="84:91" s="51" customFormat="1">
      <c r="CF16666" s="239"/>
      <c r="CM16666" s="336"/>
    </row>
    <row r="16667" spans="84:91" s="51" customFormat="1">
      <c r="CF16667" s="239"/>
      <c r="CM16667" s="336"/>
    </row>
    <row r="16668" spans="84:91" s="51" customFormat="1">
      <c r="CF16668" s="239"/>
      <c r="CM16668" s="336"/>
    </row>
    <row r="16669" spans="84:91" s="51" customFormat="1">
      <c r="CF16669" s="239"/>
      <c r="CM16669" s="336"/>
    </row>
    <row r="16670" spans="84:91" s="51" customFormat="1">
      <c r="CF16670" s="239"/>
      <c r="CM16670" s="336"/>
    </row>
    <row r="16671" spans="84:91" s="51" customFormat="1">
      <c r="CF16671" s="239"/>
      <c r="CM16671" s="336"/>
    </row>
    <row r="16672" spans="84:91" s="51" customFormat="1">
      <c r="CF16672" s="239"/>
      <c r="CM16672" s="336"/>
    </row>
    <row r="16673" spans="84:91" s="51" customFormat="1">
      <c r="CF16673" s="239"/>
      <c r="CM16673" s="336"/>
    </row>
    <row r="16674" spans="84:91" s="51" customFormat="1">
      <c r="CF16674" s="239"/>
      <c r="CM16674" s="336"/>
    </row>
    <row r="16675" spans="84:91" s="51" customFormat="1">
      <c r="CF16675" s="239"/>
      <c r="CM16675" s="336"/>
    </row>
    <row r="16676" spans="84:91" s="51" customFormat="1">
      <c r="CF16676" s="239"/>
      <c r="CM16676" s="336"/>
    </row>
    <row r="16677" spans="84:91" s="51" customFormat="1">
      <c r="CF16677" s="239"/>
      <c r="CM16677" s="336"/>
    </row>
    <row r="16678" spans="84:91" s="51" customFormat="1">
      <c r="CF16678" s="239"/>
      <c r="CM16678" s="336"/>
    </row>
    <row r="16679" spans="84:91" s="51" customFormat="1">
      <c r="CF16679" s="239"/>
      <c r="CM16679" s="336"/>
    </row>
    <row r="16680" spans="84:91" s="51" customFormat="1">
      <c r="CF16680" s="239"/>
      <c r="CM16680" s="336"/>
    </row>
    <row r="16681" spans="84:91" s="51" customFormat="1">
      <c r="CF16681" s="239"/>
      <c r="CM16681" s="336"/>
    </row>
    <row r="16682" spans="84:91" s="51" customFormat="1">
      <c r="CF16682" s="239"/>
      <c r="CM16682" s="336"/>
    </row>
    <row r="16683" spans="84:91" s="51" customFormat="1">
      <c r="CF16683" s="239"/>
      <c r="CM16683" s="336"/>
    </row>
    <row r="16684" spans="84:91" s="51" customFormat="1">
      <c r="CF16684" s="239"/>
      <c r="CM16684" s="336"/>
    </row>
    <row r="16685" spans="84:91" s="51" customFormat="1">
      <c r="CF16685" s="239"/>
      <c r="CM16685" s="336"/>
    </row>
    <row r="16686" spans="84:91" s="51" customFormat="1">
      <c r="CF16686" s="239"/>
      <c r="CM16686" s="336"/>
    </row>
    <row r="16687" spans="84:91" s="51" customFormat="1">
      <c r="CF16687" s="239"/>
      <c r="CM16687" s="336"/>
    </row>
    <row r="16688" spans="84:91" s="51" customFormat="1">
      <c r="CF16688" s="239"/>
      <c r="CM16688" s="336"/>
    </row>
    <row r="16689" spans="84:91" s="51" customFormat="1">
      <c r="CF16689" s="239"/>
      <c r="CM16689" s="336"/>
    </row>
    <row r="16690" spans="84:91" s="51" customFormat="1">
      <c r="CF16690" s="239"/>
      <c r="CM16690" s="336"/>
    </row>
    <row r="16691" spans="84:91" s="51" customFormat="1">
      <c r="CF16691" s="239"/>
      <c r="CM16691" s="336"/>
    </row>
    <row r="16692" spans="84:91" s="51" customFormat="1">
      <c r="CF16692" s="239"/>
      <c r="CM16692" s="336"/>
    </row>
    <row r="16693" spans="84:91" s="51" customFormat="1">
      <c r="CF16693" s="239"/>
      <c r="CM16693" s="336"/>
    </row>
    <row r="16694" spans="84:91" s="51" customFormat="1">
      <c r="CF16694" s="239"/>
      <c r="CM16694" s="336"/>
    </row>
    <row r="16695" spans="84:91" s="51" customFormat="1">
      <c r="CF16695" s="239"/>
      <c r="CM16695" s="336"/>
    </row>
    <row r="16696" spans="84:91" s="51" customFormat="1">
      <c r="CF16696" s="239"/>
      <c r="CM16696" s="336"/>
    </row>
    <row r="16697" spans="84:91" s="51" customFormat="1">
      <c r="CF16697" s="239"/>
      <c r="CM16697" s="336"/>
    </row>
    <row r="16698" spans="84:91" s="51" customFormat="1">
      <c r="CF16698" s="239"/>
      <c r="CM16698" s="336"/>
    </row>
    <row r="16699" spans="84:91" s="51" customFormat="1">
      <c r="CF16699" s="239"/>
      <c r="CM16699" s="336"/>
    </row>
    <row r="16700" spans="84:91" s="51" customFormat="1">
      <c r="CF16700" s="239"/>
      <c r="CM16700" s="336"/>
    </row>
    <row r="16701" spans="84:91" s="51" customFormat="1">
      <c r="CF16701" s="239"/>
      <c r="CM16701" s="336"/>
    </row>
    <row r="16702" spans="84:91" s="51" customFormat="1">
      <c r="CF16702" s="239"/>
      <c r="CM16702" s="336"/>
    </row>
    <row r="16703" spans="84:91" s="51" customFormat="1">
      <c r="CF16703" s="239"/>
      <c r="CM16703" s="336"/>
    </row>
    <row r="16704" spans="84:91" s="51" customFormat="1">
      <c r="CF16704" s="239"/>
      <c r="CM16704" s="336"/>
    </row>
    <row r="16705" spans="84:91" s="51" customFormat="1">
      <c r="CF16705" s="239"/>
      <c r="CM16705" s="336"/>
    </row>
    <row r="16706" spans="84:91" s="51" customFormat="1">
      <c r="CF16706" s="239"/>
      <c r="CM16706" s="336"/>
    </row>
    <row r="16707" spans="84:91" s="51" customFormat="1">
      <c r="CF16707" s="239"/>
      <c r="CM16707" s="336"/>
    </row>
    <row r="16708" spans="84:91" s="51" customFormat="1">
      <c r="CF16708" s="239"/>
      <c r="CM16708" s="336"/>
    </row>
    <row r="16709" spans="84:91" s="51" customFormat="1">
      <c r="CF16709" s="239"/>
      <c r="CM16709" s="336"/>
    </row>
    <row r="16710" spans="84:91" s="51" customFormat="1">
      <c r="CF16710" s="239"/>
      <c r="CM16710" s="336"/>
    </row>
    <row r="16711" spans="84:91" s="51" customFormat="1">
      <c r="CF16711" s="239"/>
      <c r="CM16711" s="336"/>
    </row>
    <row r="16712" spans="84:91" s="51" customFormat="1">
      <c r="CF16712" s="239"/>
      <c r="CM16712" s="336"/>
    </row>
    <row r="16713" spans="84:91" s="51" customFormat="1">
      <c r="CF16713" s="239"/>
      <c r="CM16713" s="336"/>
    </row>
    <row r="16714" spans="84:91" s="51" customFormat="1">
      <c r="CF16714" s="239"/>
      <c r="CM16714" s="336"/>
    </row>
    <row r="16715" spans="84:91" s="51" customFormat="1">
      <c r="CF16715" s="239"/>
      <c r="CM16715" s="336"/>
    </row>
    <row r="16716" spans="84:91" s="51" customFormat="1">
      <c r="CF16716" s="239"/>
      <c r="CM16716" s="336"/>
    </row>
    <row r="16717" spans="84:91" s="51" customFormat="1">
      <c r="CF16717" s="239"/>
      <c r="CM16717" s="336"/>
    </row>
    <row r="16718" spans="84:91" s="51" customFormat="1">
      <c r="CF16718" s="239"/>
      <c r="CM16718" s="336"/>
    </row>
    <row r="16719" spans="84:91" s="51" customFormat="1">
      <c r="CF16719" s="239"/>
      <c r="CM16719" s="336"/>
    </row>
    <row r="16720" spans="84:91" s="51" customFormat="1">
      <c r="CF16720" s="239"/>
      <c r="CM16720" s="336"/>
    </row>
    <row r="16721" spans="84:91" s="51" customFormat="1">
      <c r="CF16721" s="239"/>
      <c r="CM16721" s="336"/>
    </row>
    <row r="16722" spans="84:91" s="51" customFormat="1">
      <c r="CF16722" s="239"/>
      <c r="CM16722" s="336"/>
    </row>
    <row r="16723" spans="84:91" s="51" customFormat="1">
      <c r="CF16723" s="239"/>
      <c r="CM16723" s="336"/>
    </row>
    <row r="16724" spans="84:91" s="51" customFormat="1">
      <c r="CF16724" s="239"/>
      <c r="CM16724" s="336"/>
    </row>
    <row r="16725" spans="84:91" s="51" customFormat="1">
      <c r="CF16725" s="239"/>
      <c r="CM16725" s="336"/>
    </row>
    <row r="16726" spans="84:91" s="51" customFormat="1">
      <c r="CF16726" s="239"/>
      <c r="CM16726" s="336"/>
    </row>
    <row r="16727" spans="84:91" s="51" customFormat="1">
      <c r="CF16727" s="239"/>
      <c r="CM16727" s="336"/>
    </row>
    <row r="16728" spans="84:91" s="51" customFormat="1">
      <c r="CF16728" s="239"/>
      <c r="CM16728" s="336"/>
    </row>
    <row r="16729" spans="84:91" s="51" customFormat="1">
      <c r="CF16729" s="239"/>
      <c r="CM16729" s="336"/>
    </row>
    <row r="16730" spans="84:91" s="51" customFormat="1">
      <c r="CF16730" s="239"/>
      <c r="CM16730" s="336"/>
    </row>
    <row r="16731" spans="84:91" s="51" customFormat="1">
      <c r="CF16731" s="239"/>
      <c r="CM16731" s="336"/>
    </row>
    <row r="16732" spans="84:91" s="51" customFormat="1">
      <c r="CF16732" s="239"/>
      <c r="CM16732" s="336"/>
    </row>
    <row r="16733" spans="84:91" s="51" customFormat="1">
      <c r="CF16733" s="239"/>
      <c r="CM16733" s="336"/>
    </row>
    <row r="16734" spans="84:91" s="51" customFormat="1">
      <c r="CF16734" s="239"/>
      <c r="CM16734" s="336"/>
    </row>
    <row r="16735" spans="84:91" s="51" customFormat="1">
      <c r="CF16735" s="239"/>
      <c r="CM16735" s="336"/>
    </row>
    <row r="16736" spans="84:91" s="51" customFormat="1">
      <c r="CF16736" s="239"/>
      <c r="CM16736" s="336"/>
    </row>
    <row r="16737" spans="84:91" s="51" customFormat="1">
      <c r="CF16737" s="239"/>
      <c r="CM16737" s="336"/>
    </row>
    <row r="16738" spans="84:91" s="51" customFormat="1">
      <c r="CF16738" s="239"/>
      <c r="CM16738" s="336"/>
    </row>
    <row r="16739" spans="84:91" s="51" customFormat="1">
      <c r="CF16739" s="239"/>
      <c r="CM16739" s="336"/>
    </row>
    <row r="16740" spans="84:91" s="51" customFormat="1">
      <c r="CF16740" s="239"/>
      <c r="CM16740" s="336"/>
    </row>
    <row r="16741" spans="84:91" s="51" customFormat="1">
      <c r="CF16741" s="239"/>
      <c r="CM16741" s="336"/>
    </row>
    <row r="16742" spans="84:91" s="51" customFormat="1">
      <c r="CF16742" s="239"/>
      <c r="CM16742" s="336"/>
    </row>
    <row r="16743" spans="84:91" s="51" customFormat="1">
      <c r="CF16743" s="239"/>
      <c r="CM16743" s="336"/>
    </row>
    <row r="16744" spans="84:91" s="51" customFormat="1">
      <c r="CF16744" s="239"/>
      <c r="CM16744" s="336"/>
    </row>
    <row r="16745" spans="84:91" s="51" customFormat="1">
      <c r="CF16745" s="239"/>
      <c r="CM16745" s="336"/>
    </row>
    <row r="16746" spans="84:91" s="51" customFormat="1">
      <c r="CF16746" s="239"/>
      <c r="CM16746" s="336"/>
    </row>
    <row r="16747" spans="84:91" s="51" customFormat="1">
      <c r="CF16747" s="239"/>
      <c r="CM16747" s="336"/>
    </row>
    <row r="16748" spans="84:91" s="51" customFormat="1">
      <c r="CF16748" s="239"/>
      <c r="CM16748" s="336"/>
    </row>
    <row r="16749" spans="84:91" s="51" customFormat="1">
      <c r="CF16749" s="239"/>
      <c r="CM16749" s="336"/>
    </row>
    <row r="16750" spans="84:91" s="51" customFormat="1">
      <c r="CF16750" s="239"/>
      <c r="CM16750" s="336"/>
    </row>
    <row r="16751" spans="84:91" s="51" customFormat="1">
      <c r="CF16751" s="239"/>
      <c r="CM16751" s="336"/>
    </row>
    <row r="16752" spans="84:91" s="51" customFormat="1">
      <c r="CF16752" s="239"/>
      <c r="CM16752" s="336"/>
    </row>
    <row r="16753" spans="84:91" s="51" customFormat="1">
      <c r="CF16753" s="239"/>
      <c r="CM16753" s="336"/>
    </row>
    <row r="16754" spans="84:91" s="51" customFormat="1">
      <c r="CF16754" s="239"/>
      <c r="CM16754" s="336"/>
    </row>
    <row r="16755" spans="84:91" s="51" customFormat="1">
      <c r="CF16755" s="239"/>
      <c r="CM16755" s="336"/>
    </row>
    <row r="16756" spans="84:91" s="51" customFormat="1">
      <c r="CF16756" s="239"/>
      <c r="CM16756" s="336"/>
    </row>
    <row r="16757" spans="84:91" s="51" customFormat="1">
      <c r="CF16757" s="239"/>
      <c r="CM16757" s="336"/>
    </row>
    <row r="16758" spans="84:91" s="51" customFormat="1">
      <c r="CF16758" s="239"/>
      <c r="CM16758" s="336"/>
    </row>
    <row r="16759" spans="84:91" s="51" customFormat="1">
      <c r="CF16759" s="239"/>
      <c r="CM16759" s="336"/>
    </row>
    <row r="16760" spans="84:91" s="51" customFormat="1">
      <c r="CF16760" s="239"/>
      <c r="CM16760" s="336"/>
    </row>
    <row r="16761" spans="84:91" s="51" customFormat="1">
      <c r="CF16761" s="239"/>
      <c r="CM16761" s="336"/>
    </row>
    <row r="16762" spans="84:91" s="51" customFormat="1">
      <c r="CF16762" s="239"/>
      <c r="CM16762" s="336"/>
    </row>
    <row r="16763" spans="84:91" s="51" customFormat="1">
      <c r="CF16763" s="239"/>
      <c r="CM16763" s="336"/>
    </row>
    <row r="16764" spans="84:91" s="51" customFormat="1">
      <c r="CF16764" s="239"/>
      <c r="CM16764" s="336"/>
    </row>
    <row r="16765" spans="84:91" s="51" customFormat="1">
      <c r="CF16765" s="239"/>
      <c r="CM16765" s="336"/>
    </row>
    <row r="16766" spans="84:91" s="51" customFormat="1">
      <c r="CF16766" s="239"/>
      <c r="CM16766" s="336"/>
    </row>
    <row r="16767" spans="84:91" s="51" customFormat="1">
      <c r="CF16767" s="239"/>
      <c r="CM16767" s="336"/>
    </row>
    <row r="16768" spans="84:91" s="51" customFormat="1">
      <c r="CF16768" s="239"/>
      <c r="CM16768" s="336"/>
    </row>
    <row r="16769" spans="84:91" s="51" customFormat="1">
      <c r="CF16769" s="239"/>
      <c r="CM16769" s="336"/>
    </row>
    <row r="16770" spans="84:91" s="51" customFormat="1">
      <c r="CF16770" s="239"/>
      <c r="CM16770" s="336"/>
    </row>
    <row r="16771" spans="84:91" s="51" customFormat="1">
      <c r="CF16771" s="239"/>
      <c r="CM16771" s="336"/>
    </row>
    <row r="16772" spans="84:91" s="51" customFormat="1">
      <c r="CF16772" s="239"/>
      <c r="CM16772" s="336"/>
    </row>
    <row r="16773" spans="84:91" s="51" customFormat="1">
      <c r="CF16773" s="239"/>
      <c r="CM16773" s="336"/>
    </row>
    <row r="16774" spans="84:91" s="51" customFormat="1">
      <c r="CF16774" s="239"/>
      <c r="CM16774" s="336"/>
    </row>
    <row r="16775" spans="84:91" s="51" customFormat="1">
      <c r="CF16775" s="239"/>
      <c r="CM16775" s="336"/>
    </row>
    <row r="16776" spans="84:91" s="51" customFormat="1">
      <c r="CF16776" s="239"/>
      <c r="CM16776" s="336"/>
    </row>
    <row r="16777" spans="84:91" s="51" customFormat="1">
      <c r="CF16777" s="239"/>
      <c r="CM16777" s="336"/>
    </row>
    <row r="16778" spans="84:91" s="51" customFormat="1">
      <c r="CF16778" s="239"/>
      <c r="CM16778" s="336"/>
    </row>
    <row r="16779" spans="84:91" s="51" customFormat="1">
      <c r="CF16779" s="239"/>
      <c r="CM16779" s="336"/>
    </row>
    <row r="16780" spans="84:91" s="51" customFormat="1">
      <c r="CF16780" s="239"/>
      <c r="CM16780" s="336"/>
    </row>
    <row r="16781" spans="84:91" s="51" customFormat="1">
      <c r="CF16781" s="239"/>
      <c r="CM16781" s="336"/>
    </row>
    <row r="16782" spans="84:91" s="51" customFormat="1">
      <c r="CF16782" s="239"/>
      <c r="CM16782" s="336"/>
    </row>
    <row r="16783" spans="84:91" s="51" customFormat="1">
      <c r="CF16783" s="239"/>
      <c r="CM16783" s="336"/>
    </row>
    <row r="16784" spans="84:91" s="51" customFormat="1">
      <c r="CF16784" s="239"/>
      <c r="CM16784" s="336"/>
    </row>
    <row r="16785" spans="84:91" s="51" customFormat="1">
      <c r="CF16785" s="239"/>
      <c r="CM16785" s="336"/>
    </row>
    <row r="16786" spans="84:91" s="51" customFormat="1">
      <c r="CF16786" s="239"/>
      <c r="CM16786" s="336"/>
    </row>
    <row r="16787" spans="84:91" s="51" customFormat="1">
      <c r="CF16787" s="239"/>
      <c r="CM16787" s="336"/>
    </row>
    <row r="16788" spans="84:91" s="51" customFormat="1">
      <c r="CF16788" s="239"/>
      <c r="CM16788" s="336"/>
    </row>
    <row r="16789" spans="84:91" s="51" customFormat="1">
      <c r="CF16789" s="239"/>
      <c r="CM16789" s="336"/>
    </row>
    <row r="16790" spans="84:91" s="51" customFormat="1">
      <c r="CF16790" s="239"/>
      <c r="CM16790" s="336"/>
    </row>
    <row r="16791" spans="84:91" s="51" customFormat="1">
      <c r="CF16791" s="239"/>
      <c r="CM16791" s="336"/>
    </row>
    <row r="16792" spans="84:91" s="51" customFormat="1">
      <c r="CF16792" s="239"/>
      <c r="CM16792" s="336"/>
    </row>
    <row r="16793" spans="84:91" s="51" customFormat="1">
      <c r="CF16793" s="239"/>
      <c r="CM16793" s="336"/>
    </row>
    <row r="16794" spans="84:91" s="51" customFormat="1">
      <c r="CF16794" s="239"/>
      <c r="CM16794" s="336"/>
    </row>
    <row r="16795" spans="84:91" s="51" customFormat="1">
      <c r="CF16795" s="239"/>
      <c r="CM16795" s="336"/>
    </row>
    <row r="16796" spans="84:91" s="51" customFormat="1">
      <c r="CF16796" s="239"/>
      <c r="CM16796" s="336"/>
    </row>
    <row r="16797" spans="84:91" s="51" customFormat="1">
      <c r="CF16797" s="239"/>
      <c r="CM16797" s="336"/>
    </row>
    <row r="16798" spans="84:91" s="51" customFormat="1">
      <c r="CF16798" s="239"/>
      <c r="CM16798" s="336"/>
    </row>
    <row r="16799" spans="84:91" s="51" customFormat="1">
      <c r="CF16799" s="239"/>
      <c r="CM16799" s="336"/>
    </row>
    <row r="16800" spans="84:91" s="51" customFormat="1">
      <c r="CF16800" s="239"/>
      <c r="CM16800" s="336"/>
    </row>
    <row r="16801" spans="84:91" s="51" customFormat="1">
      <c r="CF16801" s="239"/>
      <c r="CM16801" s="336"/>
    </row>
    <row r="16802" spans="84:91" s="51" customFormat="1">
      <c r="CF16802" s="239"/>
      <c r="CM16802" s="336"/>
    </row>
    <row r="16803" spans="84:91" s="51" customFormat="1">
      <c r="CF16803" s="239"/>
      <c r="CM16803" s="336"/>
    </row>
    <row r="16804" spans="84:91" s="51" customFormat="1">
      <c r="CF16804" s="239"/>
      <c r="CM16804" s="336"/>
    </row>
    <row r="16805" spans="84:91" s="51" customFormat="1">
      <c r="CF16805" s="239"/>
      <c r="CM16805" s="336"/>
    </row>
    <row r="16806" spans="84:91" s="51" customFormat="1">
      <c r="CF16806" s="239"/>
      <c r="CM16806" s="336"/>
    </row>
    <row r="16807" spans="84:91" s="51" customFormat="1">
      <c r="CF16807" s="239"/>
      <c r="CM16807" s="336"/>
    </row>
    <row r="16808" spans="84:91" s="51" customFormat="1">
      <c r="CF16808" s="239"/>
      <c r="CM16808" s="336"/>
    </row>
    <row r="16809" spans="84:91" s="51" customFormat="1">
      <c r="CF16809" s="239"/>
      <c r="CM16809" s="336"/>
    </row>
    <row r="16810" spans="84:91" s="51" customFormat="1">
      <c r="CF16810" s="239"/>
      <c r="CM16810" s="336"/>
    </row>
    <row r="16811" spans="84:91" s="51" customFormat="1">
      <c r="CF16811" s="239"/>
      <c r="CM16811" s="336"/>
    </row>
    <row r="16812" spans="84:91" s="51" customFormat="1">
      <c r="CF16812" s="239"/>
      <c r="CM16812" s="336"/>
    </row>
    <row r="16813" spans="84:91" s="51" customFormat="1">
      <c r="CF16813" s="239"/>
      <c r="CM16813" s="336"/>
    </row>
    <row r="16814" spans="84:91" s="51" customFormat="1">
      <c r="CF16814" s="239"/>
      <c r="CM16814" s="336"/>
    </row>
    <row r="16815" spans="84:91" s="51" customFormat="1">
      <c r="CF16815" s="239"/>
      <c r="CM16815" s="336"/>
    </row>
    <row r="16816" spans="84:91" s="51" customFormat="1">
      <c r="CF16816" s="239"/>
      <c r="CM16816" s="336"/>
    </row>
    <row r="16817" spans="84:91" s="51" customFormat="1">
      <c r="CF16817" s="239"/>
      <c r="CM16817" s="336"/>
    </row>
    <row r="16818" spans="84:91" s="51" customFormat="1">
      <c r="CF16818" s="239"/>
      <c r="CM16818" s="336"/>
    </row>
    <row r="16819" spans="84:91" s="51" customFormat="1">
      <c r="CF16819" s="239"/>
      <c r="CM16819" s="336"/>
    </row>
    <row r="16820" spans="84:91" s="51" customFormat="1">
      <c r="CF16820" s="239"/>
      <c r="CM16820" s="336"/>
    </row>
    <row r="16821" spans="84:91" s="51" customFormat="1">
      <c r="CF16821" s="239"/>
      <c r="CM16821" s="336"/>
    </row>
    <row r="16822" spans="84:91" s="51" customFormat="1">
      <c r="CF16822" s="239"/>
      <c r="CM16822" s="336"/>
    </row>
    <row r="16823" spans="84:91" s="51" customFormat="1">
      <c r="CF16823" s="239"/>
      <c r="CM16823" s="336"/>
    </row>
    <row r="16824" spans="84:91" s="51" customFormat="1">
      <c r="CF16824" s="239"/>
      <c r="CM16824" s="336"/>
    </row>
    <row r="16825" spans="84:91" s="51" customFormat="1">
      <c r="CF16825" s="239"/>
      <c r="CM16825" s="336"/>
    </row>
    <row r="16826" spans="84:91" s="51" customFormat="1">
      <c r="CF16826" s="239"/>
      <c r="CM16826" s="336"/>
    </row>
    <row r="16827" spans="84:91" s="51" customFormat="1">
      <c r="CF16827" s="239"/>
      <c r="CM16827" s="336"/>
    </row>
    <row r="16828" spans="84:91" s="51" customFormat="1">
      <c r="CF16828" s="239"/>
      <c r="CM16828" s="336"/>
    </row>
    <row r="16829" spans="84:91" s="51" customFormat="1">
      <c r="CF16829" s="239"/>
      <c r="CM16829" s="336"/>
    </row>
    <row r="16830" spans="84:91" s="51" customFormat="1">
      <c r="CF16830" s="239"/>
      <c r="CM16830" s="336"/>
    </row>
    <row r="16831" spans="84:91" s="51" customFormat="1">
      <c r="CF16831" s="239"/>
      <c r="CM16831" s="336"/>
    </row>
    <row r="16832" spans="84:91" s="51" customFormat="1">
      <c r="CF16832" s="239"/>
      <c r="CM16832" s="336"/>
    </row>
    <row r="16833" spans="84:91" s="51" customFormat="1">
      <c r="CF16833" s="239"/>
      <c r="CM16833" s="336"/>
    </row>
    <row r="16834" spans="84:91" s="51" customFormat="1">
      <c r="CF16834" s="239"/>
      <c r="CM16834" s="336"/>
    </row>
    <row r="16835" spans="84:91" s="51" customFormat="1">
      <c r="CF16835" s="239"/>
      <c r="CM16835" s="336"/>
    </row>
    <row r="16836" spans="84:91" s="51" customFormat="1">
      <c r="CF16836" s="239"/>
      <c r="CM16836" s="336"/>
    </row>
    <row r="16837" spans="84:91" s="51" customFormat="1">
      <c r="CF16837" s="239"/>
      <c r="CM16837" s="336"/>
    </row>
    <row r="16838" spans="84:91" s="51" customFormat="1">
      <c r="CF16838" s="239"/>
      <c r="CM16838" s="336"/>
    </row>
    <row r="16839" spans="84:91" s="51" customFormat="1">
      <c r="CF16839" s="239"/>
      <c r="CM16839" s="336"/>
    </row>
    <row r="16840" spans="84:91" s="51" customFormat="1">
      <c r="CF16840" s="239"/>
      <c r="CM16840" s="336"/>
    </row>
    <row r="16841" spans="84:91" s="51" customFormat="1">
      <c r="CF16841" s="239"/>
      <c r="CM16841" s="336"/>
    </row>
    <row r="16842" spans="84:91" s="51" customFormat="1">
      <c r="CF16842" s="239"/>
      <c r="CM16842" s="336"/>
    </row>
    <row r="16843" spans="84:91" s="51" customFormat="1">
      <c r="CF16843" s="239"/>
      <c r="CM16843" s="336"/>
    </row>
    <row r="16844" spans="84:91" s="51" customFormat="1">
      <c r="CF16844" s="239"/>
      <c r="CM16844" s="336"/>
    </row>
    <row r="16845" spans="84:91" s="51" customFormat="1">
      <c r="CF16845" s="239"/>
      <c r="CM16845" s="336"/>
    </row>
    <row r="16846" spans="84:91" s="51" customFormat="1">
      <c r="CF16846" s="239"/>
      <c r="CM16846" s="336"/>
    </row>
    <row r="16847" spans="84:91" s="51" customFormat="1">
      <c r="CF16847" s="239"/>
      <c r="CM16847" s="336"/>
    </row>
    <row r="16848" spans="84:91" s="51" customFormat="1">
      <c r="CF16848" s="239"/>
      <c r="CM16848" s="336"/>
    </row>
    <row r="16849" spans="84:91" s="51" customFormat="1">
      <c r="CF16849" s="239"/>
      <c r="CM16849" s="336"/>
    </row>
    <row r="16850" spans="84:91" s="51" customFormat="1">
      <c r="CF16850" s="239"/>
      <c r="CM16850" s="336"/>
    </row>
    <row r="16851" spans="84:91" s="51" customFormat="1">
      <c r="CF16851" s="239"/>
      <c r="CM16851" s="336"/>
    </row>
    <row r="16852" spans="84:91" s="51" customFormat="1">
      <c r="CF16852" s="239"/>
      <c r="CM16852" s="336"/>
    </row>
    <row r="16853" spans="84:91" s="51" customFormat="1">
      <c r="CF16853" s="239"/>
      <c r="CM16853" s="336"/>
    </row>
    <row r="16854" spans="84:91" s="51" customFormat="1">
      <c r="CF16854" s="239"/>
      <c r="CM16854" s="336"/>
    </row>
    <row r="16855" spans="84:91" s="51" customFormat="1">
      <c r="CF16855" s="239"/>
      <c r="CM16855" s="336"/>
    </row>
    <row r="16856" spans="84:91" s="51" customFormat="1">
      <c r="CF16856" s="239"/>
      <c r="CM16856" s="336"/>
    </row>
    <row r="16857" spans="84:91" s="51" customFormat="1">
      <c r="CF16857" s="239"/>
      <c r="CM16857" s="336"/>
    </row>
    <row r="16858" spans="84:91" s="51" customFormat="1">
      <c r="CF16858" s="239"/>
      <c r="CM16858" s="336"/>
    </row>
    <row r="16859" spans="84:91" s="51" customFormat="1">
      <c r="CF16859" s="239"/>
      <c r="CM16859" s="336"/>
    </row>
    <row r="16860" spans="84:91" s="51" customFormat="1">
      <c r="CF16860" s="239"/>
      <c r="CM16860" s="336"/>
    </row>
    <row r="16861" spans="84:91" s="51" customFormat="1">
      <c r="CF16861" s="239"/>
      <c r="CM16861" s="336"/>
    </row>
    <row r="16862" spans="84:91" s="51" customFormat="1">
      <c r="CF16862" s="239"/>
      <c r="CM16862" s="336"/>
    </row>
    <row r="16863" spans="84:91" s="51" customFormat="1">
      <c r="CF16863" s="239"/>
      <c r="CM16863" s="336"/>
    </row>
    <row r="16864" spans="84:91" s="51" customFormat="1">
      <c r="CF16864" s="239"/>
      <c r="CM16864" s="336"/>
    </row>
    <row r="16865" spans="84:91" s="51" customFormat="1">
      <c r="CF16865" s="239"/>
      <c r="CM16865" s="336"/>
    </row>
    <row r="16866" spans="84:91" s="51" customFormat="1">
      <c r="CF16866" s="239"/>
      <c r="CM16866" s="336"/>
    </row>
    <row r="16867" spans="84:91" s="51" customFormat="1">
      <c r="CF16867" s="239"/>
      <c r="CM16867" s="336"/>
    </row>
    <row r="16868" spans="84:91" s="51" customFormat="1">
      <c r="CF16868" s="239"/>
      <c r="CM16868" s="336"/>
    </row>
    <row r="16869" spans="84:91" s="51" customFormat="1">
      <c r="CF16869" s="239"/>
      <c r="CM16869" s="336"/>
    </row>
    <row r="16870" spans="84:91" s="51" customFormat="1">
      <c r="CF16870" s="239"/>
      <c r="CM16870" s="336"/>
    </row>
    <row r="16871" spans="84:91" s="51" customFormat="1">
      <c r="CF16871" s="239"/>
      <c r="CM16871" s="336"/>
    </row>
    <row r="16872" spans="84:91" s="51" customFormat="1">
      <c r="CF16872" s="239"/>
      <c r="CM16872" s="336"/>
    </row>
    <row r="16873" spans="84:91" s="51" customFormat="1">
      <c r="CF16873" s="239"/>
      <c r="CM16873" s="336"/>
    </row>
    <row r="16874" spans="84:91" s="51" customFormat="1">
      <c r="CF16874" s="239"/>
      <c r="CM16874" s="336"/>
    </row>
    <row r="16875" spans="84:91" s="51" customFormat="1">
      <c r="CF16875" s="239"/>
      <c r="CM16875" s="336"/>
    </row>
    <row r="16876" spans="84:91" s="51" customFormat="1">
      <c r="CF16876" s="239"/>
      <c r="CM16876" s="336"/>
    </row>
    <row r="16877" spans="84:91" s="51" customFormat="1">
      <c r="CF16877" s="239"/>
      <c r="CM16877" s="336"/>
    </row>
    <row r="16878" spans="84:91" s="51" customFormat="1">
      <c r="CF16878" s="239"/>
      <c r="CM16878" s="336"/>
    </row>
    <row r="16879" spans="84:91" s="51" customFormat="1">
      <c r="CF16879" s="239"/>
      <c r="CM16879" s="336"/>
    </row>
    <row r="16880" spans="84:91" s="51" customFormat="1">
      <c r="CF16880" s="239"/>
      <c r="CM16880" s="336"/>
    </row>
    <row r="16881" spans="84:91" s="51" customFormat="1">
      <c r="CF16881" s="239"/>
      <c r="CM16881" s="336"/>
    </row>
    <row r="16882" spans="84:91" s="51" customFormat="1">
      <c r="CF16882" s="239"/>
      <c r="CM16882" s="336"/>
    </row>
    <row r="16883" spans="84:91" s="51" customFormat="1">
      <c r="CF16883" s="239"/>
      <c r="CM16883" s="336"/>
    </row>
    <row r="16884" spans="84:91" s="51" customFormat="1">
      <c r="CF16884" s="239"/>
      <c r="CM16884" s="336"/>
    </row>
    <row r="16885" spans="84:91" s="51" customFormat="1">
      <c r="CF16885" s="239"/>
      <c r="CM16885" s="336"/>
    </row>
    <row r="16886" spans="84:91" s="51" customFormat="1">
      <c r="CF16886" s="239"/>
      <c r="CM16886" s="336"/>
    </row>
    <row r="16887" spans="84:91" s="51" customFormat="1">
      <c r="CF16887" s="239"/>
      <c r="CM16887" s="336"/>
    </row>
    <row r="16888" spans="84:91" s="51" customFormat="1">
      <c r="CF16888" s="239"/>
      <c r="CM16888" s="336"/>
    </row>
    <row r="16889" spans="84:91" s="51" customFormat="1">
      <c r="CF16889" s="239"/>
      <c r="CM16889" s="336"/>
    </row>
    <row r="16890" spans="84:91" s="51" customFormat="1">
      <c r="CF16890" s="239"/>
      <c r="CM16890" s="336"/>
    </row>
    <row r="16891" spans="84:91" s="51" customFormat="1">
      <c r="CF16891" s="239"/>
      <c r="CM16891" s="336"/>
    </row>
    <row r="16892" spans="84:91" s="51" customFormat="1">
      <c r="CF16892" s="239"/>
      <c r="CM16892" s="336"/>
    </row>
    <row r="16893" spans="84:91" s="51" customFormat="1">
      <c r="CF16893" s="239"/>
      <c r="CM16893" s="336"/>
    </row>
    <row r="16894" spans="84:91" s="51" customFormat="1">
      <c r="CF16894" s="239"/>
      <c r="CM16894" s="336"/>
    </row>
    <row r="16895" spans="84:91" s="51" customFormat="1">
      <c r="CF16895" s="239"/>
      <c r="CM16895" s="336"/>
    </row>
    <row r="16896" spans="84:91" s="51" customFormat="1">
      <c r="CF16896" s="239"/>
      <c r="CM16896" s="336"/>
    </row>
    <row r="16897" spans="84:91" s="51" customFormat="1">
      <c r="CF16897" s="239"/>
      <c r="CM16897" s="336"/>
    </row>
    <row r="16898" spans="84:91" s="51" customFormat="1">
      <c r="CF16898" s="239"/>
      <c r="CM16898" s="336"/>
    </row>
    <row r="16899" spans="84:91" s="51" customFormat="1">
      <c r="CF16899" s="239"/>
      <c r="CM16899" s="336"/>
    </row>
    <row r="16900" spans="84:91" s="51" customFormat="1">
      <c r="CF16900" s="239"/>
      <c r="CM16900" s="336"/>
    </row>
    <row r="16901" spans="84:91" s="51" customFormat="1">
      <c r="CF16901" s="239"/>
      <c r="CM16901" s="336"/>
    </row>
    <row r="16902" spans="84:91" s="51" customFormat="1">
      <c r="CF16902" s="239"/>
      <c r="CM16902" s="336"/>
    </row>
    <row r="16903" spans="84:91" s="51" customFormat="1">
      <c r="CF16903" s="239"/>
      <c r="CM16903" s="336"/>
    </row>
    <row r="16904" spans="84:91" s="51" customFormat="1">
      <c r="CF16904" s="239"/>
      <c r="CM16904" s="336"/>
    </row>
    <row r="16905" spans="84:91" s="51" customFormat="1">
      <c r="CF16905" s="239"/>
      <c r="CM16905" s="336"/>
    </row>
    <row r="16906" spans="84:91" s="51" customFormat="1">
      <c r="CF16906" s="239"/>
      <c r="CM16906" s="336"/>
    </row>
    <row r="16907" spans="84:91" s="51" customFormat="1">
      <c r="CF16907" s="239"/>
      <c r="CM16907" s="336"/>
    </row>
    <row r="16908" spans="84:91" s="51" customFormat="1">
      <c r="CF16908" s="239"/>
      <c r="CM16908" s="336"/>
    </row>
    <row r="16909" spans="84:91" s="51" customFormat="1">
      <c r="CF16909" s="239"/>
      <c r="CM16909" s="336"/>
    </row>
    <row r="16910" spans="84:91" s="51" customFormat="1">
      <c r="CF16910" s="239"/>
      <c r="CM16910" s="336"/>
    </row>
    <row r="16911" spans="84:91" s="51" customFormat="1">
      <c r="CF16911" s="239"/>
      <c r="CM16911" s="336"/>
    </row>
    <row r="16912" spans="84:91" s="51" customFormat="1">
      <c r="CF16912" s="239"/>
      <c r="CM16912" s="336"/>
    </row>
    <row r="16913" spans="84:91" s="51" customFormat="1">
      <c r="CF16913" s="239"/>
      <c r="CM16913" s="336"/>
    </row>
    <row r="16914" spans="84:91" s="51" customFormat="1">
      <c r="CF16914" s="239"/>
      <c r="CM16914" s="336"/>
    </row>
    <row r="16915" spans="84:91" s="51" customFormat="1">
      <c r="CF16915" s="239"/>
      <c r="CM16915" s="336"/>
    </row>
    <row r="16916" spans="84:91" s="51" customFormat="1">
      <c r="CF16916" s="239"/>
      <c r="CM16916" s="336"/>
    </row>
    <row r="16917" spans="84:91" s="51" customFormat="1">
      <c r="CF16917" s="239"/>
      <c r="CM16917" s="336"/>
    </row>
    <row r="16918" spans="84:91" s="51" customFormat="1">
      <c r="CF16918" s="239"/>
      <c r="CM16918" s="336"/>
    </row>
    <row r="16919" spans="84:91" s="51" customFormat="1">
      <c r="CF16919" s="239"/>
      <c r="CM16919" s="336"/>
    </row>
    <row r="16920" spans="84:91" s="51" customFormat="1">
      <c r="CF16920" s="239"/>
      <c r="CM16920" s="336"/>
    </row>
    <row r="16921" spans="84:91" s="51" customFormat="1">
      <c r="CF16921" s="239"/>
      <c r="CM16921" s="336"/>
    </row>
    <row r="16922" spans="84:91" s="51" customFormat="1">
      <c r="CF16922" s="239"/>
      <c r="CM16922" s="336"/>
    </row>
    <row r="16923" spans="84:91" s="51" customFormat="1">
      <c r="CF16923" s="239"/>
      <c r="CM16923" s="336"/>
    </row>
    <row r="16924" spans="84:91" s="51" customFormat="1">
      <c r="CF16924" s="239"/>
      <c r="CM16924" s="336"/>
    </row>
    <row r="16925" spans="84:91" s="51" customFormat="1">
      <c r="CF16925" s="239"/>
      <c r="CM16925" s="336"/>
    </row>
    <row r="16926" spans="84:91" s="51" customFormat="1">
      <c r="CF16926" s="239"/>
      <c r="CM16926" s="336"/>
    </row>
    <row r="16927" spans="84:91" s="51" customFormat="1">
      <c r="CF16927" s="239"/>
      <c r="CM16927" s="336"/>
    </row>
    <row r="16928" spans="84:91" s="51" customFormat="1">
      <c r="CF16928" s="239"/>
      <c r="CM16928" s="336"/>
    </row>
    <row r="16929" spans="84:91" s="51" customFormat="1">
      <c r="CF16929" s="239"/>
      <c r="CM16929" s="336"/>
    </row>
    <row r="16930" spans="84:91" s="51" customFormat="1">
      <c r="CF16930" s="239"/>
      <c r="CM16930" s="336"/>
    </row>
    <row r="16931" spans="84:91" s="51" customFormat="1">
      <c r="CF16931" s="239"/>
      <c r="CM16931" s="336"/>
    </row>
    <row r="16932" spans="84:91" s="51" customFormat="1">
      <c r="CF16932" s="239"/>
      <c r="CM16932" s="336"/>
    </row>
    <row r="16933" spans="84:91" s="51" customFormat="1">
      <c r="CF16933" s="239"/>
      <c r="CM16933" s="336"/>
    </row>
    <row r="16934" spans="84:91" s="51" customFormat="1">
      <c r="CF16934" s="239"/>
      <c r="CM16934" s="336"/>
    </row>
    <row r="16935" spans="84:91" s="51" customFormat="1">
      <c r="CF16935" s="239"/>
      <c r="CM16935" s="336"/>
    </row>
    <row r="16936" spans="84:91" s="51" customFormat="1">
      <c r="CF16936" s="239"/>
      <c r="CM16936" s="336"/>
    </row>
    <row r="16937" spans="84:91" s="51" customFormat="1">
      <c r="CF16937" s="239"/>
      <c r="CM16937" s="336"/>
    </row>
    <row r="16938" spans="84:91" s="51" customFormat="1">
      <c r="CF16938" s="239"/>
      <c r="CM16938" s="336"/>
    </row>
    <row r="16939" spans="84:91" s="51" customFormat="1">
      <c r="CF16939" s="239"/>
      <c r="CM16939" s="336"/>
    </row>
    <row r="16940" spans="84:91" s="51" customFormat="1">
      <c r="CF16940" s="239"/>
      <c r="CM16940" s="336"/>
    </row>
    <row r="16941" spans="84:91" s="51" customFormat="1">
      <c r="CF16941" s="239"/>
      <c r="CM16941" s="336"/>
    </row>
    <row r="16942" spans="84:91" s="51" customFormat="1">
      <c r="CF16942" s="239"/>
      <c r="CM16942" s="336"/>
    </row>
    <row r="16943" spans="84:91" s="51" customFormat="1">
      <c r="CF16943" s="239"/>
      <c r="CM16943" s="336"/>
    </row>
    <row r="16944" spans="84:91" s="51" customFormat="1">
      <c r="CF16944" s="239"/>
      <c r="CM16944" s="336"/>
    </row>
    <row r="16945" spans="84:91" s="51" customFormat="1">
      <c r="CF16945" s="239"/>
      <c r="CM16945" s="336"/>
    </row>
    <row r="16946" spans="84:91" s="51" customFormat="1">
      <c r="CF16946" s="239"/>
      <c r="CM16946" s="336"/>
    </row>
    <row r="16947" spans="84:91" s="51" customFormat="1">
      <c r="CF16947" s="239"/>
      <c r="CM16947" s="336"/>
    </row>
    <row r="16948" spans="84:91" s="51" customFormat="1">
      <c r="CF16948" s="239"/>
      <c r="CM16948" s="336"/>
    </row>
    <row r="16949" spans="84:91" s="51" customFormat="1">
      <c r="CF16949" s="239"/>
      <c r="CM16949" s="336"/>
    </row>
    <row r="16950" spans="84:91" s="51" customFormat="1">
      <c r="CF16950" s="239"/>
      <c r="CM16950" s="336"/>
    </row>
    <row r="16951" spans="84:91" s="51" customFormat="1">
      <c r="CF16951" s="239"/>
      <c r="CM16951" s="336"/>
    </row>
    <row r="16952" spans="84:91" s="51" customFormat="1">
      <c r="CF16952" s="239"/>
      <c r="CM16952" s="336"/>
    </row>
    <row r="16953" spans="84:91" s="51" customFormat="1">
      <c r="CF16953" s="239"/>
      <c r="CM16953" s="336"/>
    </row>
    <row r="16954" spans="84:91" s="51" customFormat="1">
      <c r="CF16954" s="239"/>
      <c r="CM16954" s="336"/>
    </row>
    <row r="16955" spans="84:91" s="51" customFormat="1">
      <c r="CF16955" s="239"/>
      <c r="CM16955" s="336"/>
    </row>
    <row r="16956" spans="84:91" s="51" customFormat="1">
      <c r="CF16956" s="239"/>
      <c r="CM16956" s="336"/>
    </row>
    <row r="16957" spans="84:91" s="51" customFormat="1">
      <c r="CF16957" s="239"/>
      <c r="CM16957" s="336"/>
    </row>
    <row r="16958" spans="84:91" s="51" customFormat="1">
      <c r="CF16958" s="239"/>
      <c r="CM16958" s="336"/>
    </row>
    <row r="16959" spans="84:91" s="51" customFormat="1">
      <c r="CF16959" s="239"/>
      <c r="CM16959" s="336"/>
    </row>
    <row r="16960" spans="84:91" s="51" customFormat="1">
      <c r="CF16960" s="239"/>
      <c r="CM16960" s="336"/>
    </row>
    <row r="16961" spans="84:91" s="51" customFormat="1">
      <c r="CF16961" s="239"/>
      <c r="CM16961" s="336"/>
    </row>
    <row r="16962" spans="84:91" s="51" customFormat="1">
      <c r="CF16962" s="239"/>
      <c r="CM16962" s="336"/>
    </row>
    <row r="16963" spans="84:91" s="51" customFormat="1">
      <c r="CF16963" s="239"/>
      <c r="CM16963" s="336"/>
    </row>
    <row r="16964" spans="84:91" s="51" customFormat="1">
      <c r="CF16964" s="239"/>
      <c r="CM16964" s="336"/>
    </row>
    <row r="16965" spans="84:91" s="51" customFormat="1">
      <c r="CF16965" s="239"/>
      <c r="CM16965" s="336"/>
    </row>
    <row r="16966" spans="84:91" s="51" customFormat="1">
      <c r="CF16966" s="239"/>
      <c r="CM16966" s="336"/>
    </row>
    <row r="16967" spans="84:91" s="51" customFormat="1">
      <c r="CF16967" s="239"/>
      <c r="CM16967" s="336"/>
    </row>
    <row r="16968" spans="84:91" s="51" customFormat="1">
      <c r="CF16968" s="239"/>
      <c r="CM16968" s="336"/>
    </row>
    <row r="16969" spans="84:91" s="51" customFormat="1">
      <c r="CF16969" s="239"/>
      <c r="CM16969" s="336"/>
    </row>
    <row r="16970" spans="84:91" s="51" customFormat="1">
      <c r="CF16970" s="239"/>
      <c r="CM16970" s="336"/>
    </row>
    <row r="16971" spans="84:91" s="51" customFormat="1">
      <c r="CF16971" s="239"/>
      <c r="CM16971" s="336"/>
    </row>
    <row r="16972" spans="84:91" s="51" customFormat="1">
      <c r="CF16972" s="239"/>
      <c r="CM16972" s="336"/>
    </row>
    <row r="16973" spans="84:91" s="51" customFormat="1">
      <c r="CF16973" s="239"/>
      <c r="CM16973" s="336"/>
    </row>
    <row r="16974" spans="84:91" s="51" customFormat="1">
      <c r="CF16974" s="239"/>
      <c r="CM16974" s="336"/>
    </row>
    <row r="16975" spans="84:91" s="51" customFormat="1">
      <c r="CF16975" s="239"/>
      <c r="CM16975" s="336"/>
    </row>
    <row r="16976" spans="84:91" s="51" customFormat="1">
      <c r="CF16976" s="239"/>
      <c r="CM16976" s="336"/>
    </row>
    <row r="16977" spans="84:91" s="51" customFormat="1">
      <c r="CF16977" s="239"/>
      <c r="CM16977" s="336"/>
    </row>
    <row r="16978" spans="84:91" s="51" customFormat="1">
      <c r="CF16978" s="239"/>
      <c r="CM16978" s="336"/>
    </row>
    <row r="16979" spans="84:91" s="51" customFormat="1">
      <c r="CF16979" s="239"/>
      <c r="CM16979" s="336"/>
    </row>
    <row r="16980" spans="84:91" s="51" customFormat="1">
      <c r="CF16980" s="239"/>
      <c r="CM16980" s="336"/>
    </row>
    <row r="16981" spans="84:91" s="51" customFormat="1">
      <c r="CF16981" s="239"/>
      <c r="CM16981" s="336"/>
    </row>
    <row r="16982" spans="84:91" s="51" customFormat="1">
      <c r="CF16982" s="239"/>
      <c r="CM16982" s="336"/>
    </row>
    <row r="16983" spans="84:91" s="51" customFormat="1">
      <c r="CF16983" s="239"/>
      <c r="CM16983" s="336"/>
    </row>
    <row r="16984" spans="84:91" s="51" customFormat="1">
      <c r="CF16984" s="239"/>
      <c r="CM16984" s="336"/>
    </row>
    <row r="16985" spans="84:91" s="51" customFormat="1">
      <c r="CF16985" s="239"/>
      <c r="CM16985" s="336"/>
    </row>
    <row r="16986" spans="84:91" s="51" customFormat="1">
      <c r="CF16986" s="239"/>
      <c r="CM16986" s="336"/>
    </row>
    <row r="16987" spans="84:91" s="51" customFormat="1">
      <c r="CF16987" s="239"/>
      <c r="CM16987" s="336"/>
    </row>
    <row r="16988" spans="84:91" s="51" customFormat="1">
      <c r="CF16988" s="239"/>
      <c r="CM16988" s="336"/>
    </row>
    <row r="16989" spans="84:91" s="51" customFormat="1">
      <c r="CF16989" s="239"/>
      <c r="CM16989" s="336"/>
    </row>
    <row r="16990" spans="84:91" s="51" customFormat="1">
      <c r="CF16990" s="239"/>
      <c r="CM16990" s="336"/>
    </row>
    <row r="16991" spans="84:91" s="51" customFormat="1">
      <c r="CF16991" s="239"/>
      <c r="CM16991" s="336"/>
    </row>
    <row r="16992" spans="84:91" s="51" customFormat="1">
      <c r="CF16992" s="239"/>
      <c r="CM16992" s="336"/>
    </row>
    <row r="16993" spans="84:91" s="51" customFormat="1">
      <c r="CF16993" s="239"/>
      <c r="CM16993" s="336"/>
    </row>
    <row r="16994" spans="84:91" s="51" customFormat="1">
      <c r="CF16994" s="239"/>
      <c r="CM16994" s="336"/>
    </row>
    <row r="16995" spans="84:91" s="51" customFormat="1">
      <c r="CF16995" s="239"/>
      <c r="CM16995" s="336"/>
    </row>
    <row r="16996" spans="84:91" s="51" customFormat="1">
      <c r="CF16996" s="239"/>
      <c r="CM16996" s="336"/>
    </row>
    <row r="16997" spans="84:91" s="51" customFormat="1">
      <c r="CF16997" s="239"/>
      <c r="CM16997" s="336"/>
    </row>
    <row r="16998" spans="84:91" s="51" customFormat="1">
      <c r="CF16998" s="239"/>
      <c r="CM16998" s="336"/>
    </row>
    <row r="16999" spans="84:91" s="51" customFormat="1">
      <c r="CF16999" s="239"/>
      <c r="CM16999" s="336"/>
    </row>
    <row r="17000" spans="84:91" s="51" customFormat="1">
      <c r="CF17000" s="239"/>
      <c r="CM17000" s="336"/>
    </row>
    <row r="17001" spans="84:91" s="51" customFormat="1">
      <c r="CF17001" s="239"/>
      <c r="CM17001" s="336"/>
    </row>
    <row r="17002" spans="84:91" s="51" customFormat="1">
      <c r="CF17002" s="239"/>
      <c r="CM17002" s="336"/>
    </row>
    <row r="17003" spans="84:91" s="51" customFormat="1">
      <c r="CF17003" s="239"/>
      <c r="CM17003" s="336"/>
    </row>
    <row r="17004" spans="84:91" s="51" customFormat="1">
      <c r="CF17004" s="239"/>
      <c r="CM17004" s="336"/>
    </row>
    <row r="17005" spans="84:91" s="51" customFormat="1">
      <c r="CF17005" s="239"/>
      <c r="CM17005" s="336"/>
    </row>
    <row r="17006" spans="84:91" s="51" customFormat="1">
      <c r="CF17006" s="239"/>
      <c r="CM17006" s="336"/>
    </row>
    <row r="17007" spans="84:91" s="51" customFormat="1">
      <c r="CF17007" s="239"/>
      <c r="CM17007" s="336"/>
    </row>
    <row r="17008" spans="84:91" s="51" customFormat="1">
      <c r="CF17008" s="239"/>
      <c r="CM17008" s="336"/>
    </row>
    <row r="17009" spans="84:91" s="51" customFormat="1">
      <c r="CF17009" s="239"/>
      <c r="CM17009" s="336"/>
    </row>
    <row r="17010" spans="84:91" s="51" customFormat="1">
      <c r="CF17010" s="239"/>
      <c r="CM17010" s="336"/>
    </row>
    <row r="17011" spans="84:91" s="51" customFormat="1">
      <c r="CF17011" s="239"/>
      <c r="CM17011" s="336"/>
    </row>
    <row r="17012" spans="84:91" s="51" customFormat="1">
      <c r="CF17012" s="239"/>
      <c r="CM17012" s="336"/>
    </row>
    <row r="17013" spans="84:91" s="51" customFormat="1">
      <c r="CF17013" s="239"/>
      <c r="CM17013" s="336"/>
    </row>
    <row r="17014" spans="84:91" s="51" customFormat="1">
      <c r="CF17014" s="239"/>
      <c r="CM17014" s="336"/>
    </row>
    <row r="17015" spans="84:91" s="51" customFormat="1">
      <c r="CF17015" s="239"/>
      <c r="CM17015" s="336"/>
    </row>
    <row r="17016" spans="84:91" s="51" customFormat="1">
      <c r="CF17016" s="239"/>
      <c r="CM17016" s="336"/>
    </row>
    <row r="17017" spans="84:91" s="51" customFormat="1">
      <c r="CF17017" s="239"/>
      <c r="CM17017" s="336"/>
    </row>
    <row r="17018" spans="84:91" s="51" customFormat="1">
      <c r="CF17018" s="239"/>
      <c r="CM17018" s="336"/>
    </row>
    <row r="17019" spans="84:91" s="51" customFormat="1">
      <c r="CF17019" s="239"/>
      <c r="CM17019" s="336"/>
    </row>
    <row r="17020" spans="84:91" s="51" customFormat="1">
      <c r="CF17020" s="239"/>
      <c r="CM17020" s="336"/>
    </row>
    <row r="17021" spans="84:91" s="51" customFormat="1">
      <c r="CF17021" s="239"/>
      <c r="CM17021" s="336"/>
    </row>
    <row r="17022" spans="84:91" s="51" customFormat="1">
      <c r="CF17022" s="239"/>
      <c r="CM17022" s="336"/>
    </row>
    <row r="17023" spans="84:91" s="51" customFormat="1">
      <c r="CF17023" s="239"/>
      <c r="CM17023" s="336"/>
    </row>
    <row r="17024" spans="84:91" s="51" customFormat="1">
      <c r="CF17024" s="239"/>
      <c r="CM17024" s="336"/>
    </row>
    <row r="17025" spans="84:91" s="51" customFormat="1">
      <c r="CF17025" s="239"/>
      <c r="CM17025" s="336"/>
    </row>
    <row r="17026" spans="84:91" s="51" customFormat="1">
      <c r="CF17026" s="239"/>
      <c r="CM17026" s="336"/>
    </row>
    <row r="17027" spans="84:91" s="51" customFormat="1">
      <c r="CF17027" s="239"/>
      <c r="CM17027" s="336"/>
    </row>
    <row r="17028" spans="84:91" s="51" customFormat="1">
      <c r="CF17028" s="239"/>
      <c r="CM17028" s="336"/>
    </row>
    <row r="17029" spans="84:91" s="51" customFormat="1">
      <c r="CF17029" s="239"/>
      <c r="CM17029" s="336"/>
    </row>
    <row r="17030" spans="84:91" s="51" customFormat="1">
      <c r="CF17030" s="239"/>
      <c r="CM17030" s="336"/>
    </row>
    <row r="17031" spans="84:91" s="51" customFormat="1">
      <c r="CF17031" s="239"/>
      <c r="CM17031" s="336"/>
    </row>
    <row r="17032" spans="84:91" s="51" customFormat="1">
      <c r="CF17032" s="239"/>
      <c r="CM17032" s="336"/>
    </row>
    <row r="17033" spans="84:91" s="51" customFormat="1">
      <c r="CF17033" s="239"/>
      <c r="CM17033" s="336"/>
    </row>
    <row r="17034" spans="84:91" s="51" customFormat="1">
      <c r="CF17034" s="239"/>
      <c r="CM17034" s="336"/>
    </row>
    <row r="17035" spans="84:91" s="51" customFormat="1">
      <c r="CF17035" s="239"/>
      <c r="CM17035" s="336"/>
    </row>
    <row r="17036" spans="84:91" s="51" customFormat="1">
      <c r="CF17036" s="239"/>
      <c r="CM17036" s="336"/>
    </row>
    <row r="17037" spans="84:91" s="51" customFormat="1">
      <c r="CF17037" s="239"/>
      <c r="CM17037" s="336"/>
    </row>
    <row r="17038" spans="84:91" s="51" customFormat="1">
      <c r="CF17038" s="239"/>
      <c r="CM17038" s="336"/>
    </row>
    <row r="17039" spans="84:91" s="51" customFormat="1">
      <c r="CF17039" s="239"/>
      <c r="CM17039" s="336"/>
    </row>
    <row r="17040" spans="84:91" s="51" customFormat="1">
      <c r="CF17040" s="239"/>
      <c r="CM17040" s="336"/>
    </row>
    <row r="17041" spans="84:91" s="51" customFormat="1">
      <c r="CF17041" s="239"/>
      <c r="CM17041" s="336"/>
    </row>
    <row r="17042" spans="84:91" s="51" customFormat="1">
      <c r="CF17042" s="239"/>
      <c r="CM17042" s="336"/>
    </row>
    <row r="17043" spans="84:91" s="51" customFormat="1">
      <c r="CF17043" s="239"/>
      <c r="CM17043" s="336"/>
    </row>
    <row r="17044" spans="84:91" s="51" customFormat="1">
      <c r="CF17044" s="239"/>
      <c r="CM17044" s="336"/>
    </row>
    <row r="17045" spans="84:91" s="51" customFormat="1">
      <c r="CF17045" s="239"/>
      <c r="CM17045" s="336"/>
    </row>
    <row r="17046" spans="84:91" s="51" customFormat="1">
      <c r="CF17046" s="239"/>
      <c r="CM17046" s="336"/>
    </row>
    <row r="17047" spans="84:91" s="51" customFormat="1">
      <c r="CF17047" s="239"/>
      <c r="CM17047" s="336"/>
    </row>
    <row r="17048" spans="84:91" s="51" customFormat="1">
      <c r="CF17048" s="239"/>
      <c r="CM17048" s="336"/>
    </row>
    <row r="17049" spans="84:91" s="51" customFormat="1">
      <c r="CF17049" s="239"/>
      <c r="CM17049" s="336"/>
    </row>
    <row r="17050" spans="84:91" s="51" customFormat="1">
      <c r="CF17050" s="239"/>
      <c r="CM17050" s="336"/>
    </row>
    <row r="17051" spans="84:91" s="51" customFormat="1">
      <c r="CF17051" s="239"/>
      <c r="CM17051" s="336"/>
    </row>
    <row r="17052" spans="84:91" s="51" customFormat="1">
      <c r="CF17052" s="239"/>
      <c r="CM17052" s="336"/>
    </row>
    <row r="17053" spans="84:91" s="51" customFormat="1">
      <c r="CF17053" s="239"/>
      <c r="CM17053" s="336"/>
    </row>
    <row r="17054" spans="84:91" s="51" customFormat="1">
      <c r="CF17054" s="239"/>
      <c r="CM17054" s="336"/>
    </row>
    <row r="17055" spans="84:91" s="51" customFormat="1">
      <c r="CF17055" s="239"/>
      <c r="CM17055" s="336"/>
    </row>
    <row r="17056" spans="84:91" s="51" customFormat="1">
      <c r="CF17056" s="239"/>
      <c r="CM17056" s="336"/>
    </row>
    <row r="17057" spans="84:91" s="51" customFormat="1">
      <c r="CF17057" s="239"/>
      <c r="CM17057" s="336"/>
    </row>
    <row r="17058" spans="84:91" s="51" customFormat="1">
      <c r="CF17058" s="239"/>
      <c r="CM17058" s="336"/>
    </row>
    <row r="17059" spans="84:91" s="51" customFormat="1">
      <c r="CF17059" s="239"/>
      <c r="CM17059" s="336"/>
    </row>
    <row r="17060" spans="84:91" s="51" customFormat="1">
      <c r="CF17060" s="239"/>
      <c r="CM17060" s="336"/>
    </row>
    <row r="17061" spans="84:91" s="51" customFormat="1">
      <c r="CF17061" s="239"/>
      <c r="CM17061" s="336"/>
    </row>
    <row r="17062" spans="84:91" s="51" customFormat="1">
      <c r="CF17062" s="239"/>
      <c r="CM17062" s="336"/>
    </row>
    <row r="17063" spans="84:91" s="51" customFormat="1">
      <c r="CF17063" s="239"/>
      <c r="CM17063" s="336"/>
    </row>
    <row r="17064" spans="84:91" s="51" customFormat="1">
      <c r="CF17064" s="239"/>
      <c r="CM17064" s="336"/>
    </row>
    <row r="17065" spans="84:91" s="51" customFormat="1">
      <c r="CF17065" s="239"/>
      <c r="CM17065" s="336"/>
    </row>
    <row r="17066" spans="84:91" s="51" customFormat="1">
      <c r="CF17066" s="239"/>
      <c r="CM17066" s="336"/>
    </row>
    <row r="17067" spans="84:91" s="51" customFormat="1">
      <c r="CF17067" s="239"/>
      <c r="CM17067" s="336"/>
    </row>
    <row r="17068" spans="84:91" s="51" customFormat="1">
      <c r="CF17068" s="239"/>
      <c r="CM17068" s="336"/>
    </row>
    <row r="17069" spans="84:91" s="51" customFormat="1">
      <c r="CF17069" s="239"/>
      <c r="CM17069" s="336"/>
    </row>
    <row r="17070" spans="84:91" s="51" customFormat="1">
      <c r="CF17070" s="239"/>
      <c r="CM17070" s="336"/>
    </row>
    <row r="17071" spans="84:91" s="51" customFormat="1">
      <c r="CF17071" s="239"/>
      <c r="CM17071" s="336"/>
    </row>
    <row r="17072" spans="84:91" s="51" customFormat="1">
      <c r="CF17072" s="239"/>
      <c r="CM17072" s="336"/>
    </row>
    <row r="17073" spans="84:91" s="51" customFormat="1">
      <c r="CF17073" s="239"/>
      <c r="CM17073" s="336"/>
    </row>
    <row r="17074" spans="84:91" s="51" customFormat="1">
      <c r="CF17074" s="239"/>
      <c r="CM17074" s="336"/>
    </row>
    <row r="17075" spans="84:91" s="51" customFormat="1">
      <c r="CF17075" s="239"/>
      <c r="CM17075" s="336"/>
    </row>
    <row r="17076" spans="84:91" s="51" customFormat="1">
      <c r="CF17076" s="239"/>
      <c r="CM17076" s="336"/>
    </row>
    <row r="17077" spans="84:91" s="51" customFormat="1">
      <c r="CF17077" s="239"/>
      <c r="CM17077" s="336"/>
    </row>
    <row r="17078" spans="84:91" s="51" customFormat="1">
      <c r="CF17078" s="239"/>
      <c r="CM17078" s="336"/>
    </row>
    <row r="17079" spans="84:91" s="51" customFormat="1">
      <c r="CF17079" s="239"/>
      <c r="CM17079" s="336"/>
    </row>
    <row r="17080" spans="84:91" s="51" customFormat="1">
      <c r="CF17080" s="239"/>
      <c r="CM17080" s="336"/>
    </row>
    <row r="17081" spans="84:91" s="51" customFormat="1">
      <c r="CF17081" s="239"/>
      <c r="CM17081" s="336"/>
    </row>
    <row r="17082" spans="84:91" s="51" customFormat="1">
      <c r="CF17082" s="239"/>
      <c r="CM17082" s="336"/>
    </row>
    <row r="17083" spans="84:91" s="51" customFormat="1">
      <c r="CF17083" s="239"/>
      <c r="CM17083" s="336"/>
    </row>
    <row r="17084" spans="84:91" s="51" customFormat="1">
      <c r="CF17084" s="239"/>
      <c r="CM17084" s="336"/>
    </row>
    <row r="17085" spans="84:91" s="51" customFormat="1">
      <c r="CF17085" s="239"/>
      <c r="CM17085" s="336"/>
    </row>
    <row r="17086" spans="84:91" s="51" customFormat="1">
      <c r="CF17086" s="239"/>
      <c r="CM17086" s="336"/>
    </row>
    <row r="17087" spans="84:91" s="51" customFormat="1">
      <c r="CF17087" s="239"/>
      <c r="CM17087" s="336"/>
    </row>
    <row r="17088" spans="84:91" s="51" customFormat="1">
      <c r="CF17088" s="239"/>
      <c r="CM17088" s="336"/>
    </row>
    <row r="17089" spans="84:91" s="51" customFormat="1">
      <c r="CF17089" s="239"/>
      <c r="CM17089" s="336"/>
    </row>
    <row r="17090" spans="84:91" s="51" customFormat="1">
      <c r="CF17090" s="239"/>
      <c r="CM17090" s="336"/>
    </row>
    <row r="17091" spans="84:91" s="51" customFormat="1">
      <c r="CF17091" s="239"/>
      <c r="CM17091" s="336"/>
    </row>
    <row r="17092" spans="84:91" s="51" customFormat="1">
      <c r="CF17092" s="239"/>
      <c r="CM17092" s="336"/>
    </row>
    <row r="17093" spans="84:91" s="51" customFormat="1">
      <c r="CF17093" s="239"/>
      <c r="CM17093" s="336"/>
    </row>
    <row r="17094" spans="84:91" s="51" customFormat="1">
      <c r="CF17094" s="239"/>
      <c r="CM17094" s="336"/>
    </row>
    <row r="17095" spans="84:91" s="51" customFormat="1">
      <c r="CF17095" s="239"/>
      <c r="CM17095" s="336"/>
    </row>
    <row r="17096" spans="84:91" s="51" customFormat="1">
      <c r="CF17096" s="239"/>
      <c r="CM17096" s="336"/>
    </row>
    <row r="17097" spans="84:91" s="51" customFormat="1">
      <c r="CF17097" s="239"/>
      <c r="CM17097" s="336"/>
    </row>
    <row r="17098" spans="84:91" s="51" customFormat="1">
      <c r="CF17098" s="239"/>
      <c r="CM17098" s="336"/>
    </row>
    <row r="17099" spans="84:91" s="51" customFormat="1">
      <c r="CF17099" s="239"/>
      <c r="CM17099" s="336"/>
    </row>
    <row r="17100" spans="84:91" s="51" customFormat="1">
      <c r="CF17100" s="239"/>
      <c r="CM17100" s="336"/>
    </row>
    <row r="17101" spans="84:91" s="51" customFormat="1">
      <c r="CF17101" s="239"/>
      <c r="CM17101" s="336"/>
    </row>
    <row r="17102" spans="84:91" s="51" customFormat="1">
      <c r="CF17102" s="239"/>
      <c r="CM17102" s="336"/>
    </row>
    <row r="17103" spans="84:91" s="51" customFormat="1">
      <c r="CF17103" s="239"/>
      <c r="CM17103" s="336"/>
    </row>
    <row r="17104" spans="84:91" s="51" customFormat="1">
      <c r="CF17104" s="239"/>
      <c r="CM17104" s="336"/>
    </row>
    <row r="17105" spans="84:91" s="51" customFormat="1">
      <c r="CF17105" s="239"/>
      <c r="CM17105" s="336"/>
    </row>
    <row r="17106" spans="84:91" s="51" customFormat="1">
      <c r="CF17106" s="239"/>
      <c r="CM17106" s="336"/>
    </row>
    <row r="17107" spans="84:91" s="51" customFormat="1">
      <c r="CF17107" s="239"/>
      <c r="CM17107" s="336"/>
    </row>
    <row r="17108" spans="84:91" s="51" customFormat="1">
      <c r="CF17108" s="239"/>
      <c r="CM17108" s="336"/>
    </row>
    <row r="17109" spans="84:91" s="51" customFormat="1">
      <c r="CF17109" s="239"/>
      <c r="CM17109" s="336"/>
    </row>
    <row r="17110" spans="84:91" s="51" customFormat="1">
      <c r="CF17110" s="239"/>
      <c r="CM17110" s="336"/>
    </row>
    <row r="17111" spans="84:91" s="51" customFormat="1">
      <c r="CF17111" s="239"/>
      <c r="CM17111" s="336"/>
    </row>
    <row r="17112" spans="84:91" s="51" customFormat="1">
      <c r="CF17112" s="239"/>
      <c r="CM17112" s="336"/>
    </row>
    <row r="17113" spans="84:91" s="51" customFormat="1">
      <c r="CF17113" s="239"/>
      <c r="CM17113" s="336"/>
    </row>
    <row r="17114" spans="84:91" s="51" customFormat="1">
      <c r="CF17114" s="239"/>
      <c r="CM17114" s="336"/>
    </row>
    <row r="17115" spans="84:91" s="51" customFormat="1">
      <c r="CF17115" s="239"/>
      <c r="CM17115" s="336"/>
    </row>
    <row r="17116" spans="84:91" s="51" customFormat="1">
      <c r="CF17116" s="239"/>
      <c r="CM17116" s="336"/>
    </row>
    <row r="17117" spans="84:91" s="51" customFormat="1">
      <c r="CF17117" s="239"/>
      <c r="CM17117" s="336"/>
    </row>
    <row r="17118" spans="84:91" s="51" customFormat="1">
      <c r="CF17118" s="239"/>
      <c r="CM17118" s="336"/>
    </row>
    <row r="17119" spans="84:91" s="51" customFormat="1">
      <c r="CF17119" s="239"/>
      <c r="CM17119" s="336"/>
    </row>
    <row r="17120" spans="84:91" s="51" customFormat="1">
      <c r="CF17120" s="239"/>
      <c r="CM17120" s="336"/>
    </row>
    <row r="17121" spans="84:91" s="51" customFormat="1">
      <c r="CF17121" s="239"/>
      <c r="CM17121" s="336"/>
    </row>
    <row r="17122" spans="84:91" s="51" customFormat="1">
      <c r="CF17122" s="239"/>
      <c r="CM17122" s="336"/>
    </row>
    <row r="17123" spans="84:91" s="51" customFormat="1">
      <c r="CF17123" s="239"/>
      <c r="CM17123" s="336"/>
    </row>
    <row r="17124" spans="84:91" s="51" customFormat="1">
      <c r="CF17124" s="239"/>
      <c r="CM17124" s="336"/>
    </row>
    <row r="17125" spans="84:91" s="51" customFormat="1">
      <c r="CF17125" s="239"/>
      <c r="CM17125" s="336"/>
    </row>
    <row r="17126" spans="84:91" s="51" customFormat="1">
      <c r="CF17126" s="239"/>
      <c r="CM17126" s="336"/>
    </row>
    <row r="17127" spans="84:91" s="51" customFormat="1">
      <c r="CF17127" s="239"/>
      <c r="CM17127" s="336"/>
    </row>
    <row r="17128" spans="84:91" s="51" customFormat="1">
      <c r="CF17128" s="239"/>
      <c r="CM17128" s="336"/>
    </row>
    <row r="17129" spans="84:91" s="51" customFormat="1">
      <c r="CF17129" s="239"/>
      <c r="CM17129" s="336"/>
    </row>
    <row r="17130" spans="84:91" s="51" customFormat="1">
      <c r="CF17130" s="239"/>
      <c r="CM17130" s="336"/>
    </row>
    <row r="17131" spans="84:91" s="51" customFormat="1">
      <c r="CF17131" s="239"/>
      <c r="CM17131" s="336"/>
    </row>
    <row r="17132" spans="84:91" s="51" customFormat="1">
      <c r="CF17132" s="239"/>
      <c r="CM17132" s="336"/>
    </row>
    <row r="17133" spans="84:91" s="51" customFormat="1">
      <c r="CF17133" s="239"/>
      <c r="CM17133" s="336"/>
    </row>
    <row r="17134" spans="84:91" s="51" customFormat="1">
      <c r="CF17134" s="239"/>
      <c r="CM17134" s="336"/>
    </row>
    <row r="17135" spans="84:91" s="51" customFormat="1">
      <c r="CF17135" s="239"/>
      <c r="CM17135" s="336"/>
    </row>
    <row r="17136" spans="84:91" s="51" customFormat="1">
      <c r="CF17136" s="239"/>
      <c r="CM17136" s="336"/>
    </row>
    <row r="17137" spans="84:91" s="51" customFormat="1">
      <c r="CF17137" s="239"/>
      <c r="CM17137" s="336"/>
    </row>
    <row r="17138" spans="84:91" s="51" customFormat="1">
      <c r="CF17138" s="239"/>
      <c r="CM17138" s="336"/>
    </row>
    <row r="17139" spans="84:91" s="51" customFormat="1">
      <c r="CF17139" s="239"/>
      <c r="CM17139" s="336"/>
    </row>
    <row r="17140" spans="84:91" s="51" customFormat="1">
      <c r="CF17140" s="239"/>
      <c r="CM17140" s="336"/>
    </row>
    <row r="17141" spans="84:91" s="51" customFormat="1">
      <c r="CF17141" s="239"/>
      <c r="CM17141" s="336"/>
    </row>
    <row r="17142" spans="84:91" s="51" customFormat="1">
      <c r="CF17142" s="239"/>
      <c r="CM17142" s="336"/>
    </row>
    <row r="17143" spans="84:91" s="51" customFormat="1">
      <c r="CF17143" s="239"/>
      <c r="CM17143" s="336"/>
    </row>
    <row r="17144" spans="84:91" s="51" customFormat="1">
      <c r="CF17144" s="239"/>
      <c r="CM17144" s="336"/>
    </row>
    <row r="17145" spans="84:91" s="51" customFormat="1">
      <c r="CF17145" s="239"/>
      <c r="CM17145" s="336"/>
    </row>
    <row r="17146" spans="84:91" s="51" customFormat="1">
      <c r="CF17146" s="239"/>
      <c r="CM17146" s="336"/>
    </row>
    <row r="17147" spans="84:91" s="51" customFormat="1">
      <c r="CF17147" s="239"/>
      <c r="CM17147" s="336"/>
    </row>
    <row r="17148" spans="84:91" s="51" customFormat="1">
      <c r="CF17148" s="239"/>
      <c r="CM17148" s="336"/>
    </row>
    <row r="17149" spans="84:91" s="51" customFormat="1">
      <c r="CF17149" s="239"/>
      <c r="CM17149" s="336"/>
    </row>
    <row r="17150" spans="84:91" s="51" customFormat="1">
      <c r="CF17150" s="239"/>
      <c r="CM17150" s="336"/>
    </row>
    <row r="17151" spans="84:91" s="51" customFormat="1">
      <c r="CF17151" s="239"/>
      <c r="CM17151" s="336"/>
    </row>
    <row r="17152" spans="84:91" s="51" customFormat="1">
      <c r="CF17152" s="239"/>
      <c r="CM17152" s="336"/>
    </row>
    <row r="17153" spans="84:91" s="51" customFormat="1">
      <c r="CF17153" s="239"/>
      <c r="CM17153" s="336"/>
    </row>
    <row r="17154" spans="84:91" s="51" customFormat="1">
      <c r="CF17154" s="239"/>
      <c r="CM17154" s="336"/>
    </row>
    <row r="17155" spans="84:91" s="51" customFormat="1">
      <c r="CF17155" s="239"/>
      <c r="CM17155" s="336"/>
    </row>
    <row r="17156" spans="84:91" s="51" customFormat="1">
      <c r="CF17156" s="239"/>
      <c r="CM17156" s="336"/>
    </row>
    <row r="17157" spans="84:91" s="51" customFormat="1">
      <c r="CF17157" s="239"/>
      <c r="CM17157" s="336"/>
    </row>
    <row r="17158" spans="84:91" s="51" customFormat="1">
      <c r="CF17158" s="239"/>
      <c r="CM17158" s="336"/>
    </row>
    <row r="17159" spans="84:91" s="51" customFormat="1">
      <c r="CF17159" s="239"/>
      <c r="CM17159" s="336"/>
    </row>
    <row r="17160" spans="84:91" s="51" customFormat="1">
      <c r="CF17160" s="239"/>
      <c r="CM17160" s="336"/>
    </row>
    <row r="17161" spans="84:91" s="51" customFormat="1">
      <c r="CF17161" s="239"/>
      <c r="CM17161" s="336"/>
    </row>
    <row r="17162" spans="84:91" s="51" customFormat="1">
      <c r="CF17162" s="239"/>
      <c r="CM17162" s="336"/>
    </row>
    <row r="17163" spans="84:91" s="51" customFormat="1">
      <c r="CF17163" s="239"/>
      <c r="CM17163" s="336"/>
    </row>
    <row r="17164" spans="84:91" s="51" customFormat="1">
      <c r="CF17164" s="239"/>
      <c r="CM17164" s="336"/>
    </row>
    <row r="17165" spans="84:91" s="51" customFormat="1">
      <c r="CF17165" s="239"/>
      <c r="CM17165" s="336"/>
    </row>
    <row r="17166" spans="84:91" s="51" customFormat="1">
      <c r="CF17166" s="239"/>
      <c r="CM17166" s="336"/>
    </row>
    <row r="17167" spans="84:91" s="51" customFormat="1">
      <c r="CF17167" s="239"/>
      <c r="CM17167" s="336"/>
    </row>
    <row r="17168" spans="84:91" s="51" customFormat="1">
      <c r="CF17168" s="239"/>
      <c r="CM17168" s="336"/>
    </row>
    <row r="17169" spans="84:91" s="51" customFormat="1">
      <c r="CF17169" s="239"/>
      <c r="CM17169" s="336"/>
    </row>
    <row r="17170" spans="84:91" s="51" customFormat="1">
      <c r="CF17170" s="239"/>
      <c r="CM17170" s="336"/>
    </row>
    <row r="17171" spans="84:91" s="51" customFormat="1">
      <c r="CF17171" s="239"/>
      <c r="CM17171" s="336"/>
    </row>
    <row r="17172" spans="84:91" s="51" customFormat="1">
      <c r="CF17172" s="239"/>
      <c r="CM17172" s="336"/>
    </row>
    <row r="17173" spans="84:91" s="51" customFormat="1">
      <c r="CF17173" s="239"/>
      <c r="CM17173" s="336"/>
    </row>
    <row r="17174" spans="84:91" s="51" customFormat="1">
      <c r="CF17174" s="239"/>
      <c r="CM17174" s="336"/>
    </row>
    <row r="17175" spans="84:91" s="51" customFormat="1">
      <c r="CF17175" s="239"/>
      <c r="CM17175" s="336"/>
    </row>
    <row r="17176" spans="84:91" s="51" customFormat="1">
      <c r="CF17176" s="239"/>
      <c r="CM17176" s="336"/>
    </row>
    <row r="17177" spans="84:91" s="51" customFormat="1">
      <c r="CF17177" s="239"/>
      <c r="CM17177" s="336"/>
    </row>
    <row r="17178" spans="84:91" s="51" customFormat="1">
      <c r="CF17178" s="239"/>
      <c r="CM17178" s="336"/>
    </row>
    <row r="17179" spans="84:91" s="51" customFormat="1">
      <c r="CF17179" s="239"/>
      <c r="CM17179" s="336"/>
    </row>
    <row r="17180" spans="84:91" s="51" customFormat="1">
      <c r="CF17180" s="239"/>
      <c r="CM17180" s="336"/>
    </row>
    <row r="17181" spans="84:91" s="51" customFormat="1">
      <c r="CF17181" s="239"/>
      <c r="CM17181" s="336"/>
    </row>
    <row r="17182" spans="84:91" s="51" customFormat="1">
      <c r="CF17182" s="239"/>
      <c r="CM17182" s="336"/>
    </row>
    <row r="17183" spans="84:91" s="51" customFormat="1">
      <c r="CF17183" s="239"/>
      <c r="CM17183" s="336"/>
    </row>
    <row r="17184" spans="84:91" s="51" customFormat="1">
      <c r="CF17184" s="239"/>
      <c r="CM17184" s="336"/>
    </row>
    <row r="17185" spans="84:91" s="51" customFormat="1">
      <c r="CF17185" s="239"/>
      <c r="CM17185" s="336"/>
    </row>
    <row r="17186" spans="84:91" s="51" customFormat="1">
      <c r="CF17186" s="239"/>
      <c r="CM17186" s="336"/>
    </row>
    <row r="17187" spans="84:91" s="51" customFormat="1">
      <c r="CF17187" s="239"/>
      <c r="CM17187" s="336"/>
    </row>
    <row r="17188" spans="84:91" s="51" customFormat="1">
      <c r="CF17188" s="239"/>
      <c r="CM17188" s="336"/>
    </row>
    <row r="17189" spans="84:91" s="51" customFormat="1">
      <c r="CF17189" s="239"/>
      <c r="CM17189" s="336"/>
    </row>
    <row r="17190" spans="84:91" s="51" customFormat="1">
      <c r="CF17190" s="239"/>
      <c r="CM17190" s="336"/>
    </row>
    <row r="17191" spans="84:91" s="51" customFormat="1">
      <c r="CF17191" s="239"/>
      <c r="CM17191" s="336"/>
    </row>
    <row r="17192" spans="84:91" s="51" customFormat="1">
      <c r="CF17192" s="239"/>
      <c r="CM17192" s="336"/>
    </row>
    <row r="17193" spans="84:91" s="51" customFormat="1">
      <c r="CF17193" s="239"/>
      <c r="CM17193" s="336"/>
    </row>
    <row r="17194" spans="84:91" s="51" customFormat="1">
      <c r="CF17194" s="239"/>
      <c r="CM17194" s="336"/>
    </row>
    <row r="17195" spans="84:91" s="51" customFormat="1">
      <c r="CF17195" s="239"/>
      <c r="CM17195" s="336"/>
    </row>
    <row r="17196" spans="84:91" s="51" customFormat="1">
      <c r="CF17196" s="239"/>
      <c r="CM17196" s="336"/>
    </row>
    <row r="17197" spans="84:91" s="51" customFormat="1">
      <c r="CF17197" s="239"/>
      <c r="CM17197" s="336"/>
    </row>
    <row r="17198" spans="84:91" s="51" customFormat="1">
      <c r="CF17198" s="239"/>
      <c r="CM17198" s="336"/>
    </row>
    <row r="17199" spans="84:91" s="51" customFormat="1">
      <c r="CF17199" s="239"/>
      <c r="CM17199" s="336"/>
    </row>
    <row r="17200" spans="84:91" s="51" customFormat="1">
      <c r="CF17200" s="239"/>
      <c r="CM17200" s="336"/>
    </row>
    <row r="17201" spans="84:91" s="51" customFormat="1">
      <c r="CF17201" s="239"/>
      <c r="CM17201" s="336"/>
    </row>
    <row r="17202" spans="84:91" s="51" customFormat="1">
      <c r="CF17202" s="239"/>
      <c r="CM17202" s="336"/>
    </row>
    <row r="17203" spans="84:91" s="51" customFormat="1">
      <c r="CF17203" s="239"/>
      <c r="CM17203" s="336"/>
    </row>
    <row r="17204" spans="84:91" s="51" customFormat="1">
      <c r="CF17204" s="239"/>
      <c r="CM17204" s="336"/>
    </row>
    <row r="17205" spans="84:91" s="51" customFormat="1">
      <c r="CF17205" s="239"/>
      <c r="CM17205" s="336"/>
    </row>
    <row r="17206" spans="84:91" s="51" customFormat="1">
      <c r="CF17206" s="239"/>
      <c r="CM17206" s="336"/>
    </row>
    <row r="17207" spans="84:91" s="51" customFormat="1">
      <c r="CF17207" s="239"/>
      <c r="CM17207" s="336"/>
    </row>
    <row r="17208" spans="84:91" s="51" customFormat="1">
      <c r="CF17208" s="239"/>
      <c r="CM17208" s="336"/>
    </row>
    <row r="17209" spans="84:91" s="51" customFormat="1">
      <c r="CF17209" s="239"/>
      <c r="CM17209" s="336"/>
    </row>
    <row r="17210" spans="84:91" s="51" customFormat="1">
      <c r="CF17210" s="239"/>
      <c r="CM17210" s="336"/>
    </row>
    <row r="17211" spans="84:91" s="51" customFormat="1">
      <c r="CF17211" s="239"/>
      <c r="CM17211" s="336"/>
    </row>
    <row r="17212" spans="84:91" s="51" customFormat="1">
      <c r="CF17212" s="239"/>
      <c r="CM17212" s="336"/>
    </row>
    <row r="17213" spans="84:91" s="51" customFormat="1">
      <c r="CF17213" s="239"/>
      <c r="CM17213" s="336"/>
    </row>
    <row r="17214" spans="84:91" s="51" customFormat="1">
      <c r="CF17214" s="239"/>
      <c r="CM17214" s="336"/>
    </row>
    <row r="17215" spans="84:91" s="51" customFormat="1">
      <c r="CF17215" s="239"/>
      <c r="CM17215" s="336"/>
    </row>
    <row r="17216" spans="84:91" s="51" customFormat="1">
      <c r="CF17216" s="239"/>
      <c r="CM17216" s="336"/>
    </row>
    <row r="17217" spans="84:91" s="51" customFormat="1">
      <c r="CF17217" s="239"/>
      <c r="CM17217" s="336"/>
    </row>
    <row r="17218" spans="84:91" s="51" customFormat="1">
      <c r="CF17218" s="239"/>
      <c r="CM17218" s="336"/>
    </row>
    <row r="17219" spans="84:91" s="51" customFormat="1">
      <c r="CF17219" s="239"/>
      <c r="CM17219" s="336"/>
    </row>
    <row r="17220" spans="84:91" s="51" customFormat="1">
      <c r="CF17220" s="239"/>
      <c r="CM17220" s="336"/>
    </row>
    <row r="17221" spans="84:91" s="51" customFormat="1">
      <c r="CF17221" s="239"/>
      <c r="CM17221" s="336"/>
    </row>
    <row r="17222" spans="84:91" s="51" customFormat="1">
      <c r="CF17222" s="239"/>
      <c r="CM17222" s="336"/>
    </row>
    <row r="17223" spans="84:91" s="51" customFormat="1">
      <c r="CF17223" s="239"/>
      <c r="CM17223" s="336"/>
    </row>
    <row r="17224" spans="84:91" s="51" customFormat="1">
      <c r="CF17224" s="239"/>
      <c r="CM17224" s="336"/>
    </row>
    <row r="17225" spans="84:91" s="51" customFormat="1">
      <c r="CF17225" s="239"/>
      <c r="CM17225" s="336"/>
    </row>
    <row r="17226" spans="84:91" s="51" customFormat="1">
      <c r="CF17226" s="239"/>
      <c r="CM17226" s="336"/>
    </row>
    <row r="17227" spans="84:91" s="51" customFormat="1">
      <c r="CF17227" s="239"/>
      <c r="CM17227" s="336"/>
    </row>
    <row r="17228" spans="84:91" s="51" customFormat="1">
      <c r="CF17228" s="239"/>
      <c r="CM17228" s="336"/>
    </row>
    <row r="17229" spans="84:91" s="51" customFormat="1">
      <c r="CF17229" s="239"/>
      <c r="CM17229" s="336"/>
    </row>
    <row r="17230" spans="84:91" s="51" customFormat="1">
      <c r="CF17230" s="239"/>
      <c r="CM17230" s="336"/>
    </row>
    <row r="17231" spans="84:91" s="51" customFormat="1">
      <c r="CF17231" s="239"/>
      <c r="CM17231" s="336"/>
    </row>
    <row r="17232" spans="84:91" s="51" customFormat="1">
      <c r="CF17232" s="239"/>
      <c r="CM17232" s="336"/>
    </row>
    <row r="17233" spans="84:91" s="51" customFormat="1">
      <c r="CF17233" s="239"/>
      <c r="CM17233" s="336"/>
    </row>
    <row r="17234" spans="84:91" s="51" customFormat="1">
      <c r="CF17234" s="239"/>
      <c r="CM17234" s="336"/>
    </row>
    <row r="17235" spans="84:91" s="51" customFormat="1">
      <c r="CF17235" s="239"/>
      <c r="CM17235" s="336"/>
    </row>
    <row r="17236" spans="84:91" s="51" customFormat="1">
      <c r="CF17236" s="239"/>
      <c r="CM17236" s="336"/>
    </row>
    <row r="17237" spans="84:91" s="51" customFormat="1">
      <c r="CF17237" s="239"/>
      <c r="CM17237" s="336"/>
    </row>
    <row r="17238" spans="84:91" s="51" customFormat="1">
      <c r="CF17238" s="239"/>
      <c r="CM17238" s="336"/>
    </row>
    <row r="17239" spans="84:91" s="51" customFormat="1">
      <c r="CF17239" s="239"/>
      <c r="CM17239" s="336"/>
    </row>
    <row r="17240" spans="84:91" s="51" customFormat="1">
      <c r="CF17240" s="239"/>
      <c r="CM17240" s="336"/>
    </row>
    <row r="17241" spans="84:91" s="51" customFormat="1">
      <c r="CF17241" s="239"/>
      <c r="CM17241" s="336"/>
    </row>
    <row r="17242" spans="84:91" s="51" customFormat="1">
      <c r="CF17242" s="239"/>
      <c r="CM17242" s="336"/>
    </row>
    <row r="17243" spans="84:91" s="51" customFormat="1">
      <c r="CF17243" s="239"/>
      <c r="CM17243" s="336"/>
    </row>
    <row r="17244" spans="84:91" s="51" customFormat="1">
      <c r="CF17244" s="239"/>
      <c r="CM17244" s="336"/>
    </row>
    <row r="17245" spans="84:91" s="51" customFormat="1">
      <c r="CF17245" s="239"/>
      <c r="CM17245" s="336"/>
    </row>
    <row r="17246" spans="84:91" s="51" customFormat="1">
      <c r="CF17246" s="239"/>
      <c r="CM17246" s="336"/>
    </row>
    <row r="17247" spans="84:91" s="51" customFormat="1">
      <c r="CF17247" s="239"/>
      <c r="CM17247" s="336"/>
    </row>
    <row r="17248" spans="84:91" s="51" customFormat="1">
      <c r="CF17248" s="239"/>
      <c r="CM17248" s="336"/>
    </row>
    <row r="17249" spans="84:91" s="51" customFormat="1">
      <c r="CF17249" s="239"/>
      <c r="CM17249" s="336"/>
    </row>
    <row r="17250" spans="84:91" s="51" customFormat="1">
      <c r="CF17250" s="239"/>
      <c r="CM17250" s="336"/>
    </row>
    <row r="17251" spans="84:91" s="51" customFormat="1">
      <c r="CF17251" s="239"/>
      <c r="CM17251" s="336"/>
    </row>
    <row r="17252" spans="84:91" s="51" customFormat="1">
      <c r="CF17252" s="239"/>
      <c r="CM17252" s="336"/>
    </row>
    <row r="17253" spans="84:91" s="51" customFormat="1">
      <c r="CF17253" s="239"/>
      <c r="CM17253" s="336"/>
    </row>
    <row r="17254" spans="84:91" s="51" customFormat="1">
      <c r="CF17254" s="239"/>
      <c r="CM17254" s="336"/>
    </row>
    <row r="17255" spans="84:91" s="51" customFormat="1">
      <c r="CF17255" s="239"/>
      <c r="CM17255" s="336"/>
    </row>
    <row r="17256" spans="84:91" s="51" customFormat="1">
      <c r="CF17256" s="239"/>
      <c r="CM17256" s="336"/>
    </row>
    <row r="17257" spans="84:91" s="51" customFormat="1">
      <c r="CF17257" s="239"/>
      <c r="CM17257" s="336"/>
    </row>
    <row r="17258" spans="84:91" s="51" customFormat="1">
      <c r="CF17258" s="239"/>
      <c r="CM17258" s="336"/>
    </row>
    <row r="17259" spans="84:91" s="51" customFormat="1">
      <c r="CF17259" s="239"/>
      <c r="CM17259" s="336"/>
    </row>
    <row r="17260" spans="84:91" s="51" customFormat="1">
      <c r="CF17260" s="239"/>
      <c r="CM17260" s="336"/>
    </row>
    <row r="17261" spans="84:91" s="51" customFormat="1">
      <c r="CF17261" s="239"/>
      <c r="CM17261" s="336"/>
    </row>
    <row r="17262" spans="84:91" s="51" customFormat="1">
      <c r="CF17262" s="239"/>
      <c r="CM17262" s="336"/>
    </row>
    <row r="17263" spans="84:91" s="51" customFormat="1">
      <c r="CF17263" s="239"/>
      <c r="CM17263" s="336"/>
    </row>
    <row r="17264" spans="84:91" s="51" customFormat="1">
      <c r="CF17264" s="239"/>
      <c r="CM17264" s="336"/>
    </row>
    <row r="17265" spans="84:91" s="51" customFormat="1">
      <c r="CF17265" s="239"/>
      <c r="CM17265" s="336"/>
    </row>
    <row r="17266" spans="84:91" s="51" customFormat="1">
      <c r="CF17266" s="239"/>
      <c r="CM17266" s="336"/>
    </row>
    <row r="17267" spans="84:91" s="51" customFormat="1">
      <c r="CF17267" s="239"/>
      <c r="CM17267" s="336"/>
    </row>
    <row r="17268" spans="84:91" s="51" customFormat="1">
      <c r="CF17268" s="239"/>
      <c r="CM17268" s="336"/>
    </row>
    <row r="17269" spans="84:91" s="51" customFormat="1">
      <c r="CF17269" s="239"/>
      <c r="CM17269" s="336"/>
    </row>
    <row r="17270" spans="84:91" s="51" customFormat="1">
      <c r="CF17270" s="239"/>
      <c r="CM17270" s="336"/>
    </row>
    <row r="17271" spans="84:91" s="51" customFormat="1">
      <c r="CF17271" s="239"/>
      <c r="CM17271" s="336"/>
    </row>
    <row r="17272" spans="84:91" s="51" customFormat="1">
      <c r="CF17272" s="239"/>
      <c r="CM17272" s="336"/>
    </row>
    <row r="17273" spans="84:91" s="51" customFormat="1">
      <c r="CF17273" s="239"/>
      <c r="CM17273" s="336"/>
    </row>
    <row r="17274" spans="84:91" s="51" customFormat="1">
      <c r="CF17274" s="239"/>
      <c r="CM17274" s="336"/>
    </row>
    <row r="17275" spans="84:91" s="51" customFormat="1">
      <c r="CF17275" s="239"/>
      <c r="CM17275" s="336"/>
    </row>
    <row r="17276" spans="84:91" s="51" customFormat="1">
      <c r="CF17276" s="239"/>
      <c r="CM17276" s="336"/>
    </row>
    <row r="17277" spans="84:91" s="51" customFormat="1">
      <c r="CF17277" s="239"/>
      <c r="CM17277" s="336"/>
    </row>
    <row r="17278" spans="84:91" s="51" customFormat="1">
      <c r="CF17278" s="239"/>
      <c r="CM17278" s="336"/>
    </row>
    <row r="17279" spans="84:91" s="51" customFormat="1">
      <c r="CF17279" s="239"/>
      <c r="CM17279" s="336"/>
    </row>
    <row r="17280" spans="84:91" s="51" customFormat="1">
      <c r="CF17280" s="239"/>
      <c r="CM17280" s="336"/>
    </row>
    <row r="17281" spans="84:91" s="51" customFormat="1">
      <c r="CF17281" s="239"/>
      <c r="CM17281" s="336"/>
    </row>
    <row r="17282" spans="84:91" s="51" customFormat="1">
      <c r="CF17282" s="239"/>
      <c r="CM17282" s="336"/>
    </row>
    <row r="17283" spans="84:91" s="51" customFormat="1">
      <c r="CF17283" s="239"/>
      <c r="CM17283" s="336"/>
    </row>
    <row r="17284" spans="84:91" s="51" customFormat="1">
      <c r="CF17284" s="239"/>
      <c r="CM17284" s="336"/>
    </row>
    <row r="17285" spans="84:91" s="51" customFormat="1">
      <c r="CF17285" s="239"/>
      <c r="CM17285" s="336"/>
    </row>
    <row r="17286" spans="84:91" s="51" customFormat="1">
      <c r="CF17286" s="239"/>
      <c r="CM17286" s="336"/>
    </row>
    <row r="17287" spans="84:91" s="51" customFormat="1">
      <c r="CF17287" s="239"/>
      <c r="CM17287" s="336"/>
    </row>
    <row r="17288" spans="84:91" s="51" customFormat="1">
      <c r="CF17288" s="239"/>
      <c r="CM17288" s="336"/>
    </row>
    <row r="17289" spans="84:91" s="51" customFormat="1">
      <c r="CF17289" s="239"/>
      <c r="CM17289" s="336"/>
    </row>
    <row r="17290" spans="84:91" s="51" customFormat="1">
      <c r="CF17290" s="239"/>
      <c r="CM17290" s="336"/>
    </row>
    <row r="17291" spans="84:91" s="51" customFormat="1">
      <c r="CF17291" s="239"/>
      <c r="CM17291" s="336"/>
    </row>
    <row r="17292" spans="84:91" s="51" customFormat="1">
      <c r="CF17292" s="239"/>
      <c r="CM17292" s="336"/>
    </row>
    <row r="17293" spans="84:91" s="51" customFormat="1">
      <c r="CF17293" s="239"/>
      <c r="CM17293" s="336"/>
    </row>
    <row r="17294" spans="84:91" s="51" customFormat="1">
      <c r="CF17294" s="239"/>
      <c r="CM17294" s="336"/>
    </row>
    <row r="17295" spans="84:91" s="51" customFormat="1">
      <c r="CF17295" s="239"/>
      <c r="CM17295" s="336"/>
    </row>
    <row r="17296" spans="84:91" s="51" customFormat="1">
      <c r="CF17296" s="239"/>
      <c r="CM17296" s="336"/>
    </row>
    <row r="17297" spans="84:91" s="51" customFormat="1">
      <c r="CF17297" s="239"/>
      <c r="CM17297" s="336"/>
    </row>
    <row r="17298" spans="84:91" s="51" customFormat="1">
      <c r="CF17298" s="239"/>
      <c r="CM17298" s="336"/>
    </row>
    <row r="17299" spans="84:91" s="51" customFormat="1">
      <c r="CF17299" s="239"/>
      <c r="CM17299" s="336"/>
    </row>
    <row r="17300" spans="84:91" s="51" customFormat="1">
      <c r="CF17300" s="239"/>
      <c r="CM17300" s="336"/>
    </row>
    <row r="17301" spans="84:91" s="51" customFormat="1">
      <c r="CF17301" s="239"/>
      <c r="CM17301" s="336"/>
    </row>
    <row r="17302" spans="84:91" s="51" customFormat="1">
      <c r="CF17302" s="239"/>
      <c r="CM17302" s="336"/>
    </row>
    <row r="17303" spans="84:91" s="51" customFormat="1">
      <c r="CF17303" s="239"/>
      <c r="CM17303" s="336"/>
    </row>
    <row r="17304" spans="84:91" s="51" customFormat="1">
      <c r="CF17304" s="239"/>
      <c r="CM17304" s="336"/>
    </row>
    <row r="17305" spans="84:91" s="51" customFormat="1">
      <c r="CF17305" s="239"/>
      <c r="CM17305" s="336"/>
    </row>
    <row r="17306" spans="84:91" s="51" customFormat="1">
      <c r="CF17306" s="239"/>
      <c r="CM17306" s="336"/>
    </row>
    <row r="17307" spans="84:91" s="51" customFormat="1">
      <c r="CF17307" s="239"/>
      <c r="CM17307" s="336"/>
    </row>
    <row r="17308" spans="84:91" s="51" customFormat="1">
      <c r="CF17308" s="239"/>
      <c r="CM17308" s="336"/>
    </row>
    <row r="17309" spans="84:91" s="51" customFormat="1">
      <c r="CF17309" s="239"/>
      <c r="CM17309" s="336"/>
    </row>
    <row r="17310" spans="84:91" s="51" customFormat="1">
      <c r="CF17310" s="239"/>
      <c r="CM17310" s="336"/>
    </row>
    <row r="17311" spans="84:91" s="51" customFormat="1">
      <c r="CF17311" s="239"/>
      <c r="CM17311" s="336"/>
    </row>
    <row r="17312" spans="84:91" s="51" customFormat="1">
      <c r="CF17312" s="239"/>
      <c r="CM17312" s="336"/>
    </row>
    <row r="17313" spans="84:91" s="51" customFormat="1">
      <c r="CF17313" s="239"/>
      <c r="CM17313" s="336"/>
    </row>
    <row r="17314" spans="84:91" s="51" customFormat="1">
      <c r="CF17314" s="239"/>
      <c r="CM17314" s="336"/>
    </row>
    <row r="17315" spans="84:91" s="51" customFormat="1">
      <c r="CF17315" s="239"/>
      <c r="CM17315" s="336"/>
    </row>
    <row r="17316" spans="84:91" s="51" customFormat="1">
      <c r="CF17316" s="239"/>
      <c r="CM17316" s="336"/>
    </row>
    <row r="17317" spans="84:91" s="51" customFormat="1">
      <c r="CF17317" s="239"/>
      <c r="CM17317" s="336"/>
    </row>
    <row r="17318" spans="84:91" s="51" customFormat="1">
      <c r="CF17318" s="239"/>
      <c r="CM17318" s="336"/>
    </row>
    <row r="17319" spans="84:91" s="51" customFormat="1">
      <c r="CF17319" s="239"/>
      <c r="CM17319" s="336"/>
    </row>
    <row r="17320" spans="84:91" s="51" customFormat="1">
      <c r="CF17320" s="239"/>
      <c r="CM17320" s="336"/>
    </row>
    <row r="17321" spans="84:91" s="51" customFormat="1">
      <c r="CF17321" s="239"/>
      <c r="CM17321" s="336"/>
    </row>
    <row r="17322" spans="84:91" s="51" customFormat="1">
      <c r="CF17322" s="239"/>
      <c r="CM17322" s="336"/>
    </row>
    <row r="17323" spans="84:91" s="51" customFormat="1">
      <c r="CF17323" s="239"/>
      <c r="CM17323" s="336"/>
    </row>
    <row r="17324" spans="84:91" s="51" customFormat="1">
      <c r="CF17324" s="239"/>
      <c r="CM17324" s="336"/>
    </row>
    <row r="17325" spans="84:91" s="51" customFormat="1">
      <c r="CF17325" s="239"/>
      <c r="CM17325" s="336"/>
    </row>
    <row r="17326" spans="84:91" s="51" customFormat="1">
      <c r="CF17326" s="239"/>
      <c r="CM17326" s="336"/>
    </row>
    <row r="17327" spans="84:91" s="51" customFormat="1">
      <c r="CF17327" s="239"/>
      <c r="CM17327" s="336"/>
    </row>
    <row r="17328" spans="84:91" s="51" customFormat="1">
      <c r="CF17328" s="239"/>
      <c r="CM17328" s="336"/>
    </row>
    <row r="17329" spans="84:91" s="51" customFormat="1">
      <c r="CF17329" s="239"/>
      <c r="CM17329" s="336"/>
    </row>
    <row r="17330" spans="84:91" s="51" customFormat="1">
      <c r="CF17330" s="239"/>
      <c r="CM17330" s="336"/>
    </row>
    <row r="17331" spans="84:91" s="51" customFormat="1">
      <c r="CF17331" s="239"/>
      <c r="CM17331" s="336"/>
    </row>
    <row r="17332" spans="84:91" s="51" customFormat="1">
      <c r="CF17332" s="239"/>
      <c r="CM17332" s="336"/>
    </row>
    <row r="17333" spans="84:91" s="51" customFormat="1">
      <c r="CF17333" s="239"/>
      <c r="CM17333" s="336"/>
    </row>
    <row r="17334" spans="84:91" s="51" customFormat="1">
      <c r="CF17334" s="239"/>
      <c r="CM17334" s="336"/>
    </row>
    <row r="17335" spans="84:91" s="51" customFormat="1">
      <c r="CF17335" s="239"/>
      <c r="CM17335" s="336"/>
    </row>
    <row r="17336" spans="84:91" s="51" customFormat="1">
      <c r="CF17336" s="239"/>
      <c r="CM17336" s="336"/>
    </row>
    <row r="17337" spans="84:91" s="51" customFormat="1">
      <c r="CF17337" s="239"/>
      <c r="CM17337" s="336"/>
    </row>
    <row r="17338" spans="84:91" s="51" customFormat="1">
      <c r="CF17338" s="239"/>
      <c r="CM17338" s="336"/>
    </row>
    <row r="17339" spans="84:91" s="51" customFormat="1">
      <c r="CF17339" s="239"/>
      <c r="CM17339" s="336"/>
    </row>
    <row r="17340" spans="84:91" s="51" customFormat="1">
      <c r="CF17340" s="239"/>
      <c r="CM17340" s="336"/>
    </row>
    <row r="17341" spans="84:91" s="51" customFormat="1">
      <c r="CF17341" s="239"/>
      <c r="CM17341" s="336"/>
    </row>
    <row r="17342" spans="84:91" s="51" customFormat="1">
      <c r="CF17342" s="239"/>
      <c r="CM17342" s="336"/>
    </row>
    <row r="17343" spans="84:91" s="51" customFormat="1">
      <c r="CF17343" s="239"/>
      <c r="CM17343" s="336"/>
    </row>
    <row r="17344" spans="84:91" s="51" customFormat="1">
      <c r="CF17344" s="239"/>
      <c r="CM17344" s="336"/>
    </row>
    <row r="17345" spans="84:91" s="51" customFormat="1">
      <c r="CF17345" s="239"/>
      <c r="CM17345" s="336"/>
    </row>
    <row r="17346" spans="84:91" s="51" customFormat="1">
      <c r="CF17346" s="239"/>
      <c r="CM17346" s="336"/>
    </row>
    <row r="17347" spans="84:91" s="51" customFormat="1">
      <c r="CF17347" s="239"/>
      <c r="CM17347" s="336"/>
    </row>
    <row r="17348" spans="84:91" s="51" customFormat="1">
      <c r="CF17348" s="239"/>
      <c r="CM17348" s="336"/>
    </row>
    <row r="17349" spans="84:91" s="51" customFormat="1">
      <c r="CF17349" s="239"/>
      <c r="CM17349" s="336"/>
    </row>
    <row r="17350" spans="84:91" s="51" customFormat="1">
      <c r="CF17350" s="239"/>
      <c r="CM17350" s="336"/>
    </row>
    <row r="17351" spans="84:91" s="51" customFormat="1">
      <c r="CF17351" s="239"/>
      <c r="CM17351" s="336"/>
    </row>
    <row r="17352" spans="84:91" s="51" customFormat="1">
      <c r="CF17352" s="239"/>
      <c r="CM17352" s="336"/>
    </row>
    <row r="17353" spans="84:91" s="51" customFormat="1">
      <c r="CF17353" s="239"/>
      <c r="CM17353" s="336"/>
    </row>
    <row r="17354" spans="84:91" s="51" customFormat="1">
      <c r="CF17354" s="239"/>
      <c r="CM17354" s="336"/>
    </row>
    <row r="17355" spans="84:91" s="51" customFormat="1">
      <c r="CF17355" s="239"/>
      <c r="CM17355" s="336"/>
    </row>
    <row r="17356" spans="84:91" s="51" customFormat="1">
      <c r="CF17356" s="239"/>
      <c r="CM17356" s="336"/>
    </row>
    <row r="17357" spans="84:91" s="51" customFormat="1">
      <c r="CF17357" s="239"/>
      <c r="CM17357" s="336"/>
    </row>
    <row r="17358" spans="84:91" s="51" customFormat="1">
      <c r="CF17358" s="239"/>
      <c r="CM17358" s="336"/>
    </row>
    <row r="17359" spans="84:91" s="51" customFormat="1">
      <c r="CF17359" s="239"/>
      <c r="CM17359" s="336"/>
    </row>
    <row r="17360" spans="84:91" s="51" customFormat="1">
      <c r="CF17360" s="239"/>
      <c r="CM17360" s="336"/>
    </row>
    <row r="17361" spans="84:91" s="51" customFormat="1">
      <c r="CF17361" s="239"/>
      <c r="CM17361" s="336"/>
    </row>
    <row r="17362" spans="84:91" s="51" customFormat="1">
      <c r="CF17362" s="239"/>
      <c r="CM17362" s="336"/>
    </row>
    <row r="17363" spans="84:91" s="51" customFormat="1">
      <c r="CF17363" s="239"/>
      <c r="CM17363" s="336"/>
    </row>
    <row r="17364" spans="84:91" s="51" customFormat="1">
      <c r="CF17364" s="239"/>
      <c r="CM17364" s="336"/>
    </row>
    <row r="17365" spans="84:91" s="51" customFormat="1">
      <c r="CF17365" s="239"/>
      <c r="CM17365" s="336"/>
    </row>
    <row r="17366" spans="84:91" s="51" customFormat="1">
      <c r="CF17366" s="239"/>
      <c r="CM17366" s="336"/>
    </row>
    <row r="17367" spans="84:91" s="51" customFormat="1">
      <c r="CF17367" s="239"/>
      <c r="CM17367" s="336"/>
    </row>
    <row r="17368" spans="84:91" s="51" customFormat="1">
      <c r="CF17368" s="239"/>
      <c r="CM17368" s="336"/>
    </row>
    <row r="17369" spans="84:91" s="51" customFormat="1">
      <c r="CF17369" s="239"/>
      <c r="CM17369" s="336"/>
    </row>
    <row r="17370" spans="84:91" s="51" customFormat="1">
      <c r="CF17370" s="239"/>
      <c r="CM17370" s="336"/>
    </row>
    <row r="17371" spans="84:91" s="51" customFormat="1">
      <c r="CF17371" s="239"/>
      <c r="CM17371" s="336"/>
    </row>
    <row r="17372" spans="84:91" s="51" customFormat="1">
      <c r="CF17372" s="239"/>
      <c r="CM17372" s="336"/>
    </row>
    <row r="17373" spans="84:91" s="51" customFormat="1">
      <c r="CF17373" s="239"/>
      <c r="CM17373" s="336"/>
    </row>
    <row r="17374" spans="84:91" s="51" customFormat="1">
      <c r="CF17374" s="239"/>
      <c r="CM17374" s="336"/>
    </row>
    <row r="17375" spans="84:91" s="51" customFormat="1">
      <c r="CF17375" s="239"/>
      <c r="CM17375" s="336"/>
    </row>
    <row r="17376" spans="84:91" s="51" customFormat="1">
      <c r="CF17376" s="239"/>
      <c r="CM17376" s="336"/>
    </row>
    <row r="17377" spans="84:91" s="51" customFormat="1">
      <c r="CF17377" s="239"/>
      <c r="CM17377" s="336"/>
    </row>
    <row r="17378" spans="84:91" s="51" customFormat="1">
      <c r="CF17378" s="239"/>
      <c r="CM17378" s="336"/>
    </row>
    <row r="17379" spans="84:91" s="51" customFormat="1">
      <c r="CF17379" s="239"/>
      <c r="CM17379" s="336"/>
    </row>
    <row r="17380" spans="84:91" s="51" customFormat="1">
      <c r="CF17380" s="239"/>
      <c r="CM17380" s="336"/>
    </row>
    <row r="17381" spans="84:91" s="51" customFormat="1">
      <c r="CF17381" s="239"/>
      <c r="CM17381" s="336"/>
    </row>
    <row r="17382" spans="84:91" s="51" customFormat="1">
      <c r="CF17382" s="239"/>
      <c r="CM17382" s="336"/>
    </row>
    <row r="17383" spans="84:91" s="51" customFormat="1">
      <c r="CF17383" s="239"/>
      <c r="CM17383" s="336"/>
    </row>
    <row r="17384" spans="84:91" s="51" customFormat="1">
      <c r="CF17384" s="239"/>
      <c r="CM17384" s="336"/>
    </row>
    <row r="17385" spans="84:91" s="51" customFormat="1">
      <c r="CF17385" s="239"/>
      <c r="CM17385" s="336"/>
    </row>
    <row r="17386" spans="84:91" s="51" customFormat="1">
      <c r="CF17386" s="239"/>
      <c r="CM17386" s="336"/>
    </row>
    <row r="17387" spans="84:91" s="51" customFormat="1">
      <c r="CF17387" s="239"/>
      <c r="CM17387" s="336"/>
    </row>
    <row r="17388" spans="84:91" s="51" customFormat="1">
      <c r="CF17388" s="239"/>
      <c r="CM17388" s="336"/>
    </row>
    <row r="17389" spans="84:91" s="51" customFormat="1">
      <c r="CF17389" s="239"/>
      <c r="CM17389" s="336"/>
    </row>
    <row r="17390" spans="84:91" s="51" customFormat="1">
      <c r="CF17390" s="239"/>
      <c r="CM17390" s="336"/>
    </row>
    <row r="17391" spans="84:91" s="51" customFormat="1">
      <c r="CF17391" s="239"/>
      <c r="CM17391" s="336"/>
    </row>
    <row r="17392" spans="84:91" s="51" customFormat="1">
      <c r="CF17392" s="239"/>
      <c r="CM17392" s="336"/>
    </row>
    <row r="17393" spans="84:91" s="51" customFormat="1">
      <c r="CF17393" s="239"/>
      <c r="CM17393" s="336"/>
    </row>
    <row r="17394" spans="84:91" s="51" customFormat="1">
      <c r="CF17394" s="239"/>
      <c r="CM17394" s="336"/>
    </row>
    <row r="17395" spans="84:91" s="51" customFormat="1">
      <c r="CF17395" s="239"/>
      <c r="CM17395" s="336"/>
    </row>
    <row r="17396" spans="84:91" s="51" customFormat="1">
      <c r="CF17396" s="239"/>
      <c r="CM17396" s="336"/>
    </row>
    <row r="17397" spans="84:91" s="51" customFormat="1">
      <c r="CF17397" s="239"/>
      <c r="CM17397" s="336"/>
    </row>
    <row r="17398" spans="84:91" s="51" customFormat="1">
      <c r="CF17398" s="239"/>
      <c r="CM17398" s="336"/>
    </row>
    <row r="17399" spans="84:91" s="51" customFormat="1">
      <c r="CF17399" s="239"/>
      <c r="CM17399" s="336"/>
    </row>
    <row r="17400" spans="84:91" s="51" customFormat="1">
      <c r="CF17400" s="239"/>
      <c r="CM17400" s="336"/>
    </row>
    <row r="17401" spans="84:91" s="51" customFormat="1">
      <c r="CF17401" s="239"/>
      <c r="CM17401" s="336"/>
    </row>
    <row r="17402" spans="84:91" s="51" customFormat="1">
      <c r="CF17402" s="239"/>
      <c r="CM17402" s="336"/>
    </row>
    <row r="17403" spans="84:91" s="51" customFormat="1">
      <c r="CF17403" s="239"/>
      <c r="CM17403" s="336"/>
    </row>
    <row r="17404" spans="84:91" s="51" customFormat="1">
      <c r="CF17404" s="239"/>
      <c r="CM17404" s="336"/>
    </row>
    <row r="17405" spans="84:91" s="51" customFormat="1">
      <c r="CF17405" s="239"/>
      <c r="CM17405" s="336"/>
    </row>
    <row r="17406" spans="84:91" s="51" customFormat="1">
      <c r="CF17406" s="239"/>
      <c r="CM17406" s="336"/>
    </row>
    <row r="17407" spans="84:91" s="51" customFormat="1">
      <c r="CF17407" s="239"/>
      <c r="CM17407" s="336"/>
    </row>
    <row r="17408" spans="84:91" s="51" customFormat="1">
      <c r="CF17408" s="239"/>
      <c r="CM17408" s="336"/>
    </row>
    <row r="17409" spans="84:91" s="51" customFormat="1">
      <c r="CF17409" s="239"/>
      <c r="CM17409" s="336"/>
    </row>
    <row r="17410" spans="84:91" s="51" customFormat="1">
      <c r="CF17410" s="239"/>
      <c r="CM17410" s="336"/>
    </row>
    <row r="17411" spans="84:91" s="51" customFormat="1">
      <c r="CF17411" s="239"/>
      <c r="CM17411" s="336"/>
    </row>
    <row r="17412" spans="84:91" s="51" customFormat="1">
      <c r="CF17412" s="239"/>
      <c r="CM17412" s="336"/>
    </row>
    <row r="17413" spans="84:91" s="51" customFormat="1">
      <c r="CF17413" s="239"/>
      <c r="CM17413" s="336"/>
    </row>
    <row r="17414" spans="84:91" s="51" customFormat="1">
      <c r="CF17414" s="239"/>
      <c r="CM17414" s="336"/>
    </row>
    <row r="17415" spans="84:91" s="51" customFormat="1">
      <c r="CF17415" s="239"/>
      <c r="CM17415" s="336"/>
    </row>
    <row r="17416" spans="84:91" s="51" customFormat="1">
      <c r="CF17416" s="239"/>
      <c r="CM17416" s="336"/>
    </row>
    <row r="17417" spans="84:91" s="51" customFormat="1">
      <c r="CF17417" s="239"/>
      <c r="CM17417" s="336"/>
    </row>
    <row r="17418" spans="84:91" s="51" customFormat="1">
      <c r="CF17418" s="239"/>
      <c r="CM17418" s="336"/>
    </row>
    <row r="17419" spans="84:91" s="51" customFormat="1">
      <c r="CF17419" s="239"/>
      <c r="CM17419" s="336"/>
    </row>
    <row r="17420" spans="84:91" s="51" customFormat="1">
      <c r="CF17420" s="239"/>
      <c r="CM17420" s="336"/>
    </row>
    <row r="17421" spans="84:91" s="51" customFormat="1">
      <c r="CF17421" s="239"/>
      <c r="CM17421" s="336"/>
    </row>
    <row r="17422" spans="84:91" s="51" customFormat="1">
      <c r="CF17422" s="239"/>
      <c r="CM17422" s="336"/>
    </row>
    <row r="17423" spans="84:91" s="51" customFormat="1">
      <c r="CF17423" s="239"/>
      <c r="CM17423" s="336"/>
    </row>
    <row r="17424" spans="84:91" s="51" customFormat="1">
      <c r="CF17424" s="239"/>
      <c r="CM17424" s="336"/>
    </row>
    <row r="17425" spans="84:91" s="51" customFormat="1">
      <c r="CF17425" s="239"/>
      <c r="CM17425" s="336"/>
    </row>
    <row r="17426" spans="84:91" s="51" customFormat="1">
      <c r="CF17426" s="239"/>
      <c r="CM17426" s="336"/>
    </row>
    <row r="17427" spans="84:91" s="51" customFormat="1">
      <c r="CF17427" s="239"/>
      <c r="CM17427" s="336"/>
    </row>
    <row r="17428" spans="84:91" s="51" customFormat="1">
      <c r="CF17428" s="239"/>
      <c r="CM17428" s="336"/>
    </row>
    <row r="17429" spans="84:91" s="51" customFormat="1">
      <c r="CF17429" s="239"/>
      <c r="CM17429" s="336"/>
    </row>
    <row r="17430" spans="84:91" s="51" customFormat="1">
      <c r="CF17430" s="239"/>
      <c r="CM17430" s="336"/>
    </row>
    <row r="17431" spans="84:91" s="51" customFormat="1">
      <c r="CF17431" s="239"/>
      <c r="CM17431" s="336"/>
    </row>
    <row r="17432" spans="84:91" s="51" customFormat="1">
      <c r="CF17432" s="239"/>
      <c r="CM17432" s="336"/>
    </row>
    <row r="17433" spans="84:91" s="51" customFormat="1">
      <c r="CF17433" s="239"/>
      <c r="CM17433" s="336"/>
    </row>
    <row r="17434" spans="84:91" s="51" customFormat="1">
      <c r="CF17434" s="239"/>
      <c r="CM17434" s="336"/>
    </row>
    <row r="17435" spans="84:91" s="51" customFormat="1">
      <c r="CF17435" s="239"/>
      <c r="CM17435" s="336"/>
    </row>
    <row r="17436" spans="84:91" s="51" customFormat="1">
      <c r="CF17436" s="239"/>
      <c r="CM17436" s="336"/>
    </row>
    <row r="17437" spans="84:91" s="51" customFormat="1">
      <c r="CF17437" s="239"/>
      <c r="CM17437" s="336"/>
    </row>
    <row r="17438" spans="84:91" s="51" customFormat="1">
      <c r="CF17438" s="239"/>
      <c r="CM17438" s="336"/>
    </row>
    <row r="17439" spans="84:91" s="51" customFormat="1">
      <c r="CF17439" s="239"/>
      <c r="CM17439" s="336"/>
    </row>
    <row r="17440" spans="84:91" s="51" customFormat="1">
      <c r="CF17440" s="239"/>
      <c r="CM17440" s="336"/>
    </row>
    <row r="17441" spans="84:91" s="51" customFormat="1">
      <c r="CF17441" s="239"/>
      <c r="CM17441" s="336"/>
    </row>
    <row r="17442" spans="84:91" s="51" customFormat="1">
      <c r="CF17442" s="239"/>
      <c r="CM17442" s="336"/>
    </row>
    <row r="17443" spans="84:91" s="51" customFormat="1">
      <c r="CF17443" s="239"/>
      <c r="CM17443" s="336"/>
    </row>
    <row r="17444" spans="84:91" s="51" customFormat="1">
      <c r="CF17444" s="239"/>
      <c r="CM17444" s="336"/>
    </row>
    <row r="17445" spans="84:91" s="51" customFormat="1">
      <c r="CF17445" s="239"/>
      <c r="CM17445" s="336"/>
    </row>
    <row r="17446" spans="84:91" s="51" customFormat="1">
      <c r="CF17446" s="239"/>
      <c r="CM17446" s="336"/>
    </row>
    <row r="17447" spans="84:91" s="51" customFormat="1">
      <c r="CF17447" s="239"/>
      <c r="CM17447" s="336"/>
    </row>
    <row r="17448" spans="84:91" s="51" customFormat="1">
      <c r="CF17448" s="239"/>
      <c r="CM17448" s="336"/>
    </row>
    <row r="17449" spans="84:91" s="51" customFormat="1">
      <c r="CF17449" s="239"/>
      <c r="CM17449" s="336"/>
    </row>
    <row r="17450" spans="84:91" s="51" customFormat="1">
      <c r="CF17450" s="239"/>
      <c r="CM17450" s="336"/>
    </row>
    <row r="17451" spans="84:91" s="51" customFormat="1">
      <c r="CF17451" s="239"/>
      <c r="CM17451" s="336"/>
    </row>
    <row r="17452" spans="84:91" s="51" customFormat="1">
      <c r="CF17452" s="239"/>
      <c r="CM17452" s="336"/>
    </row>
    <row r="17453" spans="84:91" s="51" customFormat="1">
      <c r="CF17453" s="239"/>
      <c r="CM17453" s="336"/>
    </row>
    <row r="17454" spans="84:91" s="51" customFormat="1">
      <c r="CF17454" s="239"/>
      <c r="CM17454" s="336"/>
    </row>
    <row r="17455" spans="84:91" s="51" customFormat="1">
      <c r="CF17455" s="239"/>
      <c r="CM17455" s="336"/>
    </row>
    <row r="17456" spans="84:91" s="51" customFormat="1">
      <c r="CF17456" s="239"/>
      <c r="CM17456" s="336"/>
    </row>
    <row r="17457" spans="84:91" s="51" customFormat="1">
      <c r="CF17457" s="239"/>
      <c r="CM17457" s="336"/>
    </row>
    <row r="17458" spans="84:91" s="51" customFormat="1">
      <c r="CF17458" s="239"/>
      <c r="CM17458" s="336"/>
    </row>
    <row r="17459" spans="84:91" s="51" customFormat="1">
      <c r="CF17459" s="239"/>
      <c r="CM17459" s="336"/>
    </row>
    <row r="17460" spans="84:91" s="51" customFormat="1">
      <c r="CF17460" s="239"/>
      <c r="CM17460" s="336"/>
    </row>
    <row r="17461" spans="84:91" s="51" customFormat="1">
      <c r="CF17461" s="239"/>
      <c r="CM17461" s="336"/>
    </row>
    <row r="17462" spans="84:91" s="51" customFormat="1">
      <c r="CF17462" s="239"/>
      <c r="CM17462" s="336"/>
    </row>
    <row r="17463" spans="84:91" s="51" customFormat="1">
      <c r="CF17463" s="239"/>
      <c r="CM17463" s="336"/>
    </row>
    <row r="17464" spans="84:91" s="51" customFormat="1">
      <c r="CF17464" s="239"/>
      <c r="CM17464" s="336"/>
    </row>
    <row r="17465" spans="84:91" s="51" customFormat="1">
      <c r="CF17465" s="239"/>
      <c r="CM17465" s="336"/>
    </row>
    <row r="17466" spans="84:91" s="51" customFormat="1">
      <c r="CF17466" s="239"/>
      <c r="CM17466" s="336"/>
    </row>
    <row r="17467" spans="84:91" s="51" customFormat="1">
      <c r="CF17467" s="239"/>
      <c r="CM17467" s="336"/>
    </row>
    <row r="17468" spans="84:91" s="51" customFormat="1">
      <c r="CF17468" s="239"/>
      <c r="CM17468" s="336"/>
    </row>
    <row r="17469" spans="84:91" s="51" customFormat="1">
      <c r="CF17469" s="239"/>
      <c r="CM17469" s="336"/>
    </row>
    <row r="17470" spans="84:91" s="51" customFormat="1">
      <c r="CF17470" s="239"/>
      <c r="CM17470" s="336"/>
    </row>
    <row r="17471" spans="84:91" s="51" customFormat="1">
      <c r="CF17471" s="239"/>
      <c r="CM17471" s="336"/>
    </row>
    <row r="17472" spans="84:91" s="51" customFormat="1">
      <c r="CF17472" s="239"/>
      <c r="CM17472" s="336"/>
    </row>
    <row r="17473" spans="84:91" s="51" customFormat="1">
      <c r="CF17473" s="239"/>
      <c r="CM17473" s="336"/>
    </row>
    <row r="17474" spans="84:91" s="51" customFormat="1">
      <c r="CF17474" s="239"/>
      <c r="CM17474" s="336"/>
    </row>
    <row r="17475" spans="84:91" s="51" customFormat="1">
      <c r="CF17475" s="239"/>
      <c r="CM17475" s="336"/>
    </row>
    <row r="17476" spans="84:91" s="51" customFormat="1">
      <c r="CF17476" s="239"/>
      <c r="CM17476" s="336"/>
    </row>
    <row r="17477" spans="84:91" s="51" customFormat="1">
      <c r="CF17477" s="239"/>
      <c r="CM17477" s="336"/>
    </row>
    <row r="17478" spans="84:91" s="51" customFormat="1">
      <c r="CF17478" s="239"/>
      <c r="CM17478" s="336"/>
    </row>
    <row r="17479" spans="84:91" s="51" customFormat="1">
      <c r="CF17479" s="239"/>
      <c r="CM17479" s="336"/>
    </row>
    <row r="17480" spans="84:91" s="51" customFormat="1">
      <c r="CF17480" s="239"/>
      <c r="CM17480" s="336"/>
    </row>
    <row r="17481" spans="84:91" s="51" customFormat="1">
      <c r="CF17481" s="239"/>
      <c r="CM17481" s="336"/>
    </row>
    <row r="17482" spans="84:91" s="51" customFormat="1">
      <c r="CF17482" s="239"/>
      <c r="CM17482" s="336"/>
    </row>
    <row r="17483" spans="84:91" s="51" customFormat="1">
      <c r="CF17483" s="239"/>
      <c r="CM17483" s="336"/>
    </row>
    <row r="17484" spans="84:91" s="51" customFormat="1">
      <c r="CF17484" s="239"/>
      <c r="CM17484" s="336"/>
    </row>
    <row r="17485" spans="84:91" s="51" customFormat="1">
      <c r="CF17485" s="239"/>
      <c r="CM17485" s="336"/>
    </row>
    <row r="17486" spans="84:91" s="51" customFormat="1">
      <c r="CF17486" s="239"/>
      <c r="CM17486" s="336"/>
    </row>
    <row r="17487" spans="84:91" s="51" customFormat="1">
      <c r="CF17487" s="239"/>
      <c r="CM17487" s="336"/>
    </row>
    <row r="17488" spans="84:91" s="51" customFormat="1">
      <c r="CF17488" s="239"/>
      <c r="CM17488" s="336"/>
    </row>
    <row r="17489" spans="84:91" s="51" customFormat="1">
      <c r="CF17489" s="239"/>
      <c r="CM17489" s="336"/>
    </row>
    <row r="17490" spans="84:91" s="51" customFormat="1">
      <c r="CF17490" s="239"/>
      <c r="CM17490" s="336"/>
    </row>
    <row r="17491" spans="84:91" s="51" customFormat="1">
      <c r="CF17491" s="239"/>
      <c r="CM17491" s="336"/>
    </row>
    <row r="17492" spans="84:91" s="51" customFormat="1">
      <c r="CF17492" s="239"/>
      <c r="CM17492" s="336"/>
    </row>
    <row r="17493" spans="84:91" s="51" customFormat="1">
      <c r="CF17493" s="239"/>
      <c r="CM17493" s="336"/>
    </row>
    <row r="17494" spans="84:91" s="51" customFormat="1">
      <c r="CF17494" s="239"/>
      <c r="CM17494" s="336"/>
    </row>
    <row r="17495" spans="84:91" s="51" customFormat="1">
      <c r="CF17495" s="239"/>
      <c r="CM17495" s="336"/>
    </row>
    <row r="17496" spans="84:91" s="51" customFormat="1">
      <c r="CF17496" s="239"/>
      <c r="CM17496" s="336"/>
    </row>
    <row r="17497" spans="84:91" s="51" customFormat="1">
      <c r="CF17497" s="239"/>
      <c r="CM17497" s="336"/>
    </row>
    <row r="17498" spans="84:91" s="51" customFormat="1">
      <c r="CF17498" s="239"/>
      <c r="CM17498" s="336"/>
    </row>
    <row r="17499" spans="84:91" s="51" customFormat="1">
      <c r="CF17499" s="239"/>
      <c r="CM17499" s="336"/>
    </row>
    <row r="17500" spans="84:91" s="51" customFormat="1">
      <c r="CF17500" s="239"/>
      <c r="CM17500" s="336"/>
    </row>
    <row r="17501" spans="84:91" s="51" customFormat="1">
      <c r="CF17501" s="239"/>
      <c r="CM17501" s="336"/>
    </row>
    <row r="17502" spans="84:91" s="51" customFormat="1">
      <c r="CF17502" s="239"/>
      <c r="CM17502" s="336"/>
    </row>
    <row r="17503" spans="84:91" s="51" customFormat="1">
      <c r="CF17503" s="239"/>
      <c r="CM17503" s="336"/>
    </row>
    <row r="17504" spans="84:91" s="51" customFormat="1">
      <c r="CF17504" s="239"/>
      <c r="CM17504" s="336"/>
    </row>
    <row r="17505" spans="84:91" s="51" customFormat="1">
      <c r="CF17505" s="239"/>
      <c r="CM17505" s="336"/>
    </row>
    <row r="17506" spans="84:91" s="51" customFormat="1">
      <c r="CF17506" s="239"/>
      <c r="CM17506" s="336"/>
    </row>
    <row r="17507" spans="84:91" s="51" customFormat="1">
      <c r="CF17507" s="239"/>
      <c r="CM17507" s="336"/>
    </row>
    <row r="17508" spans="84:91" s="51" customFormat="1">
      <c r="CF17508" s="239"/>
      <c r="CM17508" s="336"/>
    </row>
    <row r="17509" spans="84:91" s="51" customFormat="1">
      <c r="CF17509" s="239"/>
      <c r="CM17509" s="336"/>
    </row>
    <row r="17510" spans="84:91" s="51" customFormat="1">
      <c r="CF17510" s="239"/>
      <c r="CM17510" s="336"/>
    </row>
    <row r="17511" spans="84:91" s="51" customFormat="1">
      <c r="CF17511" s="239"/>
      <c r="CM17511" s="336"/>
    </row>
    <row r="17512" spans="84:91" s="51" customFormat="1">
      <c r="CF17512" s="239"/>
      <c r="CM17512" s="336"/>
    </row>
    <row r="17513" spans="84:91" s="51" customFormat="1">
      <c r="CF17513" s="239"/>
      <c r="CM17513" s="336"/>
    </row>
    <row r="17514" spans="84:91" s="51" customFormat="1">
      <c r="CF17514" s="239"/>
      <c r="CM17514" s="336"/>
    </row>
    <row r="17515" spans="84:91" s="51" customFormat="1">
      <c r="CF17515" s="239"/>
      <c r="CM17515" s="336"/>
    </row>
    <row r="17516" spans="84:91" s="51" customFormat="1">
      <c r="CF17516" s="239"/>
      <c r="CM17516" s="336"/>
    </row>
    <row r="17517" spans="84:91" s="51" customFormat="1">
      <c r="CF17517" s="239"/>
      <c r="CM17517" s="336"/>
    </row>
    <row r="17518" spans="84:91" s="51" customFormat="1">
      <c r="CF17518" s="239"/>
      <c r="CM17518" s="336"/>
    </row>
    <row r="17519" spans="84:91" s="51" customFormat="1">
      <c r="CF17519" s="239"/>
      <c r="CM17519" s="336"/>
    </row>
    <row r="17520" spans="84:91" s="51" customFormat="1">
      <c r="CF17520" s="239"/>
      <c r="CM17520" s="336"/>
    </row>
    <row r="17521" spans="84:91" s="51" customFormat="1">
      <c r="CF17521" s="239"/>
      <c r="CM17521" s="336"/>
    </row>
    <row r="17522" spans="84:91" s="51" customFormat="1">
      <c r="CF17522" s="239"/>
      <c r="CM17522" s="336"/>
    </row>
    <row r="17523" spans="84:91" s="51" customFormat="1">
      <c r="CF17523" s="239"/>
      <c r="CM17523" s="336"/>
    </row>
    <row r="17524" spans="84:91" s="51" customFormat="1">
      <c r="CF17524" s="239"/>
      <c r="CM17524" s="336"/>
    </row>
    <row r="17525" spans="84:91" s="51" customFormat="1">
      <c r="CF17525" s="239"/>
      <c r="CM17525" s="336"/>
    </row>
    <row r="17526" spans="84:91" s="51" customFormat="1">
      <c r="CF17526" s="239"/>
      <c r="CM17526" s="336"/>
    </row>
    <row r="17527" spans="84:91" s="51" customFormat="1">
      <c r="CF17527" s="239"/>
      <c r="CM17527" s="336"/>
    </row>
    <row r="17528" spans="84:91" s="51" customFormat="1">
      <c r="CF17528" s="239"/>
      <c r="CM17528" s="336"/>
    </row>
    <row r="17529" spans="84:91" s="51" customFormat="1">
      <c r="CF17529" s="239"/>
      <c r="CM17529" s="336"/>
    </row>
    <row r="17530" spans="84:91" s="51" customFormat="1">
      <c r="CF17530" s="239"/>
      <c r="CM17530" s="336"/>
    </row>
    <row r="17531" spans="84:91" s="51" customFormat="1">
      <c r="CF17531" s="239"/>
      <c r="CM17531" s="336"/>
    </row>
    <row r="17532" spans="84:91" s="51" customFormat="1">
      <c r="CF17532" s="239"/>
      <c r="CM17532" s="336"/>
    </row>
    <row r="17533" spans="84:91" s="51" customFormat="1">
      <c r="CF17533" s="239"/>
      <c r="CM17533" s="336"/>
    </row>
    <row r="17534" spans="84:91" s="51" customFormat="1">
      <c r="CF17534" s="239"/>
      <c r="CM17534" s="336"/>
    </row>
    <row r="17535" spans="84:91" s="51" customFormat="1">
      <c r="CF17535" s="239"/>
      <c r="CM17535" s="336"/>
    </row>
    <row r="17536" spans="84:91" s="51" customFormat="1">
      <c r="CF17536" s="239"/>
      <c r="CM17536" s="336"/>
    </row>
    <row r="17537" spans="84:91" s="51" customFormat="1">
      <c r="CF17537" s="239"/>
      <c r="CM17537" s="336"/>
    </row>
    <row r="17538" spans="84:91" s="51" customFormat="1">
      <c r="CF17538" s="239"/>
      <c r="CM17538" s="336"/>
    </row>
    <row r="17539" spans="84:91" s="51" customFormat="1">
      <c r="CF17539" s="239"/>
      <c r="CM17539" s="336"/>
    </row>
    <row r="17540" spans="84:91" s="51" customFormat="1">
      <c r="CF17540" s="239"/>
      <c r="CM17540" s="336"/>
    </row>
    <row r="17541" spans="84:91" s="51" customFormat="1">
      <c r="CF17541" s="239"/>
      <c r="CM17541" s="336"/>
    </row>
    <row r="17542" spans="84:91" s="51" customFormat="1">
      <c r="CF17542" s="239"/>
      <c r="CM17542" s="336"/>
    </row>
    <row r="17543" spans="84:91" s="51" customFormat="1">
      <c r="CF17543" s="239"/>
      <c r="CM17543" s="336"/>
    </row>
    <row r="17544" spans="84:91" s="51" customFormat="1">
      <c r="CF17544" s="239"/>
      <c r="CM17544" s="336"/>
    </row>
    <row r="17545" spans="84:91" s="51" customFormat="1">
      <c r="CF17545" s="239"/>
      <c r="CM17545" s="336"/>
    </row>
    <row r="17546" spans="84:91" s="51" customFormat="1">
      <c r="CF17546" s="239"/>
      <c r="CM17546" s="336"/>
    </row>
    <row r="17547" spans="84:91" s="51" customFormat="1">
      <c r="CF17547" s="239"/>
      <c r="CM17547" s="336"/>
    </row>
    <row r="17548" spans="84:91" s="51" customFormat="1">
      <c r="CF17548" s="239"/>
      <c r="CM17548" s="336"/>
    </row>
    <row r="17549" spans="84:91" s="51" customFormat="1">
      <c r="CF17549" s="239"/>
      <c r="CM17549" s="336"/>
    </row>
    <row r="17550" spans="84:91" s="51" customFormat="1">
      <c r="CF17550" s="239"/>
      <c r="CM17550" s="336"/>
    </row>
    <row r="17551" spans="84:91" s="51" customFormat="1">
      <c r="CF17551" s="239"/>
      <c r="CM17551" s="336"/>
    </row>
    <row r="17552" spans="84:91" s="51" customFormat="1">
      <c r="CF17552" s="239"/>
      <c r="CM17552" s="336"/>
    </row>
    <row r="17553" spans="84:91" s="51" customFormat="1">
      <c r="CF17553" s="239"/>
      <c r="CM17553" s="336"/>
    </row>
    <row r="17554" spans="84:91" s="51" customFormat="1">
      <c r="CF17554" s="239"/>
      <c r="CM17554" s="336"/>
    </row>
    <row r="17555" spans="84:91" s="51" customFormat="1">
      <c r="CF17555" s="239"/>
      <c r="CM17555" s="336"/>
    </row>
    <row r="17556" spans="84:91" s="51" customFormat="1">
      <c r="CF17556" s="239"/>
      <c r="CM17556" s="336"/>
    </row>
    <row r="17557" spans="84:91" s="51" customFormat="1">
      <c r="CF17557" s="239"/>
      <c r="CM17557" s="336"/>
    </row>
    <row r="17558" spans="84:91" s="51" customFormat="1">
      <c r="CF17558" s="239"/>
      <c r="CM17558" s="336"/>
    </row>
    <row r="17559" spans="84:91" s="51" customFormat="1">
      <c r="CF17559" s="239"/>
      <c r="CM17559" s="336"/>
    </row>
    <row r="17560" spans="84:91" s="51" customFormat="1">
      <c r="CF17560" s="239"/>
      <c r="CM17560" s="336"/>
    </row>
    <row r="17561" spans="84:91" s="51" customFormat="1">
      <c r="CF17561" s="239"/>
      <c r="CM17561" s="336"/>
    </row>
    <row r="17562" spans="84:91" s="51" customFormat="1">
      <c r="CF17562" s="239"/>
      <c r="CM17562" s="336"/>
    </row>
    <row r="17563" spans="84:91" s="51" customFormat="1">
      <c r="CF17563" s="239"/>
      <c r="CM17563" s="336"/>
    </row>
    <row r="17564" spans="84:91" s="51" customFormat="1">
      <c r="CF17564" s="239"/>
      <c r="CM17564" s="336"/>
    </row>
    <row r="17565" spans="84:91" s="51" customFormat="1">
      <c r="CF17565" s="239"/>
      <c r="CM17565" s="336"/>
    </row>
    <row r="17566" spans="84:91" s="51" customFormat="1">
      <c r="CF17566" s="239"/>
      <c r="CM17566" s="336"/>
    </row>
    <row r="17567" spans="84:91" s="51" customFormat="1">
      <c r="CF17567" s="239"/>
      <c r="CM17567" s="336"/>
    </row>
    <row r="17568" spans="84:91" s="51" customFormat="1">
      <c r="CF17568" s="239"/>
      <c r="CM17568" s="336"/>
    </row>
    <row r="17569" spans="84:91" s="51" customFormat="1">
      <c r="CF17569" s="239"/>
      <c r="CM17569" s="336"/>
    </row>
    <row r="17570" spans="84:91" s="51" customFormat="1">
      <c r="CF17570" s="239"/>
      <c r="CM17570" s="336"/>
    </row>
    <row r="17571" spans="84:91" s="51" customFormat="1">
      <c r="CF17571" s="239"/>
      <c r="CM17571" s="336"/>
    </row>
    <row r="17572" spans="84:91" s="51" customFormat="1">
      <c r="CF17572" s="239"/>
      <c r="CM17572" s="336"/>
    </row>
    <row r="17573" spans="84:91" s="51" customFormat="1">
      <c r="CF17573" s="239"/>
      <c r="CM17573" s="336"/>
    </row>
    <row r="17574" spans="84:91" s="51" customFormat="1">
      <c r="CF17574" s="239"/>
      <c r="CM17574" s="336"/>
    </row>
    <row r="17575" spans="84:91" s="51" customFormat="1">
      <c r="CF17575" s="239"/>
      <c r="CM17575" s="336"/>
    </row>
    <row r="17576" spans="84:91" s="51" customFormat="1">
      <c r="CF17576" s="239"/>
      <c r="CM17576" s="336"/>
    </row>
    <row r="17577" spans="84:91" s="51" customFormat="1">
      <c r="CF17577" s="239"/>
      <c r="CM17577" s="336"/>
    </row>
    <row r="17578" spans="84:91" s="51" customFormat="1">
      <c r="CF17578" s="239"/>
      <c r="CM17578" s="336"/>
    </row>
    <row r="17579" spans="84:91" s="51" customFormat="1">
      <c r="CF17579" s="239"/>
      <c r="CM17579" s="336"/>
    </row>
    <row r="17580" spans="84:91" s="51" customFormat="1">
      <c r="CF17580" s="239"/>
      <c r="CM17580" s="336"/>
    </row>
    <row r="17581" spans="84:91" s="51" customFormat="1">
      <c r="CF17581" s="239"/>
      <c r="CM17581" s="336"/>
    </row>
    <row r="17582" spans="84:91" s="51" customFormat="1">
      <c r="CF17582" s="239"/>
      <c r="CM17582" s="336"/>
    </row>
    <row r="17583" spans="84:91" s="51" customFormat="1">
      <c r="CF17583" s="239"/>
      <c r="CM17583" s="336"/>
    </row>
    <row r="17584" spans="84:91" s="51" customFormat="1">
      <c r="CF17584" s="239"/>
      <c r="CM17584" s="336"/>
    </row>
    <row r="17585" spans="84:91" s="51" customFormat="1">
      <c r="CF17585" s="239"/>
      <c r="CM17585" s="336"/>
    </row>
    <row r="17586" spans="84:91" s="51" customFormat="1">
      <c r="CF17586" s="239"/>
      <c r="CM17586" s="336"/>
    </row>
    <row r="17587" spans="84:91" s="51" customFormat="1">
      <c r="CF17587" s="239"/>
      <c r="CM17587" s="336"/>
    </row>
    <row r="17588" spans="84:91" s="51" customFormat="1">
      <c r="CF17588" s="239"/>
      <c r="CM17588" s="336"/>
    </row>
    <row r="17589" spans="84:91" s="51" customFormat="1">
      <c r="CF17589" s="239"/>
      <c r="CM17589" s="336"/>
    </row>
    <row r="17590" spans="84:91" s="51" customFormat="1">
      <c r="CF17590" s="239"/>
      <c r="CM17590" s="336"/>
    </row>
    <row r="17591" spans="84:91" s="51" customFormat="1">
      <c r="CF17591" s="239"/>
      <c r="CM17591" s="336"/>
    </row>
    <row r="17592" spans="84:91" s="51" customFormat="1">
      <c r="CF17592" s="239"/>
      <c r="CM17592" s="336"/>
    </row>
    <row r="17593" spans="84:91" s="51" customFormat="1">
      <c r="CF17593" s="239"/>
      <c r="CM17593" s="336"/>
    </row>
    <row r="17594" spans="84:91" s="51" customFormat="1">
      <c r="CF17594" s="239"/>
      <c r="CM17594" s="336"/>
    </row>
    <row r="17595" spans="84:91" s="51" customFormat="1">
      <c r="CF17595" s="239"/>
      <c r="CM17595" s="336"/>
    </row>
    <row r="17596" spans="84:91" s="51" customFormat="1">
      <c r="CF17596" s="239"/>
      <c r="CM17596" s="336"/>
    </row>
    <row r="17597" spans="84:91" s="51" customFormat="1">
      <c r="CF17597" s="239"/>
      <c r="CM17597" s="336"/>
    </row>
    <row r="17598" spans="84:91" s="51" customFormat="1">
      <c r="CF17598" s="239"/>
      <c r="CM17598" s="336"/>
    </row>
    <row r="17599" spans="84:91" s="51" customFormat="1">
      <c r="CF17599" s="239"/>
      <c r="CM17599" s="336"/>
    </row>
    <row r="17600" spans="84:91" s="51" customFormat="1">
      <c r="CF17600" s="239"/>
      <c r="CM17600" s="336"/>
    </row>
    <row r="17601" spans="84:91" s="51" customFormat="1">
      <c r="CF17601" s="239"/>
      <c r="CM17601" s="336"/>
    </row>
    <row r="17602" spans="84:91" s="51" customFormat="1">
      <c r="CF17602" s="239"/>
      <c r="CM17602" s="336"/>
    </row>
    <row r="17603" spans="84:91" s="51" customFormat="1">
      <c r="CF17603" s="239"/>
      <c r="CM17603" s="336"/>
    </row>
    <row r="17604" spans="84:91" s="51" customFormat="1">
      <c r="CF17604" s="239"/>
      <c r="CM17604" s="336"/>
    </row>
    <row r="17605" spans="84:91" s="51" customFormat="1">
      <c r="CF17605" s="239"/>
      <c r="CM17605" s="336"/>
    </row>
    <row r="17606" spans="84:91" s="51" customFormat="1">
      <c r="CF17606" s="239"/>
      <c r="CM17606" s="336"/>
    </row>
    <row r="17607" spans="84:91" s="51" customFormat="1">
      <c r="CF17607" s="239"/>
      <c r="CM17607" s="336"/>
    </row>
    <row r="17608" spans="84:91" s="51" customFormat="1">
      <c r="CF17608" s="239"/>
      <c r="CM17608" s="336"/>
    </row>
    <row r="17609" spans="84:91" s="51" customFormat="1">
      <c r="CF17609" s="239"/>
      <c r="CM17609" s="336"/>
    </row>
    <row r="17610" spans="84:91" s="51" customFormat="1">
      <c r="CF17610" s="239"/>
      <c r="CM17610" s="336"/>
    </row>
    <row r="17611" spans="84:91" s="51" customFormat="1">
      <c r="CF17611" s="239"/>
      <c r="CM17611" s="336"/>
    </row>
    <row r="17612" spans="84:91" s="51" customFormat="1">
      <c r="CF17612" s="239"/>
      <c r="CM17612" s="336"/>
    </row>
    <row r="17613" spans="84:91" s="51" customFormat="1">
      <c r="CF17613" s="239"/>
      <c r="CM17613" s="336"/>
    </row>
    <row r="17614" spans="84:91" s="51" customFormat="1">
      <c r="CF17614" s="239"/>
      <c r="CM17614" s="336"/>
    </row>
    <row r="17615" spans="84:91" s="51" customFormat="1">
      <c r="CF17615" s="239"/>
      <c r="CM17615" s="336"/>
    </row>
    <row r="17616" spans="84:91" s="51" customFormat="1">
      <c r="CF17616" s="239"/>
      <c r="CM17616" s="336"/>
    </row>
    <row r="17617" spans="84:91" s="51" customFormat="1">
      <c r="CF17617" s="239"/>
      <c r="CM17617" s="336"/>
    </row>
    <row r="17618" spans="84:91" s="51" customFormat="1">
      <c r="CF17618" s="239"/>
      <c r="CM17618" s="336"/>
    </row>
    <row r="17619" spans="84:91" s="51" customFormat="1">
      <c r="CF17619" s="239"/>
      <c r="CM17619" s="336"/>
    </row>
    <row r="17620" spans="84:91" s="51" customFormat="1">
      <c r="CF17620" s="239"/>
      <c r="CM17620" s="336"/>
    </row>
    <row r="17621" spans="84:91" s="51" customFormat="1">
      <c r="CF17621" s="239"/>
      <c r="CM17621" s="336"/>
    </row>
    <row r="17622" spans="84:91" s="51" customFormat="1">
      <c r="CF17622" s="239"/>
      <c r="CM17622" s="336"/>
    </row>
    <row r="17623" spans="84:91" s="51" customFormat="1">
      <c r="CF17623" s="239"/>
      <c r="CM17623" s="336"/>
    </row>
    <row r="17624" spans="84:91" s="51" customFormat="1">
      <c r="CF17624" s="239"/>
      <c r="CM17624" s="336"/>
    </row>
    <row r="17625" spans="84:91" s="51" customFormat="1">
      <c r="CF17625" s="239"/>
      <c r="CM17625" s="336"/>
    </row>
    <row r="17626" spans="84:91" s="51" customFormat="1">
      <c r="CF17626" s="239"/>
      <c r="CM17626" s="336"/>
    </row>
    <row r="17627" spans="84:91" s="51" customFormat="1">
      <c r="CF17627" s="239"/>
      <c r="CM17627" s="336"/>
    </row>
    <row r="17628" spans="84:91" s="51" customFormat="1">
      <c r="CF17628" s="239"/>
      <c r="CM17628" s="336"/>
    </row>
    <row r="17629" spans="84:91" s="51" customFormat="1">
      <c r="CF17629" s="239"/>
      <c r="CM17629" s="336"/>
    </row>
    <row r="17630" spans="84:91" s="51" customFormat="1">
      <c r="CF17630" s="239"/>
      <c r="CM17630" s="336"/>
    </row>
    <row r="17631" spans="84:91" s="51" customFormat="1">
      <c r="CF17631" s="239"/>
      <c r="CM17631" s="336"/>
    </row>
    <row r="17632" spans="84:91" s="51" customFormat="1">
      <c r="CF17632" s="239"/>
      <c r="CM17632" s="336"/>
    </row>
    <row r="17633" spans="84:91" s="51" customFormat="1">
      <c r="CF17633" s="239"/>
      <c r="CM17633" s="336"/>
    </row>
    <row r="17634" spans="84:91" s="51" customFormat="1">
      <c r="CF17634" s="239"/>
      <c r="CM17634" s="336"/>
    </row>
    <row r="17635" spans="84:91" s="51" customFormat="1">
      <c r="CF17635" s="239"/>
      <c r="CM17635" s="336"/>
    </row>
    <row r="17636" spans="84:91" s="51" customFormat="1">
      <c r="CF17636" s="239"/>
      <c r="CM17636" s="336"/>
    </row>
    <row r="17637" spans="84:91" s="51" customFormat="1">
      <c r="CF17637" s="239"/>
      <c r="CM17637" s="336"/>
    </row>
    <row r="17638" spans="84:91" s="51" customFormat="1">
      <c r="CF17638" s="239"/>
      <c r="CM17638" s="336"/>
    </row>
    <row r="17639" spans="84:91" s="51" customFormat="1">
      <c r="CF17639" s="239"/>
      <c r="CM17639" s="336"/>
    </row>
    <row r="17640" spans="84:91" s="51" customFormat="1">
      <c r="CF17640" s="239"/>
      <c r="CM17640" s="336"/>
    </row>
    <row r="17641" spans="84:91" s="51" customFormat="1">
      <c r="CF17641" s="239"/>
      <c r="CM17641" s="336"/>
    </row>
    <row r="17642" spans="84:91" s="51" customFormat="1">
      <c r="CF17642" s="239"/>
      <c r="CM17642" s="336"/>
    </row>
    <row r="17643" spans="84:91" s="51" customFormat="1">
      <c r="CF17643" s="239"/>
      <c r="CM17643" s="336"/>
    </row>
    <row r="17644" spans="84:91" s="51" customFormat="1">
      <c r="CF17644" s="239"/>
      <c r="CM17644" s="336"/>
    </row>
    <row r="17645" spans="84:91" s="51" customFormat="1">
      <c r="CF17645" s="239"/>
      <c r="CM17645" s="336"/>
    </row>
    <row r="17646" spans="84:91" s="51" customFormat="1">
      <c r="CF17646" s="239"/>
      <c r="CM17646" s="336"/>
    </row>
    <row r="17647" spans="84:91" s="51" customFormat="1">
      <c r="CF17647" s="239"/>
      <c r="CM17647" s="336"/>
    </row>
    <row r="17648" spans="84:91" s="51" customFormat="1">
      <c r="CF17648" s="239"/>
      <c r="CM17648" s="336"/>
    </row>
    <row r="17649" spans="84:91" s="51" customFormat="1">
      <c r="CF17649" s="239"/>
      <c r="CM17649" s="336"/>
    </row>
    <row r="17650" spans="84:91" s="51" customFormat="1">
      <c r="CF17650" s="239"/>
      <c r="CM17650" s="336"/>
    </row>
    <row r="17651" spans="84:91" s="51" customFormat="1">
      <c r="CF17651" s="239"/>
      <c r="CM17651" s="336"/>
    </row>
    <row r="17652" spans="84:91" s="51" customFormat="1">
      <c r="CF17652" s="239"/>
      <c r="CM17652" s="336"/>
    </row>
    <row r="17653" spans="84:91" s="51" customFormat="1">
      <c r="CF17653" s="239"/>
      <c r="CM17653" s="336"/>
    </row>
    <row r="17654" spans="84:91" s="51" customFormat="1">
      <c r="CF17654" s="239"/>
      <c r="CM17654" s="336"/>
    </row>
    <row r="17655" spans="84:91" s="51" customFormat="1">
      <c r="CF17655" s="239"/>
      <c r="CM17655" s="336"/>
    </row>
    <row r="17656" spans="84:91" s="51" customFormat="1">
      <c r="CF17656" s="239"/>
      <c r="CM17656" s="336"/>
    </row>
    <row r="17657" spans="84:91" s="51" customFormat="1">
      <c r="CF17657" s="239"/>
      <c r="CM17657" s="336"/>
    </row>
    <row r="17658" spans="84:91" s="51" customFormat="1">
      <c r="CF17658" s="239"/>
      <c r="CM17658" s="336"/>
    </row>
    <row r="17659" spans="84:91" s="51" customFormat="1">
      <c r="CF17659" s="239"/>
      <c r="CM17659" s="336"/>
    </row>
    <row r="17660" spans="84:91" s="51" customFormat="1">
      <c r="CF17660" s="239"/>
      <c r="CM17660" s="336"/>
    </row>
    <row r="17661" spans="84:91" s="51" customFormat="1">
      <c r="CF17661" s="239"/>
      <c r="CM17661" s="336"/>
    </row>
    <row r="17662" spans="84:91" s="51" customFormat="1">
      <c r="CF17662" s="239"/>
      <c r="CM17662" s="336"/>
    </row>
    <row r="17663" spans="84:91" s="51" customFormat="1">
      <c r="CF17663" s="239"/>
      <c r="CM17663" s="336"/>
    </row>
    <row r="17664" spans="84:91" s="51" customFormat="1">
      <c r="CF17664" s="239"/>
      <c r="CM17664" s="336"/>
    </row>
    <row r="17665" spans="84:91" s="51" customFormat="1">
      <c r="CF17665" s="239"/>
      <c r="CM17665" s="336"/>
    </row>
    <row r="17666" spans="84:91" s="51" customFormat="1">
      <c r="CF17666" s="239"/>
      <c r="CM17666" s="336"/>
    </row>
    <row r="17667" spans="84:91" s="51" customFormat="1">
      <c r="CF17667" s="239"/>
      <c r="CM17667" s="336"/>
    </row>
    <row r="17668" spans="84:91" s="51" customFormat="1">
      <c r="CF17668" s="239"/>
      <c r="CM17668" s="336"/>
    </row>
    <row r="17669" spans="84:91" s="51" customFormat="1">
      <c r="CF17669" s="239"/>
      <c r="CM17669" s="336"/>
    </row>
    <row r="17670" spans="84:91" s="51" customFormat="1">
      <c r="CF17670" s="239"/>
      <c r="CM17670" s="336"/>
    </row>
    <row r="17671" spans="84:91" s="51" customFormat="1">
      <c r="CF17671" s="239"/>
      <c r="CM17671" s="336"/>
    </row>
    <row r="17672" spans="84:91" s="51" customFormat="1">
      <c r="CF17672" s="239"/>
      <c r="CM17672" s="336"/>
    </row>
    <row r="17673" spans="84:91" s="51" customFormat="1">
      <c r="CF17673" s="239"/>
      <c r="CM17673" s="336"/>
    </row>
    <row r="17674" spans="84:91" s="51" customFormat="1">
      <c r="CF17674" s="239"/>
      <c r="CM17674" s="336"/>
    </row>
    <row r="17675" spans="84:91" s="51" customFormat="1">
      <c r="CF17675" s="239"/>
      <c r="CM17675" s="336"/>
    </row>
    <row r="17676" spans="84:91" s="51" customFormat="1">
      <c r="CF17676" s="239"/>
      <c r="CM17676" s="336"/>
    </row>
    <row r="17677" spans="84:91" s="51" customFormat="1">
      <c r="CF17677" s="239"/>
      <c r="CM17677" s="336"/>
    </row>
    <row r="17678" spans="84:91" s="51" customFormat="1">
      <c r="CF17678" s="239"/>
      <c r="CM17678" s="336"/>
    </row>
    <row r="17679" spans="84:91" s="51" customFormat="1">
      <c r="CF17679" s="239"/>
      <c r="CM17679" s="336"/>
    </row>
    <row r="17680" spans="84:91" s="51" customFormat="1">
      <c r="CF17680" s="239"/>
      <c r="CM17680" s="336"/>
    </row>
    <row r="17681" spans="84:91" s="51" customFormat="1">
      <c r="CF17681" s="239"/>
      <c r="CM17681" s="336"/>
    </row>
    <row r="17682" spans="84:91" s="51" customFormat="1">
      <c r="CF17682" s="239"/>
      <c r="CM17682" s="336"/>
    </row>
    <row r="17683" spans="84:91" s="51" customFormat="1">
      <c r="CF17683" s="239"/>
      <c r="CM17683" s="336"/>
    </row>
    <row r="17684" spans="84:91" s="51" customFormat="1">
      <c r="CF17684" s="239"/>
      <c r="CM17684" s="336"/>
    </row>
    <row r="17685" spans="84:91" s="51" customFormat="1">
      <c r="CF17685" s="239"/>
      <c r="CM17685" s="336"/>
    </row>
    <row r="17686" spans="84:91" s="51" customFormat="1">
      <c r="CF17686" s="239"/>
      <c r="CM17686" s="336"/>
    </row>
    <row r="17687" spans="84:91" s="51" customFormat="1">
      <c r="CF17687" s="239"/>
      <c r="CM17687" s="336"/>
    </row>
    <row r="17688" spans="84:91" s="51" customFormat="1">
      <c r="CF17688" s="239"/>
      <c r="CM17688" s="336"/>
    </row>
    <row r="17689" spans="84:91" s="51" customFormat="1">
      <c r="CF17689" s="239"/>
      <c r="CM17689" s="336"/>
    </row>
    <row r="17690" spans="84:91" s="51" customFormat="1">
      <c r="CF17690" s="239"/>
      <c r="CM17690" s="336"/>
    </row>
    <row r="17691" spans="84:91" s="51" customFormat="1">
      <c r="CF17691" s="239"/>
      <c r="CM17691" s="336"/>
    </row>
    <row r="17692" spans="84:91" s="51" customFormat="1">
      <c r="CF17692" s="239"/>
      <c r="CM17692" s="336"/>
    </row>
    <row r="17693" spans="84:91" s="51" customFormat="1">
      <c r="CF17693" s="239"/>
      <c r="CM17693" s="336"/>
    </row>
    <row r="17694" spans="84:91" s="51" customFormat="1">
      <c r="CF17694" s="239"/>
      <c r="CM17694" s="336"/>
    </row>
    <row r="17695" spans="84:91" s="51" customFormat="1">
      <c r="CF17695" s="239"/>
      <c r="CM17695" s="336"/>
    </row>
    <row r="17696" spans="84:91" s="51" customFormat="1">
      <c r="CF17696" s="239"/>
      <c r="CM17696" s="336"/>
    </row>
    <row r="17697" spans="84:91" s="51" customFormat="1">
      <c r="CF17697" s="239"/>
      <c r="CM17697" s="336"/>
    </row>
    <row r="17698" spans="84:91" s="51" customFormat="1">
      <c r="CF17698" s="239"/>
      <c r="CM17698" s="336"/>
    </row>
    <row r="17699" spans="84:91" s="51" customFormat="1">
      <c r="CF17699" s="239"/>
      <c r="CM17699" s="336"/>
    </row>
    <row r="17700" spans="84:91" s="51" customFormat="1">
      <c r="CF17700" s="239"/>
      <c r="CM17700" s="336"/>
    </row>
    <row r="17701" spans="84:91" s="51" customFormat="1">
      <c r="CF17701" s="239"/>
      <c r="CM17701" s="336"/>
    </row>
    <row r="17702" spans="84:91" s="51" customFormat="1">
      <c r="CF17702" s="239"/>
      <c r="CM17702" s="336"/>
    </row>
    <row r="17703" spans="84:91" s="51" customFormat="1">
      <c r="CF17703" s="239"/>
      <c r="CM17703" s="336"/>
    </row>
    <row r="17704" spans="84:91" s="51" customFormat="1">
      <c r="CF17704" s="239"/>
      <c r="CM17704" s="336"/>
    </row>
    <row r="17705" spans="84:91" s="51" customFormat="1">
      <c r="CF17705" s="239"/>
      <c r="CM17705" s="336"/>
    </row>
    <row r="17706" spans="84:91" s="51" customFormat="1">
      <c r="CF17706" s="239"/>
      <c r="CM17706" s="336"/>
    </row>
    <row r="17707" spans="84:91" s="51" customFormat="1">
      <c r="CF17707" s="239"/>
      <c r="CM17707" s="336"/>
    </row>
    <row r="17708" spans="84:91" s="51" customFormat="1">
      <c r="CF17708" s="239"/>
      <c r="CM17708" s="336"/>
    </row>
    <row r="17709" spans="84:91" s="51" customFormat="1">
      <c r="CF17709" s="239"/>
      <c r="CM17709" s="336"/>
    </row>
    <row r="17710" spans="84:91" s="51" customFormat="1">
      <c r="CF17710" s="239"/>
      <c r="CM17710" s="336"/>
    </row>
    <row r="17711" spans="84:91" s="51" customFormat="1">
      <c r="CF17711" s="239"/>
      <c r="CM17711" s="336"/>
    </row>
    <row r="17712" spans="84:91" s="51" customFormat="1">
      <c r="CF17712" s="239"/>
      <c r="CM17712" s="336"/>
    </row>
    <row r="17713" spans="84:91" s="51" customFormat="1">
      <c r="CF17713" s="239"/>
      <c r="CM17713" s="336"/>
    </row>
    <row r="17714" spans="84:91" s="51" customFormat="1">
      <c r="CF17714" s="239"/>
      <c r="CM17714" s="336"/>
    </row>
    <row r="17715" spans="84:91" s="51" customFormat="1">
      <c r="CF17715" s="239"/>
      <c r="CM17715" s="336"/>
    </row>
    <row r="17716" spans="84:91" s="51" customFormat="1">
      <c r="CF17716" s="239"/>
      <c r="CM17716" s="336"/>
    </row>
    <row r="17717" spans="84:91" s="51" customFormat="1">
      <c r="CF17717" s="239"/>
      <c r="CM17717" s="336"/>
    </row>
    <row r="17718" spans="84:91" s="51" customFormat="1">
      <c r="CF17718" s="239"/>
      <c r="CM17718" s="336"/>
    </row>
    <row r="17719" spans="84:91" s="51" customFormat="1">
      <c r="CF17719" s="239"/>
      <c r="CM17719" s="336"/>
    </row>
    <row r="17720" spans="84:91" s="51" customFormat="1">
      <c r="CF17720" s="239"/>
      <c r="CM17720" s="336"/>
    </row>
    <row r="17721" spans="84:91" s="51" customFormat="1">
      <c r="CF17721" s="239"/>
      <c r="CM17721" s="336"/>
    </row>
    <row r="17722" spans="84:91" s="51" customFormat="1">
      <c r="CF17722" s="239"/>
      <c r="CM17722" s="336"/>
    </row>
    <row r="17723" spans="84:91" s="51" customFormat="1">
      <c r="CF17723" s="239"/>
      <c r="CM17723" s="336"/>
    </row>
    <row r="17724" spans="84:91" s="51" customFormat="1">
      <c r="CF17724" s="239"/>
      <c r="CM17724" s="336"/>
    </row>
    <row r="17725" spans="84:91" s="51" customFormat="1">
      <c r="CF17725" s="239"/>
      <c r="CM17725" s="336"/>
    </row>
    <row r="17726" spans="84:91" s="51" customFormat="1">
      <c r="CF17726" s="239"/>
      <c r="CM17726" s="336"/>
    </row>
    <row r="17727" spans="84:91" s="51" customFormat="1">
      <c r="CF17727" s="239"/>
      <c r="CM17727" s="336"/>
    </row>
    <row r="17728" spans="84:91" s="51" customFormat="1">
      <c r="CF17728" s="239"/>
      <c r="CM17728" s="336"/>
    </row>
    <row r="17729" spans="84:91" s="51" customFormat="1">
      <c r="CF17729" s="239"/>
      <c r="CM17729" s="336"/>
    </row>
    <row r="17730" spans="84:91" s="51" customFormat="1">
      <c r="CF17730" s="239"/>
      <c r="CM17730" s="336"/>
    </row>
    <row r="17731" spans="84:91" s="51" customFormat="1">
      <c r="CF17731" s="239"/>
      <c r="CM17731" s="336"/>
    </row>
    <row r="17732" spans="84:91" s="51" customFormat="1">
      <c r="CF17732" s="239"/>
      <c r="CM17732" s="336"/>
    </row>
    <row r="17733" spans="84:91" s="51" customFormat="1">
      <c r="CF17733" s="239"/>
      <c r="CM17733" s="336"/>
    </row>
    <row r="17734" spans="84:91" s="51" customFormat="1">
      <c r="CF17734" s="239"/>
      <c r="CM17734" s="336"/>
    </row>
    <row r="17735" spans="84:91" s="51" customFormat="1">
      <c r="CF17735" s="239"/>
      <c r="CM17735" s="336"/>
    </row>
    <row r="17736" spans="84:91" s="51" customFormat="1">
      <c r="CF17736" s="239"/>
      <c r="CM17736" s="336"/>
    </row>
    <row r="17737" spans="84:91" s="51" customFormat="1">
      <c r="CF17737" s="239"/>
      <c r="CM17737" s="336"/>
    </row>
    <row r="17738" spans="84:91" s="51" customFormat="1">
      <c r="CF17738" s="239"/>
      <c r="CM17738" s="336"/>
    </row>
    <row r="17739" spans="84:91" s="51" customFormat="1">
      <c r="CF17739" s="239"/>
      <c r="CM17739" s="336"/>
    </row>
    <row r="17740" spans="84:91" s="51" customFormat="1">
      <c r="CF17740" s="239"/>
      <c r="CM17740" s="336"/>
    </row>
    <row r="17741" spans="84:91" s="51" customFormat="1">
      <c r="CF17741" s="239"/>
      <c r="CM17741" s="336"/>
    </row>
    <row r="17742" spans="84:91" s="51" customFormat="1">
      <c r="CF17742" s="239"/>
      <c r="CM17742" s="336"/>
    </row>
    <row r="17743" spans="84:91" s="51" customFormat="1">
      <c r="CF17743" s="239"/>
      <c r="CM17743" s="336"/>
    </row>
    <row r="17744" spans="84:91" s="51" customFormat="1">
      <c r="CF17744" s="239"/>
      <c r="CM17744" s="336"/>
    </row>
    <row r="17745" spans="84:91" s="51" customFormat="1">
      <c r="CF17745" s="239"/>
      <c r="CM17745" s="336"/>
    </row>
    <row r="17746" spans="84:91" s="51" customFormat="1">
      <c r="CF17746" s="239"/>
      <c r="CM17746" s="336"/>
    </row>
    <row r="17747" spans="84:91" s="51" customFormat="1">
      <c r="CF17747" s="239"/>
      <c r="CM17747" s="336"/>
    </row>
    <row r="17748" spans="84:91" s="51" customFormat="1">
      <c r="CF17748" s="239"/>
      <c r="CM17748" s="336"/>
    </row>
    <row r="17749" spans="84:91" s="51" customFormat="1">
      <c r="CF17749" s="239"/>
      <c r="CM17749" s="336"/>
    </row>
    <row r="17750" spans="84:91" s="51" customFormat="1">
      <c r="CF17750" s="239"/>
      <c r="CM17750" s="336"/>
    </row>
    <row r="17751" spans="84:91" s="51" customFormat="1">
      <c r="CF17751" s="239"/>
      <c r="CM17751" s="336"/>
    </row>
    <row r="17752" spans="84:91" s="51" customFormat="1">
      <c r="CF17752" s="239"/>
      <c r="CM17752" s="336"/>
    </row>
    <row r="17753" spans="84:91" s="51" customFormat="1">
      <c r="CF17753" s="239"/>
      <c r="CM17753" s="336"/>
    </row>
    <row r="17754" spans="84:91" s="51" customFormat="1">
      <c r="CF17754" s="239"/>
      <c r="CM17754" s="336"/>
    </row>
    <row r="17755" spans="84:91" s="51" customFormat="1">
      <c r="CF17755" s="239"/>
      <c r="CM17755" s="336"/>
    </row>
    <row r="17756" spans="84:91" s="51" customFormat="1">
      <c r="CF17756" s="239"/>
      <c r="CM17756" s="336"/>
    </row>
    <row r="17757" spans="84:91" s="51" customFormat="1">
      <c r="CF17757" s="239"/>
      <c r="CM17757" s="336"/>
    </row>
    <row r="17758" spans="84:91" s="51" customFormat="1">
      <c r="CF17758" s="239"/>
      <c r="CM17758" s="336"/>
    </row>
    <row r="17759" spans="84:91" s="51" customFormat="1">
      <c r="CF17759" s="239"/>
      <c r="CM17759" s="336"/>
    </row>
    <row r="17760" spans="84:91" s="51" customFormat="1">
      <c r="CF17760" s="239"/>
      <c r="CM17760" s="336"/>
    </row>
    <row r="17761" spans="84:91" s="51" customFormat="1">
      <c r="CF17761" s="239"/>
      <c r="CM17761" s="336"/>
    </row>
    <row r="17762" spans="84:91" s="51" customFormat="1">
      <c r="CF17762" s="239"/>
      <c r="CM17762" s="336"/>
    </row>
    <row r="17763" spans="84:91" s="51" customFormat="1">
      <c r="CF17763" s="239"/>
      <c r="CM17763" s="336"/>
    </row>
    <row r="17764" spans="84:91" s="51" customFormat="1">
      <c r="CF17764" s="239"/>
      <c r="CM17764" s="336"/>
    </row>
    <row r="17765" spans="84:91" s="51" customFormat="1">
      <c r="CF17765" s="239"/>
      <c r="CM17765" s="336"/>
    </row>
    <row r="17766" spans="84:91" s="51" customFormat="1">
      <c r="CF17766" s="239"/>
      <c r="CM17766" s="336"/>
    </row>
    <row r="17767" spans="84:91" s="51" customFormat="1">
      <c r="CF17767" s="239"/>
      <c r="CM17767" s="336"/>
    </row>
    <row r="17768" spans="84:91" s="51" customFormat="1">
      <c r="CF17768" s="239"/>
      <c r="CM17768" s="336"/>
    </row>
    <row r="17769" spans="84:91" s="51" customFormat="1">
      <c r="CF17769" s="239"/>
      <c r="CM17769" s="336"/>
    </row>
    <row r="17770" spans="84:91" s="51" customFormat="1">
      <c r="CF17770" s="239"/>
      <c r="CM17770" s="336"/>
    </row>
    <row r="17771" spans="84:91" s="51" customFormat="1">
      <c r="CF17771" s="239"/>
      <c r="CM17771" s="336"/>
    </row>
    <row r="17772" spans="84:91" s="51" customFormat="1">
      <c r="CF17772" s="239"/>
      <c r="CM17772" s="336"/>
    </row>
    <row r="17773" spans="84:91" s="51" customFormat="1">
      <c r="CF17773" s="239"/>
      <c r="CM17773" s="336"/>
    </row>
    <row r="17774" spans="84:91" s="51" customFormat="1">
      <c r="CF17774" s="239"/>
      <c r="CM17774" s="336"/>
    </row>
    <row r="17775" spans="84:91" s="51" customFormat="1">
      <c r="CF17775" s="239"/>
      <c r="CM17775" s="336"/>
    </row>
    <row r="17776" spans="84:91" s="51" customFormat="1">
      <c r="CF17776" s="239"/>
      <c r="CM17776" s="336"/>
    </row>
    <row r="17777" spans="84:91" s="51" customFormat="1">
      <c r="CF17777" s="239"/>
      <c r="CM17777" s="336"/>
    </row>
    <row r="17778" spans="84:91" s="51" customFormat="1">
      <c r="CF17778" s="239"/>
      <c r="CM17778" s="336"/>
    </row>
    <row r="17779" spans="84:91" s="51" customFormat="1">
      <c r="CF17779" s="239"/>
      <c r="CM17779" s="336"/>
    </row>
    <row r="17780" spans="84:91" s="51" customFormat="1">
      <c r="CF17780" s="239"/>
      <c r="CM17780" s="336"/>
    </row>
    <row r="17781" spans="84:91" s="51" customFormat="1">
      <c r="CF17781" s="239"/>
      <c r="CM17781" s="336"/>
    </row>
    <row r="17782" spans="84:91" s="51" customFormat="1">
      <c r="CF17782" s="239"/>
      <c r="CM17782" s="336"/>
    </row>
    <row r="17783" spans="84:91" s="51" customFormat="1">
      <c r="CF17783" s="239"/>
      <c r="CM17783" s="336"/>
    </row>
    <row r="17784" spans="84:91" s="51" customFormat="1">
      <c r="CF17784" s="239"/>
      <c r="CM17784" s="336"/>
    </row>
    <row r="17785" spans="84:91" s="51" customFormat="1">
      <c r="CF17785" s="239"/>
      <c r="CM17785" s="336"/>
    </row>
    <row r="17786" spans="84:91" s="51" customFormat="1">
      <c r="CF17786" s="239"/>
      <c r="CM17786" s="336"/>
    </row>
    <row r="17787" spans="84:91" s="51" customFormat="1">
      <c r="CF17787" s="239"/>
      <c r="CM17787" s="336"/>
    </row>
    <row r="17788" spans="84:91" s="51" customFormat="1">
      <c r="CF17788" s="239"/>
      <c r="CM17788" s="336"/>
    </row>
    <row r="17789" spans="84:91" s="51" customFormat="1">
      <c r="CF17789" s="239"/>
      <c r="CM17789" s="336"/>
    </row>
    <row r="17790" spans="84:91" s="51" customFormat="1">
      <c r="CF17790" s="239"/>
      <c r="CM17790" s="336"/>
    </row>
    <row r="17791" spans="84:91" s="51" customFormat="1">
      <c r="CF17791" s="239"/>
      <c r="CM17791" s="336"/>
    </row>
    <row r="17792" spans="84:91" s="51" customFormat="1">
      <c r="CF17792" s="239"/>
      <c r="CM17792" s="336"/>
    </row>
    <row r="17793" spans="84:91" s="51" customFormat="1">
      <c r="CF17793" s="239"/>
      <c r="CM17793" s="336"/>
    </row>
    <row r="17794" spans="84:91" s="51" customFormat="1">
      <c r="CF17794" s="239"/>
      <c r="CM17794" s="336"/>
    </row>
    <row r="17795" spans="84:91" s="51" customFormat="1">
      <c r="CF17795" s="239"/>
      <c r="CM17795" s="336"/>
    </row>
    <row r="17796" spans="84:91" s="51" customFormat="1">
      <c r="CF17796" s="239"/>
      <c r="CM17796" s="336"/>
    </row>
    <row r="17797" spans="84:91" s="51" customFormat="1">
      <c r="CF17797" s="239"/>
      <c r="CM17797" s="336"/>
    </row>
    <row r="17798" spans="84:91" s="51" customFormat="1">
      <c r="CF17798" s="239"/>
      <c r="CM17798" s="336"/>
    </row>
    <row r="17799" spans="84:91" s="51" customFormat="1">
      <c r="CF17799" s="239"/>
      <c r="CM17799" s="336"/>
    </row>
    <row r="17800" spans="84:91" s="51" customFormat="1">
      <c r="CF17800" s="239"/>
      <c r="CM17800" s="336"/>
    </row>
    <row r="17801" spans="84:91" s="51" customFormat="1">
      <c r="CF17801" s="239"/>
      <c r="CM17801" s="336"/>
    </row>
    <row r="17802" spans="84:91" s="51" customFormat="1">
      <c r="CF17802" s="239"/>
      <c r="CM17802" s="336"/>
    </row>
    <row r="17803" spans="84:91" s="51" customFormat="1">
      <c r="CF17803" s="239"/>
      <c r="CM17803" s="336"/>
    </row>
    <row r="17804" spans="84:91" s="51" customFormat="1">
      <c r="CF17804" s="239"/>
      <c r="CM17804" s="336"/>
    </row>
    <row r="17805" spans="84:91" s="51" customFormat="1">
      <c r="CF17805" s="239"/>
      <c r="CM17805" s="336"/>
    </row>
    <row r="17806" spans="84:91" s="51" customFormat="1">
      <c r="CF17806" s="239"/>
      <c r="CM17806" s="336"/>
    </row>
    <row r="17807" spans="84:91" s="51" customFormat="1">
      <c r="CF17807" s="239"/>
      <c r="CM17807" s="336"/>
    </row>
    <row r="17808" spans="84:91" s="51" customFormat="1">
      <c r="CF17808" s="239"/>
      <c r="CM17808" s="336"/>
    </row>
    <row r="17809" spans="84:91" s="51" customFormat="1">
      <c r="CF17809" s="239"/>
      <c r="CM17809" s="336"/>
    </row>
    <row r="17810" spans="84:91" s="51" customFormat="1">
      <c r="CF17810" s="239"/>
      <c r="CM17810" s="336"/>
    </row>
    <row r="17811" spans="84:91" s="51" customFormat="1">
      <c r="CF17811" s="239"/>
      <c r="CM17811" s="336"/>
    </row>
    <row r="17812" spans="84:91" s="51" customFormat="1">
      <c r="CF17812" s="239"/>
      <c r="CM17812" s="336"/>
    </row>
    <row r="17813" spans="84:91" s="51" customFormat="1">
      <c r="CF17813" s="239"/>
      <c r="CM17813" s="336"/>
    </row>
    <row r="17814" spans="84:91" s="51" customFormat="1">
      <c r="CF17814" s="239"/>
      <c r="CM17814" s="336"/>
    </row>
    <row r="17815" spans="84:91" s="51" customFormat="1">
      <c r="CF17815" s="239"/>
      <c r="CM17815" s="336"/>
    </row>
    <row r="17816" spans="84:91" s="51" customFormat="1">
      <c r="CF17816" s="239"/>
      <c r="CM17816" s="336"/>
    </row>
    <row r="17817" spans="84:91" s="51" customFormat="1">
      <c r="CF17817" s="239"/>
      <c r="CM17817" s="336"/>
    </row>
    <row r="17818" spans="84:91" s="51" customFormat="1">
      <c r="CF17818" s="239"/>
      <c r="CM17818" s="336"/>
    </row>
    <row r="17819" spans="84:91" s="51" customFormat="1">
      <c r="CF17819" s="239"/>
      <c r="CM17819" s="336"/>
    </row>
    <row r="17820" spans="84:91" s="51" customFormat="1">
      <c r="CF17820" s="239"/>
      <c r="CM17820" s="336"/>
    </row>
    <row r="17821" spans="84:91" s="51" customFormat="1">
      <c r="CF17821" s="239"/>
      <c r="CM17821" s="336"/>
    </row>
    <row r="17822" spans="84:91" s="51" customFormat="1">
      <c r="CF17822" s="239"/>
      <c r="CM17822" s="336"/>
    </row>
    <row r="17823" spans="84:91" s="51" customFormat="1">
      <c r="CF17823" s="239"/>
      <c r="CM17823" s="336"/>
    </row>
    <row r="17824" spans="84:91" s="51" customFormat="1">
      <c r="CF17824" s="239"/>
      <c r="CM17824" s="336"/>
    </row>
    <row r="17825" spans="84:91" s="51" customFormat="1">
      <c r="CF17825" s="239"/>
      <c r="CM17825" s="336"/>
    </row>
    <row r="17826" spans="84:91" s="51" customFormat="1">
      <c r="CF17826" s="239"/>
      <c r="CM17826" s="336"/>
    </row>
    <row r="17827" spans="84:91" s="51" customFormat="1">
      <c r="CF17827" s="239"/>
      <c r="CM17827" s="336"/>
    </row>
    <row r="17828" spans="84:91" s="51" customFormat="1">
      <c r="CF17828" s="239"/>
      <c r="CM17828" s="336"/>
    </row>
    <row r="17829" spans="84:91" s="51" customFormat="1">
      <c r="CF17829" s="239"/>
      <c r="CM17829" s="336"/>
    </row>
    <row r="17830" spans="84:91" s="51" customFormat="1">
      <c r="CF17830" s="239"/>
      <c r="CM17830" s="336"/>
    </row>
    <row r="17831" spans="84:91" s="51" customFormat="1">
      <c r="CF17831" s="239"/>
      <c r="CM17831" s="336"/>
    </row>
    <row r="17832" spans="84:91" s="51" customFormat="1">
      <c r="CF17832" s="239"/>
      <c r="CM17832" s="336"/>
    </row>
    <row r="17833" spans="84:91" s="51" customFormat="1">
      <c r="CF17833" s="239"/>
      <c r="CM17833" s="336"/>
    </row>
    <row r="17834" spans="84:91" s="51" customFormat="1">
      <c r="CF17834" s="239"/>
      <c r="CM17834" s="336"/>
    </row>
    <row r="17835" spans="84:91" s="51" customFormat="1">
      <c r="CF17835" s="239"/>
      <c r="CM17835" s="336"/>
    </row>
    <row r="17836" spans="84:91" s="51" customFormat="1">
      <c r="CF17836" s="239"/>
      <c r="CM17836" s="336"/>
    </row>
    <row r="17837" spans="84:91" s="51" customFormat="1">
      <c r="CF17837" s="239"/>
      <c r="CM17837" s="336"/>
    </row>
    <row r="17838" spans="84:91" s="51" customFormat="1">
      <c r="CF17838" s="239"/>
      <c r="CM17838" s="336"/>
    </row>
    <row r="17839" spans="84:91" s="51" customFormat="1">
      <c r="CF17839" s="239"/>
      <c r="CM17839" s="336"/>
    </row>
    <row r="17840" spans="84:91" s="51" customFormat="1">
      <c r="CF17840" s="239"/>
      <c r="CM17840" s="336"/>
    </row>
    <row r="17841" spans="84:91" s="51" customFormat="1">
      <c r="CF17841" s="239"/>
      <c r="CM17841" s="336"/>
    </row>
    <row r="17842" spans="84:91" s="51" customFormat="1">
      <c r="CF17842" s="239"/>
      <c r="CM17842" s="336"/>
    </row>
    <row r="17843" spans="84:91" s="51" customFormat="1">
      <c r="CF17843" s="239"/>
      <c r="CM17843" s="336"/>
    </row>
    <row r="17844" spans="84:91" s="51" customFormat="1">
      <c r="CF17844" s="239"/>
      <c r="CM17844" s="336"/>
    </row>
    <row r="17845" spans="84:91" s="51" customFormat="1">
      <c r="CF17845" s="239"/>
      <c r="CM17845" s="336"/>
    </row>
    <row r="17846" spans="84:91" s="51" customFormat="1">
      <c r="CF17846" s="239"/>
      <c r="CM17846" s="336"/>
    </row>
    <row r="17847" spans="84:91" s="51" customFormat="1">
      <c r="CF17847" s="239"/>
      <c r="CM17847" s="336"/>
    </row>
    <row r="17848" spans="84:91" s="51" customFormat="1">
      <c r="CF17848" s="239"/>
      <c r="CM17848" s="336"/>
    </row>
    <row r="17849" spans="84:91" s="51" customFormat="1">
      <c r="CF17849" s="239"/>
      <c r="CM17849" s="336"/>
    </row>
    <row r="17850" spans="84:91" s="51" customFormat="1">
      <c r="CF17850" s="239"/>
      <c r="CM17850" s="336"/>
    </row>
    <row r="17851" spans="84:91" s="51" customFormat="1">
      <c r="CF17851" s="239"/>
      <c r="CM17851" s="336"/>
    </row>
    <row r="17852" spans="84:91" s="51" customFormat="1">
      <c r="CF17852" s="239"/>
      <c r="CM17852" s="336"/>
    </row>
    <row r="17853" spans="84:91" s="51" customFormat="1">
      <c r="CF17853" s="239"/>
      <c r="CM17853" s="336"/>
    </row>
    <row r="17854" spans="84:91" s="51" customFormat="1">
      <c r="CF17854" s="239"/>
      <c r="CM17854" s="336"/>
    </row>
    <row r="17855" spans="84:91" s="51" customFormat="1">
      <c r="CF17855" s="239"/>
      <c r="CM17855" s="336"/>
    </row>
    <row r="17856" spans="84:91" s="51" customFormat="1">
      <c r="CF17856" s="239"/>
      <c r="CM17856" s="336"/>
    </row>
    <row r="17857" spans="84:91" s="51" customFormat="1">
      <c r="CF17857" s="239"/>
      <c r="CM17857" s="336"/>
    </row>
    <row r="17858" spans="84:91" s="51" customFormat="1">
      <c r="CF17858" s="239"/>
      <c r="CM17858" s="336"/>
    </row>
    <row r="17859" spans="84:91" s="51" customFormat="1">
      <c r="CF17859" s="239"/>
      <c r="CM17859" s="336"/>
    </row>
    <row r="17860" spans="84:91" s="51" customFormat="1">
      <c r="CF17860" s="239"/>
      <c r="CM17860" s="336"/>
    </row>
    <row r="17861" spans="84:91" s="51" customFormat="1">
      <c r="CF17861" s="239"/>
      <c r="CM17861" s="336"/>
    </row>
    <row r="17862" spans="84:91" s="51" customFormat="1">
      <c r="CF17862" s="239"/>
      <c r="CM17862" s="336"/>
    </row>
    <row r="17863" spans="84:91" s="51" customFormat="1">
      <c r="CF17863" s="239"/>
      <c r="CM17863" s="336"/>
    </row>
    <row r="17864" spans="84:91" s="51" customFormat="1">
      <c r="CF17864" s="239"/>
      <c r="CM17864" s="336"/>
    </row>
    <row r="17865" spans="84:91" s="51" customFormat="1">
      <c r="CF17865" s="239"/>
      <c r="CM17865" s="336"/>
    </row>
    <row r="17866" spans="84:91" s="51" customFormat="1">
      <c r="CF17866" s="239"/>
      <c r="CM17866" s="336"/>
    </row>
    <row r="17867" spans="84:91" s="51" customFormat="1">
      <c r="CF17867" s="239"/>
      <c r="CM17867" s="336"/>
    </row>
    <row r="17868" spans="84:91" s="51" customFormat="1">
      <c r="CF17868" s="239"/>
      <c r="CM17868" s="336"/>
    </row>
    <row r="17869" spans="84:91" s="51" customFormat="1">
      <c r="CF17869" s="239"/>
      <c r="CM17869" s="336"/>
    </row>
    <row r="17870" spans="84:91" s="51" customFormat="1">
      <c r="CF17870" s="239"/>
      <c r="CM17870" s="336"/>
    </row>
    <row r="17871" spans="84:91" s="51" customFormat="1">
      <c r="CF17871" s="239"/>
      <c r="CM17871" s="336"/>
    </row>
    <row r="17872" spans="84:91" s="51" customFormat="1">
      <c r="CF17872" s="239"/>
      <c r="CM17872" s="336"/>
    </row>
    <row r="17873" spans="84:91" s="51" customFormat="1">
      <c r="CF17873" s="239"/>
      <c r="CM17873" s="336"/>
    </row>
    <row r="17874" spans="84:91" s="51" customFormat="1">
      <c r="CF17874" s="239"/>
      <c r="CM17874" s="336"/>
    </row>
    <row r="17875" spans="84:91" s="51" customFormat="1">
      <c r="CF17875" s="239"/>
      <c r="CM17875" s="336"/>
    </row>
    <row r="17876" spans="84:91" s="51" customFormat="1">
      <c r="CF17876" s="239"/>
      <c r="CM17876" s="336"/>
    </row>
    <row r="17877" spans="84:91" s="51" customFormat="1">
      <c r="CF17877" s="239"/>
      <c r="CM17877" s="336"/>
    </row>
    <row r="17878" spans="84:91" s="51" customFormat="1">
      <c r="CF17878" s="239"/>
      <c r="CM17878" s="336"/>
    </row>
    <row r="17879" spans="84:91" s="51" customFormat="1">
      <c r="CF17879" s="239"/>
      <c r="CM17879" s="336"/>
    </row>
    <row r="17880" spans="84:91" s="51" customFormat="1">
      <c r="CF17880" s="239"/>
      <c r="CM17880" s="336"/>
    </row>
    <row r="17881" spans="84:91" s="51" customFormat="1">
      <c r="CF17881" s="239"/>
      <c r="CM17881" s="336"/>
    </row>
    <row r="17882" spans="84:91" s="51" customFormat="1">
      <c r="CF17882" s="239"/>
      <c r="CM17882" s="336"/>
    </row>
    <row r="17883" spans="84:91" s="51" customFormat="1">
      <c r="CF17883" s="239"/>
      <c r="CM17883" s="336"/>
    </row>
    <row r="17884" spans="84:91" s="51" customFormat="1">
      <c r="CF17884" s="239"/>
      <c r="CM17884" s="336"/>
    </row>
    <row r="17885" spans="84:91" s="51" customFormat="1">
      <c r="CF17885" s="239"/>
      <c r="CM17885" s="336"/>
    </row>
    <row r="17886" spans="84:91" s="51" customFormat="1">
      <c r="CF17886" s="239"/>
      <c r="CM17886" s="336"/>
    </row>
    <row r="17887" spans="84:91" s="51" customFormat="1">
      <c r="CF17887" s="239"/>
      <c r="CM17887" s="336"/>
    </row>
    <row r="17888" spans="84:91" s="51" customFormat="1">
      <c r="CF17888" s="239"/>
      <c r="CM17888" s="336"/>
    </row>
    <row r="17889" spans="84:91" s="51" customFormat="1">
      <c r="CF17889" s="239"/>
      <c r="CM17889" s="336"/>
    </row>
    <row r="17890" spans="84:91" s="51" customFormat="1">
      <c r="CF17890" s="239"/>
      <c r="CM17890" s="336"/>
    </row>
    <row r="17891" spans="84:91" s="51" customFormat="1">
      <c r="CF17891" s="239"/>
      <c r="CM17891" s="336"/>
    </row>
    <row r="17892" spans="84:91" s="51" customFormat="1">
      <c r="CF17892" s="239"/>
      <c r="CM17892" s="336"/>
    </row>
    <row r="17893" spans="84:91" s="51" customFormat="1">
      <c r="CF17893" s="239"/>
      <c r="CM17893" s="336"/>
    </row>
    <row r="17894" spans="84:91" s="51" customFormat="1">
      <c r="CF17894" s="239"/>
      <c r="CM17894" s="336"/>
    </row>
    <row r="17895" spans="84:91" s="51" customFormat="1">
      <c r="CF17895" s="239"/>
      <c r="CM17895" s="336"/>
    </row>
    <row r="17896" spans="84:91" s="51" customFormat="1">
      <c r="CF17896" s="239"/>
      <c r="CM17896" s="336"/>
    </row>
    <row r="17897" spans="84:91" s="51" customFormat="1">
      <c r="CF17897" s="239"/>
      <c r="CM17897" s="336"/>
    </row>
    <row r="17898" spans="84:91" s="51" customFormat="1">
      <c r="CF17898" s="239"/>
      <c r="CM17898" s="336"/>
    </row>
    <row r="17899" spans="84:91" s="51" customFormat="1">
      <c r="CF17899" s="239"/>
      <c r="CM17899" s="336"/>
    </row>
    <row r="17900" spans="84:91" s="51" customFormat="1">
      <c r="CF17900" s="239"/>
      <c r="CM17900" s="336"/>
    </row>
    <row r="17901" spans="84:91" s="51" customFormat="1">
      <c r="CF17901" s="239"/>
      <c r="CM17901" s="336"/>
    </row>
    <row r="17902" spans="84:91" s="51" customFormat="1">
      <c r="CF17902" s="239"/>
      <c r="CM17902" s="336"/>
    </row>
    <row r="17903" spans="84:91" s="51" customFormat="1">
      <c r="CF17903" s="239"/>
      <c r="CM17903" s="336"/>
    </row>
    <row r="17904" spans="84:91" s="51" customFormat="1">
      <c r="CF17904" s="239"/>
      <c r="CM17904" s="336"/>
    </row>
    <row r="17905" spans="84:91" s="51" customFormat="1">
      <c r="CF17905" s="239"/>
      <c r="CM17905" s="336"/>
    </row>
    <row r="17906" spans="84:91" s="51" customFormat="1">
      <c r="CF17906" s="239"/>
      <c r="CM17906" s="336"/>
    </row>
    <row r="17907" spans="84:91" s="51" customFormat="1">
      <c r="CF17907" s="239"/>
      <c r="CM17907" s="336"/>
    </row>
    <row r="17908" spans="84:91" s="51" customFormat="1">
      <c r="CF17908" s="239"/>
      <c r="CM17908" s="336"/>
    </row>
    <row r="17909" spans="84:91" s="51" customFormat="1">
      <c r="CF17909" s="239"/>
      <c r="CM17909" s="336"/>
    </row>
    <row r="17910" spans="84:91" s="51" customFormat="1">
      <c r="CF17910" s="239"/>
      <c r="CM17910" s="336"/>
    </row>
    <row r="17911" spans="84:91" s="51" customFormat="1">
      <c r="CF17911" s="239"/>
      <c r="CM17911" s="336"/>
    </row>
    <row r="17912" spans="84:91" s="51" customFormat="1">
      <c r="CF17912" s="239"/>
      <c r="CM17912" s="336"/>
    </row>
    <row r="17913" spans="84:91" s="51" customFormat="1">
      <c r="CF17913" s="239"/>
      <c r="CM17913" s="336"/>
    </row>
    <row r="17914" spans="84:91" s="51" customFormat="1">
      <c r="CF17914" s="239"/>
      <c r="CM17914" s="336"/>
    </row>
    <row r="17915" spans="84:91" s="51" customFormat="1">
      <c r="CF17915" s="239"/>
      <c r="CM17915" s="336"/>
    </row>
    <row r="17916" spans="84:91" s="51" customFormat="1">
      <c r="CF17916" s="239"/>
      <c r="CM17916" s="336"/>
    </row>
    <row r="17917" spans="84:91" s="51" customFormat="1">
      <c r="CF17917" s="239"/>
      <c r="CM17917" s="336"/>
    </row>
    <row r="17918" spans="84:91" s="51" customFormat="1">
      <c r="CF17918" s="239"/>
      <c r="CM17918" s="336"/>
    </row>
    <row r="17919" spans="84:91" s="51" customFormat="1">
      <c r="CF17919" s="239"/>
      <c r="CM17919" s="336"/>
    </row>
    <row r="17920" spans="84:91" s="51" customFormat="1">
      <c r="CF17920" s="239"/>
      <c r="CM17920" s="336"/>
    </row>
    <row r="17921" spans="84:91" s="51" customFormat="1">
      <c r="CF17921" s="239"/>
      <c r="CM17921" s="336"/>
    </row>
    <row r="17922" spans="84:91" s="51" customFormat="1">
      <c r="CF17922" s="239"/>
      <c r="CM17922" s="336"/>
    </row>
    <row r="17923" spans="84:91" s="51" customFormat="1">
      <c r="CF17923" s="239"/>
      <c r="CM17923" s="336"/>
    </row>
    <row r="17924" spans="84:91" s="51" customFormat="1">
      <c r="CF17924" s="239"/>
      <c r="CM17924" s="336"/>
    </row>
    <row r="17925" spans="84:91" s="51" customFormat="1">
      <c r="CF17925" s="239"/>
      <c r="CM17925" s="336"/>
    </row>
    <row r="17926" spans="84:91" s="51" customFormat="1">
      <c r="CF17926" s="239"/>
      <c r="CM17926" s="336"/>
    </row>
    <row r="17927" spans="84:91" s="51" customFormat="1">
      <c r="CF17927" s="239"/>
      <c r="CM17927" s="336"/>
    </row>
    <row r="17928" spans="84:91" s="51" customFormat="1">
      <c r="CF17928" s="239"/>
      <c r="CM17928" s="336"/>
    </row>
    <row r="17929" spans="84:91" s="51" customFormat="1">
      <c r="CF17929" s="239"/>
      <c r="CM17929" s="336"/>
    </row>
    <row r="17930" spans="84:91" s="51" customFormat="1">
      <c r="CF17930" s="239"/>
      <c r="CM17930" s="336"/>
    </row>
    <row r="17931" spans="84:91" s="51" customFormat="1">
      <c r="CF17931" s="239"/>
      <c r="CM17931" s="336"/>
    </row>
    <row r="17932" spans="84:91" s="51" customFormat="1">
      <c r="CF17932" s="239"/>
      <c r="CM17932" s="336"/>
    </row>
    <row r="17933" spans="84:91" s="51" customFormat="1">
      <c r="CF17933" s="239"/>
      <c r="CM17933" s="336"/>
    </row>
    <row r="17934" spans="84:91" s="51" customFormat="1">
      <c r="CF17934" s="239"/>
      <c r="CM17934" s="336"/>
    </row>
    <row r="17935" spans="84:91" s="51" customFormat="1">
      <c r="CF17935" s="239"/>
      <c r="CM17935" s="336"/>
    </row>
    <row r="17936" spans="84:91" s="51" customFormat="1">
      <c r="CF17936" s="239"/>
      <c r="CM17936" s="336"/>
    </row>
    <row r="17937" spans="84:91" s="51" customFormat="1">
      <c r="CF17937" s="239"/>
      <c r="CM17937" s="336"/>
    </row>
    <row r="17938" spans="84:91" s="51" customFormat="1">
      <c r="CF17938" s="239"/>
      <c r="CM17938" s="336"/>
    </row>
    <row r="17939" spans="84:91" s="51" customFormat="1">
      <c r="CF17939" s="239"/>
      <c r="CM17939" s="336"/>
    </row>
    <row r="17940" spans="84:91" s="51" customFormat="1">
      <c r="CF17940" s="239"/>
      <c r="CM17940" s="336"/>
    </row>
    <row r="17941" spans="84:91" s="51" customFormat="1">
      <c r="CF17941" s="239"/>
      <c r="CM17941" s="336"/>
    </row>
    <row r="17942" spans="84:91" s="51" customFormat="1">
      <c r="CF17942" s="239"/>
      <c r="CM17942" s="336"/>
    </row>
    <row r="17943" spans="84:91" s="51" customFormat="1">
      <c r="CF17943" s="239"/>
      <c r="CM17943" s="336"/>
    </row>
    <row r="17944" spans="84:91" s="51" customFormat="1">
      <c r="CF17944" s="239"/>
      <c r="CM17944" s="336"/>
    </row>
    <row r="17945" spans="84:91" s="51" customFormat="1">
      <c r="CF17945" s="239"/>
      <c r="CM17945" s="336"/>
    </row>
    <row r="17946" spans="84:91" s="51" customFormat="1">
      <c r="CF17946" s="239"/>
      <c r="CM17946" s="336"/>
    </row>
    <row r="17947" spans="84:91" s="51" customFormat="1">
      <c r="CF17947" s="239"/>
      <c r="CM17947" s="336"/>
    </row>
    <row r="17948" spans="84:91" s="51" customFormat="1">
      <c r="CF17948" s="239"/>
      <c r="CM17948" s="336"/>
    </row>
    <row r="17949" spans="84:91" s="51" customFormat="1">
      <c r="CF17949" s="239"/>
      <c r="CM17949" s="336"/>
    </row>
    <row r="17950" spans="84:91" s="51" customFormat="1">
      <c r="CF17950" s="239"/>
      <c r="CM17950" s="336"/>
    </row>
    <row r="17951" spans="84:91" s="51" customFormat="1">
      <c r="CF17951" s="239"/>
      <c r="CM17951" s="336"/>
    </row>
    <row r="17952" spans="84:91" s="51" customFormat="1">
      <c r="CF17952" s="239"/>
      <c r="CM17952" s="336"/>
    </row>
    <row r="17953" spans="84:91" s="51" customFormat="1">
      <c r="CF17953" s="239"/>
      <c r="CM17953" s="336"/>
    </row>
    <row r="17954" spans="84:91" s="51" customFormat="1">
      <c r="CF17954" s="239"/>
      <c r="CM17954" s="336"/>
    </row>
    <row r="17955" spans="84:91" s="51" customFormat="1">
      <c r="CF17955" s="239"/>
      <c r="CM17955" s="336"/>
    </row>
    <row r="17956" spans="84:91" s="51" customFormat="1">
      <c r="CF17956" s="239"/>
      <c r="CM17956" s="336"/>
    </row>
    <row r="17957" spans="84:91" s="51" customFormat="1">
      <c r="CF17957" s="239"/>
      <c r="CM17957" s="336"/>
    </row>
    <row r="17958" spans="84:91" s="51" customFormat="1">
      <c r="CF17958" s="239"/>
      <c r="CM17958" s="336"/>
    </row>
    <row r="17959" spans="84:91" s="51" customFormat="1">
      <c r="CF17959" s="239"/>
      <c r="CM17959" s="336"/>
    </row>
    <row r="17960" spans="84:91" s="51" customFormat="1">
      <c r="CF17960" s="239"/>
      <c r="CM17960" s="336"/>
    </row>
    <row r="17961" spans="84:91" s="51" customFormat="1">
      <c r="CF17961" s="239"/>
      <c r="CM17961" s="336"/>
    </row>
    <row r="17962" spans="84:91" s="51" customFormat="1">
      <c r="CF17962" s="239"/>
      <c r="CM17962" s="336"/>
    </row>
    <row r="17963" spans="84:91" s="51" customFormat="1">
      <c r="CF17963" s="239"/>
      <c r="CM17963" s="336"/>
    </row>
    <row r="17964" spans="84:91" s="51" customFormat="1">
      <c r="CF17964" s="239"/>
      <c r="CM17964" s="336"/>
    </row>
    <row r="17965" spans="84:91" s="51" customFormat="1">
      <c r="CF17965" s="239"/>
      <c r="CM17965" s="336"/>
    </row>
    <row r="17966" spans="84:91" s="51" customFormat="1">
      <c r="CF17966" s="239"/>
      <c r="CM17966" s="336"/>
    </row>
    <row r="17967" spans="84:91" s="51" customFormat="1">
      <c r="CF17967" s="239"/>
      <c r="CM17967" s="336"/>
    </row>
    <row r="17968" spans="84:91" s="51" customFormat="1">
      <c r="CF17968" s="239"/>
      <c r="CM17968" s="336"/>
    </row>
    <row r="17969" spans="84:91" s="51" customFormat="1">
      <c r="CF17969" s="239"/>
      <c r="CM17969" s="336"/>
    </row>
    <row r="17970" spans="84:91" s="51" customFormat="1">
      <c r="CF17970" s="239"/>
      <c r="CM17970" s="336"/>
    </row>
    <row r="17971" spans="84:91" s="51" customFormat="1">
      <c r="CF17971" s="239"/>
      <c r="CM17971" s="336"/>
    </row>
    <row r="17972" spans="84:91" s="51" customFormat="1">
      <c r="CF17972" s="239"/>
      <c r="CM17972" s="336"/>
    </row>
    <row r="17973" spans="84:91" s="51" customFormat="1">
      <c r="CF17973" s="239"/>
      <c r="CM17973" s="336"/>
    </row>
    <row r="17974" spans="84:91" s="51" customFormat="1">
      <c r="CF17974" s="239"/>
      <c r="CM17974" s="336"/>
    </row>
    <row r="17975" spans="84:91" s="51" customFormat="1">
      <c r="CF17975" s="239"/>
      <c r="CM17975" s="336"/>
    </row>
    <row r="17976" spans="84:91" s="51" customFormat="1">
      <c r="CF17976" s="239"/>
      <c r="CM17976" s="336"/>
    </row>
    <row r="17977" spans="84:91" s="51" customFormat="1">
      <c r="CF17977" s="239"/>
      <c r="CM17977" s="336"/>
    </row>
    <row r="17978" spans="84:91" s="51" customFormat="1">
      <c r="CF17978" s="239"/>
      <c r="CM17978" s="336"/>
    </row>
    <row r="17979" spans="84:91" s="51" customFormat="1">
      <c r="CF17979" s="239"/>
      <c r="CM17979" s="336"/>
    </row>
    <row r="17980" spans="84:91" s="51" customFormat="1">
      <c r="CF17980" s="239"/>
      <c r="CM17980" s="336"/>
    </row>
    <row r="17981" spans="84:91" s="51" customFormat="1">
      <c r="CF17981" s="239"/>
      <c r="CM17981" s="336"/>
    </row>
    <row r="17982" spans="84:91" s="51" customFormat="1">
      <c r="CF17982" s="239"/>
      <c r="CM17982" s="336"/>
    </row>
    <row r="17983" spans="84:91" s="51" customFormat="1">
      <c r="CF17983" s="239"/>
      <c r="CM17983" s="336"/>
    </row>
    <row r="17984" spans="84:91" s="51" customFormat="1">
      <c r="CF17984" s="239"/>
      <c r="CM17984" s="336"/>
    </row>
    <row r="17985" spans="84:91" s="51" customFormat="1">
      <c r="CF17985" s="239"/>
      <c r="CM17985" s="336"/>
    </row>
    <row r="17986" spans="84:91" s="51" customFormat="1">
      <c r="CF17986" s="239"/>
      <c r="CM17986" s="336"/>
    </row>
    <row r="17987" spans="84:91" s="51" customFormat="1">
      <c r="CF17987" s="239"/>
      <c r="CM17987" s="336"/>
    </row>
    <row r="17988" spans="84:91" s="51" customFormat="1">
      <c r="CF17988" s="239"/>
      <c r="CM17988" s="336"/>
    </row>
    <row r="17989" spans="84:91" s="51" customFormat="1">
      <c r="CF17989" s="239"/>
      <c r="CM17989" s="336"/>
    </row>
    <row r="17990" spans="84:91" s="51" customFormat="1">
      <c r="CF17990" s="239"/>
      <c r="CM17990" s="336"/>
    </row>
    <row r="17991" spans="84:91" s="51" customFormat="1">
      <c r="CF17991" s="239"/>
      <c r="CM17991" s="336"/>
    </row>
    <row r="17992" spans="84:91" s="51" customFormat="1">
      <c r="CF17992" s="239"/>
      <c r="CM17992" s="336"/>
    </row>
    <row r="17993" spans="84:91" s="51" customFormat="1">
      <c r="CF17993" s="239"/>
      <c r="CM17993" s="336"/>
    </row>
    <row r="17994" spans="84:91" s="51" customFormat="1">
      <c r="CF17994" s="239"/>
      <c r="CM17994" s="336"/>
    </row>
    <row r="17995" spans="84:91" s="51" customFormat="1">
      <c r="CF17995" s="239"/>
      <c r="CM17995" s="336"/>
    </row>
    <row r="17996" spans="84:91" s="51" customFormat="1">
      <c r="CF17996" s="239"/>
      <c r="CM17996" s="336"/>
    </row>
    <row r="17997" spans="84:91" s="51" customFormat="1">
      <c r="CF17997" s="239"/>
      <c r="CM17997" s="336"/>
    </row>
    <row r="17998" spans="84:91" s="51" customFormat="1">
      <c r="CF17998" s="239"/>
      <c r="CM17998" s="336"/>
    </row>
    <row r="17999" spans="84:91" s="51" customFormat="1">
      <c r="CF17999" s="239"/>
      <c r="CM17999" s="336"/>
    </row>
    <row r="18000" spans="84:91" s="51" customFormat="1">
      <c r="CF18000" s="239"/>
      <c r="CM18000" s="336"/>
    </row>
    <row r="18001" spans="84:91" s="51" customFormat="1">
      <c r="CF18001" s="239"/>
      <c r="CM18001" s="336"/>
    </row>
    <row r="18002" spans="84:91" s="51" customFormat="1">
      <c r="CF18002" s="239"/>
      <c r="CM18002" s="336"/>
    </row>
    <row r="18003" spans="84:91" s="51" customFormat="1">
      <c r="CF18003" s="239"/>
      <c r="CM18003" s="336"/>
    </row>
    <row r="18004" spans="84:91" s="51" customFormat="1">
      <c r="CF18004" s="239"/>
      <c r="CM18004" s="336"/>
    </row>
    <row r="18005" spans="84:91" s="51" customFormat="1">
      <c r="CF18005" s="239"/>
      <c r="CM18005" s="336"/>
    </row>
    <row r="18006" spans="84:91" s="51" customFormat="1">
      <c r="CF18006" s="239"/>
      <c r="CM18006" s="336"/>
    </row>
    <row r="18007" spans="84:91" s="51" customFormat="1">
      <c r="CF18007" s="239"/>
      <c r="CM18007" s="336"/>
    </row>
    <row r="18008" spans="84:91" s="51" customFormat="1">
      <c r="CF18008" s="239"/>
      <c r="CM18008" s="336"/>
    </row>
    <row r="18009" spans="84:91" s="51" customFormat="1">
      <c r="CF18009" s="239"/>
      <c r="CM18009" s="336"/>
    </row>
    <row r="18010" spans="84:91" s="51" customFormat="1">
      <c r="CF18010" s="239"/>
      <c r="CM18010" s="336"/>
    </row>
    <row r="18011" spans="84:91" s="51" customFormat="1">
      <c r="CF18011" s="239"/>
      <c r="CM18011" s="336"/>
    </row>
    <row r="18012" spans="84:91" s="51" customFormat="1">
      <c r="CF18012" s="239"/>
      <c r="CM18012" s="336"/>
    </row>
    <row r="18013" spans="84:91" s="51" customFormat="1">
      <c r="CF18013" s="239"/>
      <c r="CM18013" s="336"/>
    </row>
    <row r="18014" spans="84:91" s="51" customFormat="1">
      <c r="CF18014" s="239"/>
      <c r="CM18014" s="336"/>
    </row>
    <row r="18015" spans="84:91" s="51" customFormat="1">
      <c r="CF18015" s="239"/>
      <c r="CM18015" s="336"/>
    </row>
    <row r="18016" spans="84:91" s="51" customFormat="1">
      <c r="CF18016" s="239"/>
      <c r="CM18016" s="336"/>
    </row>
    <row r="18017" spans="84:91" s="51" customFormat="1">
      <c r="CF18017" s="239"/>
      <c r="CM18017" s="336"/>
    </row>
    <row r="18018" spans="84:91" s="51" customFormat="1">
      <c r="CF18018" s="239"/>
      <c r="CM18018" s="336"/>
    </row>
    <row r="18019" spans="84:91" s="51" customFormat="1">
      <c r="CF18019" s="239"/>
      <c r="CM18019" s="336"/>
    </row>
    <row r="18020" spans="84:91" s="51" customFormat="1">
      <c r="CF18020" s="239"/>
      <c r="CM18020" s="336"/>
    </row>
    <row r="18021" spans="84:91" s="51" customFormat="1">
      <c r="CF18021" s="239"/>
      <c r="CM18021" s="336"/>
    </row>
    <row r="18022" spans="84:91" s="51" customFormat="1">
      <c r="CF18022" s="239"/>
      <c r="CM18022" s="336"/>
    </row>
    <row r="18023" spans="84:91" s="51" customFormat="1">
      <c r="CF18023" s="239"/>
      <c r="CM18023" s="336"/>
    </row>
    <row r="18024" spans="84:91" s="51" customFormat="1">
      <c r="CF18024" s="239"/>
      <c r="CM18024" s="336"/>
    </row>
    <row r="18025" spans="84:91" s="51" customFormat="1">
      <c r="CF18025" s="239"/>
      <c r="CM18025" s="336"/>
    </row>
    <row r="18026" spans="84:91" s="51" customFormat="1">
      <c r="CF18026" s="239"/>
      <c r="CM18026" s="336"/>
    </row>
    <row r="18027" spans="84:91" s="51" customFormat="1">
      <c r="CF18027" s="239"/>
      <c r="CM18027" s="336"/>
    </row>
    <row r="18028" spans="84:91" s="51" customFormat="1">
      <c r="CF18028" s="239"/>
      <c r="CM18028" s="336"/>
    </row>
    <row r="18029" spans="84:91" s="51" customFormat="1">
      <c r="CF18029" s="239"/>
      <c r="CM18029" s="336"/>
    </row>
    <row r="18030" spans="84:91" s="51" customFormat="1">
      <c r="CF18030" s="239"/>
      <c r="CM18030" s="336"/>
    </row>
    <row r="18031" spans="84:91" s="51" customFormat="1">
      <c r="CF18031" s="239"/>
      <c r="CM18031" s="336"/>
    </row>
    <row r="18032" spans="84:91" s="51" customFormat="1">
      <c r="CF18032" s="239"/>
      <c r="CM18032" s="336"/>
    </row>
    <row r="18033" spans="84:91" s="51" customFormat="1">
      <c r="CF18033" s="239"/>
      <c r="CM18033" s="336"/>
    </row>
    <row r="18034" spans="84:91" s="51" customFormat="1">
      <c r="CF18034" s="239"/>
      <c r="CM18034" s="336"/>
    </row>
    <row r="18035" spans="84:91" s="51" customFormat="1">
      <c r="CF18035" s="239"/>
      <c r="CM18035" s="336"/>
    </row>
    <row r="18036" spans="84:91" s="51" customFormat="1">
      <c r="CF18036" s="239"/>
      <c r="CM18036" s="336"/>
    </row>
    <row r="18037" spans="84:91" s="51" customFormat="1">
      <c r="CF18037" s="239"/>
      <c r="CM18037" s="336"/>
    </row>
    <row r="18038" spans="84:91" s="51" customFormat="1">
      <c r="CF18038" s="239"/>
      <c r="CM18038" s="336"/>
    </row>
    <row r="18039" spans="84:91" s="51" customFormat="1">
      <c r="CF18039" s="239"/>
      <c r="CM18039" s="336"/>
    </row>
    <row r="18040" spans="84:91" s="51" customFormat="1">
      <c r="CF18040" s="239"/>
      <c r="CM18040" s="336"/>
    </row>
    <row r="18041" spans="84:91" s="51" customFormat="1">
      <c r="CF18041" s="239"/>
      <c r="CM18041" s="336"/>
    </row>
    <row r="18042" spans="84:91" s="51" customFormat="1">
      <c r="CF18042" s="239"/>
      <c r="CM18042" s="336"/>
    </row>
    <row r="18043" spans="84:91" s="51" customFormat="1">
      <c r="CF18043" s="239"/>
      <c r="CM18043" s="336"/>
    </row>
    <row r="18044" spans="84:91" s="51" customFormat="1">
      <c r="CF18044" s="239"/>
      <c r="CM18044" s="336"/>
    </row>
    <row r="18045" spans="84:91" s="51" customFormat="1">
      <c r="CF18045" s="239"/>
      <c r="CM18045" s="336"/>
    </row>
    <row r="18046" spans="84:91" s="51" customFormat="1">
      <c r="CF18046" s="239"/>
      <c r="CM18046" s="336"/>
    </row>
    <row r="18047" spans="84:91" s="51" customFormat="1">
      <c r="CF18047" s="239"/>
      <c r="CM18047" s="336"/>
    </row>
    <row r="18048" spans="84:91" s="51" customFormat="1">
      <c r="CF18048" s="239"/>
      <c r="CM18048" s="336"/>
    </row>
    <row r="18049" spans="84:91" s="51" customFormat="1">
      <c r="CF18049" s="239"/>
      <c r="CM18049" s="336"/>
    </row>
    <row r="18050" spans="84:91" s="51" customFormat="1">
      <c r="CF18050" s="239"/>
      <c r="CM18050" s="336"/>
    </row>
    <row r="18051" spans="84:91" s="51" customFormat="1">
      <c r="CF18051" s="239"/>
      <c r="CM18051" s="336"/>
    </row>
    <row r="18052" spans="84:91" s="51" customFormat="1">
      <c r="CF18052" s="239"/>
      <c r="CM18052" s="336"/>
    </row>
    <row r="18053" spans="84:91" s="51" customFormat="1">
      <c r="CF18053" s="239"/>
      <c r="CM18053" s="336"/>
    </row>
    <row r="18054" spans="84:91" s="51" customFormat="1">
      <c r="CF18054" s="239"/>
      <c r="CM18054" s="336"/>
    </row>
    <row r="18055" spans="84:91" s="51" customFormat="1">
      <c r="CF18055" s="239"/>
      <c r="CM18055" s="336"/>
    </row>
    <row r="18056" spans="84:91" s="51" customFormat="1">
      <c r="CF18056" s="239"/>
      <c r="CM18056" s="336"/>
    </row>
    <row r="18057" spans="84:91" s="51" customFormat="1">
      <c r="CF18057" s="239"/>
      <c r="CM18057" s="336"/>
    </row>
    <row r="18058" spans="84:91" s="51" customFormat="1">
      <c r="CF18058" s="239"/>
      <c r="CM18058" s="336"/>
    </row>
    <row r="18059" spans="84:91" s="51" customFormat="1">
      <c r="CF18059" s="239"/>
      <c r="CM18059" s="336"/>
    </row>
    <row r="18060" spans="84:91" s="51" customFormat="1">
      <c r="CF18060" s="239"/>
      <c r="CM18060" s="336"/>
    </row>
    <row r="18061" spans="84:91" s="51" customFormat="1">
      <c r="CF18061" s="239"/>
      <c r="CM18061" s="336"/>
    </row>
    <row r="18062" spans="84:91" s="51" customFormat="1">
      <c r="CF18062" s="239"/>
      <c r="CM18062" s="336"/>
    </row>
    <row r="18063" spans="84:91" s="51" customFormat="1">
      <c r="CF18063" s="239"/>
      <c r="CM18063" s="336"/>
    </row>
    <row r="18064" spans="84:91" s="51" customFormat="1">
      <c r="CF18064" s="239"/>
      <c r="CM18064" s="336"/>
    </row>
    <row r="18065" spans="84:91" s="51" customFormat="1">
      <c r="CF18065" s="239"/>
      <c r="CM18065" s="336"/>
    </row>
    <row r="18066" spans="84:91" s="51" customFormat="1">
      <c r="CF18066" s="239"/>
      <c r="CM18066" s="336"/>
    </row>
    <row r="18067" spans="84:91" s="51" customFormat="1">
      <c r="CF18067" s="239"/>
      <c r="CM18067" s="336"/>
    </row>
    <row r="18068" spans="84:91" s="51" customFormat="1">
      <c r="CF18068" s="239"/>
      <c r="CM18068" s="336"/>
    </row>
    <row r="18069" spans="84:91" s="51" customFormat="1">
      <c r="CF18069" s="239"/>
      <c r="CM18069" s="336"/>
    </row>
    <row r="18070" spans="84:91" s="51" customFormat="1">
      <c r="CF18070" s="239"/>
      <c r="CM18070" s="336"/>
    </row>
    <row r="18071" spans="84:91" s="51" customFormat="1">
      <c r="CF18071" s="239"/>
      <c r="CM18071" s="336"/>
    </row>
    <row r="18072" spans="84:91" s="51" customFormat="1">
      <c r="CF18072" s="239"/>
      <c r="CM18072" s="336"/>
    </row>
    <row r="18073" spans="84:91" s="51" customFormat="1">
      <c r="CF18073" s="239"/>
      <c r="CM18073" s="336"/>
    </row>
    <row r="18074" spans="84:91" s="51" customFormat="1">
      <c r="CF18074" s="239"/>
      <c r="CM18074" s="336"/>
    </row>
    <row r="18075" spans="84:91" s="51" customFormat="1">
      <c r="CF18075" s="239"/>
      <c r="CM18075" s="336"/>
    </row>
    <row r="18076" spans="84:91" s="51" customFormat="1">
      <c r="CF18076" s="239"/>
      <c r="CM18076" s="336"/>
    </row>
    <row r="18077" spans="84:91" s="51" customFormat="1">
      <c r="CF18077" s="239"/>
      <c r="CM18077" s="336"/>
    </row>
    <row r="18078" spans="84:91" s="51" customFormat="1">
      <c r="CF18078" s="239"/>
      <c r="CM18078" s="336"/>
    </row>
    <row r="18079" spans="84:91" s="51" customFormat="1">
      <c r="CF18079" s="239"/>
      <c r="CM18079" s="336"/>
    </row>
    <row r="18080" spans="84:91" s="51" customFormat="1">
      <c r="CF18080" s="239"/>
      <c r="CM18080" s="336"/>
    </row>
    <row r="18081" spans="84:91" s="51" customFormat="1">
      <c r="CF18081" s="239"/>
      <c r="CM18081" s="336"/>
    </row>
    <row r="18082" spans="84:91" s="51" customFormat="1">
      <c r="CF18082" s="239"/>
      <c r="CM18082" s="336"/>
    </row>
    <row r="18083" spans="84:91" s="51" customFormat="1">
      <c r="CF18083" s="239"/>
      <c r="CM18083" s="336"/>
    </row>
    <row r="18084" spans="84:91" s="51" customFormat="1">
      <c r="CF18084" s="239"/>
      <c r="CM18084" s="336"/>
    </row>
    <row r="18085" spans="84:91" s="51" customFormat="1">
      <c r="CF18085" s="239"/>
      <c r="CM18085" s="336"/>
    </row>
    <row r="18086" spans="84:91" s="51" customFormat="1">
      <c r="CF18086" s="239"/>
      <c r="CM18086" s="336"/>
    </row>
    <row r="18087" spans="84:91" s="51" customFormat="1">
      <c r="CF18087" s="239"/>
      <c r="CM18087" s="336"/>
    </row>
    <row r="18088" spans="84:91" s="51" customFormat="1">
      <c r="CF18088" s="239"/>
      <c r="CM18088" s="336"/>
    </row>
    <row r="18089" spans="84:91" s="51" customFormat="1">
      <c r="CF18089" s="239"/>
      <c r="CM18089" s="336"/>
    </row>
    <row r="18090" spans="84:91" s="51" customFormat="1">
      <c r="CF18090" s="239"/>
      <c r="CM18090" s="336"/>
    </row>
    <row r="18091" spans="84:91" s="51" customFormat="1">
      <c r="CF18091" s="239"/>
      <c r="CM18091" s="336"/>
    </row>
    <row r="18092" spans="84:91" s="51" customFormat="1">
      <c r="CF18092" s="239"/>
      <c r="CM18092" s="336"/>
    </row>
    <row r="18093" spans="84:91" s="51" customFormat="1">
      <c r="CF18093" s="239"/>
      <c r="CM18093" s="336"/>
    </row>
    <row r="18094" spans="84:91" s="51" customFormat="1">
      <c r="CF18094" s="239"/>
      <c r="CM18094" s="336"/>
    </row>
    <row r="18095" spans="84:91" s="51" customFormat="1">
      <c r="CF18095" s="239"/>
      <c r="CM18095" s="336"/>
    </row>
    <row r="18096" spans="84:91" s="51" customFormat="1">
      <c r="CF18096" s="239"/>
      <c r="CM18096" s="336"/>
    </row>
    <row r="18097" spans="84:91" s="51" customFormat="1">
      <c r="CF18097" s="239"/>
      <c r="CM18097" s="336"/>
    </row>
    <row r="18098" spans="84:91" s="51" customFormat="1">
      <c r="CF18098" s="239"/>
      <c r="CM18098" s="336"/>
    </row>
    <row r="18099" spans="84:91" s="51" customFormat="1">
      <c r="CF18099" s="239"/>
      <c r="CM18099" s="336"/>
    </row>
    <row r="18100" spans="84:91" s="51" customFormat="1">
      <c r="CF18100" s="239"/>
      <c r="CM18100" s="336"/>
    </row>
    <row r="18101" spans="84:91" s="51" customFormat="1">
      <c r="CF18101" s="239"/>
      <c r="CM18101" s="336"/>
    </row>
    <row r="18102" spans="84:91" s="51" customFormat="1">
      <c r="CF18102" s="239"/>
      <c r="CM18102" s="336"/>
    </row>
    <row r="18103" spans="84:91" s="51" customFormat="1">
      <c r="CF18103" s="239"/>
      <c r="CM18103" s="336"/>
    </row>
    <row r="18104" spans="84:91" s="51" customFormat="1">
      <c r="CF18104" s="239"/>
      <c r="CM18104" s="336"/>
    </row>
    <row r="18105" spans="84:91" s="51" customFormat="1">
      <c r="CF18105" s="239"/>
      <c r="CM18105" s="336"/>
    </row>
    <row r="18106" spans="84:91" s="51" customFormat="1">
      <c r="CF18106" s="239"/>
      <c r="CM18106" s="336"/>
    </row>
    <row r="18107" spans="84:91" s="51" customFormat="1">
      <c r="CF18107" s="239"/>
      <c r="CM18107" s="336"/>
    </row>
    <row r="18108" spans="84:91" s="51" customFormat="1">
      <c r="CF18108" s="239"/>
      <c r="CM18108" s="336"/>
    </row>
    <row r="18109" spans="84:91" s="51" customFormat="1">
      <c r="CF18109" s="239"/>
      <c r="CM18109" s="336"/>
    </row>
    <row r="18110" spans="84:91" s="51" customFormat="1">
      <c r="CF18110" s="239"/>
      <c r="CM18110" s="336"/>
    </row>
    <row r="18111" spans="84:91" s="51" customFormat="1">
      <c r="CF18111" s="239"/>
      <c r="CM18111" s="336"/>
    </row>
    <row r="18112" spans="84:91" s="51" customFormat="1">
      <c r="CF18112" s="239"/>
      <c r="CM18112" s="336"/>
    </row>
    <row r="18113" spans="84:91" s="51" customFormat="1">
      <c r="CF18113" s="239"/>
      <c r="CM18113" s="336"/>
    </row>
    <row r="18114" spans="84:91" s="51" customFormat="1">
      <c r="CF18114" s="239"/>
      <c r="CM18114" s="336"/>
    </row>
    <row r="18115" spans="84:91" s="51" customFormat="1">
      <c r="CF18115" s="239"/>
      <c r="CM18115" s="336"/>
    </row>
    <row r="18116" spans="84:91" s="51" customFormat="1">
      <c r="CF18116" s="239"/>
      <c r="CM18116" s="336"/>
    </row>
    <row r="18117" spans="84:91" s="51" customFormat="1">
      <c r="CF18117" s="239"/>
      <c r="CM18117" s="336"/>
    </row>
    <row r="18118" spans="84:91" s="51" customFormat="1">
      <c r="CF18118" s="239"/>
      <c r="CM18118" s="336"/>
    </row>
    <row r="18119" spans="84:91" s="51" customFormat="1">
      <c r="CF18119" s="239"/>
      <c r="CM18119" s="336"/>
    </row>
    <row r="18120" spans="84:91" s="51" customFormat="1">
      <c r="CF18120" s="239"/>
      <c r="CM18120" s="336"/>
    </row>
    <row r="18121" spans="84:91" s="51" customFormat="1">
      <c r="CF18121" s="239"/>
      <c r="CM18121" s="336"/>
    </row>
    <row r="18122" spans="84:91" s="51" customFormat="1">
      <c r="CF18122" s="239"/>
      <c r="CM18122" s="336"/>
    </row>
    <row r="18123" spans="84:91" s="51" customFormat="1">
      <c r="CF18123" s="239"/>
      <c r="CM18123" s="336"/>
    </row>
    <row r="18124" spans="84:91" s="51" customFormat="1">
      <c r="CF18124" s="239"/>
      <c r="CM18124" s="336"/>
    </row>
    <row r="18125" spans="84:91" s="51" customFormat="1">
      <c r="CF18125" s="239"/>
      <c r="CM18125" s="336"/>
    </row>
    <row r="18126" spans="84:91" s="51" customFormat="1">
      <c r="CF18126" s="239"/>
      <c r="CM18126" s="336"/>
    </row>
    <row r="18127" spans="84:91" s="51" customFormat="1">
      <c r="CF18127" s="239"/>
      <c r="CM18127" s="336"/>
    </row>
    <row r="18128" spans="84:91" s="51" customFormat="1">
      <c r="CF18128" s="239"/>
      <c r="CM18128" s="336"/>
    </row>
    <row r="18129" spans="84:91" s="51" customFormat="1">
      <c r="CF18129" s="239"/>
      <c r="CM18129" s="336"/>
    </row>
    <row r="18130" spans="84:91" s="51" customFormat="1">
      <c r="CF18130" s="239"/>
      <c r="CM18130" s="336"/>
    </row>
    <row r="18131" spans="84:91" s="51" customFormat="1">
      <c r="CF18131" s="239"/>
      <c r="CM18131" s="336"/>
    </row>
    <row r="18132" spans="84:91" s="51" customFormat="1">
      <c r="CF18132" s="239"/>
      <c r="CM18132" s="336"/>
    </row>
    <row r="18133" spans="84:91" s="51" customFormat="1">
      <c r="CF18133" s="239"/>
      <c r="CM18133" s="336"/>
    </row>
    <row r="18134" spans="84:91" s="51" customFormat="1">
      <c r="CF18134" s="239"/>
      <c r="CM18134" s="336"/>
    </row>
    <row r="18135" spans="84:91" s="51" customFormat="1">
      <c r="CF18135" s="239"/>
      <c r="CM18135" s="336"/>
    </row>
    <row r="18136" spans="84:91" s="51" customFormat="1">
      <c r="CF18136" s="239"/>
      <c r="CM18136" s="336"/>
    </row>
    <row r="18137" spans="84:91" s="51" customFormat="1">
      <c r="CF18137" s="239"/>
      <c r="CM18137" s="336"/>
    </row>
    <row r="18138" spans="84:91" s="51" customFormat="1">
      <c r="CF18138" s="239"/>
      <c r="CM18138" s="336"/>
    </row>
    <row r="18139" spans="84:91" s="51" customFormat="1">
      <c r="CF18139" s="239"/>
      <c r="CM18139" s="336"/>
    </row>
    <row r="18140" spans="84:91" s="51" customFormat="1">
      <c r="CF18140" s="239"/>
      <c r="CM18140" s="336"/>
    </row>
    <row r="18141" spans="84:91" s="51" customFormat="1">
      <c r="CF18141" s="239"/>
      <c r="CM18141" s="336"/>
    </row>
    <row r="18142" spans="84:91" s="51" customFormat="1">
      <c r="CF18142" s="239"/>
      <c r="CM18142" s="336"/>
    </row>
    <row r="18143" spans="84:91" s="51" customFormat="1">
      <c r="CF18143" s="239"/>
      <c r="CM18143" s="336"/>
    </row>
    <row r="18144" spans="84:91" s="51" customFormat="1">
      <c r="CF18144" s="239"/>
      <c r="CM18144" s="336"/>
    </row>
    <row r="18145" spans="84:91" s="51" customFormat="1">
      <c r="CF18145" s="239"/>
      <c r="CM18145" s="336"/>
    </row>
    <row r="18146" spans="84:91" s="51" customFormat="1">
      <c r="CF18146" s="239"/>
      <c r="CM18146" s="336"/>
    </row>
    <row r="18147" spans="84:91" s="51" customFormat="1">
      <c r="CF18147" s="239"/>
      <c r="CM18147" s="336"/>
    </row>
    <row r="18148" spans="84:91" s="51" customFormat="1">
      <c r="CF18148" s="239"/>
      <c r="CM18148" s="336"/>
    </row>
    <row r="18149" spans="84:91" s="51" customFormat="1">
      <c r="CF18149" s="239"/>
      <c r="CM18149" s="336"/>
    </row>
    <row r="18150" spans="84:91" s="51" customFormat="1">
      <c r="CF18150" s="239"/>
      <c r="CM18150" s="336"/>
    </row>
    <row r="18151" spans="84:91" s="51" customFormat="1">
      <c r="CF18151" s="239"/>
      <c r="CM18151" s="336"/>
    </row>
    <row r="18152" spans="84:91" s="51" customFormat="1">
      <c r="CF18152" s="239"/>
      <c r="CM18152" s="336"/>
    </row>
    <row r="18153" spans="84:91" s="51" customFormat="1">
      <c r="CF18153" s="239"/>
      <c r="CM18153" s="336"/>
    </row>
    <row r="18154" spans="84:91" s="51" customFormat="1">
      <c r="CF18154" s="239"/>
      <c r="CM18154" s="336"/>
    </row>
    <row r="18155" spans="84:91" s="51" customFormat="1">
      <c r="CF18155" s="239"/>
      <c r="CM18155" s="336"/>
    </row>
    <row r="18156" spans="84:91" s="51" customFormat="1">
      <c r="CF18156" s="239"/>
      <c r="CM18156" s="336"/>
    </row>
    <row r="18157" spans="84:91" s="51" customFormat="1">
      <c r="CF18157" s="239"/>
      <c r="CM18157" s="336"/>
    </row>
    <row r="18158" spans="84:91" s="51" customFormat="1">
      <c r="CF18158" s="239"/>
      <c r="CM18158" s="336"/>
    </row>
    <row r="18159" spans="84:91" s="51" customFormat="1">
      <c r="CF18159" s="239"/>
      <c r="CM18159" s="336"/>
    </row>
    <row r="18160" spans="84:91" s="51" customFormat="1">
      <c r="CF18160" s="239"/>
      <c r="CM18160" s="336"/>
    </row>
    <row r="18161" spans="84:91" s="51" customFormat="1">
      <c r="CF18161" s="239"/>
      <c r="CM18161" s="336"/>
    </row>
    <row r="18162" spans="84:91" s="51" customFormat="1">
      <c r="CF18162" s="239"/>
      <c r="CM18162" s="336"/>
    </row>
    <row r="18163" spans="84:91" s="51" customFormat="1">
      <c r="CF18163" s="239"/>
      <c r="CM18163" s="336"/>
    </row>
    <row r="18164" spans="84:91" s="51" customFormat="1">
      <c r="CF18164" s="239"/>
      <c r="CM18164" s="336"/>
    </row>
    <row r="18165" spans="84:91" s="51" customFormat="1">
      <c r="CF18165" s="239"/>
      <c r="CM18165" s="336"/>
    </row>
    <row r="18166" spans="84:91" s="51" customFormat="1">
      <c r="CF18166" s="239"/>
      <c r="CM18166" s="336"/>
    </row>
    <row r="18167" spans="84:91" s="51" customFormat="1">
      <c r="CF18167" s="239"/>
      <c r="CM18167" s="336"/>
    </row>
    <row r="18168" spans="84:91" s="51" customFormat="1">
      <c r="CF18168" s="239"/>
      <c r="CM18168" s="336"/>
    </row>
    <row r="18169" spans="84:91" s="51" customFormat="1">
      <c r="CF18169" s="239"/>
      <c r="CM18169" s="336"/>
    </row>
    <row r="18170" spans="84:91" s="51" customFormat="1">
      <c r="CF18170" s="239"/>
      <c r="CM18170" s="336"/>
    </row>
    <row r="18171" spans="84:91" s="51" customFormat="1">
      <c r="CF18171" s="239"/>
      <c r="CM18171" s="336"/>
    </row>
    <row r="18172" spans="84:91" s="51" customFormat="1">
      <c r="CF18172" s="239"/>
      <c r="CM18172" s="336"/>
    </row>
    <row r="18173" spans="84:91" s="51" customFormat="1">
      <c r="CF18173" s="239"/>
      <c r="CM18173" s="336"/>
    </row>
    <row r="18174" spans="84:91" s="51" customFormat="1">
      <c r="CF18174" s="239"/>
      <c r="CM18174" s="336"/>
    </row>
    <row r="18175" spans="84:91" s="51" customFormat="1">
      <c r="CF18175" s="239"/>
      <c r="CM18175" s="336"/>
    </row>
    <row r="18176" spans="84:91" s="51" customFormat="1">
      <c r="CF18176" s="239"/>
      <c r="CM18176" s="336"/>
    </row>
    <row r="18177" spans="84:91" s="51" customFormat="1">
      <c r="CF18177" s="239"/>
      <c r="CM18177" s="336"/>
    </row>
    <row r="18178" spans="84:91" s="51" customFormat="1">
      <c r="CF18178" s="239"/>
      <c r="CM18178" s="336"/>
    </row>
    <row r="18179" spans="84:91" s="51" customFormat="1">
      <c r="CF18179" s="239"/>
      <c r="CM18179" s="336"/>
    </row>
    <row r="18180" spans="84:91" s="51" customFormat="1">
      <c r="CF18180" s="239"/>
      <c r="CM18180" s="336"/>
    </row>
    <row r="18181" spans="84:91" s="51" customFormat="1">
      <c r="CF18181" s="239"/>
      <c r="CM18181" s="336"/>
    </row>
    <row r="18182" spans="84:91" s="51" customFormat="1">
      <c r="CF18182" s="239"/>
      <c r="CM18182" s="336"/>
    </row>
    <row r="18183" spans="84:91" s="51" customFormat="1">
      <c r="CF18183" s="239"/>
      <c r="CM18183" s="336"/>
    </row>
    <row r="18184" spans="84:91" s="51" customFormat="1">
      <c r="CF18184" s="239"/>
      <c r="CM18184" s="336"/>
    </row>
    <row r="18185" spans="84:91" s="51" customFormat="1">
      <c r="CF18185" s="239"/>
      <c r="CM18185" s="336"/>
    </row>
    <row r="18186" spans="84:91" s="51" customFormat="1">
      <c r="CF18186" s="239"/>
      <c r="CM18186" s="336"/>
    </row>
    <row r="18187" spans="84:91" s="51" customFormat="1">
      <c r="CF18187" s="239"/>
      <c r="CM18187" s="336"/>
    </row>
    <row r="18188" spans="84:91" s="51" customFormat="1">
      <c r="CF18188" s="239"/>
      <c r="CM18188" s="336"/>
    </row>
    <row r="18189" spans="84:91" s="51" customFormat="1">
      <c r="CF18189" s="239"/>
      <c r="CM18189" s="336"/>
    </row>
    <row r="18190" spans="84:91" s="51" customFormat="1">
      <c r="CF18190" s="239"/>
      <c r="CM18190" s="336"/>
    </row>
    <row r="18191" spans="84:91" s="51" customFormat="1">
      <c r="CF18191" s="239"/>
      <c r="CM18191" s="336"/>
    </row>
    <row r="18192" spans="84:91" s="51" customFormat="1">
      <c r="CF18192" s="239"/>
      <c r="CM18192" s="336"/>
    </row>
    <row r="18193" spans="84:91" s="51" customFormat="1">
      <c r="CF18193" s="239"/>
      <c r="CM18193" s="336"/>
    </row>
    <row r="18194" spans="84:91" s="51" customFormat="1">
      <c r="CF18194" s="239"/>
      <c r="CM18194" s="336"/>
    </row>
    <row r="18195" spans="84:91" s="51" customFormat="1">
      <c r="CF18195" s="239"/>
      <c r="CM18195" s="336"/>
    </row>
    <row r="18196" spans="84:91" s="51" customFormat="1">
      <c r="CF18196" s="239"/>
      <c r="CM18196" s="336"/>
    </row>
    <row r="18197" spans="84:91" s="51" customFormat="1">
      <c r="CF18197" s="239"/>
      <c r="CM18197" s="336"/>
    </row>
    <row r="18198" spans="84:91" s="51" customFormat="1">
      <c r="CF18198" s="239"/>
      <c r="CM18198" s="336"/>
    </row>
    <row r="18199" spans="84:91" s="51" customFormat="1">
      <c r="CF18199" s="239"/>
      <c r="CM18199" s="336"/>
    </row>
    <row r="18200" spans="84:91" s="51" customFormat="1">
      <c r="CF18200" s="239"/>
      <c r="CM18200" s="336"/>
    </row>
    <row r="18201" spans="84:91" s="51" customFormat="1">
      <c r="CF18201" s="239"/>
      <c r="CM18201" s="336"/>
    </row>
    <row r="18202" spans="84:91" s="51" customFormat="1">
      <c r="CF18202" s="239"/>
      <c r="CM18202" s="336"/>
    </row>
    <row r="18203" spans="84:91" s="51" customFormat="1">
      <c r="CF18203" s="239"/>
      <c r="CM18203" s="336"/>
    </row>
    <row r="18204" spans="84:91" s="51" customFormat="1">
      <c r="CF18204" s="239"/>
      <c r="CM18204" s="336"/>
    </row>
    <row r="18205" spans="84:91" s="51" customFormat="1">
      <c r="CF18205" s="239"/>
      <c r="CM18205" s="336"/>
    </row>
    <row r="18206" spans="84:91" s="51" customFormat="1">
      <c r="CF18206" s="239"/>
      <c r="CM18206" s="336"/>
    </row>
    <row r="18207" spans="84:91" s="51" customFormat="1">
      <c r="CF18207" s="239"/>
      <c r="CM18207" s="336"/>
    </row>
    <row r="18208" spans="84:91" s="51" customFormat="1">
      <c r="CF18208" s="239"/>
      <c r="CM18208" s="336"/>
    </row>
    <row r="18209" spans="84:91" s="51" customFormat="1">
      <c r="CF18209" s="239"/>
      <c r="CM18209" s="336"/>
    </row>
    <row r="18210" spans="84:91" s="51" customFormat="1">
      <c r="CF18210" s="239"/>
      <c r="CM18210" s="336"/>
    </row>
    <row r="18211" spans="84:91" s="51" customFormat="1">
      <c r="CF18211" s="239"/>
      <c r="CM18211" s="336"/>
    </row>
    <row r="18212" spans="84:91" s="51" customFormat="1">
      <c r="CF18212" s="239"/>
      <c r="CM18212" s="336"/>
    </row>
    <row r="18213" spans="84:91" s="51" customFormat="1">
      <c r="CF18213" s="239"/>
      <c r="CM18213" s="336"/>
    </row>
    <row r="18214" spans="84:91" s="51" customFormat="1">
      <c r="CF18214" s="239"/>
      <c r="CM18214" s="336"/>
    </row>
    <row r="18215" spans="84:91" s="51" customFormat="1">
      <c r="CF18215" s="239"/>
      <c r="CM18215" s="336"/>
    </row>
    <row r="18216" spans="84:91" s="51" customFormat="1">
      <c r="CF18216" s="239"/>
      <c r="CM18216" s="336"/>
    </row>
    <row r="18217" spans="84:91" s="51" customFormat="1">
      <c r="CF18217" s="239"/>
      <c r="CM18217" s="336"/>
    </row>
    <row r="18218" spans="84:91" s="51" customFormat="1">
      <c r="CF18218" s="239"/>
      <c r="CM18218" s="336"/>
    </row>
    <row r="18219" spans="84:91" s="51" customFormat="1">
      <c r="CF18219" s="239"/>
      <c r="CM18219" s="336"/>
    </row>
    <row r="18220" spans="84:91" s="51" customFormat="1">
      <c r="CF18220" s="239"/>
      <c r="CM18220" s="336"/>
    </row>
    <row r="18221" spans="84:91" s="51" customFormat="1">
      <c r="CF18221" s="239"/>
      <c r="CM18221" s="336"/>
    </row>
    <row r="18222" spans="84:91" s="51" customFormat="1">
      <c r="CF18222" s="239"/>
      <c r="CM18222" s="336"/>
    </row>
    <row r="18223" spans="84:91" s="51" customFormat="1">
      <c r="CF18223" s="239"/>
      <c r="CM18223" s="336"/>
    </row>
    <row r="18224" spans="84:91" s="51" customFormat="1">
      <c r="CF18224" s="239"/>
      <c r="CM18224" s="336"/>
    </row>
    <row r="18225" spans="84:91" s="51" customFormat="1">
      <c r="CF18225" s="239"/>
      <c r="CM18225" s="336"/>
    </row>
    <row r="18226" spans="84:91" s="51" customFormat="1">
      <c r="CF18226" s="239"/>
      <c r="CM18226" s="336"/>
    </row>
    <row r="18227" spans="84:91" s="51" customFormat="1">
      <c r="CF18227" s="239"/>
      <c r="CM18227" s="336"/>
    </row>
    <row r="18228" spans="84:91" s="51" customFormat="1">
      <c r="CF18228" s="239"/>
      <c r="CM18228" s="336"/>
    </row>
    <row r="18229" spans="84:91" s="51" customFormat="1">
      <c r="CF18229" s="239"/>
      <c r="CM18229" s="336"/>
    </row>
    <row r="18230" spans="84:91" s="51" customFormat="1">
      <c r="CF18230" s="239"/>
      <c r="CM18230" s="336"/>
    </row>
    <row r="18231" spans="84:91" s="51" customFormat="1">
      <c r="CF18231" s="239"/>
      <c r="CM18231" s="336"/>
    </row>
    <row r="18232" spans="84:91" s="51" customFormat="1">
      <c r="CF18232" s="239"/>
      <c r="CM18232" s="336"/>
    </row>
    <row r="18233" spans="84:91" s="51" customFormat="1">
      <c r="CF18233" s="239"/>
      <c r="CM18233" s="336"/>
    </row>
    <row r="18234" spans="84:91" s="51" customFormat="1">
      <c r="CF18234" s="239"/>
      <c r="CM18234" s="336"/>
    </row>
    <row r="18235" spans="84:91" s="51" customFormat="1">
      <c r="CF18235" s="239"/>
      <c r="CM18235" s="336"/>
    </row>
    <row r="18236" spans="84:91" s="51" customFormat="1">
      <c r="CF18236" s="239"/>
      <c r="CM18236" s="336"/>
    </row>
    <row r="18237" spans="84:91" s="51" customFormat="1">
      <c r="CF18237" s="239"/>
      <c r="CM18237" s="336"/>
    </row>
    <row r="18238" spans="84:91" s="51" customFormat="1">
      <c r="CF18238" s="239"/>
      <c r="CM18238" s="336"/>
    </row>
    <row r="18239" spans="84:91" s="51" customFormat="1">
      <c r="CF18239" s="239"/>
      <c r="CM18239" s="336"/>
    </row>
    <row r="18240" spans="84:91" s="51" customFormat="1">
      <c r="CF18240" s="239"/>
      <c r="CM18240" s="336"/>
    </row>
    <row r="18241" spans="84:91" s="51" customFormat="1">
      <c r="CF18241" s="239"/>
      <c r="CM18241" s="336"/>
    </row>
    <row r="18242" spans="84:91" s="51" customFormat="1">
      <c r="CF18242" s="239"/>
      <c r="CM18242" s="336"/>
    </row>
    <row r="18243" spans="84:91" s="51" customFormat="1">
      <c r="CF18243" s="239"/>
      <c r="CM18243" s="336"/>
    </row>
    <row r="18244" spans="84:91" s="51" customFormat="1">
      <c r="CF18244" s="239"/>
      <c r="CM18244" s="336"/>
    </row>
    <row r="18245" spans="84:91" s="51" customFormat="1">
      <c r="CF18245" s="239"/>
      <c r="CM18245" s="336"/>
    </row>
    <row r="18246" spans="84:91" s="51" customFormat="1">
      <c r="CF18246" s="239"/>
      <c r="CM18246" s="336"/>
    </row>
    <row r="18247" spans="84:91" s="51" customFormat="1">
      <c r="CF18247" s="239"/>
      <c r="CM18247" s="336"/>
    </row>
    <row r="18248" spans="84:91" s="51" customFormat="1">
      <c r="CF18248" s="239"/>
      <c r="CM18248" s="336"/>
    </row>
    <row r="18249" spans="84:91" s="51" customFormat="1">
      <c r="CF18249" s="239"/>
      <c r="CM18249" s="336"/>
    </row>
    <row r="18250" spans="84:91" s="51" customFormat="1">
      <c r="CF18250" s="239"/>
      <c r="CM18250" s="336"/>
    </row>
    <row r="18251" spans="84:91" s="51" customFormat="1">
      <c r="CF18251" s="239"/>
      <c r="CM18251" s="336"/>
    </row>
    <row r="18252" spans="84:91" s="51" customFormat="1">
      <c r="CF18252" s="239"/>
      <c r="CM18252" s="336"/>
    </row>
    <row r="18253" spans="84:91" s="51" customFormat="1">
      <c r="CF18253" s="239"/>
      <c r="CM18253" s="336"/>
    </row>
    <row r="18254" spans="84:91" s="51" customFormat="1">
      <c r="CF18254" s="239"/>
      <c r="CM18254" s="336"/>
    </row>
    <row r="18255" spans="84:91" s="51" customFormat="1">
      <c r="CF18255" s="239"/>
      <c r="CM18255" s="336"/>
    </row>
    <row r="18256" spans="84:91" s="51" customFormat="1">
      <c r="CF18256" s="239"/>
      <c r="CM18256" s="336"/>
    </row>
    <row r="18257" spans="84:91" s="51" customFormat="1">
      <c r="CF18257" s="239"/>
      <c r="CM18257" s="336"/>
    </row>
    <row r="18258" spans="84:91" s="51" customFormat="1">
      <c r="CF18258" s="239"/>
      <c r="CM18258" s="336"/>
    </row>
    <row r="18259" spans="84:91" s="51" customFormat="1">
      <c r="CF18259" s="239"/>
      <c r="CM18259" s="336"/>
    </row>
    <row r="18260" spans="84:91" s="51" customFormat="1">
      <c r="CF18260" s="239"/>
      <c r="CM18260" s="336"/>
    </row>
    <row r="18261" spans="84:91" s="51" customFormat="1">
      <c r="CF18261" s="239"/>
      <c r="CM18261" s="336"/>
    </row>
    <row r="18262" spans="84:91" s="51" customFormat="1">
      <c r="CF18262" s="239"/>
      <c r="CM18262" s="336"/>
    </row>
    <row r="18263" spans="84:91" s="51" customFormat="1">
      <c r="CF18263" s="239"/>
      <c r="CM18263" s="336"/>
    </row>
    <row r="18264" spans="84:91" s="51" customFormat="1">
      <c r="CF18264" s="239"/>
      <c r="CM18264" s="336"/>
    </row>
    <row r="18265" spans="84:91" s="51" customFormat="1">
      <c r="CF18265" s="239"/>
      <c r="CM18265" s="336"/>
    </row>
    <row r="18266" spans="84:91" s="51" customFormat="1">
      <c r="CF18266" s="239"/>
      <c r="CM18266" s="336"/>
    </row>
    <row r="18267" spans="84:91" s="51" customFormat="1">
      <c r="CF18267" s="239"/>
      <c r="CM18267" s="336"/>
    </row>
    <row r="18268" spans="84:91" s="51" customFormat="1">
      <c r="CF18268" s="239"/>
      <c r="CM18268" s="336"/>
    </row>
    <row r="18269" spans="84:91" s="51" customFormat="1">
      <c r="CF18269" s="239"/>
      <c r="CM18269" s="336"/>
    </row>
    <row r="18270" spans="84:91" s="51" customFormat="1">
      <c r="CF18270" s="239"/>
      <c r="CM18270" s="336"/>
    </row>
    <row r="18271" spans="84:91" s="51" customFormat="1">
      <c r="CF18271" s="239"/>
      <c r="CM18271" s="336"/>
    </row>
    <row r="18272" spans="84:91" s="51" customFormat="1">
      <c r="CF18272" s="239"/>
      <c r="CM18272" s="336"/>
    </row>
    <row r="18273" spans="84:91" s="51" customFormat="1">
      <c r="CF18273" s="239"/>
      <c r="CM18273" s="336"/>
    </row>
    <row r="18274" spans="84:91" s="51" customFormat="1">
      <c r="CF18274" s="239"/>
      <c r="CM18274" s="336"/>
    </row>
    <row r="18275" spans="84:91" s="51" customFormat="1">
      <c r="CF18275" s="239"/>
      <c r="CM18275" s="336"/>
    </row>
    <row r="18276" spans="84:91" s="51" customFormat="1">
      <c r="CF18276" s="239"/>
      <c r="CM18276" s="336"/>
    </row>
    <row r="18277" spans="84:91" s="51" customFormat="1">
      <c r="CF18277" s="239"/>
      <c r="CM18277" s="336"/>
    </row>
    <row r="18278" spans="84:91" s="51" customFormat="1">
      <c r="CF18278" s="239"/>
      <c r="CM18278" s="336"/>
    </row>
    <row r="18279" spans="84:91" s="51" customFormat="1">
      <c r="CF18279" s="239"/>
      <c r="CM18279" s="336"/>
    </row>
    <row r="18280" spans="84:91" s="51" customFormat="1">
      <c r="CF18280" s="239"/>
      <c r="CM18280" s="336"/>
    </row>
    <row r="18281" spans="84:91" s="51" customFormat="1">
      <c r="CF18281" s="239"/>
      <c r="CM18281" s="336"/>
    </row>
    <row r="18282" spans="84:91" s="51" customFormat="1">
      <c r="CF18282" s="239"/>
      <c r="CM18282" s="336"/>
    </row>
    <row r="18283" spans="84:91" s="51" customFormat="1">
      <c r="CF18283" s="239"/>
      <c r="CM18283" s="336"/>
    </row>
    <row r="18284" spans="84:91" s="51" customFormat="1">
      <c r="CF18284" s="239"/>
      <c r="CM18284" s="336"/>
    </row>
    <row r="18285" spans="84:91" s="51" customFormat="1">
      <c r="CF18285" s="239"/>
      <c r="CM18285" s="336"/>
    </row>
    <row r="18286" spans="84:91" s="51" customFormat="1">
      <c r="CF18286" s="239"/>
      <c r="CM18286" s="336"/>
    </row>
    <row r="18287" spans="84:91" s="51" customFormat="1">
      <c r="CF18287" s="239"/>
      <c r="CM18287" s="336"/>
    </row>
    <row r="18288" spans="84:91" s="51" customFormat="1">
      <c r="CF18288" s="239"/>
      <c r="CM18288" s="336"/>
    </row>
    <row r="18289" spans="84:91" s="51" customFormat="1">
      <c r="CF18289" s="239"/>
      <c r="CM18289" s="336"/>
    </row>
    <row r="18290" spans="84:91" s="51" customFormat="1">
      <c r="CF18290" s="239"/>
      <c r="CM18290" s="336"/>
    </row>
    <row r="18291" spans="84:91" s="51" customFormat="1">
      <c r="CF18291" s="239"/>
      <c r="CM18291" s="336"/>
    </row>
    <row r="18292" spans="84:91" s="51" customFormat="1">
      <c r="CF18292" s="239"/>
      <c r="CM18292" s="336"/>
    </row>
    <row r="18293" spans="84:91" s="51" customFormat="1">
      <c r="CF18293" s="239"/>
      <c r="CM18293" s="336"/>
    </row>
    <row r="18294" spans="84:91" s="51" customFormat="1">
      <c r="CF18294" s="239"/>
      <c r="CM18294" s="336"/>
    </row>
    <row r="18295" spans="84:91" s="51" customFormat="1">
      <c r="CF18295" s="239"/>
      <c r="CM18295" s="336"/>
    </row>
    <row r="18296" spans="84:91" s="51" customFormat="1">
      <c r="CF18296" s="239"/>
      <c r="CM18296" s="336"/>
    </row>
    <row r="18297" spans="84:91" s="51" customFormat="1">
      <c r="CF18297" s="239"/>
      <c r="CM18297" s="336"/>
    </row>
    <row r="18298" spans="84:91" s="51" customFormat="1">
      <c r="CF18298" s="239"/>
      <c r="CM18298" s="336"/>
    </row>
    <row r="18299" spans="84:91" s="51" customFormat="1">
      <c r="CF18299" s="239"/>
      <c r="CM18299" s="336"/>
    </row>
    <row r="18300" spans="84:91" s="51" customFormat="1">
      <c r="CF18300" s="239"/>
      <c r="CM18300" s="336"/>
    </row>
    <row r="18301" spans="84:91" s="51" customFormat="1">
      <c r="CF18301" s="239"/>
      <c r="CM18301" s="336"/>
    </row>
    <row r="18302" spans="84:91" s="51" customFormat="1">
      <c r="CF18302" s="239"/>
      <c r="CM18302" s="336"/>
    </row>
    <row r="18303" spans="84:91" s="51" customFormat="1">
      <c r="CF18303" s="239"/>
      <c r="CM18303" s="336"/>
    </row>
    <row r="18304" spans="84:91" s="51" customFormat="1">
      <c r="CF18304" s="239"/>
      <c r="CM18304" s="336"/>
    </row>
    <row r="18305" spans="84:91" s="51" customFormat="1">
      <c r="CF18305" s="239"/>
      <c r="CM18305" s="336"/>
    </row>
    <row r="18306" spans="84:91" s="51" customFormat="1">
      <c r="CF18306" s="239"/>
      <c r="CM18306" s="336"/>
    </row>
    <row r="18307" spans="84:91" s="51" customFormat="1">
      <c r="CF18307" s="239"/>
      <c r="CM18307" s="336"/>
    </row>
    <row r="18308" spans="84:91" s="51" customFormat="1">
      <c r="CF18308" s="239"/>
      <c r="CM18308" s="336"/>
    </row>
    <row r="18309" spans="84:91" s="51" customFormat="1">
      <c r="CF18309" s="239"/>
      <c r="CM18309" s="336"/>
    </row>
    <row r="18310" spans="84:91" s="51" customFormat="1">
      <c r="CF18310" s="239"/>
      <c r="CM18310" s="336"/>
    </row>
    <row r="18311" spans="84:91" s="51" customFormat="1">
      <c r="CF18311" s="239"/>
      <c r="CM18311" s="336"/>
    </row>
    <row r="18312" spans="84:91" s="51" customFormat="1">
      <c r="CF18312" s="239"/>
      <c r="CM18312" s="336"/>
    </row>
    <row r="18313" spans="84:91" s="51" customFormat="1">
      <c r="CF18313" s="239"/>
      <c r="CM18313" s="336"/>
    </row>
    <row r="18314" spans="84:91" s="51" customFormat="1">
      <c r="CF18314" s="239"/>
      <c r="CM18314" s="336"/>
    </row>
    <row r="18315" spans="84:91" s="51" customFormat="1">
      <c r="CF18315" s="239"/>
      <c r="CM18315" s="336"/>
    </row>
    <row r="18316" spans="84:91" s="51" customFormat="1">
      <c r="CF18316" s="239"/>
      <c r="CM18316" s="336"/>
    </row>
    <row r="18317" spans="84:91" s="51" customFormat="1">
      <c r="CF18317" s="239"/>
      <c r="CM18317" s="336"/>
    </row>
    <row r="18318" spans="84:91" s="51" customFormat="1">
      <c r="CF18318" s="239"/>
      <c r="CM18318" s="336"/>
    </row>
    <row r="18319" spans="84:91" s="51" customFormat="1">
      <c r="CF18319" s="239"/>
      <c r="CM18319" s="336"/>
    </row>
    <row r="18320" spans="84:91" s="51" customFormat="1">
      <c r="CF18320" s="239"/>
      <c r="CM18320" s="336"/>
    </row>
    <row r="18321" spans="84:91" s="51" customFormat="1">
      <c r="CF18321" s="239"/>
      <c r="CM18321" s="336"/>
    </row>
    <row r="18322" spans="84:91" s="51" customFormat="1">
      <c r="CF18322" s="239"/>
      <c r="CM18322" s="336"/>
    </row>
    <row r="18323" spans="84:91" s="51" customFormat="1">
      <c r="CF18323" s="239"/>
      <c r="CM18323" s="336"/>
    </row>
    <row r="18324" spans="84:91" s="51" customFormat="1">
      <c r="CF18324" s="239"/>
      <c r="CM18324" s="336"/>
    </row>
    <row r="18325" spans="84:91" s="51" customFormat="1">
      <c r="CF18325" s="239"/>
      <c r="CM18325" s="336"/>
    </row>
    <row r="18326" spans="84:91" s="51" customFormat="1">
      <c r="CF18326" s="239"/>
      <c r="CM18326" s="336"/>
    </row>
    <row r="18327" spans="84:91" s="51" customFormat="1">
      <c r="CF18327" s="239"/>
      <c r="CM18327" s="336"/>
    </row>
    <row r="18328" spans="84:91" s="51" customFormat="1">
      <c r="CF18328" s="239"/>
      <c r="CM18328" s="336"/>
    </row>
    <row r="18329" spans="84:91" s="51" customFormat="1">
      <c r="CF18329" s="239"/>
      <c r="CM18329" s="336"/>
    </row>
    <row r="18330" spans="84:91" s="51" customFormat="1">
      <c r="CF18330" s="239"/>
      <c r="CM18330" s="336"/>
    </row>
    <row r="18331" spans="84:91" s="51" customFormat="1">
      <c r="CF18331" s="239"/>
      <c r="CM18331" s="336"/>
    </row>
    <row r="18332" spans="84:91" s="51" customFormat="1">
      <c r="CF18332" s="239"/>
      <c r="CM18332" s="336"/>
    </row>
    <row r="18333" spans="84:91" s="51" customFormat="1">
      <c r="CF18333" s="239"/>
      <c r="CM18333" s="336"/>
    </row>
    <row r="18334" spans="84:91" s="51" customFormat="1">
      <c r="CF18334" s="239"/>
      <c r="CM18334" s="336"/>
    </row>
    <row r="18335" spans="84:91" s="51" customFormat="1">
      <c r="CF18335" s="239"/>
      <c r="CM18335" s="336"/>
    </row>
    <row r="18336" spans="84:91" s="51" customFormat="1">
      <c r="CF18336" s="239"/>
      <c r="CM18336" s="336"/>
    </row>
    <row r="18337" spans="84:91" s="51" customFormat="1">
      <c r="CF18337" s="239"/>
      <c r="CM18337" s="336"/>
    </row>
    <row r="18338" spans="84:91" s="51" customFormat="1">
      <c r="CF18338" s="239"/>
      <c r="CM18338" s="336"/>
    </row>
    <row r="18339" spans="84:91" s="51" customFormat="1">
      <c r="CF18339" s="239"/>
      <c r="CM18339" s="336"/>
    </row>
    <row r="18340" spans="84:91" s="51" customFormat="1">
      <c r="CF18340" s="239"/>
      <c r="CM18340" s="336"/>
    </row>
    <row r="18341" spans="84:91" s="51" customFormat="1">
      <c r="CF18341" s="239"/>
      <c r="CM18341" s="336"/>
    </row>
    <row r="18342" spans="84:91" s="51" customFormat="1">
      <c r="CF18342" s="239"/>
      <c r="CM18342" s="336"/>
    </row>
    <row r="18343" spans="84:91" s="51" customFormat="1">
      <c r="CF18343" s="239"/>
      <c r="CM18343" s="336"/>
    </row>
    <row r="18344" spans="84:91" s="51" customFormat="1">
      <c r="CF18344" s="239"/>
      <c r="CM18344" s="336"/>
    </row>
    <row r="18345" spans="84:91" s="51" customFormat="1">
      <c r="CF18345" s="239"/>
      <c r="CM18345" s="336"/>
    </row>
    <row r="18346" spans="84:91" s="51" customFormat="1">
      <c r="CF18346" s="239"/>
      <c r="CM18346" s="336"/>
    </row>
    <row r="18347" spans="84:91" s="51" customFormat="1">
      <c r="CF18347" s="239"/>
      <c r="CM18347" s="336"/>
    </row>
    <row r="18348" spans="84:91" s="51" customFormat="1">
      <c r="CF18348" s="239"/>
      <c r="CM18348" s="336"/>
    </row>
    <row r="18349" spans="84:91" s="51" customFormat="1">
      <c r="CF18349" s="239"/>
      <c r="CM18349" s="336"/>
    </row>
    <row r="18350" spans="84:91" s="51" customFormat="1">
      <c r="CF18350" s="239"/>
      <c r="CM18350" s="336"/>
    </row>
    <row r="18351" spans="84:91" s="51" customFormat="1">
      <c r="CF18351" s="239"/>
      <c r="CM18351" s="336"/>
    </row>
    <row r="18352" spans="84:91" s="51" customFormat="1">
      <c r="CF18352" s="239"/>
      <c r="CM18352" s="336"/>
    </row>
    <row r="18353" spans="84:91" s="51" customFormat="1">
      <c r="CF18353" s="239"/>
      <c r="CM18353" s="336"/>
    </row>
    <row r="18354" spans="84:91" s="51" customFormat="1">
      <c r="CF18354" s="239"/>
      <c r="CM18354" s="336"/>
    </row>
    <row r="18355" spans="84:91" s="51" customFormat="1">
      <c r="CF18355" s="239"/>
      <c r="CM18355" s="336"/>
    </row>
    <row r="18356" spans="84:91" s="51" customFormat="1">
      <c r="CF18356" s="239"/>
      <c r="CM18356" s="336"/>
    </row>
    <row r="18357" spans="84:91" s="51" customFormat="1">
      <c r="CF18357" s="239"/>
      <c r="CM18357" s="336"/>
    </row>
    <row r="18358" spans="84:91" s="51" customFormat="1">
      <c r="CF18358" s="239"/>
      <c r="CM18358" s="336"/>
    </row>
    <row r="18359" spans="84:91" s="51" customFormat="1">
      <c r="CF18359" s="239"/>
      <c r="CM18359" s="336"/>
    </row>
    <row r="18360" spans="84:91" s="51" customFormat="1">
      <c r="CF18360" s="239"/>
      <c r="CM18360" s="336"/>
    </row>
    <row r="18361" spans="84:91" s="51" customFormat="1">
      <c r="CF18361" s="239"/>
      <c r="CM18361" s="336"/>
    </row>
    <row r="18362" spans="84:91" s="51" customFormat="1">
      <c r="CF18362" s="239"/>
      <c r="CM18362" s="336"/>
    </row>
    <row r="18363" spans="84:91" s="51" customFormat="1">
      <c r="CF18363" s="239"/>
      <c r="CM18363" s="336"/>
    </row>
    <row r="18364" spans="84:91" s="51" customFormat="1">
      <c r="CF18364" s="239"/>
      <c r="CM18364" s="336"/>
    </row>
    <row r="18365" spans="84:91" s="51" customFormat="1">
      <c r="CF18365" s="239"/>
      <c r="CM18365" s="336"/>
    </row>
    <row r="18366" spans="84:91" s="51" customFormat="1">
      <c r="CF18366" s="239"/>
      <c r="CM18366" s="336"/>
    </row>
    <row r="18367" spans="84:91" s="51" customFormat="1">
      <c r="CF18367" s="239"/>
      <c r="CM18367" s="336"/>
    </row>
    <row r="18368" spans="84:91" s="51" customFormat="1">
      <c r="CF18368" s="239"/>
      <c r="CM18368" s="336"/>
    </row>
    <row r="18369" spans="84:91" s="51" customFormat="1">
      <c r="CF18369" s="239"/>
      <c r="CM18369" s="336"/>
    </row>
    <row r="18370" spans="84:91" s="51" customFormat="1">
      <c r="CF18370" s="239"/>
      <c r="CM18370" s="336"/>
    </row>
    <row r="18371" spans="84:91" s="51" customFormat="1">
      <c r="CF18371" s="239"/>
      <c r="CM18371" s="336"/>
    </row>
    <row r="18372" spans="84:91" s="51" customFormat="1">
      <c r="CF18372" s="239"/>
      <c r="CM18372" s="336"/>
    </row>
    <row r="18373" spans="84:91" s="51" customFormat="1">
      <c r="CF18373" s="239"/>
      <c r="CM18373" s="336"/>
    </row>
    <row r="18374" spans="84:91" s="51" customFormat="1">
      <c r="CF18374" s="239"/>
      <c r="CM18374" s="336"/>
    </row>
    <row r="18375" spans="84:91" s="51" customFormat="1">
      <c r="CF18375" s="239"/>
      <c r="CM18375" s="336"/>
    </row>
    <row r="18376" spans="84:91" s="51" customFormat="1">
      <c r="CF18376" s="239"/>
      <c r="CM18376" s="336"/>
    </row>
    <row r="18377" spans="84:91" s="51" customFormat="1">
      <c r="CF18377" s="239"/>
      <c r="CM18377" s="336"/>
    </row>
    <row r="18378" spans="84:91" s="51" customFormat="1">
      <c r="CF18378" s="239"/>
      <c r="CM18378" s="336"/>
    </row>
    <row r="18379" spans="84:91" s="51" customFormat="1">
      <c r="CF18379" s="239"/>
      <c r="CM18379" s="336"/>
    </row>
    <row r="18380" spans="84:91" s="51" customFormat="1">
      <c r="CF18380" s="239"/>
      <c r="CM18380" s="336"/>
    </row>
    <row r="18381" spans="84:91" s="51" customFormat="1">
      <c r="CF18381" s="239"/>
      <c r="CM18381" s="336"/>
    </row>
    <row r="18382" spans="84:91" s="51" customFormat="1">
      <c r="CF18382" s="239"/>
      <c r="CM18382" s="336"/>
    </row>
    <row r="18383" spans="84:91" s="51" customFormat="1">
      <c r="CF18383" s="239"/>
      <c r="CM18383" s="336"/>
    </row>
    <row r="18384" spans="84:91" s="51" customFormat="1">
      <c r="CF18384" s="239"/>
      <c r="CM18384" s="336"/>
    </row>
    <row r="18385" spans="84:91" s="51" customFormat="1">
      <c r="CF18385" s="239"/>
      <c r="CM18385" s="336"/>
    </row>
    <row r="18386" spans="84:91" s="51" customFormat="1">
      <c r="CF18386" s="239"/>
      <c r="CM18386" s="336"/>
    </row>
    <row r="18387" spans="84:91" s="51" customFormat="1">
      <c r="CF18387" s="239"/>
      <c r="CM18387" s="336"/>
    </row>
    <row r="18388" spans="84:91" s="51" customFormat="1">
      <c r="CF18388" s="239"/>
      <c r="CM18388" s="336"/>
    </row>
    <row r="18389" spans="84:91" s="51" customFormat="1">
      <c r="CF18389" s="239"/>
      <c r="CM18389" s="336"/>
    </row>
    <row r="18390" spans="84:91" s="51" customFormat="1">
      <c r="CF18390" s="239"/>
      <c r="CM18390" s="336"/>
    </row>
    <row r="18391" spans="84:91" s="51" customFormat="1">
      <c r="CF18391" s="239"/>
      <c r="CM18391" s="336"/>
    </row>
    <row r="18392" spans="84:91" s="51" customFormat="1">
      <c r="CF18392" s="239"/>
      <c r="CM18392" s="336"/>
    </row>
    <row r="18393" spans="84:91" s="51" customFormat="1">
      <c r="CF18393" s="239"/>
      <c r="CM18393" s="336"/>
    </row>
    <row r="18394" spans="84:91" s="51" customFormat="1">
      <c r="CF18394" s="239"/>
      <c r="CM18394" s="336"/>
    </row>
    <row r="18395" spans="84:91" s="51" customFormat="1">
      <c r="CF18395" s="239"/>
      <c r="CM18395" s="336"/>
    </row>
    <row r="18396" spans="84:91" s="51" customFormat="1">
      <c r="CF18396" s="239"/>
      <c r="CM18396" s="336"/>
    </row>
    <row r="18397" spans="84:91" s="51" customFormat="1">
      <c r="CF18397" s="239"/>
      <c r="CM18397" s="336"/>
    </row>
    <row r="18398" spans="84:91" s="51" customFormat="1">
      <c r="CF18398" s="239"/>
      <c r="CM18398" s="336"/>
    </row>
    <row r="18399" spans="84:91" s="51" customFormat="1">
      <c r="CF18399" s="239"/>
      <c r="CM18399" s="336"/>
    </row>
    <row r="18400" spans="84:91" s="51" customFormat="1">
      <c r="CF18400" s="239"/>
      <c r="CM18400" s="336"/>
    </row>
    <row r="18401" spans="84:91" s="51" customFormat="1">
      <c r="CF18401" s="239"/>
      <c r="CM18401" s="336"/>
    </row>
    <row r="18402" spans="84:91" s="51" customFormat="1">
      <c r="CF18402" s="239"/>
      <c r="CM18402" s="336"/>
    </row>
    <row r="18403" spans="84:91" s="51" customFormat="1">
      <c r="CF18403" s="239"/>
      <c r="CM18403" s="336"/>
    </row>
    <row r="18404" spans="84:91" s="51" customFormat="1">
      <c r="CF18404" s="239"/>
      <c r="CM18404" s="336"/>
    </row>
    <row r="18405" spans="84:91" s="51" customFormat="1">
      <c r="CF18405" s="239"/>
      <c r="CM18405" s="336"/>
    </row>
    <row r="18406" spans="84:91" s="51" customFormat="1">
      <c r="CF18406" s="239"/>
      <c r="CM18406" s="336"/>
    </row>
    <row r="18407" spans="84:91" s="51" customFormat="1">
      <c r="CF18407" s="239"/>
      <c r="CM18407" s="336"/>
    </row>
    <row r="18408" spans="84:91" s="51" customFormat="1">
      <c r="CF18408" s="239"/>
      <c r="CM18408" s="336"/>
    </row>
    <row r="18409" spans="84:91" s="51" customFormat="1">
      <c r="CF18409" s="239"/>
      <c r="CM18409" s="336"/>
    </row>
    <row r="18410" spans="84:91" s="51" customFormat="1">
      <c r="CF18410" s="239"/>
      <c r="CM18410" s="336"/>
    </row>
    <row r="18411" spans="84:91" s="51" customFormat="1">
      <c r="CF18411" s="239"/>
      <c r="CM18411" s="336"/>
    </row>
    <row r="18412" spans="84:91" s="51" customFormat="1">
      <c r="CF18412" s="239"/>
      <c r="CM18412" s="336"/>
    </row>
    <row r="18413" spans="84:91" s="51" customFormat="1">
      <c r="CF18413" s="239"/>
      <c r="CM18413" s="336"/>
    </row>
    <row r="18414" spans="84:91" s="51" customFormat="1">
      <c r="CF18414" s="239"/>
      <c r="CM18414" s="336"/>
    </row>
    <row r="18415" spans="84:91" s="51" customFormat="1">
      <c r="CF18415" s="239"/>
      <c r="CM18415" s="336"/>
    </row>
    <row r="18416" spans="84:91" s="51" customFormat="1">
      <c r="CF18416" s="239"/>
      <c r="CM18416" s="336"/>
    </row>
    <row r="18417" spans="84:91" s="51" customFormat="1">
      <c r="CF18417" s="239"/>
      <c r="CM18417" s="336"/>
    </row>
    <row r="18418" spans="84:91" s="51" customFormat="1">
      <c r="CF18418" s="239"/>
      <c r="CM18418" s="336"/>
    </row>
    <row r="18419" spans="84:91" s="51" customFormat="1">
      <c r="CF18419" s="239"/>
      <c r="CM18419" s="336"/>
    </row>
    <row r="18420" spans="84:91" s="51" customFormat="1">
      <c r="CF18420" s="239"/>
      <c r="CM18420" s="336"/>
    </row>
    <row r="18421" spans="84:91" s="51" customFormat="1">
      <c r="CF18421" s="239"/>
      <c r="CM18421" s="336"/>
    </row>
    <row r="18422" spans="84:91" s="51" customFormat="1">
      <c r="CF18422" s="239"/>
      <c r="CM18422" s="336"/>
    </row>
    <row r="18423" spans="84:91" s="51" customFormat="1">
      <c r="CF18423" s="239"/>
      <c r="CM18423" s="336"/>
    </row>
    <row r="18424" spans="84:91" s="51" customFormat="1">
      <c r="CF18424" s="239"/>
      <c r="CM18424" s="336"/>
    </row>
    <row r="18425" spans="84:91" s="51" customFormat="1">
      <c r="CF18425" s="239"/>
      <c r="CM18425" s="336"/>
    </row>
    <row r="18426" spans="84:91" s="51" customFormat="1">
      <c r="CF18426" s="239"/>
      <c r="CM18426" s="336"/>
    </row>
    <row r="18427" spans="84:91" s="51" customFormat="1">
      <c r="CF18427" s="239"/>
      <c r="CM18427" s="336"/>
    </row>
    <row r="18428" spans="84:91" s="51" customFormat="1">
      <c r="CF18428" s="239"/>
      <c r="CM18428" s="336"/>
    </row>
    <row r="18429" spans="84:91" s="51" customFormat="1">
      <c r="CF18429" s="239"/>
      <c r="CM18429" s="336"/>
    </row>
    <row r="18430" spans="84:91" s="51" customFormat="1">
      <c r="CF18430" s="239"/>
      <c r="CM18430" s="336"/>
    </row>
    <row r="18431" spans="84:91" s="51" customFormat="1">
      <c r="CF18431" s="239"/>
      <c r="CM18431" s="336"/>
    </row>
    <row r="18432" spans="84:91" s="51" customFormat="1">
      <c r="CF18432" s="239"/>
      <c r="CM18432" s="336"/>
    </row>
    <row r="18433" spans="84:91" s="51" customFormat="1">
      <c r="CF18433" s="239"/>
      <c r="CM18433" s="336"/>
    </row>
    <row r="18434" spans="84:91" s="51" customFormat="1">
      <c r="CF18434" s="239"/>
      <c r="CM18434" s="336"/>
    </row>
    <row r="18435" spans="84:91" s="51" customFormat="1">
      <c r="CF18435" s="239"/>
      <c r="CM18435" s="336"/>
    </row>
    <row r="18436" spans="84:91" s="51" customFormat="1">
      <c r="CF18436" s="239"/>
      <c r="CM18436" s="336"/>
    </row>
    <row r="18437" spans="84:91" s="51" customFormat="1">
      <c r="CF18437" s="239"/>
      <c r="CM18437" s="336"/>
    </row>
    <row r="18438" spans="84:91" s="51" customFormat="1">
      <c r="CF18438" s="239"/>
      <c r="CM18438" s="336"/>
    </row>
    <row r="18439" spans="84:91" s="51" customFormat="1">
      <c r="CF18439" s="239"/>
      <c r="CM18439" s="336"/>
    </row>
    <row r="18440" spans="84:91" s="51" customFormat="1">
      <c r="CF18440" s="239"/>
      <c r="CM18440" s="336"/>
    </row>
    <row r="18441" spans="84:91" s="51" customFormat="1">
      <c r="CF18441" s="239"/>
      <c r="CM18441" s="336"/>
    </row>
    <row r="18442" spans="84:91" s="51" customFormat="1">
      <c r="CF18442" s="239"/>
      <c r="CM18442" s="336"/>
    </row>
    <row r="18443" spans="84:91" s="51" customFormat="1">
      <c r="CF18443" s="239"/>
      <c r="CM18443" s="336"/>
    </row>
    <row r="18444" spans="84:91" s="51" customFormat="1">
      <c r="CF18444" s="239"/>
      <c r="CM18444" s="336"/>
    </row>
    <row r="18445" spans="84:91" s="51" customFormat="1">
      <c r="CF18445" s="239"/>
      <c r="CM18445" s="336"/>
    </row>
    <row r="18446" spans="84:91" s="51" customFormat="1">
      <c r="CF18446" s="239"/>
      <c r="CM18446" s="336"/>
    </row>
    <row r="18447" spans="84:91" s="51" customFormat="1">
      <c r="CF18447" s="239"/>
      <c r="CM18447" s="336"/>
    </row>
    <row r="18448" spans="84:91" s="51" customFormat="1">
      <c r="CF18448" s="239"/>
      <c r="CM18448" s="336"/>
    </row>
    <row r="18449" spans="84:91" s="51" customFormat="1">
      <c r="CF18449" s="239"/>
      <c r="CM18449" s="336"/>
    </row>
    <row r="18450" spans="84:91" s="51" customFormat="1">
      <c r="CF18450" s="239"/>
      <c r="CM18450" s="336"/>
    </row>
    <row r="18451" spans="84:91" s="51" customFormat="1">
      <c r="CF18451" s="239"/>
      <c r="CM18451" s="336"/>
    </row>
    <row r="18452" spans="84:91" s="51" customFormat="1">
      <c r="CF18452" s="239"/>
      <c r="CM18452" s="336"/>
    </row>
    <row r="18453" spans="84:91" s="51" customFormat="1">
      <c r="CF18453" s="239"/>
      <c r="CM18453" s="336"/>
    </row>
    <row r="18454" spans="84:91" s="51" customFormat="1">
      <c r="CF18454" s="239"/>
      <c r="CM18454" s="336"/>
    </row>
    <row r="18455" spans="84:91" s="51" customFormat="1">
      <c r="CF18455" s="239"/>
      <c r="CM18455" s="336"/>
    </row>
    <row r="18456" spans="84:91" s="51" customFormat="1">
      <c r="CF18456" s="239"/>
      <c r="CM18456" s="336"/>
    </row>
    <row r="18457" spans="84:91" s="51" customFormat="1">
      <c r="CF18457" s="239"/>
      <c r="CM18457" s="336"/>
    </row>
    <row r="18458" spans="84:91" s="51" customFormat="1">
      <c r="CF18458" s="239"/>
      <c r="CM18458" s="336"/>
    </row>
    <row r="18459" spans="84:91" s="51" customFormat="1">
      <c r="CF18459" s="239"/>
      <c r="CM18459" s="336"/>
    </row>
    <row r="18460" spans="84:91" s="51" customFormat="1">
      <c r="CF18460" s="239"/>
      <c r="CM18460" s="336"/>
    </row>
    <row r="18461" spans="84:91" s="51" customFormat="1">
      <c r="CF18461" s="239"/>
      <c r="CM18461" s="336"/>
    </row>
    <row r="18462" spans="84:91" s="51" customFormat="1">
      <c r="CF18462" s="239"/>
      <c r="CM18462" s="336"/>
    </row>
    <row r="18463" spans="84:91" s="51" customFormat="1">
      <c r="CF18463" s="239"/>
      <c r="CM18463" s="336"/>
    </row>
    <row r="18464" spans="84:91" s="51" customFormat="1">
      <c r="CF18464" s="239"/>
      <c r="CM18464" s="336"/>
    </row>
    <row r="18465" spans="84:91" s="51" customFormat="1">
      <c r="CF18465" s="239"/>
      <c r="CM18465" s="336"/>
    </row>
    <row r="18466" spans="84:91" s="51" customFormat="1">
      <c r="CF18466" s="239"/>
      <c r="CM18466" s="336"/>
    </row>
    <row r="18467" spans="84:91" s="51" customFormat="1">
      <c r="CF18467" s="239"/>
      <c r="CM18467" s="336"/>
    </row>
    <row r="18468" spans="84:91" s="51" customFormat="1">
      <c r="CF18468" s="239"/>
      <c r="CM18468" s="336"/>
    </row>
    <row r="18469" spans="84:91" s="51" customFormat="1">
      <c r="CF18469" s="239"/>
      <c r="CM18469" s="336"/>
    </row>
    <row r="18470" spans="84:91" s="51" customFormat="1">
      <c r="CF18470" s="239"/>
      <c r="CM18470" s="336"/>
    </row>
    <row r="18471" spans="84:91" s="51" customFormat="1">
      <c r="CF18471" s="239"/>
      <c r="CM18471" s="336"/>
    </row>
    <row r="18472" spans="84:91" s="51" customFormat="1">
      <c r="CF18472" s="239"/>
      <c r="CM18472" s="336"/>
    </row>
    <row r="18473" spans="84:91" s="51" customFormat="1">
      <c r="CF18473" s="239"/>
      <c r="CM18473" s="336"/>
    </row>
    <row r="18474" spans="84:91" s="51" customFormat="1">
      <c r="CF18474" s="239"/>
      <c r="CM18474" s="336"/>
    </row>
    <row r="18475" spans="84:91" s="51" customFormat="1">
      <c r="CF18475" s="239"/>
      <c r="CM18475" s="336"/>
    </row>
    <row r="18476" spans="84:91" s="51" customFormat="1">
      <c r="CF18476" s="239"/>
      <c r="CM18476" s="336"/>
    </row>
    <row r="18477" spans="84:91" s="51" customFormat="1">
      <c r="CF18477" s="239"/>
      <c r="CM18477" s="336"/>
    </row>
    <row r="18478" spans="84:91" s="51" customFormat="1">
      <c r="CF18478" s="239"/>
      <c r="CM18478" s="336"/>
    </row>
    <row r="18479" spans="84:91" s="51" customFormat="1">
      <c r="CF18479" s="239"/>
      <c r="CM18479" s="336"/>
    </row>
    <row r="18480" spans="84:91" s="51" customFormat="1">
      <c r="CF18480" s="239"/>
      <c r="CM18480" s="336"/>
    </row>
    <row r="18481" spans="84:91" s="51" customFormat="1">
      <c r="CF18481" s="239"/>
      <c r="CM18481" s="336"/>
    </row>
    <row r="18482" spans="84:91" s="51" customFormat="1">
      <c r="CF18482" s="239"/>
      <c r="CM18482" s="336"/>
    </row>
    <row r="18483" spans="84:91" s="51" customFormat="1">
      <c r="CF18483" s="239"/>
      <c r="CM18483" s="336"/>
    </row>
    <row r="18484" spans="84:91" s="51" customFormat="1">
      <c r="CF18484" s="239"/>
      <c r="CM18484" s="336"/>
    </row>
    <row r="18485" spans="84:91" s="51" customFormat="1">
      <c r="CF18485" s="239"/>
      <c r="CM18485" s="336"/>
    </row>
    <row r="18486" spans="84:91" s="51" customFormat="1">
      <c r="CF18486" s="239"/>
      <c r="CM18486" s="336"/>
    </row>
    <row r="18487" spans="84:91" s="51" customFormat="1">
      <c r="CF18487" s="239"/>
      <c r="CM18487" s="336"/>
    </row>
    <row r="18488" spans="84:91" s="51" customFormat="1">
      <c r="CF18488" s="239"/>
      <c r="CM18488" s="336"/>
    </row>
    <row r="18489" spans="84:91" s="51" customFormat="1">
      <c r="CF18489" s="239"/>
      <c r="CM18489" s="336"/>
    </row>
    <row r="18490" spans="84:91" s="51" customFormat="1">
      <c r="CF18490" s="239"/>
      <c r="CM18490" s="336"/>
    </row>
    <row r="18491" spans="84:91" s="51" customFormat="1">
      <c r="CF18491" s="239"/>
      <c r="CM18491" s="336"/>
    </row>
    <row r="18492" spans="84:91" s="51" customFormat="1">
      <c r="CF18492" s="239"/>
      <c r="CM18492" s="336"/>
    </row>
    <row r="18493" spans="84:91" s="51" customFormat="1">
      <c r="CF18493" s="239"/>
      <c r="CM18493" s="336"/>
    </row>
    <row r="18494" spans="84:91" s="51" customFormat="1">
      <c r="CF18494" s="239"/>
      <c r="CM18494" s="336"/>
    </row>
    <row r="18495" spans="84:91" s="51" customFormat="1">
      <c r="CF18495" s="239"/>
      <c r="CM18495" s="336"/>
    </row>
    <row r="18496" spans="84:91" s="51" customFormat="1">
      <c r="CF18496" s="239"/>
      <c r="CM18496" s="336"/>
    </row>
    <row r="18497" spans="84:91" s="51" customFormat="1">
      <c r="CF18497" s="239"/>
      <c r="CM18497" s="336"/>
    </row>
    <row r="18498" spans="84:91" s="51" customFormat="1">
      <c r="CF18498" s="239"/>
      <c r="CM18498" s="336"/>
    </row>
    <row r="18499" spans="84:91" s="51" customFormat="1">
      <c r="CF18499" s="239"/>
      <c r="CM18499" s="336"/>
    </row>
    <row r="18500" spans="84:91" s="51" customFormat="1">
      <c r="CF18500" s="239"/>
      <c r="CM18500" s="336"/>
    </row>
    <row r="18501" spans="84:91" s="51" customFormat="1">
      <c r="CF18501" s="239"/>
      <c r="CM18501" s="336"/>
    </row>
    <row r="18502" spans="84:91" s="51" customFormat="1">
      <c r="CF18502" s="239"/>
      <c r="CM18502" s="336"/>
    </row>
    <row r="18503" spans="84:91" s="51" customFormat="1">
      <c r="CF18503" s="239"/>
      <c r="CM18503" s="336"/>
    </row>
    <row r="18504" spans="84:91" s="51" customFormat="1">
      <c r="CF18504" s="239"/>
      <c r="CM18504" s="336"/>
    </row>
    <row r="18505" spans="84:91" s="51" customFormat="1">
      <c r="CF18505" s="239"/>
      <c r="CM18505" s="336"/>
    </row>
    <row r="18506" spans="84:91" s="51" customFormat="1">
      <c r="CF18506" s="239"/>
      <c r="CM18506" s="336"/>
    </row>
    <row r="18507" spans="84:91" s="51" customFormat="1">
      <c r="CF18507" s="239"/>
      <c r="CM18507" s="336"/>
    </row>
    <row r="18508" spans="84:91" s="51" customFormat="1">
      <c r="CF18508" s="239"/>
      <c r="CM18508" s="336"/>
    </row>
    <row r="18509" spans="84:91" s="51" customFormat="1">
      <c r="CF18509" s="239"/>
      <c r="CM18509" s="336"/>
    </row>
    <row r="18510" spans="84:91" s="51" customFormat="1">
      <c r="CF18510" s="239"/>
      <c r="CM18510" s="336"/>
    </row>
    <row r="18511" spans="84:91" s="51" customFormat="1">
      <c r="CF18511" s="239"/>
      <c r="CM18511" s="336"/>
    </row>
    <row r="18512" spans="84:91" s="51" customFormat="1">
      <c r="CF18512" s="239"/>
      <c r="CM18512" s="336"/>
    </row>
    <row r="18513" spans="84:91" s="51" customFormat="1">
      <c r="CF18513" s="239"/>
      <c r="CM18513" s="336"/>
    </row>
    <row r="18514" spans="84:91" s="51" customFormat="1">
      <c r="CF18514" s="239"/>
      <c r="CM18514" s="336"/>
    </row>
    <row r="18515" spans="84:91" s="51" customFormat="1">
      <c r="CF18515" s="239"/>
      <c r="CM18515" s="336"/>
    </row>
    <row r="18516" spans="84:91" s="51" customFormat="1">
      <c r="CF18516" s="239"/>
      <c r="CM18516" s="336"/>
    </row>
    <row r="18517" spans="84:91" s="51" customFormat="1">
      <c r="CF18517" s="239"/>
      <c r="CM18517" s="336"/>
    </row>
    <row r="18518" spans="84:91" s="51" customFormat="1">
      <c r="CF18518" s="239"/>
      <c r="CM18518" s="336"/>
    </row>
    <row r="18519" spans="84:91" s="51" customFormat="1">
      <c r="CF18519" s="239"/>
      <c r="CM18519" s="336"/>
    </row>
    <row r="18520" spans="84:91" s="51" customFormat="1">
      <c r="CF18520" s="239"/>
      <c r="CM18520" s="336"/>
    </row>
    <row r="18521" spans="84:91" s="51" customFormat="1">
      <c r="CF18521" s="239"/>
      <c r="CM18521" s="336"/>
    </row>
    <row r="18522" spans="84:91" s="51" customFormat="1">
      <c r="CF18522" s="239"/>
      <c r="CM18522" s="336"/>
    </row>
    <row r="18523" spans="84:91" s="51" customFormat="1">
      <c r="CF18523" s="239"/>
      <c r="CM18523" s="336"/>
    </row>
    <row r="18524" spans="84:91" s="51" customFormat="1">
      <c r="CF18524" s="239"/>
      <c r="CM18524" s="336"/>
    </row>
    <row r="18525" spans="84:91" s="51" customFormat="1">
      <c r="CF18525" s="239"/>
      <c r="CM18525" s="336"/>
    </row>
    <row r="18526" spans="84:91" s="51" customFormat="1">
      <c r="CF18526" s="239"/>
      <c r="CM18526" s="336"/>
    </row>
    <row r="18527" spans="84:91" s="51" customFormat="1">
      <c r="CF18527" s="239"/>
      <c r="CM18527" s="336"/>
    </row>
    <row r="18528" spans="84:91" s="51" customFormat="1">
      <c r="CF18528" s="239"/>
      <c r="CM18528" s="336"/>
    </row>
    <row r="18529" spans="84:91" s="51" customFormat="1">
      <c r="CF18529" s="239"/>
      <c r="CM18529" s="336"/>
    </row>
    <row r="18530" spans="84:91" s="51" customFormat="1">
      <c r="CF18530" s="239"/>
      <c r="CM18530" s="336"/>
    </row>
    <row r="18531" spans="84:91" s="51" customFormat="1">
      <c r="CF18531" s="239"/>
      <c r="CM18531" s="336"/>
    </row>
    <row r="18532" spans="84:91" s="51" customFormat="1">
      <c r="CF18532" s="239"/>
      <c r="CM18532" s="336"/>
    </row>
    <row r="18533" spans="84:91" s="51" customFormat="1">
      <c r="CF18533" s="239"/>
      <c r="CM18533" s="336"/>
    </row>
    <row r="18534" spans="84:91" s="51" customFormat="1">
      <c r="CF18534" s="239"/>
      <c r="CM18534" s="336"/>
    </row>
    <row r="18535" spans="84:91" s="51" customFormat="1">
      <c r="CF18535" s="239"/>
      <c r="CM18535" s="336"/>
    </row>
    <row r="18536" spans="84:91" s="51" customFormat="1">
      <c r="CF18536" s="239"/>
      <c r="CM18536" s="336"/>
    </row>
    <row r="18537" spans="84:91" s="51" customFormat="1">
      <c r="CF18537" s="239"/>
      <c r="CM18537" s="336"/>
    </row>
    <row r="18538" spans="84:91" s="51" customFormat="1">
      <c r="CF18538" s="239"/>
      <c r="CM18538" s="336"/>
    </row>
    <row r="18539" spans="84:91" s="51" customFormat="1">
      <c r="CF18539" s="239"/>
      <c r="CM18539" s="336"/>
    </row>
    <row r="18540" spans="84:91" s="51" customFormat="1">
      <c r="CF18540" s="239"/>
      <c r="CM18540" s="336"/>
    </row>
    <row r="18541" spans="84:91" s="51" customFormat="1">
      <c r="CF18541" s="239"/>
      <c r="CM18541" s="336"/>
    </row>
    <row r="18542" spans="84:91" s="51" customFormat="1">
      <c r="CF18542" s="239"/>
      <c r="CM18542" s="336"/>
    </row>
    <row r="18543" spans="84:91" s="51" customFormat="1">
      <c r="CF18543" s="239"/>
      <c r="CM18543" s="336"/>
    </row>
    <row r="18544" spans="84:91" s="51" customFormat="1">
      <c r="CF18544" s="239"/>
      <c r="CM18544" s="336"/>
    </row>
    <row r="18545" spans="84:91" s="51" customFormat="1">
      <c r="CF18545" s="239"/>
      <c r="CM18545" s="336"/>
    </row>
    <row r="18546" spans="84:91" s="51" customFormat="1">
      <c r="CF18546" s="239"/>
      <c r="CM18546" s="336"/>
    </row>
    <row r="18547" spans="84:91" s="51" customFormat="1">
      <c r="CF18547" s="239"/>
      <c r="CM18547" s="336"/>
    </row>
    <row r="18548" spans="84:91" s="51" customFormat="1">
      <c r="CF18548" s="239"/>
      <c r="CM18548" s="336"/>
    </row>
    <row r="18549" spans="84:91" s="51" customFormat="1">
      <c r="CF18549" s="239"/>
      <c r="CM18549" s="336"/>
    </row>
    <row r="18550" spans="84:91" s="51" customFormat="1">
      <c r="CF18550" s="239"/>
      <c r="CM18550" s="336"/>
    </row>
    <row r="18551" spans="84:91" s="51" customFormat="1">
      <c r="CF18551" s="239"/>
      <c r="CM18551" s="336"/>
    </row>
    <row r="18552" spans="84:91" s="51" customFormat="1">
      <c r="CF18552" s="239"/>
      <c r="CM18552" s="336"/>
    </row>
    <row r="18553" spans="84:91" s="51" customFormat="1">
      <c r="CF18553" s="239"/>
      <c r="CM18553" s="336"/>
    </row>
    <row r="18554" spans="84:91" s="51" customFormat="1">
      <c r="CF18554" s="239"/>
      <c r="CM18554" s="336"/>
    </row>
    <row r="18555" spans="84:91" s="51" customFormat="1">
      <c r="CF18555" s="239"/>
      <c r="CM18555" s="336"/>
    </row>
    <row r="18556" spans="84:91" s="51" customFormat="1">
      <c r="CF18556" s="239"/>
      <c r="CM18556" s="336"/>
    </row>
    <row r="18557" spans="84:91" s="51" customFormat="1">
      <c r="CF18557" s="239"/>
      <c r="CM18557" s="336"/>
    </row>
    <row r="18558" spans="84:91" s="51" customFormat="1">
      <c r="CF18558" s="239"/>
      <c r="CM18558" s="336"/>
    </row>
    <row r="18559" spans="84:91" s="51" customFormat="1">
      <c r="CF18559" s="239"/>
      <c r="CM18559" s="336"/>
    </row>
    <row r="18560" spans="84:91" s="51" customFormat="1">
      <c r="CF18560" s="239"/>
      <c r="CM18560" s="336"/>
    </row>
    <row r="18561" spans="84:91" s="51" customFormat="1">
      <c r="CF18561" s="239"/>
      <c r="CM18561" s="336"/>
    </row>
    <row r="18562" spans="84:91" s="51" customFormat="1">
      <c r="CF18562" s="239"/>
      <c r="CM18562" s="336"/>
    </row>
    <row r="18563" spans="84:91" s="51" customFormat="1">
      <c r="CF18563" s="239"/>
      <c r="CM18563" s="336"/>
    </row>
    <row r="18564" spans="84:91" s="51" customFormat="1">
      <c r="CF18564" s="239"/>
      <c r="CM18564" s="336"/>
    </row>
    <row r="18565" spans="84:91" s="51" customFormat="1">
      <c r="CF18565" s="239"/>
      <c r="CM18565" s="336"/>
    </row>
    <row r="18566" spans="84:91" s="51" customFormat="1">
      <c r="CF18566" s="239"/>
      <c r="CM18566" s="336"/>
    </row>
    <row r="18567" spans="84:91" s="51" customFormat="1">
      <c r="CF18567" s="239"/>
      <c r="CM18567" s="336"/>
    </row>
    <row r="18568" spans="84:91" s="51" customFormat="1">
      <c r="CF18568" s="239"/>
      <c r="CM18568" s="336"/>
    </row>
    <row r="18569" spans="84:91" s="51" customFormat="1">
      <c r="CF18569" s="239"/>
      <c r="CM18569" s="336"/>
    </row>
    <row r="18570" spans="84:91" s="51" customFormat="1">
      <c r="CF18570" s="239"/>
      <c r="CM18570" s="336"/>
    </row>
    <row r="18571" spans="84:91" s="51" customFormat="1">
      <c r="CF18571" s="239"/>
      <c r="CM18571" s="336"/>
    </row>
    <row r="18572" spans="84:91" s="51" customFormat="1">
      <c r="CF18572" s="239"/>
      <c r="CM18572" s="336"/>
    </row>
    <row r="18573" spans="84:91" s="51" customFormat="1">
      <c r="CF18573" s="239"/>
      <c r="CM18573" s="336"/>
    </row>
    <row r="18574" spans="84:91" s="51" customFormat="1">
      <c r="CF18574" s="239"/>
      <c r="CM18574" s="336"/>
    </row>
    <row r="18575" spans="84:91" s="51" customFormat="1">
      <c r="CF18575" s="239"/>
      <c r="CM18575" s="336"/>
    </row>
    <row r="18576" spans="84:91" s="51" customFormat="1">
      <c r="CF18576" s="239"/>
      <c r="CM18576" s="336"/>
    </row>
    <row r="18577" spans="84:91" s="51" customFormat="1">
      <c r="CF18577" s="239"/>
      <c r="CM18577" s="336"/>
    </row>
    <row r="18578" spans="84:91" s="51" customFormat="1">
      <c r="CF18578" s="239"/>
      <c r="CM18578" s="336"/>
    </row>
    <row r="18579" spans="84:91" s="51" customFormat="1">
      <c r="CF18579" s="239"/>
      <c r="CM18579" s="336"/>
    </row>
    <row r="18580" spans="84:91" s="51" customFormat="1">
      <c r="CF18580" s="239"/>
      <c r="CM18580" s="336"/>
    </row>
    <row r="18581" spans="84:91" s="51" customFormat="1">
      <c r="CF18581" s="239"/>
      <c r="CM18581" s="336"/>
    </row>
    <row r="18582" spans="84:91" s="51" customFormat="1">
      <c r="CF18582" s="239"/>
      <c r="CM18582" s="336"/>
    </row>
    <row r="18583" spans="84:91" s="51" customFormat="1">
      <c r="CF18583" s="239"/>
      <c r="CM18583" s="336"/>
    </row>
    <row r="18584" spans="84:91" s="51" customFormat="1">
      <c r="CF18584" s="239"/>
      <c r="CM18584" s="336"/>
    </row>
    <row r="18585" spans="84:91" s="51" customFormat="1">
      <c r="CF18585" s="239"/>
      <c r="CM18585" s="336"/>
    </row>
    <row r="18586" spans="84:91" s="51" customFormat="1">
      <c r="CF18586" s="239"/>
      <c r="CM18586" s="336"/>
    </row>
    <row r="18587" spans="84:91" s="51" customFormat="1">
      <c r="CF18587" s="239"/>
      <c r="CM18587" s="336"/>
    </row>
    <row r="18588" spans="84:91" s="51" customFormat="1">
      <c r="CF18588" s="239"/>
      <c r="CM18588" s="336"/>
    </row>
    <row r="18589" spans="84:91" s="51" customFormat="1">
      <c r="CF18589" s="239"/>
      <c r="CM18589" s="336"/>
    </row>
    <row r="18590" spans="84:91" s="51" customFormat="1">
      <c r="CF18590" s="239"/>
      <c r="CM18590" s="336"/>
    </row>
    <row r="18591" spans="84:91" s="51" customFormat="1">
      <c r="CF18591" s="239"/>
      <c r="CM18591" s="336"/>
    </row>
    <row r="18592" spans="84:91" s="51" customFormat="1">
      <c r="CF18592" s="239"/>
      <c r="CM18592" s="336"/>
    </row>
    <row r="18593" spans="84:91" s="51" customFormat="1">
      <c r="CF18593" s="239"/>
      <c r="CM18593" s="336"/>
    </row>
    <row r="18594" spans="84:91" s="51" customFormat="1">
      <c r="CF18594" s="239"/>
      <c r="CM18594" s="336"/>
    </row>
    <row r="18595" spans="84:91" s="51" customFormat="1">
      <c r="CF18595" s="239"/>
      <c r="CM18595" s="336"/>
    </row>
    <row r="18596" spans="84:91" s="51" customFormat="1">
      <c r="CF18596" s="239"/>
      <c r="CM18596" s="336"/>
    </row>
    <row r="18597" spans="84:91" s="51" customFormat="1">
      <c r="CF18597" s="239"/>
      <c r="CM18597" s="336"/>
    </row>
    <row r="18598" spans="84:91" s="51" customFormat="1">
      <c r="CF18598" s="239"/>
      <c r="CM18598" s="336"/>
    </row>
    <row r="18599" spans="84:91" s="51" customFormat="1">
      <c r="CF18599" s="239"/>
      <c r="CM18599" s="336"/>
    </row>
    <row r="18600" spans="84:91" s="51" customFormat="1">
      <c r="CF18600" s="239"/>
      <c r="CM18600" s="336"/>
    </row>
    <row r="18601" spans="84:91" s="51" customFormat="1">
      <c r="CF18601" s="239"/>
      <c r="CM18601" s="336"/>
    </row>
    <row r="18602" spans="84:91" s="51" customFormat="1">
      <c r="CF18602" s="239"/>
      <c r="CM18602" s="336"/>
    </row>
    <row r="18603" spans="84:91" s="51" customFormat="1">
      <c r="CF18603" s="239"/>
      <c r="CM18603" s="336"/>
    </row>
    <row r="18604" spans="84:91" s="51" customFormat="1">
      <c r="CF18604" s="239"/>
      <c r="CM18604" s="336"/>
    </row>
    <row r="18605" spans="84:91" s="51" customFormat="1">
      <c r="CF18605" s="239"/>
      <c r="CM18605" s="336"/>
    </row>
    <row r="18606" spans="84:91" s="51" customFormat="1">
      <c r="CF18606" s="239"/>
      <c r="CM18606" s="336"/>
    </row>
    <row r="18607" spans="84:91" s="51" customFormat="1">
      <c r="CF18607" s="239"/>
      <c r="CM18607" s="336"/>
    </row>
    <row r="18608" spans="84:91" s="51" customFormat="1">
      <c r="CF18608" s="239"/>
      <c r="CM18608" s="336"/>
    </row>
    <row r="18609" spans="84:91" s="51" customFormat="1">
      <c r="CF18609" s="239"/>
      <c r="CM18609" s="336"/>
    </row>
    <row r="18610" spans="84:91" s="51" customFormat="1">
      <c r="CF18610" s="239"/>
      <c r="CM18610" s="336"/>
    </row>
    <row r="18611" spans="84:91" s="51" customFormat="1">
      <c r="CF18611" s="239"/>
      <c r="CM18611" s="336"/>
    </row>
    <row r="18612" spans="84:91" s="51" customFormat="1">
      <c r="CF18612" s="239"/>
      <c r="CM18612" s="336"/>
    </row>
    <row r="18613" spans="84:91" s="51" customFormat="1">
      <c r="CF18613" s="239"/>
      <c r="CM18613" s="336"/>
    </row>
    <row r="18614" spans="84:91" s="51" customFormat="1">
      <c r="CF18614" s="239"/>
      <c r="CM18614" s="336"/>
    </row>
    <row r="18615" spans="84:91" s="51" customFormat="1">
      <c r="CF18615" s="239"/>
      <c r="CM18615" s="336"/>
    </row>
    <row r="18616" spans="84:91" s="51" customFormat="1">
      <c r="CF18616" s="239"/>
      <c r="CM18616" s="336"/>
    </row>
    <row r="18617" spans="84:91" s="51" customFormat="1">
      <c r="CF18617" s="239"/>
      <c r="CM18617" s="336"/>
    </row>
    <row r="18618" spans="84:91" s="51" customFormat="1">
      <c r="CF18618" s="239"/>
      <c r="CM18618" s="336"/>
    </row>
    <row r="18619" spans="84:91" s="51" customFormat="1">
      <c r="CF18619" s="239"/>
      <c r="CM18619" s="336"/>
    </row>
    <row r="18620" spans="84:91" s="51" customFormat="1">
      <c r="CF18620" s="239"/>
      <c r="CM18620" s="336"/>
    </row>
    <row r="18621" spans="84:91" s="51" customFormat="1">
      <c r="CF18621" s="239"/>
      <c r="CM18621" s="336"/>
    </row>
    <row r="18622" spans="84:91" s="51" customFormat="1">
      <c r="CF18622" s="239"/>
      <c r="CM18622" s="336"/>
    </row>
    <row r="18623" spans="84:91" s="51" customFormat="1">
      <c r="CF18623" s="239"/>
      <c r="CM18623" s="336"/>
    </row>
    <row r="18624" spans="84:91" s="51" customFormat="1">
      <c r="CF18624" s="239"/>
      <c r="CM18624" s="336"/>
    </row>
    <row r="18625" spans="84:91" s="51" customFormat="1">
      <c r="CF18625" s="239"/>
      <c r="CM18625" s="336"/>
    </row>
    <row r="18626" spans="84:91" s="51" customFormat="1">
      <c r="CF18626" s="239"/>
      <c r="CM18626" s="336"/>
    </row>
    <row r="18627" spans="84:91" s="51" customFormat="1">
      <c r="CF18627" s="239"/>
      <c r="CM18627" s="336"/>
    </row>
    <row r="18628" spans="84:91" s="51" customFormat="1">
      <c r="CF18628" s="239"/>
      <c r="CM18628" s="336"/>
    </row>
    <row r="18629" spans="84:91" s="51" customFormat="1">
      <c r="CF18629" s="239"/>
      <c r="CM18629" s="336"/>
    </row>
    <row r="18630" spans="84:91" s="51" customFormat="1">
      <c r="CF18630" s="239"/>
      <c r="CM18630" s="336"/>
    </row>
    <row r="18631" spans="84:91" s="51" customFormat="1">
      <c r="CF18631" s="239"/>
      <c r="CM18631" s="336"/>
    </row>
    <row r="18632" spans="84:91" s="51" customFormat="1">
      <c r="CF18632" s="239"/>
      <c r="CM18632" s="336"/>
    </row>
    <row r="18633" spans="84:91" s="51" customFormat="1">
      <c r="CF18633" s="239"/>
      <c r="CM18633" s="336"/>
    </row>
    <row r="18634" spans="84:91" s="51" customFormat="1">
      <c r="CF18634" s="239"/>
      <c r="CM18634" s="336"/>
    </row>
    <row r="18635" spans="84:91" s="51" customFormat="1">
      <c r="CF18635" s="239"/>
      <c r="CM18635" s="336"/>
    </row>
    <row r="18636" spans="84:91" s="51" customFormat="1">
      <c r="CF18636" s="239"/>
      <c r="CM18636" s="336"/>
    </row>
    <row r="18637" spans="84:91" s="51" customFormat="1">
      <c r="CF18637" s="239"/>
      <c r="CM18637" s="336"/>
    </row>
    <row r="18638" spans="84:91" s="51" customFormat="1">
      <c r="CF18638" s="239"/>
      <c r="CM18638" s="336"/>
    </row>
    <row r="18639" spans="84:91" s="51" customFormat="1">
      <c r="CF18639" s="239"/>
      <c r="CM18639" s="336"/>
    </row>
    <row r="18640" spans="84:91" s="51" customFormat="1">
      <c r="CF18640" s="239"/>
      <c r="CM18640" s="336"/>
    </row>
    <row r="18641" spans="84:91" s="51" customFormat="1">
      <c r="CF18641" s="239"/>
      <c r="CM18641" s="336"/>
    </row>
    <row r="18642" spans="84:91" s="51" customFormat="1">
      <c r="CF18642" s="239"/>
      <c r="CM18642" s="336"/>
    </row>
    <row r="18643" spans="84:91" s="51" customFormat="1">
      <c r="CF18643" s="239"/>
      <c r="CM18643" s="336"/>
    </row>
    <row r="18644" spans="84:91" s="51" customFormat="1">
      <c r="CF18644" s="239"/>
      <c r="CM18644" s="336"/>
    </row>
    <row r="18645" spans="84:91" s="51" customFormat="1">
      <c r="CF18645" s="239"/>
      <c r="CM18645" s="336"/>
    </row>
    <row r="18646" spans="84:91" s="51" customFormat="1">
      <c r="CF18646" s="239"/>
      <c r="CM18646" s="336"/>
    </row>
    <row r="18647" spans="84:91" s="51" customFormat="1">
      <c r="CF18647" s="239"/>
      <c r="CM18647" s="336"/>
    </row>
    <row r="18648" spans="84:91" s="51" customFormat="1">
      <c r="CF18648" s="239"/>
      <c r="CM18648" s="336"/>
    </row>
    <row r="18649" spans="84:91" s="51" customFormat="1">
      <c r="CF18649" s="239"/>
      <c r="CM18649" s="336"/>
    </row>
    <row r="18650" spans="84:91" s="51" customFormat="1">
      <c r="CF18650" s="239"/>
      <c r="CM18650" s="336"/>
    </row>
    <row r="18651" spans="84:91" s="51" customFormat="1">
      <c r="CF18651" s="239"/>
      <c r="CM18651" s="336"/>
    </row>
    <row r="18652" spans="84:91" s="51" customFormat="1">
      <c r="CF18652" s="239"/>
      <c r="CM18652" s="336"/>
    </row>
    <row r="18653" spans="84:91" s="51" customFormat="1">
      <c r="CF18653" s="239"/>
      <c r="CM18653" s="336"/>
    </row>
    <row r="18654" spans="84:91" s="51" customFormat="1">
      <c r="CF18654" s="239"/>
      <c r="CM18654" s="336"/>
    </row>
    <row r="18655" spans="84:91" s="51" customFormat="1">
      <c r="CF18655" s="239"/>
      <c r="CM18655" s="336"/>
    </row>
    <row r="18656" spans="84:91" s="51" customFormat="1">
      <c r="CF18656" s="239"/>
      <c r="CM18656" s="336"/>
    </row>
    <row r="18657" spans="84:91" s="51" customFormat="1">
      <c r="CF18657" s="239"/>
      <c r="CM18657" s="336"/>
    </row>
    <row r="18658" spans="84:91" s="51" customFormat="1">
      <c r="CF18658" s="239"/>
      <c r="CM18658" s="336"/>
    </row>
    <row r="18659" spans="84:91" s="51" customFormat="1">
      <c r="CF18659" s="239"/>
      <c r="CM18659" s="336"/>
    </row>
    <row r="18660" spans="84:91" s="51" customFormat="1">
      <c r="CF18660" s="239"/>
      <c r="CM18660" s="336"/>
    </row>
    <row r="18661" spans="84:91" s="51" customFormat="1">
      <c r="CF18661" s="239"/>
      <c r="CM18661" s="336"/>
    </row>
    <row r="18662" spans="84:91" s="51" customFormat="1">
      <c r="CF18662" s="239"/>
      <c r="CM18662" s="336"/>
    </row>
    <row r="18663" spans="84:91" s="51" customFormat="1">
      <c r="CF18663" s="239"/>
      <c r="CM18663" s="336"/>
    </row>
    <row r="18664" spans="84:91" s="51" customFormat="1">
      <c r="CF18664" s="239"/>
      <c r="CM18664" s="336"/>
    </row>
    <row r="18665" spans="84:91" s="51" customFormat="1">
      <c r="CF18665" s="239"/>
      <c r="CM18665" s="336"/>
    </row>
    <row r="18666" spans="84:91" s="51" customFormat="1">
      <c r="CF18666" s="239"/>
      <c r="CM18666" s="336"/>
    </row>
    <row r="18667" spans="84:91" s="51" customFormat="1">
      <c r="CF18667" s="239"/>
      <c r="CM18667" s="336"/>
    </row>
    <row r="18668" spans="84:91" s="51" customFormat="1">
      <c r="CF18668" s="239"/>
      <c r="CM18668" s="336"/>
    </row>
    <row r="18669" spans="84:91" s="51" customFormat="1">
      <c r="CF18669" s="239"/>
      <c r="CM18669" s="336"/>
    </row>
    <row r="18670" spans="84:91" s="51" customFormat="1">
      <c r="CF18670" s="239"/>
      <c r="CM18670" s="336"/>
    </row>
    <row r="18671" spans="84:91" s="51" customFormat="1">
      <c r="CF18671" s="239"/>
      <c r="CM18671" s="336"/>
    </row>
    <row r="18672" spans="84:91" s="51" customFormat="1">
      <c r="CF18672" s="239"/>
      <c r="CM18672" s="336"/>
    </row>
    <row r="18673" spans="84:91" s="51" customFormat="1">
      <c r="CF18673" s="239"/>
      <c r="CM18673" s="336"/>
    </row>
    <row r="18674" spans="84:91" s="51" customFormat="1">
      <c r="CF18674" s="239"/>
      <c r="CM18674" s="336"/>
    </row>
    <row r="18675" spans="84:91" s="51" customFormat="1">
      <c r="CF18675" s="239"/>
      <c r="CM18675" s="336"/>
    </row>
    <row r="18676" spans="84:91" s="51" customFormat="1">
      <c r="CF18676" s="239"/>
      <c r="CM18676" s="336"/>
    </row>
    <row r="18677" spans="84:91" s="51" customFormat="1">
      <c r="CF18677" s="239"/>
      <c r="CM18677" s="336"/>
    </row>
    <row r="18678" spans="84:91" s="51" customFormat="1">
      <c r="CF18678" s="239"/>
      <c r="CM18678" s="336"/>
    </row>
    <row r="18679" spans="84:91" s="51" customFormat="1">
      <c r="CF18679" s="239"/>
      <c r="CM18679" s="336"/>
    </row>
    <row r="18680" spans="84:91" s="51" customFormat="1">
      <c r="CF18680" s="239"/>
      <c r="CM18680" s="336"/>
    </row>
    <row r="18681" spans="84:91" s="51" customFormat="1">
      <c r="CF18681" s="239"/>
      <c r="CM18681" s="336"/>
    </row>
    <row r="18682" spans="84:91" s="51" customFormat="1">
      <c r="CF18682" s="239"/>
      <c r="CM18682" s="336"/>
    </row>
    <row r="18683" spans="84:91" s="51" customFormat="1">
      <c r="CF18683" s="239"/>
      <c r="CM18683" s="336"/>
    </row>
    <row r="18684" spans="84:91" s="51" customFormat="1">
      <c r="CF18684" s="239"/>
      <c r="CM18684" s="336"/>
    </row>
    <row r="18685" spans="84:91" s="51" customFormat="1">
      <c r="CF18685" s="239"/>
      <c r="CM18685" s="336"/>
    </row>
    <row r="18686" spans="84:91" s="51" customFormat="1">
      <c r="CF18686" s="239"/>
      <c r="CM18686" s="336"/>
    </row>
    <row r="18687" spans="84:91" s="51" customFormat="1">
      <c r="CF18687" s="239"/>
      <c r="CM18687" s="336"/>
    </row>
    <row r="18688" spans="84:91" s="51" customFormat="1">
      <c r="CF18688" s="239"/>
      <c r="CM18688" s="336"/>
    </row>
    <row r="18689" spans="84:91" s="51" customFormat="1">
      <c r="CF18689" s="239"/>
      <c r="CM18689" s="336"/>
    </row>
    <row r="18690" spans="84:91" s="51" customFormat="1">
      <c r="CF18690" s="239"/>
      <c r="CM18690" s="336"/>
    </row>
    <row r="18691" spans="84:91" s="51" customFormat="1">
      <c r="CF18691" s="239"/>
      <c r="CM18691" s="336"/>
    </row>
    <row r="18692" spans="84:91" s="51" customFormat="1">
      <c r="CF18692" s="239"/>
      <c r="CM18692" s="336"/>
    </row>
    <row r="18693" spans="84:91" s="51" customFormat="1">
      <c r="CF18693" s="239"/>
      <c r="CM18693" s="336"/>
    </row>
    <row r="18694" spans="84:91" s="51" customFormat="1">
      <c r="CF18694" s="239"/>
      <c r="CM18694" s="336"/>
    </row>
    <row r="18695" spans="84:91" s="51" customFormat="1">
      <c r="CF18695" s="239"/>
      <c r="CM18695" s="336"/>
    </row>
    <row r="18696" spans="84:91" s="51" customFormat="1">
      <c r="CF18696" s="239"/>
      <c r="CM18696" s="336"/>
    </row>
    <row r="18697" spans="84:91" s="51" customFormat="1">
      <c r="CF18697" s="239"/>
      <c r="CM18697" s="336"/>
    </row>
    <row r="18698" spans="84:91" s="51" customFormat="1">
      <c r="CF18698" s="239"/>
      <c r="CM18698" s="336"/>
    </row>
    <row r="18699" spans="84:91" s="51" customFormat="1">
      <c r="CF18699" s="239"/>
      <c r="CM18699" s="336"/>
    </row>
    <row r="18700" spans="84:91" s="51" customFormat="1">
      <c r="CF18700" s="239"/>
      <c r="CM18700" s="336"/>
    </row>
    <row r="18701" spans="84:91" s="51" customFormat="1">
      <c r="CF18701" s="239"/>
      <c r="CM18701" s="336"/>
    </row>
    <row r="18702" spans="84:91" s="51" customFormat="1">
      <c r="CF18702" s="239"/>
      <c r="CM18702" s="336"/>
    </row>
    <row r="18703" spans="84:91" s="51" customFormat="1">
      <c r="CF18703" s="239"/>
      <c r="CM18703" s="336"/>
    </row>
    <row r="18704" spans="84:91" s="51" customFormat="1">
      <c r="CF18704" s="239"/>
      <c r="CM18704" s="336"/>
    </row>
    <row r="18705" spans="84:91" s="51" customFormat="1">
      <c r="CF18705" s="239"/>
      <c r="CM18705" s="336"/>
    </row>
    <row r="18706" spans="84:91" s="51" customFormat="1">
      <c r="CF18706" s="239"/>
      <c r="CM18706" s="336"/>
    </row>
    <row r="18707" spans="84:91" s="51" customFormat="1">
      <c r="CF18707" s="239"/>
      <c r="CM18707" s="336"/>
    </row>
    <row r="18708" spans="84:91" s="51" customFormat="1">
      <c r="CF18708" s="239"/>
      <c r="CM18708" s="336"/>
    </row>
    <row r="18709" spans="84:91" s="51" customFormat="1">
      <c r="CF18709" s="239"/>
      <c r="CM18709" s="336"/>
    </row>
    <row r="18710" spans="84:91" s="51" customFormat="1">
      <c r="CF18710" s="239"/>
      <c r="CM18710" s="336"/>
    </row>
    <row r="18711" spans="84:91" s="51" customFormat="1">
      <c r="CF18711" s="239"/>
      <c r="CM18711" s="336"/>
    </row>
    <row r="18712" spans="84:91" s="51" customFormat="1">
      <c r="CF18712" s="239"/>
      <c r="CM18712" s="336"/>
    </row>
    <row r="18713" spans="84:91" s="51" customFormat="1">
      <c r="CF18713" s="239"/>
      <c r="CM18713" s="336"/>
    </row>
    <row r="18714" spans="84:91" s="51" customFormat="1">
      <c r="CF18714" s="239"/>
      <c r="CM18714" s="336"/>
    </row>
    <row r="18715" spans="84:91" s="51" customFormat="1">
      <c r="CF18715" s="239"/>
      <c r="CM18715" s="336"/>
    </row>
    <row r="18716" spans="84:91" s="51" customFormat="1">
      <c r="CF18716" s="239"/>
      <c r="CM18716" s="336"/>
    </row>
    <row r="18717" spans="84:91" s="51" customFormat="1">
      <c r="CF18717" s="239"/>
      <c r="CM18717" s="336"/>
    </row>
    <row r="18718" spans="84:91" s="51" customFormat="1">
      <c r="CF18718" s="239"/>
      <c r="CM18718" s="336"/>
    </row>
    <row r="18719" spans="84:91" s="51" customFormat="1">
      <c r="CF18719" s="239"/>
      <c r="CM18719" s="336"/>
    </row>
    <row r="18720" spans="84:91" s="51" customFormat="1">
      <c r="CF18720" s="239"/>
      <c r="CM18720" s="336"/>
    </row>
    <row r="18721" spans="84:91" s="51" customFormat="1">
      <c r="CF18721" s="239"/>
      <c r="CM18721" s="336"/>
    </row>
    <row r="18722" spans="84:91" s="51" customFormat="1">
      <c r="CF18722" s="239"/>
      <c r="CM18722" s="336"/>
    </row>
    <row r="18723" spans="84:91" s="51" customFormat="1">
      <c r="CF18723" s="239"/>
      <c r="CM18723" s="336"/>
    </row>
    <row r="18724" spans="84:91" s="51" customFormat="1">
      <c r="CF18724" s="239"/>
      <c r="CM18724" s="336"/>
    </row>
    <row r="18725" spans="84:91" s="51" customFormat="1">
      <c r="CF18725" s="239"/>
      <c r="CM18725" s="336"/>
    </row>
    <row r="18726" spans="84:91" s="51" customFormat="1">
      <c r="CF18726" s="239"/>
      <c r="CM18726" s="336"/>
    </row>
    <row r="18727" spans="84:91" s="51" customFormat="1">
      <c r="CF18727" s="239"/>
      <c r="CM18727" s="336"/>
    </row>
    <row r="18728" spans="84:91" s="51" customFormat="1">
      <c r="CF18728" s="239"/>
      <c r="CM18728" s="336"/>
    </row>
    <row r="18729" spans="84:91" s="51" customFormat="1">
      <c r="CF18729" s="239"/>
      <c r="CM18729" s="336"/>
    </row>
    <row r="18730" spans="84:91" s="51" customFormat="1">
      <c r="CF18730" s="239"/>
      <c r="CM18730" s="336"/>
    </row>
    <row r="18731" spans="84:91" s="51" customFormat="1">
      <c r="CF18731" s="239"/>
      <c r="CM18731" s="336"/>
    </row>
    <row r="18732" spans="84:91" s="51" customFormat="1">
      <c r="CF18732" s="239"/>
      <c r="CM18732" s="336"/>
    </row>
    <row r="18733" spans="84:91" s="51" customFormat="1">
      <c r="CF18733" s="239"/>
      <c r="CM18733" s="336"/>
    </row>
    <row r="18734" spans="84:91" s="51" customFormat="1">
      <c r="CF18734" s="239"/>
      <c r="CM18734" s="336"/>
    </row>
    <row r="18735" spans="84:91" s="51" customFormat="1">
      <c r="CF18735" s="239"/>
      <c r="CM18735" s="336"/>
    </row>
    <row r="18736" spans="84:91" s="51" customFormat="1">
      <c r="CF18736" s="239"/>
      <c r="CM18736" s="336"/>
    </row>
    <row r="18737" spans="84:91" s="51" customFormat="1">
      <c r="CF18737" s="239"/>
      <c r="CM18737" s="336"/>
    </row>
    <row r="18738" spans="84:91" s="51" customFormat="1">
      <c r="CF18738" s="239"/>
      <c r="CM18738" s="336"/>
    </row>
    <row r="18739" spans="84:91" s="51" customFormat="1">
      <c r="CF18739" s="239"/>
      <c r="CM18739" s="336"/>
    </row>
    <row r="18740" spans="84:91" s="51" customFormat="1">
      <c r="CF18740" s="239"/>
      <c r="CM18740" s="336"/>
    </row>
    <row r="18741" spans="84:91" s="51" customFormat="1">
      <c r="CF18741" s="239"/>
      <c r="CM18741" s="336"/>
    </row>
    <row r="18742" spans="84:91" s="51" customFormat="1">
      <c r="CF18742" s="239"/>
      <c r="CM18742" s="336"/>
    </row>
    <row r="18743" spans="84:91" s="51" customFormat="1">
      <c r="CF18743" s="239"/>
      <c r="CM18743" s="336"/>
    </row>
    <row r="18744" spans="84:91" s="51" customFormat="1">
      <c r="CF18744" s="239"/>
      <c r="CM18744" s="336"/>
    </row>
    <row r="18745" spans="84:91" s="51" customFormat="1">
      <c r="CF18745" s="239"/>
      <c r="CM18745" s="336"/>
    </row>
    <row r="18746" spans="84:91" s="51" customFormat="1">
      <c r="CF18746" s="239"/>
      <c r="CM18746" s="336"/>
    </row>
    <row r="18747" spans="84:91" s="51" customFormat="1">
      <c r="CF18747" s="239"/>
      <c r="CM18747" s="336"/>
    </row>
    <row r="18748" spans="84:91" s="51" customFormat="1">
      <c r="CF18748" s="239"/>
      <c r="CM18748" s="336"/>
    </row>
    <row r="18749" spans="84:91" s="51" customFormat="1">
      <c r="CF18749" s="239"/>
      <c r="CM18749" s="336"/>
    </row>
    <row r="18750" spans="84:91" s="51" customFormat="1">
      <c r="CF18750" s="239"/>
      <c r="CM18750" s="336"/>
    </row>
    <row r="18751" spans="84:91" s="51" customFormat="1">
      <c r="CF18751" s="239"/>
      <c r="CM18751" s="336"/>
    </row>
    <row r="18752" spans="84:91" s="51" customFormat="1">
      <c r="CF18752" s="239"/>
      <c r="CM18752" s="336"/>
    </row>
    <row r="18753" spans="84:91" s="51" customFormat="1">
      <c r="CF18753" s="239"/>
      <c r="CM18753" s="336"/>
    </row>
    <row r="18754" spans="84:91" s="51" customFormat="1">
      <c r="CF18754" s="239"/>
      <c r="CM18754" s="336"/>
    </row>
    <row r="18755" spans="84:91" s="51" customFormat="1">
      <c r="CF18755" s="239"/>
      <c r="CM18755" s="336"/>
    </row>
    <row r="18756" spans="84:91" s="51" customFormat="1">
      <c r="CF18756" s="239"/>
      <c r="CM18756" s="336"/>
    </row>
    <row r="18757" spans="84:91" s="51" customFormat="1">
      <c r="CF18757" s="239"/>
      <c r="CM18757" s="336"/>
    </row>
    <row r="18758" spans="84:91" s="51" customFormat="1">
      <c r="CF18758" s="239"/>
      <c r="CM18758" s="336"/>
    </row>
    <row r="18759" spans="84:91" s="51" customFormat="1">
      <c r="CF18759" s="239"/>
      <c r="CM18759" s="336"/>
    </row>
    <row r="18760" spans="84:91" s="51" customFormat="1">
      <c r="CF18760" s="239"/>
      <c r="CM18760" s="336"/>
    </row>
    <row r="18761" spans="84:91" s="51" customFormat="1">
      <c r="CF18761" s="239"/>
      <c r="CM18761" s="336"/>
    </row>
    <row r="18762" spans="84:91" s="51" customFormat="1">
      <c r="CF18762" s="239"/>
      <c r="CM18762" s="336"/>
    </row>
    <row r="18763" spans="84:91" s="51" customFormat="1">
      <c r="CF18763" s="239"/>
      <c r="CM18763" s="336"/>
    </row>
    <row r="18764" spans="84:91" s="51" customFormat="1">
      <c r="CF18764" s="239"/>
      <c r="CM18764" s="336"/>
    </row>
    <row r="18765" spans="84:91" s="51" customFormat="1">
      <c r="CF18765" s="239"/>
      <c r="CM18765" s="336"/>
    </row>
    <row r="18766" spans="84:91" s="51" customFormat="1">
      <c r="CF18766" s="239"/>
      <c r="CM18766" s="336"/>
    </row>
    <row r="18767" spans="84:91" s="51" customFormat="1">
      <c r="CF18767" s="239"/>
      <c r="CM18767" s="336"/>
    </row>
    <row r="18768" spans="84:91" s="51" customFormat="1">
      <c r="CF18768" s="239"/>
      <c r="CM18768" s="336"/>
    </row>
    <row r="18769" spans="84:91" s="51" customFormat="1">
      <c r="CF18769" s="239"/>
      <c r="CM18769" s="336"/>
    </row>
    <row r="18770" spans="84:91" s="51" customFormat="1">
      <c r="CF18770" s="239"/>
      <c r="CM18770" s="336"/>
    </row>
    <row r="18771" spans="84:91" s="51" customFormat="1">
      <c r="CF18771" s="239"/>
      <c r="CM18771" s="336"/>
    </row>
    <row r="18772" spans="84:91" s="51" customFormat="1">
      <c r="CF18772" s="239"/>
      <c r="CM18772" s="336"/>
    </row>
    <row r="18773" spans="84:91" s="51" customFormat="1">
      <c r="CF18773" s="239"/>
      <c r="CM18773" s="336"/>
    </row>
    <row r="18774" spans="84:91" s="51" customFormat="1">
      <c r="CF18774" s="239"/>
      <c r="CM18774" s="336"/>
    </row>
    <row r="18775" spans="84:91" s="51" customFormat="1">
      <c r="CF18775" s="239"/>
      <c r="CM18775" s="336"/>
    </row>
    <row r="18776" spans="84:91" s="51" customFormat="1">
      <c r="CF18776" s="239"/>
      <c r="CM18776" s="336"/>
    </row>
    <row r="18777" spans="84:91" s="51" customFormat="1">
      <c r="CF18777" s="239"/>
      <c r="CM18777" s="336"/>
    </row>
    <row r="18778" spans="84:91" s="51" customFormat="1">
      <c r="CF18778" s="239"/>
      <c r="CM18778" s="336"/>
    </row>
    <row r="18779" spans="84:91" s="51" customFormat="1">
      <c r="CF18779" s="239"/>
      <c r="CM18779" s="336"/>
    </row>
    <row r="18780" spans="84:91" s="51" customFormat="1">
      <c r="CF18780" s="239"/>
      <c r="CM18780" s="336"/>
    </row>
    <row r="18781" spans="84:91" s="51" customFormat="1">
      <c r="CF18781" s="239"/>
      <c r="CM18781" s="336"/>
    </row>
    <row r="18782" spans="84:91" s="51" customFormat="1">
      <c r="CF18782" s="239"/>
      <c r="CM18782" s="336"/>
    </row>
    <row r="18783" spans="84:91" s="51" customFormat="1">
      <c r="CF18783" s="239"/>
      <c r="CM18783" s="336"/>
    </row>
    <row r="18784" spans="84:91" s="51" customFormat="1">
      <c r="CF18784" s="239"/>
      <c r="CM18784" s="336"/>
    </row>
    <row r="18785" spans="84:91" s="51" customFormat="1">
      <c r="CF18785" s="239"/>
      <c r="CM18785" s="336"/>
    </row>
    <row r="18786" spans="84:91" s="51" customFormat="1">
      <c r="CF18786" s="239"/>
      <c r="CM18786" s="336"/>
    </row>
    <row r="18787" spans="84:91" s="51" customFormat="1">
      <c r="CF18787" s="239"/>
      <c r="CM18787" s="336"/>
    </row>
    <row r="18788" spans="84:91" s="51" customFormat="1">
      <c r="CF18788" s="239"/>
      <c r="CM18788" s="336"/>
    </row>
    <row r="18789" spans="84:91" s="51" customFormat="1">
      <c r="CF18789" s="239"/>
      <c r="CM18789" s="336"/>
    </row>
    <row r="18790" spans="84:91" s="51" customFormat="1">
      <c r="CF18790" s="239"/>
      <c r="CM18790" s="336"/>
    </row>
    <row r="18791" spans="84:91" s="51" customFormat="1">
      <c r="CF18791" s="239"/>
      <c r="CM18791" s="336"/>
    </row>
    <row r="18792" spans="84:91" s="51" customFormat="1">
      <c r="CF18792" s="239"/>
      <c r="CM18792" s="336"/>
    </row>
    <row r="18793" spans="84:91" s="51" customFormat="1">
      <c r="CF18793" s="239"/>
      <c r="CM18793" s="336"/>
    </row>
    <row r="18794" spans="84:91" s="51" customFormat="1">
      <c r="CF18794" s="239"/>
      <c r="CM18794" s="336"/>
    </row>
    <row r="18795" spans="84:91" s="51" customFormat="1">
      <c r="CF18795" s="239"/>
      <c r="CM18795" s="336"/>
    </row>
    <row r="18796" spans="84:91" s="51" customFormat="1">
      <c r="CF18796" s="239"/>
      <c r="CM18796" s="336"/>
    </row>
    <row r="18797" spans="84:91" s="51" customFormat="1">
      <c r="CF18797" s="239"/>
      <c r="CM18797" s="336"/>
    </row>
    <row r="18798" spans="84:91" s="51" customFormat="1">
      <c r="CF18798" s="239"/>
      <c r="CM18798" s="336"/>
    </row>
    <row r="18799" spans="84:91" s="51" customFormat="1">
      <c r="CF18799" s="239"/>
      <c r="CM18799" s="336"/>
    </row>
    <row r="18800" spans="84:91" s="51" customFormat="1">
      <c r="CF18800" s="239"/>
      <c r="CM18800" s="336"/>
    </row>
    <row r="18801" spans="84:91" s="51" customFormat="1">
      <c r="CF18801" s="239"/>
      <c r="CM18801" s="336"/>
    </row>
    <row r="18802" spans="84:91" s="51" customFormat="1">
      <c r="CF18802" s="239"/>
      <c r="CM18802" s="336"/>
    </row>
    <row r="18803" spans="84:91" s="51" customFormat="1">
      <c r="CF18803" s="239"/>
      <c r="CM18803" s="336"/>
    </row>
    <row r="18804" spans="84:91" s="51" customFormat="1">
      <c r="CF18804" s="239"/>
      <c r="CM18804" s="336"/>
    </row>
    <row r="18805" spans="84:91" s="51" customFormat="1">
      <c r="CF18805" s="239"/>
      <c r="CM18805" s="336"/>
    </row>
    <row r="18806" spans="84:91" s="51" customFormat="1">
      <c r="CF18806" s="239"/>
      <c r="CM18806" s="336"/>
    </row>
    <row r="18807" spans="84:91" s="51" customFormat="1">
      <c r="CF18807" s="239"/>
      <c r="CM18807" s="336"/>
    </row>
    <row r="18808" spans="84:91" s="51" customFormat="1">
      <c r="CF18808" s="239"/>
      <c r="CM18808" s="336"/>
    </row>
    <row r="18809" spans="84:91" s="51" customFormat="1">
      <c r="CF18809" s="239"/>
      <c r="CM18809" s="336"/>
    </row>
    <row r="18810" spans="84:91" s="51" customFormat="1">
      <c r="CF18810" s="239"/>
      <c r="CM18810" s="336"/>
    </row>
    <row r="18811" spans="84:91" s="51" customFormat="1">
      <c r="CF18811" s="239"/>
      <c r="CM18811" s="336"/>
    </row>
    <row r="18812" spans="84:91" s="51" customFormat="1">
      <c r="CF18812" s="239"/>
      <c r="CM18812" s="336"/>
    </row>
    <row r="18813" spans="84:91" s="51" customFormat="1">
      <c r="CF18813" s="239"/>
      <c r="CM18813" s="336"/>
    </row>
    <row r="18814" spans="84:91" s="51" customFormat="1">
      <c r="CF18814" s="239"/>
      <c r="CM18814" s="336"/>
    </row>
    <row r="18815" spans="84:91" s="51" customFormat="1">
      <c r="CF18815" s="239"/>
      <c r="CM18815" s="336"/>
    </row>
    <row r="18816" spans="84:91" s="51" customFormat="1">
      <c r="CF18816" s="239"/>
      <c r="CM18816" s="336"/>
    </row>
    <row r="18817" spans="84:91" s="51" customFormat="1">
      <c r="CF18817" s="239"/>
      <c r="CM18817" s="336"/>
    </row>
    <row r="18818" spans="84:91" s="51" customFormat="1">
      <c r="CF18818" s="239"/>
      <c r="CM18818" s="336"/>
    </row>
    <row r="18819" spans="84:91" s="51" customFormat="1">
      <c r="CF18819" s="239"/>
      <c r="CM18819" s="336"/>
    </row>
    <row r="18820" spans="84:91" s="51" customFormat="1">
      <c r="CF18820" s="239"/>
      <c r="CM18820" s="336"/>
    </row>
    <row r="18821" spans="84:91" s="51" customFormat="1">
      <c r="CF18821" s="239"/>
      <c r="CM18821" s="336"/>
    </row>
    <row r="18822" spans="84:91" s="51" customFormat="1">
      <c r="CF18822" s="239"/>
      <c r="CM18822" s="336"/>
    </row>
    <row r="18823" spans="84:91" s="51" customFormat="1">
      <c r="CF18823" s="239"/>
      <c r="CM18823" s="336"/>
    </row>
    <row r="18824" spans="84:91" s="51" customFormat="1">
      <c r="CF18824" s="239"/>
      <c r="CM18824" s="336"/>
    </row>
    <row r="18825" spans="84:91" s="51" customFormat="1">
      <c r="CF18825" s="239"/>
      <c r="CM18825" s="336"/>
    </row>
    <row r="18826" spans="84:91" s="51" customFormat="1">
      <c r="CF18826" s="239"/>
      <c r="CM18826" s="336"/>
    </row>
    <row r="18827" spans="84:91" s="51" customFormat="1">
      <c r="CF18827" s="239"/>
      <c r="CM18827" s="336"/>
    </row>
    <row r="18828" spans="84:91" s="51" customFormat="1">
      <c r="CF18828" s="239"/>
      <c r="CM18828" s="336"/>
    </row>
    <row r="18829" spans="84:91" s="51" customFormat="1">
      <c r="CF18829" s="239"/>
      <c r="CM18829" s="336"/>
    </row>
    <row r="18830" spans="84:91" s="51" customFormat="1">
      <c r="CF18830" s="239"/>
      <c r="CM18830" s="336"/>
    </row>
    <row r="18831" spans="84:91" s="51" customFormat="1">
      <c r="CF18831" s="239"/>
      <c r="CM18831" s="336"/>
    </row>
    <row r="18832" spans="84:91" s="51" customFormat="1">
      <c r="CF18832" s="239"/>
      <c r="CM18832" s="336"/>
    </row>
    <row r="18833" spans="84:91" s="51" customFormat="1">
      <c r="CF18833" s="239"/>
      <c r="CM18833" s="336"/>
    </row>
    <row r="18834" spans="84:91" s="51" customFormat="1">
      <c r="CF18834" s="239"/>
      <c r="CM18834" s="336"/>
    </row>
    <row r="18835" spans="84:91" s="51" customFormat="1">
      <c r="CF18835" s="239"/>
      <c r="CM18835" s="336"/>
    </row>
    <row r="18836" spans="84:91" s="51" customFormat="1">
      <c r="CF18836" s="239"/>
      <c r="CM18836" s="336"/>
    </row>
    <row r="18837" spans="84:91" s="51" customFormat="1">
      <c r="CF18837" s="239"/>
      <c r="CM18837" s="336"/>
    </row>
    <row r="18838" spans="84:91" s="51" customFormat="1">
      <c r="CF18838" s="239"/>
      <c r="CM18838" s="336"/>
    </row>
    <row r="18839" spans="84:91" s="51" customFormat="1">
      <c r="CF18839" s="239"/>
      <c r="CM18839" s="336"/>
    </row>
    <row r="18840" spans="84:91" s="51" customFormat="1">
      <c r="CF18840" s="239"/>
      <c r="CM18840" s="336"/>
    </row>
    <row r="18841" spans="84:91" s="51" customFormat="1">
      <c r="CF18841" s="239"/>
      <c r="CM18841" s="336"/>
    </row>
    <row r="18842" spans="84:91" s="51" customFormat="1">
      <c r="CF18842" s="239"/>
      <c r="CM18842" s="336"/>
    </row>
    <row r="18843" spans="84:91" s="51" customFormat="1">
      <c r="CF18843" s="239"/>
      <c r="CM18843" s="336"/>
    </row>
    <row r="18844" spans="84:91" s="51" customFormat="1">
      <c r="CF18844" s="239"/>
      <c r="CM18844" s="336"/>
    </row>
    <row r="18845" spans="84:91" s="51" customFormat="1">
      <c r="CF18845" s="239"/>
      <c r="CM18845" s="336"/>
    </row>
    <row r="18846" spans="84:91" s="51" customFormat="1">
      <c r="CF18846" s="239"/>
      <c r="CM18846" s="336"/>
    </row>
    <row r="18847" spans="84:91" s="51" customFormat="1">
      <c r="CF18847" s="239"/>
      <c r="CM18847" s="336"/>
    </row>
    <row r="18848" spans="84:91" s="51" customFormat="1">
      <c r="CF18848" s="239"/>
      <c r="CM18848" s="336"/>
    </row>
    <row r="18849" spans="84:91" s="51" customFormat="1">
      <c r="CF18849" s="239"/>
      <c r="CM18849" s="336"/>
    </row>
    <row r="18850" spans="84:91" s="51" customFormat="1">
      <c r="CF18850" s="239"/>
      <c r="CM18850" s="336"/>
    </row>
    <row r="18851" spans="84:91" s="51" customFormat="1">
      <c r="CF18851" s="239"/>
      <c r="CM18851" s="336"/>
    </row>
    <row r="18852" spans="84:91" s="51" customFormat="1">
      <c r="CF18852" s="239"/>
      <c r="CM18852" s="336"/>
    </row>
    <row r="18853" spans="84:91" s="51" customFormat="1">
      <c r="CF18853" s="239"/>
      <c r="CM18853" s="336"/>
    </row>
    <row r="18854" spans="84:91" s="51" customFormat="1">
      <c r="CF18854" s="239"/>
      <c r="CM18854" s="336"/>
    </row>
    <row r="18855" spans="84:91" s="51" customFormat="1">
      <c r="CF18855" s="239"/>
      <c r="CM18855" s="336"/>
    </row>
    <row r="18856" spans="84:91" s="51" customFormat="1">
      <c r="CF18856" s="239"/>
      <c r="CM18856" s="336"/>
    </row>
    <row r="18857" spans="84:91" s="51" customFormat="1">
      <c r="CF18857" s="239"/>
      <c r="CM18857" s="336"/>
    </row>
    <row r="18858" spans="84:91" s="51" customFormat="1">
      <c r="CF18858" s="239"/>
      <c r="CM18858" s="336"/>
    </row>
    <row r="18859" spans="84:91" s="51" customFormat="1">
      <c r="CF18859" s="239"/>
      <c r="CM18859" s="336"/>
    </row>
    <row r="18860" spans="84:91" s="51" customFormat="1">
      <c r="CF18860" s="239"/>
      <c r="CM18860" s="336"/>
    </row>
    <row r="18861" spans="84:91" s="51" customFormat="1">
      <c r="CF18861" s="239"/>
      <c r="CM18861" s="336"/>
    </row>
    <row r="18862" spans="84:91" s="51" customFormat="1">
      <c r="CF18862" s="239"/>
      <c r="CM18862" s="336"/>
    </row>
    <row r="18863" spans="84:91" s="51" customFormat="1">
      <c r="CF18863" s="239"/>
      <c r="CM18863" s="336"/>
    </row>
    <row r="18864" spans="84:91" s="51" customFormat="1">
      <c r="CF18864" s="239"/>
      <c r="CM18864" s="336"/>
    </row>
    <row r="18865" spans="84:91" s="51" customFormat="1">
      <c r="CF18865" s="239"/>
      <c r="CM18865" s="336"/>
    </row>
    <row r="18866" spans="84:91" s="51" customFormat="1">
      <c r="CF18866" s="239"/>
      <c r="CM18866" s="336"/>
    </row>
    <row r="18867" spans="84:91" s="51" customFormat="1">
      <c r="CF18867" s="239"/>
      <c r="CM18867" s="336"/>
    </row>
    <row r="18868" spans="84:91" s="51" customFormat="1">
      <c r="CF18868" s="239"/>
      <c r="CM18868" s="336"/>
    </row>
    <row r="18869" spans="84:91" s="51" customFormat="1">
      <c r="CF18869" s="239"/>
      <c r="CM18869" s="336"/>
    </row>
    <row r="18870" spans="84:91" s="51" customFormat="1">
      <c r="CF18870" s="239"/>
      <c r="CM18870" s="336"/>
    </row>
    <row r="18871" spans="84:91" s="51" customFormat="1">
      <c r="CF18871" s="239"/>
      <c r="CM18871" s="336"/>
    </row>
    <row r="18872" spans="84:91" s="51" customFormat="1">
      <c r="CF18872" s="239"/>
      <c r="CM18872" s="336"/>
    </row>
    <row r="18873" spans="84:91" s="51" customFormat="1">
      <c r="CF18873" s="239"/>
      <c r="CM18873" s="336"/>
    </row>
    <row r="18874" spans="84:91" s="51" customFormat="1">
      <c r="CF18874" s="239"/>
      <c r="CM18874" s="336"/>
    </row>
    <row r="18875" spans="84:91" s="51" customFormat="1">
      <c r="CF18875" s="239"/>
      <c r="CM18875" s="336"/>
    </row>
    <row r="18876" spans="84:91" s="51" customFormat="1">
      <c r="CF18876" s="239"/>
      <c r="CM18876" s="336"/>
    </row>
    <row r="18877" spans="84:91" s="51" customFormat="1">
      <c r="CF18877" s="239"/>
      <c r="CM18877" s="336"/>
    </row>
    <row r="18878" spans="84:91" s="51" customFormat="1">
      <c r="CF18878" s="239"/>
      <c r="CM18878" s="336"/>
    </row>
    <row r="18879" spans="84:91" s="51" customFormat="1">
      <c r="CF18879" s="239"/>
      <c r="CM18879" s="336"/>
    </row>
    <row r="18880" spans="84:91" s="51" customFormat="1">
      <c r="CF18880" s="239"/>
      <c r="CM18880" s="336"/>
    </row>
    <row r="18881" spans="84:91" s="51" customFormat="1">
      <c r="CF18881" s="239"/>
      <c r="CM18881" s="336"/>
    </row>
    <row r="18882" spans="84:91" s="51" customFormat="1">
      <c r="CF18882" s="239"/>
      <c r="CM18882" s="336"/>
    </row>
    <row r="18883" spans="84:91" s="51" customFormat="1">
      <c r="CF18883" s="239"/>
      <c r="CM18883" s="336"/>
    </row>
    <row r="18884" spans="84:91" s="51" customFormat="1">
      <c r="CF18884" s="239"/>
      <c r="CM18884" s="336"/>
    </row>
    <row r="18885" spans="84:91" s="51" customFormat="1">
      <c r="CF18885" s="239"/>
      <c r="CM18885" s="336"/>
    </row>
    <row r="18886" spans="84:91" s="51" customFormat="1">
      <c r="CF18886" s="239"/>
      <c r="CM18886" s="336"/>
    </row>
    <row r="18887" spans="84:91" s="51" customFormat="1">
      <c r="CF18887" s="239"/>
      <c r="CM18887" s="336"/>
    </row>
    <row r="18888" spans="84:91" s="51" customFormat="1">
      <c r="CF18888" s="239"/>
      <c r="CM18888" s="336"/>
    </row>
    <row r="18889" spans="84:91" s="51" customFormat="1">
      <c r="CF18889" s="239"/>
      <c r="CM18889" s="336"/>
    </row>
    <row r="18890" spans="84:91" s="51" customFormat="1">
      <c r="CF18890" s="239"/>
      <c r="CM18890" s="336"/>
    </row>
    <row r="18891" spans="84:91" s="51" customFormat="1">
      <c r="CF18891" s="239"/>
      <c r="CM18891" s="336"/>
    </row>
    <row r="18892" spans="84:91" s="51" customFormat="1">
      <c r="CF18892" s="239"/>
      <c r="CM18892" s="336"/>
    </row>
    <row r="18893" spans="84:91" s="51" customFormat="1">
      <c r="CF18893" s="239"/>
      <c r="CM18893" s="336"/>
    </row>
    <row r="18894" spans="84:91" s="51" customFormat="1">
      <c r="CF18894" s="239"/>
      <c r="CM18894" s="336"/>
    </row>
    <row r="18895" spans="84:91" s="51" customFormat="1">
      <c r="CF18895" s="239"/>
      <c r="CM18895" s="336"/>
    </row>
    <row r="18896" spans="84:91" s="51" customFormat="1">
      <c r="CF18896" s="239"/>
      <c r="CM18896" s="336"/>
    </row>
    <row r="18897" spans="84:91" s="51" customFormat="1">
      <c r="CF18897" s="239"/>
      <c r="CM18897" s="336"/>
    </row>
    <row r="18898" spans="84:91" s="51" customFormat="1">
      <c r="CF18898" s="239"/>
      <c r="CM18898" s="336"/>
    </row>
    <row r="18899" spans="84:91" s="51" customFormat="1">
      <c r="CF18899" s="239"/>
      <c r="CM18899" s="336"/>
    </row>
    <row r="18900" spans="84:91" s="51" customFormat="1">
      <c r="CF18900" s="239"/>
      <c r="CM18900" s="336"/>
    </row>
    <row r="18901" spans="84:91" s="51" customFormat="1">
      <c r="CF18901" s="239"/>
      <c r="CM18901" s="336"/>
    </row>
    <row r="18902" spans="84:91" s="51" customFormat="1">
      <c r="CF18902" s="239"/>
      <c r="CM18902" s="336"/>
    </row>
    <row r="18903" spans="84:91" s="51" customFormat="1">
      <c r="CF18903" s="239"/>
      <c r="CM18903" s="336"/>
    </row>
    <row r="18904" spans="84:91" s="51" customFormat="1">
      <c r="CF18904" s="239"/>
      <c r="CM18904" s="336"/>
    </row>
    <row r="18905" spans="84:91" s="51" customFormat="1">
      <c r="CF18905" s="239"/>
      <c r="CM18905" s="336"/>
    </row>
    <row r="18906" spans="84:91" s="51" customFormat="1">
      <c r="CF18906" s="239"/>
      <c r="CM18906" s="336"/>
    </row>
    <row r="18907" spans="84:91" s="51" customFormat="1">
      <c r="CF18907" s="239"/>
      <c r="CM18907" s="336"/>
    </row>
    <row r="18908" spans="84:91" s="51" customFormat="1">
      <c r="CF18908" s="239"/>
      <c r="CM18908" s="336"/>
    </row>
    <row r="18909" spans="84:91" s="51" customFormat="1">
      <c r="CF18909" s="239"/>
      <c r="CM18909" s="336"/>
    </row>
    <row r="18910" spans="84:91" s="51" customFormat="1">
      <c r="CF18910" s="239"/>
      <c r="CM18910" s="336"/>
    </row>
    <row r="18911" spans="84:91" s="51" customFormat="1">
      <c r="CF18911" s="239"/>
      <c r="CM18911" s="336"/>
    </row>
    <row r="18912" spans="84:91" s="51" customFormat="1">
      <c r="CF18912" s="239"/>
      <c r="CM18912" s="336"/>
    </row>
    <row r="18913" spans="84:91" s="51" customFormat="1">
      <c r="CF18913" s="239"/>
      <c r="CM18913" s="336"/>
    </row>
    <row r="18914" spans="84:91" s="51" customFormat="1">
      <c r="CF18914" s="239"/>
      <c r="CM18914" s="336"/>
    </row>
    <row r="18915" spans="84:91" s="51" customFormat="1">
      <c r="CF18915" s="239"/>
      <c r="CM18915" s="336"/>
    </row>
    <row r="18916" spans="84:91" s="51" customFormat="1">
      <c r="CF18916" s="239"/>
      <c r="CM18916" s="336"/>
    </row>
    <row r="18917" spans="84:91" s="51" customFormat="1">
      <c r="CF18917" s="239"/>
      <c r="CM18917" s="336"/>
    </row>
    <row r="18918" spans="84:91" s="51" customFormat="1">
      <c r="CF18918" s="239"/>
      <c r="CM18918" s="336"/>
    </row>
    <row r="18919" spans="84:91" s="51" customFormat="1">
      <c r="CF18919" s="239"/>
      <c r="CM18919" s="336"/>
    </row>
    <row r="18920" spans="84:91" s="51" customFormat="1">
      <c r="CF18920" s="239"/>
      <c r="CM18920" s="336"/>
    </row>
    <row r="18921" spans="84:91" s="51" customFormat="1">
      <c r="CF18921" s="239"/>
      <c r="CM18921" s="336"/>
    </row>
    <row r="18922" spans="84:91" s="51" customFormat="1">
      <c r="CF18922" s="239"/>
      <c r="CM18922" s="336"/>
    </row>
    <row r="18923" spans="84:91" s="51" customFormat="1">
      <c r="CF18923" s="239"/>
      <c r="CM18923" s="336"/>
    </row>
    <row r="18924" spans="84:91" s="51" customFormat="1">
      <c r="CF18924" s="239"/>
      <c r="CM18924" s="336"/>
    </row>
    <row r="18925" spans="84:91" s="51" customFormat="1">
      <c r="CF18925" s="239"/>
      <c r="CM18925" s="336"/>
    </row>
    <row r="18926" spans="84:91" s="51" customFormat="1">
      <c r="CF18926" s="239"/>
      <c r="CM18926" s="336"/>
    </row>
    <row r="18927" spans="84:91" s="51" customFormat="1">
      <c r="CF18927" s="239"/>
      <c r="CM18927" s="336"/>
    </row>
    <row r="18928" spans="84:91" s="51" customFormat="1">
      <c r="CF18928" s="239"/>
      <c r="CM18928" s="336"/>
    </row>
    <row r="18929" spans="84:91" s="51" customFormat="1">
      <c r="CF18929" s="239"/>
      <c r="CM18929" s="336"/>
    </row>
    <row r="18930" spans="84:91" s="51" customFormat="1">
      <c r="CF18930" s="239"/>
      <c r="CM18930" s="336"/>
    </row>
    <row r="18931" spans="84:91" s="51" customFormat="1">
      <c r="CF18931" s="239"/>
      <c r="CM18931" s="336"/>
    </row>
    <row r="18932" spans="84:91" s="51" customFormat="1">
      <c r="CF18932" s="239"/>
      <c r="CM18932" s="336"/>
    </row>
    <row r="18933" spans="84:91" s="51" customFormat="1">
      <c r="CF18933" s="239"/>
      <c r="CM18933" s="336"/>
    </row>
    <row r="18934" spans="84:91" s="51" customFormat="1">
      <c r="CF18934" s="239"/>
      <c r="CM18934" s="336"/>
    </row>
    <row r="18935" spans="84:91" s="51" customFormat="1">
      <c r="CF18935" s="239"/>
      <c r="CM18935" s="336"/>
    </row>
    <row r="18936" spans="84:91" s="51" customFormat="1">
      <c r="CF18936" s="239"/>
      <c r="CM18936" s="336"/>
    </row>
    <row r="18937" spans="84:91" s="51" customFormat="1">
      <c r="CF18937" s="239"/>
      <c r="CM18937" s="336"/>
    </row>
    <row r="18938" spans="84:91" s="51" customFormat="1">
      <c r="CF18938" s="239"/>
      <c r="CM18938" s="336"/>
    </row>
    <row r="18939" spans="84:91" s="51" customFormat="1">
      <c r="CF18939" s="239"/>
      <c r="CM18939" s="336"/>
    </row>
    <row r="18940" spans="84:91" s="51" customFormat="1">
      <c r="CF18940" s="239"/>
      <c r="CM18940" s="336"/>
    </row>
    <row r="18941" spans="84:91" s="51" customFormat="1">
      <c r="CF18941" s="239"/>
      <c r="CM18941" s="336"/>
    </row>
    <row r="18942" spans="84:91" s="51" customFormat="1">
      <c r="CF18942" s="239"/>
      <c r="CM18942" s="336"/>
    </row>
    <row r="18943" spans="84:91" s="51" customFormat="1">
      <c r="CF18943" s="239"/>
      <c r="CM18943" s="336"/>
    </row>
    <row r="18944" spans="84:91" s="51" customFormat="1">
      <c r="CF18944" s="239"/>
      <c r="CM18944" s="336"/>
    </row>
    <row r="18945" spans="84:91" s="51" customFormat="1">
      <c r="CF18945" s="239"/>
      <c r="CM18945" s="336"/>
    </row>
    <row r="18946" spans="84:91" s="51" customFormat="1">
      <c r="CF18946" s="239"/>
      <c r="CM18946" s="336"/>
    </row>
    <row r="18947" spans="84:91" s="51" customFormat="1">
      <c r="CF18947" s="239"/>
      <c r="CM18947" s="336"/>
    </row>
    <row r="18948" spans="84:91" s="51" customFormat="1">
      <c r="CF18948" s="239"/>
      <c r="CM18948" s="336"/>
    </row>
    <row r="18949" spans="84:91" s="51" customFormat="1">
      <c r="CF18949" s="239"/>
      <c r="CM18949" s="336"/>
    </row>
    <row r="18950" spans="84:91" s="51" customFormat="1">
      <c r="CF18950" s="239"/>
      <c r="CM18950" s="336"/>
    </row>
    <row r="18951" spans="84:91" s="51" customFormat="1">
      <c r="CF18951" s="239"/>
      <c r="CM18951" s="336"/>
    </row>
    <row r="18952" spans="84:91" s="51" customFormat="1">
      <c r="CF18952" s="239"/>
      <c r="CM18952" s="336"/>
    </row>
    <row r="18953" spans="84:91" s="51" customFormat="1">
      <c r="CF18953" s="239"/>
      <c r="CM18953" s="336"/>
    </row>
    <row r="18954" spans="84:91" s="51" customFormat="1">
      <c r="CF18954" s="239"/>
      <c r="CM18954" s="336"/>
    </row>
    <row r="18955" spans="84:91" s="51" customFormat="1">
      <c r="CF18955" s="239"/>
      <c r="CM18955" s="336"/>
    </row>
    <row r="18956" spans="84:91" s="51" customFormat="1">
      <c r="CF18956" s="239"/>
      <c r="CM18956" s="336"/>
    </row>
    <row r="18957" spans="84:91" s="51" customFormat="1">
      <c r="CF18957" s="239"/>
      <c r="CM18957" s="336"/>
    </row>
    <row r="18958" spans="84:91" s="51" customFormat="1">
      <c r="CF18958" s="239"/>
      <c r="CM18958" s="336"/>
    </row>
    <row r="18959" spans="84:91" s="51" customFormat="1">
      <c r="CF18959" s="239"/>
      <c r="CM18959" s="336"/>
    </row>
    <row r="18960" spans="84:91" s="51" customFormat="1">
      <c r="CF18960" s="239"/>
      <c r="CM18960" s="336"/>
    </row>
    <row r="18961" spans="84:91" s="51" customFormat="1">
      <c r="CF18961" s="239"/>
      <c r="CM18961" s="336"/>
    </row>
    <row r="18962" spans="84:91" s="51" customFormat="1">
      <c r="CF18962" s="239"/>
      <c r="CM18962" s="336"/>
    </row>
    <row r="18963" spans="84:91" s="51" customFormat="1">
      <c r="CF18963" s="239"/>
      <c r="CM18963" s="336"/>
    </row>
    <row r="18964" spans="84:91" s="51" customFormat="1">
      <c r="CF18964" s="239"/>
      <c r="CM18964" s="336"/>
    </row>
    <row r="18965" spans="84:91" s="51" customFormat="1">
      <c r="CF18965" s="239"/>
      <c r="CM18965" s="336"/>
    </row>
    <row r="18966" spans="84:91" s="51" customFormat="1">
      <c r="CF18966" s="239"/>
      <c r="CM18966" s="336"/>
    </row>
    <row r="18967" spans="84:91" s="51" customFormat="1">
      <c r="CF18967" s="239"/>
      <c r="CM18967" s="336"/>
    </row>
    <row r="18968" spans="84:91" s="51" customFormat="1">
      <c r="CF18968" s="239"/>
      <c r="CM18968" s="336"/>
    </row>
    <row r="18969" spans="84:91" s="51" customFormat="1">
      <c r="CF18969" s="239"/>
      <c r="CM18969" s="336"/>
    </row>
    <row r="18970" spans="84:91" s="51" customFormat="1">
      <c r="CF18970" s="239"/>
      <c r="CM18970" s="336"/>
    </row>
    <row r="18971" spans="84:91" s="51" customFormat="1">
      <c r="CF18971" s="239"/>
      <c r="CM18971" s="336"/>
    </row>
    <row r="18972" spans="84:91" s="51" customFormat="1">
      <c r="CF18972" s="239"/>
      <c r="CM18972" s="336"/>
    </row>
    <row r="18973" spans="84:91" s="51" customFormat="1">
      <c r="CF18973" s="239"/>
      <c r="CM18973" s="336"/>
    </row>
    <row r="18974" spans="84:91" s="51" customFormat="1">
      <c r="CF18974" s="239"/>
      <c r="CM18974" s="336"/>
    </row>
    <row r="18975" spans="84:91" s="51" customFormat="1">
      <c r="CF18975" s="239"/>
      <c r="CM18975" s="336"/>
    </row>
    <row r="18976" spans="84:91" s="51" customFormat="1">
      <c r="CF18976" s="239"/>
      <c r="CM18976" s="336"/>
    </row>
    <row r="18977" spans="84:91" s="51" customFormat="1">
      <c r="CF18977" s="239"/>
      <c r="CM18977" s="336"/>
    </row>
    <row r="18978" spans="84:91" s="51" customFormat="1">
      <c r="CF18978" s="239"/>
      <c r="CM18978" s="336"/>
    </row>
    <row r="18979" spans="84:91" s="51" customFormat="1">
      <c r="CF18979" s="239"/>
      <c r="CM18979" s="336"/>
    </row>
    <row r="18980" spans="84:91" s="51" customFormat="1">
      <c r="CF18980" s="239"/>
      <c r="CM18980" s="336"/>
    </row>
    <row r="18981" spans="84:91" s="51" customFormat="1">
      <c r="CF18981" s="239"/>
      <c r="CM18981" s="336"/>
    </row>
    <row r="18982" spans="84:91" s="51" customFormat="1">
      <c r="CF18982" s="239"/>
      <c r="CM18982" s="336"/>
    </row>
    <row r="18983" spans="84:91" s="51" customFormat="1">
      <c r="CF18983" s="239"/>
      <c r="CM18983" s="336"/>
    </row>
    <row r="18984" spans="84:91" s="51" customFormat="1">
      <c r="CF18984" s="239"/>
      <c r="CM18984" s="336"/>
    </row>
    <row r="18985" spans="84:91" s="51" customFormat="1">
      <c r="CF18985" s="239"/>
      <c r="CM18985" s="336"/>
    </row>
    <row r="18986" spans="84:91" s="51" customFormat="1">
      <c r="CF18986" s="239"/>
      <c r="CM18986" s="336"/>
    </row>
    <row r="18987" spans="84:91" s="51" customFormat="1">
      <c r="CF18987" s="239"/>
      <c r="CM18987" s="336"/>
    </row>
    <row r="18988" spans="84:91" s="51" customFormat="1">
      <c r="CF18988" s="239"/>
      <c r="CM18988" s="336"/>
    </row>
    <row r="18989" spans="84:91" s="51" customFormat="1">
      <c r="CF18989" s="239"/>
      <c r="CM18989" s="336"/>
    </row>
    <row r="18990" spans="84:91" s="51" customFormat="1">
      <c r="CF18990" s="239"/>
      <c r="CM18990" s="336"/>
    </row>
    <row r="18991" spans="84:91" s="51" customFormat="1">
      <c r="CF18991" s="239"/>
      <c r="CM18991" s="336"/>
    </row>
    <row r="18992" spans="84:91" s="51" customFormat="1">
      <c r="CF18992" s="239"/>
      <c r="CM18992" s="336"/>
    </row>
    <row r="18993" spans="84:91" s="51" customFormat="1">
      <c r="CF18993" s="239"/>
      <c r="CM18993" s="336"/>
    </row>
    <row r="18994" spans="84:91" s="51" customFormat="1">
      <c r="CF18994" s="239"/>
      <c r="CM18994" s="336"/>
    </row>
    <row r="18995" spans="84:91" s="51" customFormat="1">
      <c r="CF18995" s="239"/>
      <c r="CM18995" s="336"/>
    </row>
    <row r="18996" spans="84:91" s="51" customFormat="1">
      <c r="CF18996" s="239"/>
      <c r="CM18996" s="336"/>
    </row>
    <row r="18997" spans="84:91" s="51" customFormat="1">
      <c r="CF18997" s="239"/>
      <c r="CM18997" s="336"/>
    </row>
    <row r="18998" spans="84:91" s="51" customFormat="1">
      <c r="CF18998" s="239"/>
      <c r="CM18998" s="336"/>
    </row>
    <row r="18999" spans="84:91" s="51" customFormat="1">
      <c r="CF18999" s="239"/>
      <c r="CM18999" s="336"/>
    </row>
    <row r="19000" spans="84:91" s="51" customFormat="1">
      <c r="CF19000" s="239"/>
      <c r="CM19000" s="336"/>
    </row>
    <row r="19001" spans="84:91" s="51" customFormat="1">
      <c r="CF19001" s="239"/>
      <c r="CM19001" s="336"/>
    </row>
    <row r="19002" spans="84:91" s="51" customFormat="1">
      <c r="CF19002" s="239"/>
      <c r="CM19002" s="336"/>
    </row>
    <row r="19003" spans="84:91" s="51" customFormat="1">
      <c r="CF19003" s="239"/>
      <c r="CM19003" s="336"/>
    </row>
    <row r="19004" spans="84:91" s="51" customFormat="1">
      <c r="CF19004" s="239"/>
      <c r="CM19004" s="336"/>
    </row>
    <row r="19005" spans="84:91" s="51" customFormat="1">
      <c r="CF19005" s="239"/>
      <c r="CM19005" s="336"/>
    </row>
    <row r="19006" spans="84:91" s="51" customFormat="1">
      <c r="CF19006" s="239"/>
      <c r="CM19006" s="336"/>
    </row>
    <row r="19007" spans="84:91" s="51" customFormat="1">
      <c r="CF19007" s="239"/>
      <c r="CM19007" s="336"/>
    </row>
    <row r="19008" spans="84:91" s="51" customFormat="1">
      <c r="CF19008" s="239"/>
      <c r="CM19008" s="336"/>
    </row>
    <row r="19009" spans="84:91" s="51" customFormat="1">
      <c r="CF19009" s="239"/>
      <c r="CM19009" s="336"/>
    </row>
    <row r="19010" spans="84:91" s="51" customFormat="1">
      <c r="CF19010" s="239"/>
      <c r="CM19010" s="336"/>
    </row>
    <row r="19011" spans="84:91" s="51" customFormat="1">
      <c r="CF19011" s="239"/>
      <c r="CM19011" s="336"/>
    </row>
    <row r="19012" spans="84:91" s="51" customFormat="1">
      <c r="CF19012" s="239"/>
      <c r="CM19012" s="336"/>
    </row>
    <row r="19013" spans="84:91" s="51" customFormat="1">
      <c r="CF19013" s="239"/>
      <c r="CM19013" s="336"/>
    </row>
    <row r="19014" spans="84:91" s="51" customFormat="1">
      <c r="CF19014" s="239"/>
      <c r="CM19014" s="336"/>
    </row>
    <row r="19015" spans="84:91" s="51" customFormat="1">
      <c r="CF19015" s="239"/>
      <c r="CM19015" s="336"/>
    </row>
    <row r="19016" spans="84:91" s="51" customFormat="1">
      <c r="CF19016" s="239"/>
      <c r="CM19016" s="336"/>
    </row>
    <row r="19017" spans="84:91" s="51" customFormat="1">
      <c r="CF19017" s="239"/>
      <c r="CM19017" s="336"/>
    </row>
    <row r="19018" spans="84:91" s="51" customFormat="1">
      <c r="CF19018" s="239"/>
      <c r="CM19018" s="336"/>
    </row>
    <row r="19019" spans="84:91" s="51" customFormat="1">
      <c r="CF19019" s="239"/>
      <c r="CM19019" s="336"/>
    </row>
    <row r="19020" spans="84:91" s="51" customFormat="1">
      <c r="CF19020" s="239"/>
      <c r="CM19020" s="336"/>
    </row>
    <row r="19021" spans="84:91" s="51" customFormat="1">
      <c r="CF19021" s="239"/>
      <c r="CM19021" s="336"/>
    </row>
    <row r="19022" spans="84:91" s="51" customFormat="1">
      <c r="CF19022" s="239"/>
      <c r="CM19022" s="336"/>
    </row>
    <row r="19023" spans="84:91" s="51" customFormat="1">
      <c r="CF19023" s="239"/>
      <c r="CM19023" s="336"/>
    </row>
    <row r="19024" spans="84:91" s="51" customFormat="1">
      <c r="CF19024" s="239"/>
      <c r="CM19024" s="336"/>
    </row>
    <row r="19025" spans="84:91" s="51" customFormat="1">
      <c r="CF19025" s="239"/>
      <c r="CM19025" s="336"/>
    </row>
    <row r="19026" spans="84:91" s="51" customFormat="1">
      <c r="CF19026" s="239"/>
      <c r="CM19026" s="336"/>
    </row>
    <row r="19027" spans="84:91" s="51" customFormat="1">
      <c r="CF19027" s="239"/>
      <c r="CM19027" s="336"/>
    </row>
    <row r="19028" spans="84:91" s="51" customFormat="1">
      <c r="CF19028" s="239"/>
      <c r="CM19028" s="336"/>
    </row>
    <row r="19029" spans="84:91" s="51" customFormat="1">
      <c r="CF19029" s="239"/>
      <c r="CM19029" s="336"/>
    </row>
    <row r="19030" spans="84:91" s="51" customFormat="1">
      <c r="CF19030" s="239"/>
      <c r="CM19030" s="336"/>
    </row>
    <row r="19031" spans="84:91" s="51" customFormat="1">
      <c r="CF19031" s="239"/>
      <c r="CM19031" s="336"/>
    </row>
    <row r="19032" spans="84:91" s="51" customFormat="1">
      <c r="CF19032" s="239"/>
      <c r="CM19032" s="336"/>
    </row>
    <row r="19033" spans="84:91" s="51" customFormat="1">
      <c r="CF19033" s="239"/>
      <c r="CM19033" s="336"/>
    </row>
    <row r="19034" spans="84:91" s="51" customFormat="1">
      <c r="CF19034" s="239"/>
      <c r="CM19034" s="336"/>
    </row>
    <row r="19035" spans="84:91" s="51" customFormat="1">
      <c r="CF19035" s="239"/>
      <c r="CM19035" s="336"/>
    </row>
    <row r="19036" spans="84:91" s="51" customFormat="1">
      <c r="CF19036" s="239"/>
      <c r="CM19036" s="336"/>
    </row>
    <row r="19037" spans="84:91" s="51" customFormat="1">
      <c r="CF19037" s="239"/>
      <c r="CM19037" s="336"/>
    </row>
    <row r="19038" spans="84:91" s="51" customFormat="1">
      <c r="CF19038" s="239"/>
      <c r="CM19038" s="336"/>
    </row>
    <row r="19039" spans="84:91" s="51" customFormat="1">
      <c r="CF19039" s="239"/>
      <c r="CM19039" s="336"/>
    </row>
    <row r="19040" spans="84:91" s="51" customFormat="1">
      <c r="CF19040" s="239"/>
      <c r="CM19040" s="336"/>
    </row>
    <row r="19041" spans="84:91" s="51" customFormat="1">
      <c r="CF19041" s="239"/>
      <c r="CM19041" s="336"/>
    </row>
    <row r="19042" spans="84:91" s="51" customFormat="1">
      <c r="CF19042" s="239"/>
      <c r="CM19042" s="336"/>
    </row>
    <row r="19043" spans="84:91" s="51" customFormat="1">
      <c r="CF19043" s="239"/>
      <c r="CM19043" s="336"/>
    </row>
    <row r="19044" spans="84:91" s="51" customFormat="1">
      <c r="CF19044" s="239"/>
      <c r="CM19044" s="336"/>
    </row>
    <row r="19045" spans="84:91" s="51" customFormat="1">
      <c r="CF19045" s="239"/>
      <c r="CM19045" s="336"/>
    </row>
    <row r="19046" spans="84:91" s="51" customFormat="1">
      <c r="CF19046" s="239"/>
      <c r="CM19046" s="336"/>
    </row>
    <row r="19047" spans="84:91" s="51" customFormat="1">
      <c r="CF19047" s="239"/>
      <c r="CM19047" s="336"/>
    </row>
    <row r="19048" spans="84:91" s="51" customFormat="1">
      <c r="CF19048" s="239"/>
      <c r="CM19048" s="336"/>
    </row>
    <row r="19049" spans="84:91" s="51" customFormat="1">
      <c r="CF19049" s="239"/>
      <c r="CM19049" s="336"/>
    </row>
    <row r="19050" spans="84:91" s="51" customFormat="1">
      <c r="CF19050" s="239"/>
      <c r="CM19050" s="336"/>
    </row>
    <row r="19051" spans="84:91" s="51" customFormat="1">
      <c r="CF19051" s="239"/>
      <c r="CM19051" s="336"/>
    </row>
    <row r="19052" spans="84:91" s="51" customFormat="1">
      <c r="CF19052" s="239"/>
      <c r="CM19052" s="336"/>
    </row>
    <row r="19053" spans="84:91" s="51" customFormat="1">
      <c r="CF19053" s="239"/>
      <c r="CM19053" s="336"/>
    </row>
    <row r="19054" spans="84:91" s="51" customFormat="1">
      <c r="CF19054" s="239"/>
      <c r="CM19054" s="336"/>
    </row>
    <row r="19055" spans="84:91" s="51" customFormat="1">
      <c r="CF19055" s="239"/>
      <c r="CM19055" s="336"/>
    </row>
    <row r="19056" spans="84:91" s="51" customFormat="1">
      <c r="CF19056" s="239"/>
      <c r="CM19056" s="336"/>
    </row>
    <row r="19057" spans="84:91" s="51" customFormat="1">
      <c r="CF19057" s="239"/>
      <c r="CM19057" s="336"/>
    </row>
    <row r="19058" spans="84:91" s="51" customFormat="1">
      <c r="CF19058" s="239"/>
      <c r="CM19058" s="336"/>
    </row>
    <row r="19059" spans="84:91" s="51" customFormat="1">
      <c r="CF19059" s="239"/>
      <c r="CM19059" s="336"/>
    </row>
    <row r="19060" spans="84:91" s="51" customFormat="1">
      <c r="CF19060" s="239"/>
      <c r="CM19060" s="336"/>
    </row>
    <row r="19061" spans="84:91" s="51" customFormat="1">
      <c r="CF19061" s="239"/>
      <c r="CM19061" s="336"/>
    </row>
    <row r="19062" spans="84:91" s="51" customFormat="1">
      <c r="CF19062" s="239"/>
      <c r="CM19062" s="336"/>
    </row>
    <row r="19063" spans="84:91" s="51" customFormat="1">
      <c r="CF19063" s="239"/>
      <c r="CM19063" s="336"/>
    </row>
    <row r="19064" spans="84:91" s="51" customFormat="1">
      <c r="CF19064" s="239"/>
      <c r="CM19064" s="336"/>
    </row>
    <row r="19065" spans="84:91" s="51" customFormat="1">
      <c r="CF19065" s="239"/>
      <c r="CM19065" s="336"/>
    </row>
    <row r="19066" spans="84:91" s="51" customFormat="1">
      <c r="CF19066" s="239"/>
      <c r="CM19066" s="336"/>
    </row>
    <row r="19067" spans="84:91" s="51" customFormat="1">
      <c r="CF19067" s="239"/>
      <c r="CM19067" s="336"/>
    </row>
    <row r="19068" spans="84:91" s="51" customFormat="1">
      <c r="CF19068" s="239"/>
      <c r="CM19068" s="336"/>
    </row>
    <row r="19069" spans="84:91" s="51" customFormat="1">
      <c r="CF19069" s="239"/>
      <c r="CM19069" s="336"/>
    </row>
    <row r="19070" spans="84:91" s="51" customFormat="1">
      <c r="CF19070" s="239"/>
      <c r="CM19070" s="336"/>
    </row>
    <row r="19071" spans="84:91" s="51" customFormat="1">
      <c r="CF19071" s="239"/>
      <c r="CM19071" s="336"/>
    </row>
    <row r="19072" spans="84:91" s="51" customFormat="1">
      <c r="CF19072" s="239"/>
      <c r="CM19072" s="336"/>
    </row>
    <row r="19073" spans="84:91" s="51" customFormat="1">
      <c r="CF19073" s="239"/>
      <c r="CM19073" s="336"/>
    </row>
    <row r="19074" spans="84:91" s="51" customFormat="1">
      <c r="CF19074" s="239"/>
      <c r="CM19074" s="336"/>
    </row>
    <row r="19075" spans="84:91" s="51" customFormat="1">
      <c r="CF19075" s="239"/>
      <c r="CM19075" s="336"/>
    </row>
    <row r="19076" spans="84:91" s="51" customFormat="1">
      <c r="CF19076" s="239"/>
      <c r="CM19076" s="336"/>
    </row>
    <row r="19077" spans="84:91" s="51" customFormat="1">
      <c r="CF19077" s="239"/>
      <c r="CM19077" s="336"/>
    </row>
    <row r="19078" spans="84:91" s="51" customFormat="1">
      <c r="CF19078" s="239"/>
      <c r="CM19078" s="336"/>
    </row>
    <row r="19079" spans="84:91" s="51" customFormat="1">
      <c r="CF19079" s="239"/>
      <c r="CM19079" s="336"/>
    </row>
    <row r="19080" spans="84:91" s="51" customFormat="1">
      <c r="CF19080" s="239"/>
      <c r="CM19080" s="336"/>
    </row>
    <row r="19081" spans="84:91" s="51" customFormat="1">
      <c r="CF19081" s="239"/>
      <c r="CM19081" s="336"/>
    </row>
    <row r="19082" spans="84:91" s="51" customFormat="1">
      <c r="CF19082" s="239"/>
      <c r="CM19082" s="336"/>
    </row>
    <row r="19083" spans="84:91" s="51" customFormat="1">
      <c r="CF19083" s="239"/>
      <c r="CM19083" s="336"/>
    </row>
    <row r="19084" spans="84:91" s="51" customFormat="1">
      <c r="CF19084" s="239"/>
      <c r="CM19084" s="336"/>
    </row>
    <row r="19085" spans="84:91" s="51" customFormat="1">
      <c r="CF19085" s="239"/>
      <c r="CM19085" s="336"/>
    </row>
    <row r="19086" spans="84:91" s="51" customFormat="1">
      <c r="CF19086" s="239"/>
      <c r="CM19086" s="336"/>
    </row>
    <row r="19087" spans="84:91" s="51" customFormat="1">
      <c r="CF19087" s="239"/>
      <c r="CM19087" s="336"/>
    </row>
    <row r="19088" spans="84:91" s="51" customFormat="1">
      <c r="CF19088" s="239"/>
      <c r="CM19088" s="336"/>
    </row>
    <row r="19089" spans="84:91" s="51" customFormat="1">
      <c r="CF19089" s="239"/>
      <c r="CM19089" s="336"/>
    </row>
    <row r="19090" spans="84:91" s="51" customFormat="1">
      <c r="CF19090" s="239"/>
      <c r="CM19090" s="336"/>
    </row>
    <row r="19091" spans="84:91" s="51" customFormat="1">
      <c r="CF19091" s="239"/>
      <c r="CM19091" s="336"/>
    </row>
    <row r="19092" spans="84:91" s="51" customFormat="1">
      <c r="CF19092" s="239"/>
      <c r="CM19092" s="336"/>
    </row>
    <row r="19093" spans="84:91" s="51" customFormat="1">
      <c r="CF19093" s="239"/>
      <c r="CM19093" s="336"/>
    </row>
    <row r="19094" spans="84:91" s="51" customFormat="1">
      <c r="CF19094" s="239"/>
      <c r="CM19094" s="336"/>
    </row>
    <row r="19095" spans="84:91" s="51" customFormat="1">
      <c r="CF19095" s="239"/>
      <c r="CM19095" s="336"/>
    </row>
    <row r="19096" spans="84:91" s="51" customFormat="1">
      <c r="CF19096" s="239"/>
      <c r="CM19096" s="336"/>
    </row>
    <row r="19097" spans="84:91" s="51" customFormat="1">
      <c r="CF19097" s="239"/>
      <c r="CM19097" s="336"/>
    </row>
    <row r="19098" spans="84:91" s="51" customFormat="1">
      <c r="CF19098" s="239"/>
      <c r="CM19098" s="336"/>
    </row>
    <row r="19099" spans="84:91" s="51" customFormat="1">
      <c r="CF19099" s="239"/>
      <c r="CM19099" s="336"/>
    </row>
    <row r="19100" spans="84:91" s="51" customFormat="1">
      <c r="CF19100" s="239"/>
      <c r="CM19100" s="336"/>
    </row>
    <row r="19101" spans="84:91" s="51" customFormat="1">
      <c r="CF19101" s="239"/>
      <c r="CM19101" s="336"/>
    </row>
    <row r="19102" spans="84:91" s="51" customFormat="1">
      <c r="CF19102" s="239"/>
      <c r="CM19102" s="336"/>
    </row>
    <row r="19103" spans="84:91" s="51" customFormat="1">
      <c r="CF19103" s="239"/>
      <c r="CM19103" s="336"/>
    </row>
    <row r="19104" spans="84:91" s="51" customFormat="1">
      <c r="CF19104" s="239"/>
      <c r="CM19104" s="336"/>
    </row>
    <row r="19105" spans="84:91" s="51" customFormat="1">
      <c r="CF19105" s="239"/>
      <c r="CM19105" s="336"/>
    </row>
    <row r="19106" spans="84:91" s="51" customFormat="1">
      <c r="CF19106" s="239"/>
      <c r="CM19106" s="336"/>
    </row>
    <row r="19107" spans="84:91" s="51" customFormat="1">
      <c r="CF19107" s="239"/>
      <c r="CM19107" s="336"/>
    </row>
    <row r="19108" spans="84:91" s="51" customFormat="1">
      <c r="CF19108" s="239"/>
      <c r="CM19108" s="336"/>
    </row>
    <row r="19109" spans="84:91" s="51" customFormat="1">
      <c r="CF19109" s="239"/>
      <c r="CM19109" s="336"/>
    </row>
    <row r="19110" spans="84:91" s="51" customFormat="1">
      <c r="CF19110" s="239"/>
      <c r="CM19110" s="336"/>
    </row>
    <row r="19111" spans="84:91" s="51" customFormat="1">
      <c r="CF19111" s="239"/>
      <c r="CM19111" s="336"/>
    </row>
    <row r="19112" spans="84:91" s="51" customFormat="1">
      <c r="CF19112" s="239"/>
      <c r="CM19112" s="336"/>
    </row>
    <row r="19113" spans="84:91" s="51" customFormat="1">
      <c r="CF19113" s="239"/>
      <c r="CM19113" s="336"/>
    </row>
    <row r="19114" spans="84:91" s="51" customFormat="1">
      <c r="CF19114" s="239"/>
      <c r="CM19114" s="336"/>
    </row>
    <row r="19115" spans="84:91" s="51" customFormat="1">
      <c r="CF19115" s="239"/>
      <c r="CM19115" s="336"/>
    </row>
    <row r="19116" spans="84:91" s="51" customFormat="1">
      <c r="CF19116" s="239"/>
      <c r="CM19116" s="336"/>
    </row>
    <row r="19117" spans="84:91" s="51" customFormat="1">
      <c r="CF19117" s="239"/>
      <c r="CM19117" s="336"/>
    </row>
    <row r="19118" spans="84:91" s="51" customFormat="1">
      <c r="CF19118" s="239"/>
      <c r="CM19118" s="336"/>
    </row>
    <row r="19119" spans="84:91" s="51" customFormat="1">
      <c r="CF19119" s="239"/>
      <c r="CM19119" s="336"/>
    </row>
    <row r="19120" spans="84:91" s="51" customFormat="1">
      <c r="CF19120" s="239"/>
      <c r="CM19120" s="336"/>
    </row>
    <row r="19121" spans="84:91" s="51" customFormat="1">
      <c r="CF19121" s="239"/>
      <c r="CM19121" s="336"/>
    </row>
    <row r="19122" spans="84:91" s="51" customFormat="1">
      <c r="CF19122" s="239"/>
      <c r="CM19122" s="336"/>
    </row>
    <row r="19123" spans="84:91" s="51" customFormat="1">
      <c r="CF19123" s="239"/>
      <c r="CM19123" s="336"/>
    </row>
    <row r="19124" spans="84:91" s="51" customFormat="1">
      <c r="CF19124" s="239"/>
      <c r="CM19124" s="336"/>
    </row>
    <row r="19125" spans="84:91" s="51" customFormat="1">
      <c r="CF19125" s="239"/>
      <c r="CM19125" s="336"/>
    </row>
    <row r="19126" spans="84:91" s="51" customFormat="1">
      <c r="CF19126" s="239"/>
      <c r="CM19126" s="336"/>
    </row>
    <row r="19127" spans="84:91" s="51" customFormat="1">
      <c r="CF19127" s="239"/>
      <c r="CM19127" s="336"/>
    </row>
    <row r="19128" spans="84:91" s="51" customFormat="1">
      <c r="CF19128" s="239"/>
      <c r="CM19128" s="336"/>
    </row>
    <row r="19129" spans="84:91" s="51" customFormat="1">
      <c r="CF19129" s="239"/>
      <c r="CM19129" s="336"/>
    </row>
    <row r="19130" spans="84:91" s="51" customFormat="1">
      <c r="CF19130" s="239"/>
      <c r="CM19130" s="336"/>
    </row>
    <row r="19131" spans="84:91" s="51" customFormat="1">
      <c r="CF19131" s="239"/>
      <c r="CM19131" s="336"/>
    </row>
    <row r="19132" spans="84:91" s="51" customFormat="1">
      <c r="CF19132" s="239"/>
      <c r="CM19132" s="336"/>
    </row>
    <row r="19133" spans="84:91" s="51" customFormat="1">
      <c r="CF19133" s="239"/>
      <c r="CM19133" s="336"/>
    </row>
    <row r="19134" spans="84:91" s="51" customFormat="1">
      <c r="CF19134" s="239"/>
      <c r="CM19134" s="336"/>
    </row>
    <row r="19135" spans="84:91" s="51" customFormat="1">
      <c r="CF19135" s="239"/>
      <c r="CM19135" s="336"/>
    </row>
    <row r="19136" spans="84:91" s="51" customFormat="1">
      <c r="CF19136" s="239"/>
      <c r="CM19136" s="336"/>
    </row>
    <row r="19137" spans="84:91" s="51" customFormat="1">
      <c r="CF19137" s="239"/>
      <c r="CM19137" s="336"/>
    </row>
    <row r="19138" spans="84:91" s="51" customFormat="1">
      <c r="CF19138" s="239"/>
      <c r="CM19138" s="336"/>
    </row>
    <row r="19139" spans="84:91" s="51" customFormat="1">
      <c r="CF19139" s="239"/>
      <c r="CM19139" s="336"/>
    </row>
    <row r="19140" spans="84:91" s="51" customFormat="1">
      <c r="CF19140" s="239"/>
      <c r="CM19140" s="336"/>
    </row>
    <row r="19141" spans="84:91" s="51" customFormat="1">
      <c r="CF19141" s="239"/>
      <c r="CM19141" s="336"/>
    </row>
    <row r="19142" spans="84:91" s="51" customFormat="1">
      <c r="CF19142" s="239"/>
      <c r="CM19142" s="336"/>
    </row>
    <row r="19143" spans="84:91" s="51" customFormat="1">
      <c r="CF19143" s="239"/>
      <c r="CM19143" s="336"/>
    </row>
    <row r="19144" spans="84:91" s="51" customFormat="1">
      <c r="CF19144" s="239"/>
      <c r="CM19144" s="336"/>
    </row>
    <row r="19145" spans="84:91" s="51" customFormat="1">
      <c r="CF19145" s="239"/>
      <c r="CM19145" s="336"/>
    </row>
    <row r="19146" spans="84:91" s="51" customFormat="1">
      <c r="CF19146" s="239"/>
      <c r="CM19146" s="336"/>
    </row>
    <row r="19147" spans="84:91" s="51" customFormat="1">
      <c r="CF19147" s="239"/>
      <c r="CM19147" s="336"/>
    </row>
    <row r="19148" spans="84:91" s="51" customFormat="1">
      <c r="CF19148" s="239"/>
      <c r="CM19148" s="336"/>
    </row>
    <row r="19149" spans="84:91" s="51" customFormat="1">
      <c r="CF19149" s="239"/>
      <c r="CM19149" s="336"/>
    </row>
    <row r="19150" spans="84:91" s="51" customFormat="1">
      <c r="CF19150" s="239"/>
      <c r="CM19150" s="336"/>
    </row>
    <row r="19151" spans="84:91" s="51" customFormat="1">
      <c r="CF19151" s="239"/>
      <c r="CM19151" s="336"/>
    </row>
    <row r="19152" spans="84:91" s="51" customFormat="1">
      <c r="CF19152" s="239"/>
      <c r="CM19152" s="336"/>
    </row>
    <row r="19153" spans="84:91" s="51" customFormat="1">
      <c r="CF19153" s="239"/>
      <c r="CM19153" s="336"/>
    </row>
    <row r="19154" spans="84:91" s="51" customFormat="1">
      <c r="CF19154" s="239"/>
      <c r="CM19154" s="336"/>
    </row>
    <row r="19155" spans="84:91" s="51" customFormat="1">
      <c r="CF19155" s="239"/>
      <c r="CM19155" s="336"/>
    </row>
    <row r="19156" spans="84:91" s="51" customFormat="1">
      <c r="CF19156" s="239"/>
      <c r="CM19156" s="336"/>
    </row>
    <row r="19157" spans="84:91" s="51" customFormat="1">
      <c r="CF19157" s="239"/>
      <c r="CM19157" s="336"/>
    </row>
    <row r="19158" spans="84:91" s="51" customFormat="1">
      <c r="CF19158" s="239"/>
      <c r="CM19158" s="336"/>
    </row>
    <row r="19159" spans="84:91" s="51" customFormat="1">
      <c r="CF19159" s="239"/>
      <c r="CM19159" s="336"/>
    </row>
    <row r="19160" spans="84:91" s="51" customFormat="1">
      <c r="CF19160" s="239"/>
      <c r="CM19160" s="336"/>
    </row>
    <row r="19161" spans="84:91" s="51" customFormat="1">
      <c r="CF19161" s="239"/>
      <c r="CM19161" s="336"/>
    </row>
    <row r="19162" spans="84:91" s="51" customFormat="1">
      <c r="CF19162" s="239"/>
      <c r="CM19162" s="336"/>
    </row>
    <row r="19163" spans="84:91" s="51" customFormat="1">
      <c r="CF19163" s="239"/>
      <c r="CM19163" s="336"/>
    </row>
    <row r="19164" spans="84:91" s="51" customFormat="1">
      <c r="CF19164" s="239"/>
      <c r="CM19164" s="336"/>
    </row>
    <row r="19165" spans="84:91" s="51" customFormat="1">
      <c r="CF19165" s="239"/>
      <c r="CM19165" s="336"/>
    </row>
    <row r="19166" spans="84:91" s="51" customFormat="1">
      <c r="CF19166" s="239"/>
      <c r="CM19166" s="336"/>
    </row>
    <row r="19167" spans="84:91" s="51" customFormat="1">
      <c r="CF19167" s="239"/>
      <c r="CM19167" s="336"/>
    </row>
    <row r="19168" spans="84:91" s="51" customFormat="1">
      <c r="CF19168" s="239"/>
      <c r="CM19168" s="336"/>
    </row>
    <row r="19169" spans="84:91" s="51" customFormat="1">
      <c r="CF19169" s="239"/>
      <c r="CM19169" s="336"/>
    </row>
    <row r="19170" spans="84:91" s="51" customFormat="1">
      <c r="CF19170" s="239"/>
      <c r="CM19170" s="336"/>
    </row>
    <row r="19171" spans="84:91" s="51" customFormat="1">
      <c r="CF19171" s="239"/>
      <c r="CM19171" s="336"/>
    </row>
    <row r="19172" spans="84:91" s="51" customFormat="1">
      <c r="CF19172" s="239"/>
      <c r="CM19172" s="336"/>
    </row>
    <row r="19173" spans="84:91" s="51" customFormat="1">
      <c r="CF19173" s="239"/>
      <c r="CM19173" s="336"/>
    </row>
    <row r="19174" spans="84:91" s="51" customFormat="1">
      <c r="CF19174" s="239"/>
      <c r="CM19174" s="336"/>
    </row>
    <row r="19175" spans="84:91" s="51" customFormat="1">
      <c r="CF19175" s="239"/>
      <c r="CM19175" s="336"/>
    </row>
    <row r="19176" spans="84:91" s="51" customFormat="1">
      <c r="CF19176" s="239"/>
      <c r="CM19176" s="336"/>
    </row>
    <row r="19177" spans="84:91" s="51" customFormat="1">
      <c r="CF19177" s="239"/>
      <c r="CM19177" s="336"/>
    </row>
    <row r="19178" spans="84:91" s="51" customFormat="1">
      <c r="CF19178" s="239"/>
      <c r="CM19178" s="336"/>
    </row>
    <row r="19179" spans="84:91" s="51" customFormat="1">
      <c r="CF19179" s="239"/>
      <c r="CM19179" s="336"/>
    </row>
    <row r="19180" spans="84:91" s="51" customFormat="1">
      <c r="CF19180" s="239"/>
      <c r="CM19180" s="336"/>
    </row>
    <row r="19181" spans="84:91" s="51" customFormat="1">
      <c r="CF19181" s="239"/>
      <c r="CM19181" s="336"/>
    </row>
    <row r="19182" spans="84:91" s="51" customFormat="1">
      <c r="CF19182" s="239"/>
      <c r="CM19182" s="336"/>
    </row>
    <row r="19183" spans="84:91" s="51" customFormat="1">
      <c r="CF19183" s="239"/>
      <c r="CM19183" s="336"/>
    </row>
    <row r="19184" spans="84:91" s="51" customFormat="1">
      <c r="CF19184" s="239"/>
      <c r="CM19184" s="336"/>
    </row>
    <row r="19185" spans="84:91" s="51" customFormat="1">
      <c r="CF19185" s="239"/>
      <c r="CM19185" s="336"/>
    </row>
    <row r="19186" spans="84:91" s="51" customFormat="1">
      <c r="CF19186" s="239"/>
      <c r="CM19186" s="336"/>
    </row>
    <row r="19187" spans="84:91" s="51" customFormat="1">
      <c r="CF19187" s="239"/>
      <c r="CM19187" s="336"/>
    </row>
    <row r="19188" spans="84:91" s="51" customFormat="1">
      <c r="CF19188" s="239"/>
      <c r="CM19188" s="336"/>
    </row>
    <row r="19189" spans="84:91" s="51" customFormat="1">
      <c r="CF19189" s="239"/>
      <c r="CM19189" s="336"/>
    </row>
    <row r="19190" spans="84:91" s="51" customFormat="1">
      <c r="CF19190" s="239"/>
      <c r="CM19190" s="336"/>
    </row>
    <row r="19191" spans="84:91" s="51" customFormat="1">
      <c r="CF19191" s="239"/>
      <c r="CM19191" s="336"/>
    </row>
    <row r="19192" spans="84:91" s="51" customFormat="1">
      <c r="CF19192" s="239"/>
      <c r="CM19192" s="336"/>
    </row>
    <row r="19193" spans="84:91" s="51" customFormat="1">
      <c r="CF19193" s="239"/>
      <c r="CM19193" s="336"/>
    </row>
    <row r="19194" spans="84:91" s="51" customFormat="1">
      <c r="CF19194" s="239"/>
      <c r="CM19194" s="336"/>
    </row>
    <row r="19195" spans="84:91" s="51" customFormat="1">
      <c r="CF19195" s="239"/>
      <c r="CM19195" s="336"/>
    </row>
    <row r="19196" spans="84:91" s="51" customFormat="1">
      <c r="CF19196" s="239"/>
      <c r="CM19196" s="336"/>
    </row>
    <row r="19197" spans="84:91" s="51" customFormat="1">
      <c r="CF19197" s="239"/>
      <c r="CM19197" s="336"/>
    </row>
    <row r="19198" spans="84:91" s="51" customFormat="1">
      <c r="CF19198" s="239"/>
      <c r="CM19198" s="336"/>
    </row>
    <row r="19199" spans="84:91" s="51" customFormat="1">
      <c r="CF19199" s="239"/>
      <c r="CM19199" s="336"/>
    </row>
    <row r="19200" spans="84:91" s="51" customFormat="1">
      <c r="CF19200" s="239"/>
      <c r="CM19200" s="336"/>
    </row>
    <row r="19201" spans="84:91" s="51" customFormat="1">
      <c r="CF19201" s="239"/>
      <c r="CM19201" s="336"/>
    </row>
    <row r="19202" spans="84:91" s="51" customFormat="1">
      <c r="CF19202" s="239"/>
      <c r="CM19202" s="336"/>
    </row>
    <row r="19203" spans="84:91" s="51" customFormat="1">
      <c r="CF19203" s="239"/>
      <c r="CM19203" s="336"/>
    </row>
    <row r="19204" spans="84:91" s="51" customFormat="1">
      <c r="CF19204" s="239"/>
      <c r="CM19204" s="336"/>
    </row>
    <row r="19205" spans="84:91" s="51" customFormat="1">
      <c r="CF19205" s="239"/>
      <c r="CM19205" s="336"/>
    </row>
    <row r="19206" spans="84:91" s="51" customFormat="1">
      <c r="CF19206" s="239"/>
      <c r="CM19206" s="336"/>
    </row>
    <row r="19207" spans="84:91" s="51" customFormat="1">
      <c r="CF19207" s="239"/>
      <c r="CM19207" s="336"/>
    </row>
    <row r="19208" spans="84:91" s="51" customFormat="1">
      <c r="CF19208" s="239"/>
      <c r="CM19208" s="336"/>
    </row>
    <row r="19209" spans="84:91" s="51" customFormat="1">
      <c r="CF19209" s="239"/>
      <c r="CM19209" s="336"/>
    </row>
    <row r="19210" spans="84:91" s="51" customFormat="1">
      <c r="CF19210" s="239"/>
      <c r="CM19210" s="336"/>
    </row>
    <row r="19211" spans="84:91" s="51" customFormat="1">
      <c r="CF19211" s="239"/>
      <c r="CM19211" s="336"/>
    </row>
    <row r="19212" spans="84:91" s="51" customFormat="1">
      <c r="CF19212" s="239"/>
      <c r="CM19212" s="336"/>
    </row>
    <row r="19213" spans="84:91" s="51" customFormat="1">
      <c r="CF19213" s="239"/>
      <c r="CM19213" s="336"/>
    </row>
    <row r="19214" spans="84:91" s="51" customFormat="1">
      <c r="CF19214" s="239"/>
      <c r="CM19214" s="336"/>
    </row>
    <row r="19215" spans="84:91" s="51" customFormat="1">
      <c r="CF19215" s="239"/>
      <c r="CM19215" s="336"/>
    </row>
    <row r="19216" spans="84:91" s="51" customFormat="1">
      <c r="CF19216" s="239"/>
      <c r="CM19216" s="336"/>
    </row>
    <row r="19217" spans="84:91" s="51" customFormat="1">
      <c r="CF19217" s="239"/>
      <c r="CM19217" s="336"/>
    </row>
    <row r="19218" spans="84:91" s="51" customFormat="1">
      <c r="CF19218" s="239"/>
      <c r="CM19218" s="336"/>
    </row>
    <row r="19219" spans="84:91" s="51" customFormat="1">
      <c r="CF19219" s="239"/>
      <c r="CM19219" s="336"/>
    </row>
    <row r="19220" spans="84:91" s="51" customFormat="1">
      <c r="CF19220" s="239"/>
      <c r="CM19220" s="336"/>
    </row>
    <row r="19221" spans="84:91" s="51" customFormat="1">
      <c r="CF19221" s="239"/>
      <c r="CM19221" s="336"/>
    </row>
    <row r="19222" spans="84:91" s="51" customFormat="1">
      <c r="CF19222" s="239"/>
      <c r="CM19222" s="336"/>
    </row>
    <row r="19223" spans="84:91" s="51" customFormat="1">
      <c r="CF19223" s="239"/>
      <c r="CM19223" s="336"/>
    </row>
    <row r="19224" spans="84:91" s="51" customFormat="1">
      <c r="CF19224" s="239"/>
      <c r="CM19224" s="336"/>
    </row>
    <row r="19225" spans="84:91" s="51" customFormat="1">
      <c r="CF19225" s="239"/>
      <c r="CM19225" s="336"/>
    </row>
    <row r="19226" spans="84:91" s="51" customFormat="1">
      <c r="CF19226" s="239"/>
      <c r="CM19226" s="336"/>
    </row>
    <row r="19227" spans="84:91" s="51" customFormat="1">
      <c r="CF19227" s="239"/>
      <c r="CM19227" s="336"/>
    </row>
    <row r="19228" spans="84:91" s="51" customFormat="1">
      <c r="CF19228" s="239"/>
      <c r="CM19228" s="336"/>
    </row>
    <row r="19229" spans="84:91" s="51" customFormat="1">
      <c r="CF19229" s="239"/>
      <c r="CM19229" s="336"/>
    </row>
    <row r="19230" spans="84:91" s="51" customFormat="1">
      <c r="CF19230" s="239"/>
      <c r="CM19230" s="336"/>
    </row>
    <row r="19231" spans="84:91" s="51" customFormat="1">
      <c r="CF19231" s="239"/>
      <c r="CM19231" s="336"/>
    </row>
    <row r="19232" spans="84:91" s="51" customFormat="1">
      <c r="CF19232" s="239"/>
      <c r="CM19232" s="336"/>
    </row>
    <row r="19233" spans="84:91" s="51" customFormat="1">
      <c r="CF19233" s="239"/>
      <c r="CM19233" s="336"/>
    </row>
    <row r="19234" spans="84:91" s="51" customFormat="1">
      <c r="CF19234" s="239"/>
      <c r="CM19234" s="336"/>
    </row>
    <row r="19235" spans="84:91" s="51" customFormat="1">
      <c r="CF19235" s="239"/>
      <c r="CM19235" s="336"/>
    </row>
    <row r="19236" spans="84:91" s="51" customFormat="1">
      <c r="CF19236" s="239"/>
      <c r="CM19236" s="336"/>
    </row>
    <row r="19237" spans="84:91" s="51" customFormat="1">
      <c r="CF19237" s="239"/>
      <c r="CM19237" s="336"/>
    </row>
    <row r="19238" spans="84:91" s="51" customFormat="1">
      <c r="CF19238" s="239"/>
      <c r="CM19238" s="336"/>
    </row>
    <row r="19239" spans="84:91" s="51" customFormat="1">
      <c r="CF19239" s="239"/>
      <c r="CM19239" s="336"/>
    </row>
    <row r="19240" spans="84:91" s="51" customFormat="1">
      <c r="CF19240" s="239"/>
      <c r="CM19240" s="336"/>
    </row>
    <row r="19241" spans="84:91" s="51" customFormat="1">
      <c r="CF19241" s="239"/>
      <c r="CM19241" s="336"/>
    </row>
    <row r="19242" spans="84:91" s="51" customFormat="1">
      <c r="CF19242" s="239"/>
      <c r="CM19242" s="336"/>
    </row>
    <row r="19243" spans="84:91" s="51" customFormat="1">
      <c r="CF19243" s="239"/>
      <c r="CM19243" s="336"/>
    </row>
    <row r="19244" spans="84:91" s="51" customFormat="1">
      <c r="CF19244" s="239"/>
      <c r="CM19244" s="336"/>
    </row>
    <row r="19245" spans="84:91" s="51" customFormat="1">
      <c r="CF19245" s="239"/>
      <c r="CM19245" s="336"/>
    </row>
    <row r="19246" spans="84:91" s="51" customFormat="1">
      <c r="CF19246" s="239"/>
      <c r="CM19246" s="336"/>
    </row>
    <row r="19247" spans="84:91" s="51" customFormat="1">
      <c r="CF19247" s="239"/>
      <c r="CM19247" s="336"/>
    </row>
    <row r="19248" spans="84:91" s="51" customFormat="1">
      <c r="CF19248" s="239"/>
      <c r="CM19248" s="336"/>
    </row>
    <row r="19249" spans="84:91" s="51" customFormat="1">
      <c r="CF19249" s="239"/>
      <c r="CM19249" s="336"/>
    </row>
    <row r="19250" spans="84:91" s="51" customFormat="1">
      <c r="CF19250" s="239"/>
      <c r="CM19250" s="336"/>
    </row>
    <row r="19251" spans="84:91" s="51" customFormat="1">
      <c r="CF19251" s="239"/>
      <c r="CM19251" s="336"/>
    </row>
    <row r="19252" spans="84:91" s="51" customFormat="1">
      <c r="CF19252" s="239"/>
      <c r="CM19252" s="336"/>
    </row>
    <row r="19253" spans="84:91" s="51" customFormat="1">
      <c r="CF19253" s="239"/>
      <c r="CM19253" s="336"/>
    </row>
    <row r="19254" spans="84:91" s="51" customFormat="1">
      <c r="CF19254" s="239"/>
      <c r="CM19254" s="336"/>
    </row>
    <row r="19255" spans="84:91" s="51" customFormat="1">
      <c r="CF19255" s="239"/>
      <c r="CM19255" s="336"/>
    </row>
    <row r="19256" spans="84:91" s="51" customFormat="1">
      <c r="CF19256" s="239"/>
      <c r="CM19256" s="336"/>
    </row>
    <row r="19257" spans="84:91" s="51" customFormat="1">
      <c r="CF19257" s="239"/>
      <c r="CM19257" s="336"/>
    </row>
    <row r="19258" spans="84:91" s="51" customFormat="1">
      <c r="CF19258" s="239"/>
      <c r="CM19258" s="336"/>
    </row>
    <row r="19259" spans="84:91" s="51" customFormat="1">
      <c r="CF19259" s="239"/>
      <c r="CM19259" s="336"/>
    </row>
    <row r="19260" spans="84:91" s="51" customFormat="1">
      <c r="CF19260" s="239"/>
      <c r="CM19260" s="336"/>
    </row>
    <row r="19261" spans="84:91" s="51" customFormat="1">
      <c r="CF19261" s="239"/>
      <c r="CM19261" s="336"/>
    </row>
    <row r="19262" spans="84:91" s="51" customFormat="1">
      <c r="CF19262" s="239"/>
      <c r="CM19262" s="336"/>
    </row>
    <row r="19263" spans="84:91" s="51" customFormat="1">
      <c r="CF19263" s="239"/>
      <c r="CM19263" s="336"/>
    </row>
    <row r="19264" spans="84:91" s="51" customFormat="1">
      <c r="CF19264" s="239"/>
      <c r="CM19264" s="336"/>
    </row>
    <row r="19265" spans="84:91" s="51" customFormat="1">
      <c r="CF19265" s="239"/>
      <c r="CM19265" s="336"/>
    </row>
    <row r="19266" spans="84:91" s="51" customFormat="1">
      <c r="CF19266" s="239"/>
      <c r="CM19266" s="336"/>
    </row>
    <row r="19267" spans="84:91" s="51" customFormat="1">
      <c r="CF19267" s="239"/>
      <c r="CM19267" s="336"/>
    </row>
    <row r="19268" spans="84:91" s="51" customFormat="1">
      <c r="CF19268" s="239"/>
      <c r="CM19268" s="336"/>
    </row>
    <row r="19269" spans="84:91" s="51" customFormat="1">
      <c r="CF19269" s="239"/>
      <c r="CM19269" s="336"/>
    </row>
    <row r="19270" spans="84:91" s="51" customFormat="1">
      <c r="CF19270" s="239"/>
      <c r="CM19270" s="336"/>
    </row>
    <row r="19271" spans="84:91" s="51" customFormat="1">
      <c r="CF19271" s="239"/>
      <c r="CM19271" s="336"/>
    </row>
    <row r="19272" spans="84:91" s="51" customFormat="1">
      <c r="CF19272" s="239"/>
      <c r="CM19272" s="336"/>
    </row>
    <row r="19273" spans="84:91" s="51" customFormat="1">
      <c r="CF19273" s="239"/>
      <c r="CM19273" s="336"/>
    </row>
    <row r="19274" spans="84:91" s="51" customFormat="1">
      <c r="CF19274" s="239"/>
      <c r="CM19274" s="336"/>
    </row>
    <row r="19275" spans="84:91" s="51" customFormat="1">
      <c r="CF19275" s="239"/>
      <c r="CM19275" s="336"/>
    </row>
    <row r="19276" spans="84:91" s="51" customFormat="1">
      <c r="CF19276" s="239"/>
      <c r="CM19276" s="336"/>
    </row>
    <row r="19277" spans="84:91" s="51" customFormat="1">
      <c r="CF19277" s="239"/>
      <c r="CM19277" s="336"/>
    </row>
    <row r="19278" spans="84:91" s="51" customFormat="1">
      <c r="CF19278" s="239"/>
      <c r="CM19278" s="336"/>
    </row>
    <row r="19279" spans="84:91" s="51" customFormat="1">
      <c r="CF19279" s="239"/>
      <c r="CM19279" s="336"/>
    </row>
    <row r="19280" spans="84:91" s="51" customFormat="1">
      <c r="CF19280" s="239"/>
      <c r="CM19280" s="336"/>
    </row>
    <row r="19281" spans="84:91" s="51" customFormat="1">
      <c r="CF19281" s="239"/>
      <c r="CM19281" s="336"/>
    </row>
    <row r="19282" spans="84:91" s="51" customFormat="1">
      <c r="CF19282" s="239"/>
      <c r="CM19282" s="336"/>
    </row>
    <row r="19283" spans="84:91" s="51" customFormat="1">
      <c r="CF19283" s="239"/>
      <c r="CM19283" s="336"/>
    </row>
    <row r="19284" spans="84:91" s="51" customFormat="1">
      <c r="CF19284" s="239"/>
      <c r="CM19284" s="336"/>
    </row>
    <row r="19285" spans="84:91" s="51" customFormat="1">
      <c r="CF19285" s="239"/>
      <c r="CM19285" s="336"/>
    </row>
    <row r="19286" spans="84:91" s="51" customFormat="1">
      <c r="CF19286" s="239"/>
      <c r="CM19286" s="336"/>
    </row>
    <row r="19287" spans="84:91" s="51" customFormat="1">
      <c r="CF19287" s="239"/>
      <c r="CM19287" s="336"/>
    </row>
    <row r="19288" spans="84:91" s="51" customFormat="1">
      <c r="CF19288" s="239"/>
      <c r="CM19288" s="336"/>
    </row>
    <row r="19289" spans="84:91" s="51" customFormat="1">
      <c r="CF19289" s="239"/>
      <c r="CM19289" s="336"/>
    </row>
    <row r="19290" spans="84:91" s="51" customFormat="1">
      <c r="CF19290" s="239"/>
      <c r="CM19290" s="336"/>
    </row>
    <row r="19291" spans="84:91" s="51" customFormat="1">
      <c r="CF19291" s="239"/>
      <c r="CM19291" s="336"/>
    </row>
    <row r="19292" spans="84:91" s="51" customFormat="1">
      <c r="CF19292" s="239"/>
      <c r="CM19292" s="336"/>
    </row>
    <row r="19293" spans="84:91" s="51" customFormat="1">
      <c r="CF19293" s="239"/>
      <c r="CM19293" s="336"/>
    </row>
    <row r="19294" spans="84:91" s="51" customFormat="1">
      <c r="CF19294" s="239"/>
      <c r="CM19294" s="336"/>
    </row>
    <row r="19295" spans="84:91" s="51" customFormat="1">
      <c r="CF19295" s="239"/>
      <c r="CM19295" s="336"/>
    </row>
    <row r="19296" spans="84:91" s="51" customFormat="1">
      <c r="CF19296" s="239"/>
      <c r="CM19296" s="336"/>
    </row>
    <row r="19297" spans="84:91" s="51" customFormat="1">
      <c r="CF19297" s="239"/>
      <c r="CM19297" s="336"/>
    </row>
    <row r="19298" spans="84:91" s="51" customFormat="1">
      <c r="CF19298" s="239"/>
      <c r="CM19298" s="336"/>
    </row>
    <row r="19299" spans="84:91" s="51" customFormat="1">
      <c r="CF19299" s="239"/>
      <c r="CM19299" s="336"/>
    </row>
    <row r="19300" spans="84:91" s="51" customFormat="1">
      <c r="CF19300" s="239"/>
      <c r="CM19300" s="336"/>
    </row>
    <row r="19301" spans="84:91" s="51" customFormat="1">
      <c r="CF19301" s="239"/>
      <c r="CM19301" s="336"/>
    </row>
    <row r="19302" spans="84:91" s="51" customFormat="1">
      <c r="CF19302" s="239"/>
      <c r="CM19302" s="336"/>
    </row>
    <row r="19303" spans="84:91" s="51" customFormat="1">
      <c r="CF19303" s="239"/>
      <c r="CM19303" s="336"/>
    </row>
    <row r="19304" spans="84:91" s="51" customFormat="1">
      <c r="CF19304" s="239"/>
      <c r="CM19304" s="336"/>
    </row>
    <row r="19305" spans="84:91" s="51" customFormat="1">
      <c r="CF19305" s="239"/>
      <c r="CM19305" s="336"/>
    </row>
    <row r="19306" spans="84:91" s="51" customFormat="1">
      <c r="CF19306" s="239"/>
      <c r="CM19306" s="336"/>
    </row>
    <row r="19307" spans="84:91" s="51" customFormat="1">
      <c r="CF19307" s="239"/>
      <c r="CM19307" s="336"/>
    </row>
    <row r="19308" spans="84:91" s="51" customFormat="1">
      <c r="CF19308" s="239"/>
      <c r="CM19308" s="336"/>
    </row>
    <row r="19309" spans="84:91" s="51" customFormat="1">
      <c r="CF19309" s="239"/>
      <c r="CM19309" s="336"/>
    </row>
    <row r="19310" spans="84:91" s="51" customFormat="1">
      <c r="CF19310" s="239"/>
      <c r="CM19310" s="336"/>
    </row>
    <row r="19311" spans="84:91" s="51" customFormat="1">
      <c r="CF19311" s="239"/>
      <c r="CM19311" s="336"/>
    </row>
    <row r="19312" spans="84:91" s="51" customFormat="1">
      <c r="CF19312" s="239"/>
      <c r="CM19312" s="336"/>
    </row>
    <row r="19313" spans="84:91" s="51" customFormat="1">
      <c r="CF19313" s="239"/>
      <c r="CM19313" s="336"/>
    </row>
    <row r="19314" spans="84:91" s="51" customFormat="1">
      <c r="CF19314" s="239"/>
      <c r="CM19314" s="336"/>
    </row>
    <row r="19315" spans="84:91" s="51" customFormat="1">
      <c r="CF19315" s="239"/>
      <c r="CM19315" s="336"/>
    </row>
    <row r="19316" spans="84:91" s="51" customFormat="1">
      <c r="CF19316" s="239"/>
      <c r="CM19316" s="336"/>
    </row>
    <row r="19317" spans="84:91" s="51" customFormat="1">
      <c r="CF19317" s="239"/>
      <c r="CM19317" s="336"/>
    </row>
    <row r="19318" spans="84:91" s="51" customFormat="1">
      <c r="CF19318" s="239"/>
      <c r="CM19318" s="336"/>
    </row>
    <row r="19319" spans="84:91" s="51" customFormat="1">
      <c r="CF19319" s="239"/>
      <c r="CM19319" s="336"/>
    </row>
    <row r="19320" spans="84:91" s="51" customFormat="1">
      <c r="CF19320" s="239"/>
      <c r="CM19320" s="336"/>
    </row>
    <row r="19321" spans="84:91" s="51" customFormat="1">
      <c r="CF19321" s="239"/>
      <c r="CM19321" s="336"/>
    </row>
    <row r="19322" spans="84:91" s="51" customFormat="1">
      <c r="CF19322" s="239"/>
      <c r="CM19322" s="336"/>
    </row>
    <row r="19323" spans="84:91" s="51" customFormat="1">
      <c r="CF19323" s="239"/>
      <c r="CM19323" s="336"/>
    </row>
    <row r="19324" spans="84:91" s="51" customFormat="1">
      <c r="CF19324" s="239"/>
      <c r="CM19324" s="336"/>
    </row>
    <row r="19325" spans="84:91" s="51" customFormat="1">
      <c r="CF19325" s="239"/>
      <c r="CM19325" s="336"/>
    </row>
    <row r="19326" spans="84:91" s="51" customFormat="1">
      <c r="CF19326" s="239"/>
      <c r="CM19326" s="336"/>
    </row>
    <row r="19327" spans="84:91" s="51" customFormat="1">
      <c r="CF19327" s="239"/>
      <c r="CM19327" s="336"/>
    </row>
    <row r="19328" spans="84:91" s="51" customFormat="1">
      <c r="CF19328" s="239"/>
      <c r="CM19328" s="336"/>
    </row>
    <row r="19329" spans="84:91" s="51" customFormat="1">
      <c r="CF19329" s="239"/>
      <c r="CM19329" s="336"/>
    </row>
    <row r="19330" spans="84:91" s="51" customFormat="1">
      <c r="CF19330" s="239"/>
      <c r="CM19330" s="336"/>
    </row>
    <row r="19331" spans="84:91" s="51" customFormat="1">
      <c r="CF19331" s="239"/>
      <c r="CM19331" s="336"/>
    </row>
    <row r="19332" spans="84:91" s="51" customFormat="1">
      <c r="CF19332" s="239"/>
      <c r="CM19332" s="336"/>
    </row>
    <row r="19333" spans="84:91" s="51" customFormat="1">
      <c r="CF19333" s="239"/>
      <c r="CM19333" s="336"/>
    </row>
    <row r="19334" spans="84:91" s="51" customFormat="1">
      <c r="CF19334" s="239"/>
      <c r="CM19334" s="336"/>
    </row>
    <row r="19335" spans="84:91" s="51" customFormat="1">
      <c r="CF19335" s="239"/>
      <c r="CM19335" s="336"/>
    </row>
    <row r="19336" spans="84:91" s="51" customFormat="1">
      <c r="CF19336" s="239"/>
      <c r="CM19336" s="336"/>
    </row>
    <row r="19337" spans="84:91" s="51" customFormat="1">
      <c r="CF19337" s="239"/>
      <c r="CM19337" s="336"/>
    </row>
    <row r="19338" spans="84:91" s="51" customFormat="1">
      <c r="CF19338" s="239"/>
      <c r="CM19338" s="336"/>
    </row>
    <row r="19339" spans="84:91" s="51" customFormat="1">
      <c r="CF19339" s="239"/>
      <c r="CM19339" s="336"/>
    </row>
    <row r="19340" spans="84:91" s="51" customFormat="1">
      <c r="CF19340" s="239"/>
      <c r="CM19340" s="336"/>
    </row>
    <row r="19341" spans="84:91" s="51" customFormat="1">
      <c r="CF19341" s="239"/>
      <c r="CM19341" s="336"/>
    </row>
    <row r="19342" spans="84:91" s="51" customFormat="1">
      <c r="CF19342" s="239"/>
      <c r="CM19342" s="336"/>
    </row>
    <row r="19343" spans="84:91" s="51" customFormat="1">
      <c r="CF19343" s="239"/>
      <c r="CM19343" s="336"/>
    </row>
    <row r="19344" spans="84:91" s="51" customFormat="1">
      <c r="CF19344" s="239"/>
      <c r="CM19344" s="336"/>
    </row>
    <row r="19345" spans="84:91" s="51" customFormat="1">
      <c r="CF19345" s="239"/>
      <c r="CM19345" s="336"/>
    </row>
    <row r="19346" spans="84:91" s="51" customFormat="1">
      <c r="CF19346" s="239"/>
      <c r="CM19346" s="336"/>
    </row>
    <row r="19347" spans="84:91" s="51" customFormat="1">
      <c r="CF19347" s="239"/>
      <c r="CM19347" s="336"/>
    </row>
    <row r="19348" spans="84:91" s="51" customFormat="1">
      <c r="CF19348" s="239"/>
      <c r="CM19348" s="336"/>
    </row>
    <row r="19349" spans="84:91" s="51" customFormat="1">
      <c r="CF19349" s="239"/>
      <c r="CM19349" s="336"/>
    </row>
    <row r="19350" spans="84:91" s="51" customFormat="1">
      <c r="CF19350" s="239"/>
      <c r="CM19350" s="336"/>
    </row>
    <row r="19351" spans="84:91" s="51" customFormat="1">
      <c r="CF19351" s="239"/>
      <c r="CM19351" s="336"/>
    </row>
    <row r="19352" spans="84:91" s="51" customFormat="1">
      <c r="CF19352" s="239"/>
      <c r="CM19352" s="336"/>
    </row>
    <row r="19353" spans="84:91" s="51" customFormat="1">
      <c r="CF19353" s="239"/>
      <c r="CM19353" s="336"/>
    </row>
    <row r="19354" spans="84:91" s="51" customFormat="1">
      <c r="CF19354" s="239"/>
      <c r="CM19354" s="336"/>
    </row>
    <row r="19355" spans="84:91" s="51" customFormat="1">
      <c r="CF19355" s="239"/>
      <c r="CM19355" s="336"/>
    </row>
    <row r="19356" spans="84:91" s="51" customFormat="1">
      <c r="CF19356" s="239"/>
      <c r="CM19356" s="336"/>
    </row>
    <row r="19357" spans="84:91" s="51" customFormat="1">
      <c r="CF19357" s="239"/>
      <c r="CM19357" s="336"/>
    </row>
    <row r="19358" spans="84:91" s="51" customFormat="1">
      <c r="CF19358" s="239"/>
      <c r="CM19358" s="336"/>
    </row>
    <row r="19359" spans="84:91" s="51" customFormat="1">
      <c r="CF19359" s="239"/>
      <c r="CM19359" s="336"/>
    </row>
    <row r="19360" spans="84:91" s="51" customFormat="1">
      <c r="CF19360" s="239"/>
      <c r="CM19360" s="336"/>
    </row>
    <row r="19361" spans="84:91" s="51" customFormat="1">
      <c r="CF19361" s="239"/>
      <c r="CM19361" s="336"/>
    </row>
    <row r="19362" spans="84:91" s="51" customFormat="1">
      <c r="CF19362" s="239"/>
      <c r="CM19362" s="336"/>
    </row>
    <row r="19363" spans="84:91" s="51" customFormat="1">
      <c r="CF19363" s="239"/>
      <c r="CM19363" s="336"/>
    </row>
    <row r="19364" spans="84:91" s="51" customFormat="1">
      <c r="CF19364" s="239"/>
      <c r="CM19364" s="336"/>
    </row>
    <row r="19365" spans="84:91" s="51" customFormat="1">
      <c r="CF19365" s="239"/>
      <c r="CM19365" s="336"/>
    </row>
    <row r="19366" spans="84:91" s="51" customFormat="1">
      <c r="CF19366" s="239"/>
      <c r="CM19366" s="336"/>
    </row>
    <row r="19367" spans="84:91" s="51" customFormat="1">
      <c r="CF19367" s="239"/>
      <c r="CM19367" s="336"/>
    </row>
    <row r="19368" spans="84:91" s="51" customFormat="1">
      <c r="CF19368" s="239"/>
      <c r="CM19368" s="336"/>
    </row>
    <row r="19369" spans="84:91" s="51" customFormat="1">
      <c r="CF19369" s="239"/>
      <c r="CM19369" s="336"/>
    </row>
    <row r="19370" spans="84:91" s="51" customFormat="1">
      <c r="CF19370" s="239"/>
      <c r="CM19370" s="336"/>
    </row>
    <row r="19371" spans="84:91" s="51" customFormat="1">
      <c r="CF19371" s="239"/>
      <c r="CM19371" s="336"/>
    </row>
    <row r="19372" spans="84:91" s="51" customFormat="1">
      <c r="CF19372" s="239"/>
      <c r="CM19372" s="336"/>
    </row>
    <row r="19373" spans="84:91" s="51" customFormat="1">
      <c r="CF19373" s="239"/>
      <c r="CM19373" s="336"/>
    </row>
    <row r="19374" spans="84:91" s="51" customFormat="1">
      <c r="CF19374" s="239"/>
      <c r="CM19374" s="336"/>
    </row>
    <row r="19375" spans="84:91" s="51" customFormat="1">
      <c r="CF19375" s="239"/>
      <c r="CM19375" s="336"/>
    </row>
    <row r="19376" spans="84:91" s="51" customFormat="1">
      <c r="CF19376" s="239"/>
      <c r="CM19376" s="336"/>
    </row>
    <row r="19377" spans="84:91" s="51" customFormat="1">
      <c r="CF19377" s="239"/>
      <c r="CM19377" s="336"/>
    </row>
    <row r="19378" spans="84:91" s="51" customFormat="1">
      <c r="CF19378" s="239"/>
      <c r="CM19378" s="336"/>
    </row>
    <row r="19379" spans="84:91" s="51" customFormat="1">
      <c r="CF19379" s="239"/>
      <c r="CM19379" s="336"/>
    </row>
    <row r="19380" spans="84:91" s="51" customFormat="1">
      <c r="CF19380" s="239"/>
      <c r="CM19380" s="336"/>
    </row>
    <row r="19381" spans="84:91" s="51" customFormat="1">
      <c r="CF19381" s="239"/>
      <c r="CM19381" s="336"/>
    </row>
    <row r="19382" spans="84:91" s="51" customFormat="1">
      <c r="CF19382" s="239"/>
      <c r="CM19382" s="336"/>
    </row>
    <row r="19383" spans="84:91" s="51" customFormat="1">
      <c r="CF19383" s="239"/>
      <c r="CM19383" s="336"/>
    </row>
    <row r="19384" spans="84:91" s="51" customFormat="1">
      <c r="CF19384" s="239"/>
      <c r="CM19384" s="336"/>
    </row>
    <row r="19385" spans="84:91" s="51" customFormat="1">
      <c r="CF19385" s="239"/>
      <c r="CM19385" s="336"/>
    </row>
    <row r="19386" spans="84:91" s="51" customFormat="1">
      <c r="CF19386" s="239"/>
      <c r="CM19386" s="336"/>
    </row>
    <row r="19387" spans="84:91" s="51" customFormat="1">
      <c r="CF19387" s="239"/>
      <c r="CM19387" s="336"/>
    </row>
    <row r="19388" spans="84:91" s="51" customFormat="1">
      <c r="CF19388" s="239"/>
      <c r="CM19388" s="336"/>
    </row>
    <row r="19389" spans="84:91" s="51" customFormat="1">
      <c r="CF19389" s="239"/>
      <c r="CM19389" s="336"/>
    </row>
    <row r="19390" spans="84:91" s="51" customFormat="1">
      <c r="CF19390" s="239"/>
      <c r="CM19390" s="336"/>
    </row>
    <row r="19391" spans="84:91" s="51" customFormat="1">
      <c r="CF19391" s="239"/>
      <c r="CM19391" s="336"/>
    </row>
    <row r="19392" spans="84:91" s="51" customFormat="1">
      <c r="CF19392" s="239"/>
      <c r="CM19392" s="336"/>
    </row>
    <row r="19393" spans="84:91" s="51" customFormat="1">
      <c r="CF19393" s="239"/>
      <c r="CM19393" s="336"/>
    </row>
    <row r="19394" spans="84:91" s="51" customFormat="1">
      <c r="CF19394" s="239"/>
      <c r="CM19394" s="336"/>
    </row>
    <row r="19395" spans="84:91" s="51" customFormat="1">
      <c r="CF19395" s="239"/>
      <c r="CM19395" s="336"/>
    </row>
    <row r="19396" spans="84:91" s="51" customFormat="1">
      <c r="CF19396" s="239"/>
      <c r="CM19396" s="336"/>
    </row>
    <row r="19397" spans="84:91" s="51" customFormat="1">
      <c r="CF19397" s="239"/>
      <c r="CM19397" s="336"/>
    </row>
    <row r="19398" spans="84:91" s="51" customFormat="1">
      <c r="CF19398" s="239"/>
      <c r="CM19398" s="336"/>
    </row>
    <row r="19399" spans="84:91" s="51" customFormat="1">
      <c r="CF19399" s="239"/>
      <c r="CM19399" s="336"/>
    </row>
    <row r="19400" spans="84:91" s="51" customFormat="1">
      <c r="CF19400" s="239"/>
      <c r="CM19400" s="336"/>
    </row>
    <row r="19401" spans="84:91" s="51" customFormat="1">
      <c r="CF19401" s="239"/>
      <c r="CM19401" s="336"/>
    </row>
    <row r="19402" spans="84:91" s="51" customFormat="1">
      <c r="CF19402" s="239"/>
      <c r="CM19402" s="336"/>
    </row>
    <row r="19403" spans="84:91" s="51" customFormat="1">
      <c r="CF19403" s="239"/>
      <c r="CM19403" s="336"/>
    </row>
    <row r="19404" spans="84:91" s="51" customFormat="1">
      <c r="CF19404" s="239"/>
      <c r="CM19404" s="336"/>
    </row>
    <row r="19405" spans="84:91" s="51" customFormat="1">
      <c r="CF19405" s="239"/>
      <c r="CM19405" s="336"/>
    </row>
    <row r="19406" spans="84:91" s="51" customFormat="1">
      <c r="CF19406" s="239"/>
      <c r="CM19406" s="336"/>
    </row>
    <row r="19407" spans="84:91" s="51" customFormat="1">
      <c r="CF19407" s="239"/>
      <c r="CM19407" s="336"/>
    </row>
    <row r="19408" spans="84:91" s="51" customFormat="1">
      <c r="CF19408" s="239"/>
      <c r="CM19408" s="336"/>
    </row>
    <row r="19409" spans="84:91" s="51" customFormat="1">
      <c r="CF19409" s="239"/>
      <c r="CM19409" s="336"/>
    </row>
    <row r="19410" spans="84:91" s="51" customFormat="1">
      <c r="CF19410" s="239"/>
      <c r="CM19410" s="336"/>
    </row>
    <row r="19411" spans="84:91" s="51" customFormat="1">
      <c r="CF19411" s="239"/>
      <c r="CM19411" s="336"/>
    </row>
    <row r="19412" spans="84:91" s="51" customFormat="1">
      <c r="CF19412" s="239"/>
      <c r="CM19412" s="336"/>
    </row>
    <row r="19413" spans="84:91" s="51" customFormat="1">
      <c r="CF19413" s="239"/>
      <c r="CM19413" s="336"/>
    </row>
    <row r="19414" spans="84:91" s="51" customFormat="1">
      <c r="CF19414" s="239"/>
      <c r="CM19414" s="336"/>
    </row>
    <row r="19415" spans="84:91" s="51" customFormat="1">
      <c r="CF19415" s="239"/>
      <c r="CM19415" s="336"/>
    </row>
    <row r="19416" spans="84:91" s="51" customFormat="1">
      <c r="CF19416" s="239"/>
      <c r="CM19416" s="336"/>
    </row>
    <row r="19417" spans="84:91" s="51" customFormat="1">
      <c r="CF19417" s="239"/>
      <c r="CM19417" s="336"/>
    </row>
    <row r="19418" spans="84:91" s="51" customFormat="1">
      <c r="CF19418" s="239"/>
      <c r="CM19418" s="336"/>
    </row>
    <row r="19419" spans="84:91" s="51" customFormat="1">
      <c r="CF19419" s="239"/>
      <c r="CM19419" s="336"/>
    </row>
    <row r="19420" spans="84:91" s="51" customFormat="1">
      <c r="CF19420" s="239"/>
      <c r="CM19420" s="336"/>
    </row>
    <row r="19421" spans="84:91" s="51" customFormat="1">
      <c r="CF19421" s="239"/>
      <c r="CM19421" s="336"/>
    </row>
    <row r="19422" spans="84:91" s="51" customFormat="1">
      <c r="CF19422" s="239"/>
      <c r="CM19422" s="336"/>
    </row>
    <row r="19423" spans="84:91" s="51" customFormat="1">
      <c r="CF19423" s="239"/>
      <c r="CM19423" s="336"/>
    </row>
    <row r="19424" spans="84:91" s="51" customFormat="1">
      <c r="CF19424" s="239"/>
      <c r="CM19424" s="336"/>
    </row>
    <row r="19425" spans="84:91" s="51" customFormat="1">
      <c r="CF19425" s="239"/>
      <c r="CM19425" s="336"/>
    </row>
    <row r="19426" spans="84:91" s="51" customFormat="1">
      <c r="CF19426" s="239"/>
      <c r="CM19426" s="336"/>
    </row>
    <row r="19427" spans="84:91" s="51" customFormat="1">
      <c r="CF19427" s="239"/>
      <c r="CM19427" s="336"/>
    </row>
    <row r="19428" spans="84:91" s="51" customFormat="1">
      <c r="CF19428" s="239"/>
      <c r="CM19428" s="336"/>
    </row>
    <row r="19429" spans="84:91" s="51" customFormat="1">
      <c r="CF19429" s="239"/>
      <c r="CM19429" s="336"/>
    </row>
    <row r="19430" spans="84:91" s="51" customFormat="1">
      <c r="CF19430" s="239"/>
      <c r="CM19430" s="336"/>
    </row>
    <row r="19431" spans="84:91" s="51" customFormat="1">
      <c r="CF19431" s="239"/>
      <c r="CM19431" s="336"/>
    </row>
    <row r="19432" spans="84:91" s="51" customFormat="1">
      <c r="CF19432" s="239"/>
      <c r="CM19432" s="336"/>
    </row>
    <row r="19433" spans="84:91" s="51" customFormat="1">
      <c r="CF19433" s="239"/>
      <c r="CM19433" s="336"/>
    </row>
    <row r="19434" spans="84:91" s="51" customFormat="1">
      <c r="CF19434" s="239"/>
      <c r="CM19434" s="336"/>
    </row>
    <row r="19435" spans="84:91" s="51" customFormat="1">
      <c r="CF19435" s="239"/>
      <c r="CM19435" s="336"/>
    </row>
    <row r="19436" spans="84:91" s="51" customFormat="1">
      <c r="CF19436" s="239"/>
      <c r="CM19436" s="336"/>
    </row>
    <row r="19437" spans="84:91" s="51" customFormat="1">
      <c r="CF19437" s="239"/>
      <c r="CM19437" s="336"/>
    </row>
    <row r="19438" spans="84:91" s="51" customFormat="1">
      <c r="CF19438" s="239"/>
      <c r="CM19438" s="336"/>
    </row>
    <row r="19439" spans="84:91" s="51" customFormat="1">
      <c r="CF19439" s="239"/>
      <c r="CM19439" s="336"/>
    </row>
    <row r="19440" spans="84:91" s="51" customFormat="1">
      <c r="CF19440" s="239"/>
      <c r="CM19440" s="336"/>
    </row>
    <row r="19441" spans="84:91" s="51" customFormat="1">
      <c r="CF19441" s="239"/>
      <c r="CM19441" s="336"/>
    </row>
    <row r="19442" spans="84:91" s="51" customFormat="1">
      <c r="CF19442" s="239"/>
      <c r="CM19442" s="336"/>
    </row>
    <row r="19443" spans="84:91" s="51" customFormat="1">
      <c r="CF19443" s="239"/>
      <c r="CM19443" s="336"/>
    </row>
    <row r="19444" spans="84:91" s="51" customFormat="1">
      <c r="CF19444" s="239"/>
      <c r="CM19444" s="336"/>
    </row>
    <row r="19445" spans="84:91" s="51" customFormat="1">
      <c r="CF19445" s="239"/>
      <c r="CM19445" s="336"/>
    </row>
    <row r="19446" spans="84:91" s="51" customFormat="1">
      <c r="CF19446" s="239"/>
      <c r="CM19446" s="336"/>
    </row>
    <row r="19447" spans="84:91" s="51" customFormat="1">
      <c r="CF19447" s="239"/>
      <c r="CM19447" s="336"/>
    </row>
    <row r="19448" spans="84:91" s="51" customFormat="1">
      <c r="CF19448" s="239"/>
      <c r="CM19448" s="336"/>
    </row>
    <row r="19449" spans="84:91" s="51" customFormat="1">
      <c r="CF19449" s="239"/>
      <c r="CM19449" s="336"/>
    </row>
    <row r="19450" spans="84:91" s="51" customFormat="1">
      <c r="CF19450" s="239"/>
      <c r="CM19450" s="336"/>
    </row>
    <row r="19451" spans="84:91" s="51" customFormat="1">
      <c r="CF19451" s="239"/>
      <c r="CM19451" s="336"/>
    </row>
    <row r="19452" spans="84:91" s="51" customFormat="1">
      <c r="CF19452" s="239"/>
      <c r="CM19452" s="336"/>
    </row>
    <row r="19453" spans="84:91" s="51" customFormat="1">
      <c r="CF19453" s="239"/>
      <c r="CM19453" s="336"/>
    </row>
    <row r="19454" spans="84:91" s="51" customFormat="1">
      <c r="CF19454" s="239"/>
      <c r="CM19454" s="336"/>
    </row>
    <row r="19455" spans="84:91" s="51" customFormat="1">
      <c r="CF19455" s="239"/>
      <c r="CM19455" s="336"/>
    </row>
    <row r="19456" spans="84:91" s="51" customFormat="1">
      <c r="CF19456" s="239"/>
      <c r="CM19456" s="336"/>
    </row>
    <row r="19457" spans="84:91" s="51" customFormat="1">
      <c r="CF19457" s="239"/>
      <c r="CM19457" s="336"/>
    </row>
    <row r="19458" spans="84:91" s="51" customFormat="1">
      <c r="CF19458" s="239"/>
      <c r="CM19458" s="336"/>
    </row>
    <row r="19459" spans="84:91" s="51" customFormat="1">
      <c r="CF19459" s="239"/>
      <c r="CM19459" s="336"/>
    </row>
    <row r="19460" spans="84:91" s="51" customFormat="1">
      <c r="CF19460" s="239"/>
      <c r="CM19460" s="336"/>
    </row>
    <row r="19461" spans="84:91" s="51" customFormat="1">
      <c r="CF19461" s="239"/>
      <c r="CM19461" s="336"/>
    </row>
    <row r="19462" spans="84:91" s="51" customFormat="1">
      <c r="CF19462" s="239"/>
      <c r="CM19462" s="336"/>
    </row>
    <row r="19463" spans="84:91" s="51" customFormat="1">
      <c r="CF19463" s="239"/>
      <c r="CM19463" s="336"/>
    </row>
    <row r="19464" spans="84:91" s="51" customFormat="1">
      <c r="CF19464" s="239"/>
      <c r="CM19464" s="336"/>
    </row>
    <row r="19465" spans="84:91" s="51" customFormat="1">
      <c r="CF19465" s="239"/>
      <c r="CM19465" s="336"/>
    </row>
    <row r="19466" spans="84:91" s="51" customFormat="1">
      <c r="CF19466" s="239"/>
      <c r="CM19466" s="336"/>
    </row>
    <row r="19467" spans="84:91" s="51" customFormat="1">
      <c r="CF19467" s="239"/>
      <c r="CM19467" s="336"/>
    </row>
    <row r="19468" spans="84:91" s="51" customFormat="1">
      <c r="CF19468" s="239"/>
      <c r="CM19468" s="336"/>
    </row>
    <row r="19469" spans="84:91" s="51" customFormat="1">
      <c r="CF19469" s="239"/>
      <c r="CM19469" s="336"/>
    </row>
    <row r="19470" spans="84:91" s="51" customFormat="1">
      <c r="CF19470" s="239"/>
      <c r="CM19470" s="336"/>
    </row>
    <row r="19471" spans="84:91" s="51" customFormat="1">
      <c r="CF19471" s="239"/>
      <c r="CM19471" s="336"/>
    </row>
    <row r="19472" spans="84:91" s="51" customFormat="1">
      <c r="CF19472" s="239"/>
      <c r="CM19472" s="336"/>
    </row>
    <row r="19473" spans="84:91" s="51" customFormat="1">
      <c r="CF19473" s="239"/>
      <c r="CM19473" s="336"/>
    </row>
    <row r="19474" spans="84:91" s="51" customFormat="1">
      <c r="CF19474" s="239"/>
      <c r="CM19474" s="336"/>
    </row>
    <row r="19475" spans="84:91" s="51" customFormat="1">
      <c r="CF19475" s="239"/>
      <c r="CM19475" s="336"/>
    </row>
    <row r="19476" spans="84:91" s="51" customFormat="1">
      <c r="CF19476" s="239"/>
      <c r="CM19476" s="336"/>
    </row>
    <row r="19477" spans="84:91" s="51" customFormat="1">
      <c r="CF19477" s="239"/>
      <c r="CM19477" s="336"/>
    </row>
    <row r="19478" spans="84:91" s="51" customFormat="1">
      <c r="CF19478" s="239"/>
      <c r="CM19478" s="336"/>
    </row>
    <row r="19479" spans="84:91" s="51" customFormat="1">
      <c r="CF19479" s="239"/>
      <c r="CM19479" s="336"/>
    </row>
    <row r="19480" spans="84:91" s="51" customFormat="1">
      <c r="CF19480" s="239"/>
      <c r="CM19480" s="336"/>
    </row>
    <row r="19481" spans="84:91" s="51" customFormat="1">
      <c r="CF19481" s="239"/>
      <c r="CM19481" s="336"/>
    </row>
    <row r="19482" spans="84:91" s="51" customFormat="1">
      <c r="CF19482" s="239"/>
      <c r="CM19482" s="336"/>
    </row>
    <row r="19483" spans="84:91" s="51" customFormat="1">
      <c r="CF19483" s="239"/>
      <c r="CM19483" s="336"/>
    </row>
    <row r="19484" spans="84:91" s="51" customFormat="1">
      <c r="CF19484" s="239"/>
      <c r="CM19484" s="336"/>
    </row>
    <row r="19485" spans="84:91" s="51" customFormat="1">
      <c r="CF19485" s="239"/>
      <c r="CM19485" s="336"/>
    </row>
    <row r="19486" spans="84:91" s="51" customFormat="1">
      <c r="CF19486" s="239"/>
      <c r="CM19486" s="336"/>
    </row>
    <row r="19487" spans="84:91" s="51" customFormat="1">
      <c r="CF19487" s="239"/>
      <c r="CM19487" s="336"/>
    </row>
    <row r="19488" spans="84:91" s="51" customFormat="1">
      <c r="CF19488" s="239"/>
      <c r="CM19488" s="336"/>
    </row>
    <row r="19489" spans="84:91" s="51" customFormat="1">
      <c r="CF19489" s="239"/>
      <c r="CM19489" s="336"/>
    </row>
    <row r="19490" spans="84:91" s="51" customFormat="1">
      <c r="CF19490" s="239"/>
      <c r="CM19490" s="336"/>
    </row>
    <row r="19491" spans="84:91" s="51" customFormat="1">
      <c r="CF19491" s="239"/>
      <c r="CM19491" s="336"/>
    </row>
    <row r="19492" spans="84:91" s="51" customFormat="1">
      <c r="CF19492" s="239"/>
      <c r="CM19492" s="336"/>
    </row>
    <row r="19493" spans="84:91" s="51" customFormat="1">
      <c r="CF19493" s="239"/>
      <c r="CM19493" s="336"/>
    </row>
    <row r="19494" spans="84:91" s="51" customFormat="1">
      <c r="CF19494" s="239"/>
      <c r="CM19494" s="336"/>
    </row>
    <row r="19495" spans="84:91" s="51" customFormat="1">
      <c r="CF19495" s="239"/>
      <c r="CM19495" s="336"/>
    </row>
    <row r="19496" spans="84:91" s="51" customFormat="1">
      <c r="CF19496" s="239"/>
      <c r="CM19496" s="336"/>
    </row>
    <row r="19497" spans="84:91" s="51" customFormat="1">
      <c r="CF19497" s="239"/>
      <c r="CM19497" s="336"/>
    </row>
    <row r="19498" spans="84:91" s="51" customFormat="1">
      <c r="CF19498" s="239"/>
      <c r="CM19498" s="336"/>
    </row>
    <row r="19499" spans="84:91" s="51" customFormat="1">
      <c r="CF19499" s="239"/>
      <c r="CM19499" s="336"/>
    </row>
    <row r="19500" spans="84:91" s="51" customFormat="1">
      <c r="CF19500" s="239"/>
      <c r="CM19500" s="336"/>
    </row>
    <row r="19501" spans="84:91" s="51" customFormat="1">
      <c r="CF19501" s="239"/>
      <c r="CM19501" s="336"/>
    </row>
    <row r="19502" spans="84:91" s="51" customFormat="1">
      <c r="CF19502" s="239"/>
      <c r="CM19502" s="336"/>
    </row>
    <row r="19503" spans="84:91" s="51" customFormat="1">
      <c r="CF19503" s="239"/>
      <c r="CM19503" s="336"/>
    </row>
    <row r="19504" spans="84:91" s="51" customFormat="1">
      <c r="CF19504" s="239"/>
      <c r="CM19504" s="336"/>
    </row>
    <row r="19505" spans="84:91" s="51" customFormat="1">
      <c r="CF19505" s="239"/>
      <c r="CM19505" s="336"/>
    </row>
    <row r="19506" spans="84:91" s="51" customFormat="1">
      <c r="CF19506" s="239"/>
      <c r="CM19506" s="336"/>
    </row>
    <row r="19507" spans="84:91" s="51" customFormat="1">
      <c r="CF19507" s="239"/>
      <c r="CM19507" s="336"/>
    </row>
    <row r="19508" spans="84:91" s="51" customFormat="1">
      <c r="CF19508" s="239"/>
      <c r="CM19508" s="336"/>
    </row>
    <row r="19509" spans="84:91" s="51" customFormat="1">
      <c r="CF19509" s="239"/>
      <c r="CM19509" s="336"/>
    </row>
    <row r="19510" spans="84:91" s="51" customFormat="1">
      <c r="CF19510" s="239"/>
      <c r="CM19510" s="336"/>
    </row>
    <row r="19511" spans="84:91" s="51" customFormat="1">
      <c r="CF19511" s="239"/>
      <c r="CM19511" s="336"/>
    </row>
    <row r="19512" spans="84:91" s="51" customFormat="1">
      <c r="CF19512" s="239"/>
      <c r="CM19512" s="336"/>
    </row>
    <row r="19513" spans="84:91" s="51" customFormat="1">
      <c r="CF19513" s="239"/>
      <c r="CM19513" s="336"/>
    </row>
    <row r="19514" spans="84:91" s="51" customFormat="1">
      <c r="CF19514" s="239"/>
      <c r="CM19514" s="336"/>
    </row>
    <row r="19515" spans="84:91" s="51" customFormat="1">
      <c r="CF19515" s="239"/>
      <c r="CM19515" s="336"/>
    </row>
    <row r="19516" spans="84:91" s="51" customFormat="1">
      <c r="CF19516" s="239"/>
      <c r="CM19516" s="336"/>
    </row>
    <row r="19517" spans="84:91" s="51" customFormat="1">
      <c r="CF19517" s="239"/>
      <c r="CM19517" s="336"/>
    </row>
    <row r="19518" spans="84:91" s="51" customFormat="1">
      <c r="CF19518" s="239"/>
      <c r="CM19518" s="336"/>
    </row>
    <row r="19519" spans="84:91" s="51" customFormat="1">
      <c r="CF19519" s="239"/>
      <c r="CM19519" s="336"/>
    </row>
    <row r="19520" spans="84:91" s="51" customFormat="1">
      <c r="CF19520" s="239"/>
      <c r="CM19520" s="336"/>
    </row>
    <row r="19521" spans="84:91" s="51" customFormat="1">
      <c r="CF19521" s="239"/>
      <c r="CM19521" s="336"/>
    </row>
    <row r="19522" spans="84:91" s="51" customFormat="1">
      <c r="CF19522" s="239"/>
      <c r="CM19522" s="336"/>
    </row>
    <row r="19523" spans="84:91" s="51" customFormat="1">
      <c r="CF19523" s="239"/>
      <c r="CM19523" s="336"/>
    </row>
    <row r="19524" spans="84:91" s="51" customFormat="1">
      <c r="CF19524" s="239"/>
      <c r="CM19524" s="336"/>
    </row>
    <row r="19525" spans="84:91" s="51" customFormat="1">
      <c r="CF19525" s="239"/>
      <c r="CM19525" s="336"/>
    </row>
    <row r="19526" spans="84:91" s="51" customFormat="1">
      <c r="CF19526" s="239"/>
      <c r="CM19526" s="336"/>
    </row>
    <row r="19527" spans="84:91" s="51" customFormat="1">
      <c r="CF19527" s="239"/>
      <c r="CM19527" s="336"/>
    </row>
    <row r="19528" spans="84:91" s="51" customFormat="1">
      <c r="CF19528" s="239"/>
      <c r="CM19528" s="336"/>
    </row>
    <row r="19529" spans="84:91" s="51" customFormat="1">
      <c r="CF19529" s="239"/>
      <c r="CM19529" s="336"/>
    </row>
    <row r="19530" spans="84:91" s="51" customFormat="1">
      <c r="CF19530" s="239"/>
      <c r="CM19530" s="336"/>
    </row>
    <row r="19531" spans="84:91" s="51" customFormat="1">
      <c r="CF19531" s="239"/>
      <c r="CM19531" s="336"/>
    </row>
    <row r="19532" spans="84:91" s="51" customFormat="1">
      <c r="CF19532" s="239"/>
      <c r="CM19532" s="336"/>
    </row>
    <row r="19533" spans="84:91" s="51" customFormat="1">
      <c r="CF19533" s="239"/>
      <c r="CM19533" s="336"/>
    </row>
    <row r="19534" spans="84:91" s="51" customFormat="1">
      <c r="CF19534" s="239"/>
      <c r="CM19534" s="336"/>
    </row>
    <row r="19535" spans="84:91" s="51" customFormat="1">
      <c r="CF19535" s="239"/>
      <c r="CM19535" s="336"/>
    </row>
    <row r="19536" spans="84:91" s="51" customFormat="1">
      <c r="CF19536" s="239"/>
      <c r="CM19536" s="336"/>
    </row>
    <row r="19537" spans="84:91" s="51" customFormat="1">
      <c r="CF19537" s="239"/>
      <c r="CM19537" s="336"/>
    </row>
    <row r="19538" spans="84:91" s="51" customFormat="1">
      <c r="CF19538" s="239"/>
      <c r="CM19538" s="336"/>
    </row>
    <row r="19539" spans="84:91" s="51" customFormat="1">
      <c r="CF19539" s="239"/>
      <c r="CM19539" s="336"/>
    </row>
    <row r="19540" spans="84:91" s="51" customFormat="1">
      <c r="CF19540" s="239"/>
      <c r="CM19540" s="336"/>
    </row>
    <row r="19541" spans="84:91" s="51" customFormat="1">
      <c r="CF19541" s="239"/>
      <c r="CM19541" s="336"/>
    </row>
    <row r="19542" spans="84:91" s="51" customFormat="1">
      <c r="CF19542" s="239"/>
      <c r="CM19542" s="336"/>
    </row>
    <row r="19543" spans="84:91" s="51" customFormat="1">
      <c r="CF19543" s="239"/>
      <c r="CM19543" s="336"/>
    </row>
    <row r="19544" spans="84:91" s="51" customFormat="1">
      <c r="CF19544" s="239"/>
      <c r="CM19544" s="336"/>
    </row>
    <row r="19545" spans="84:91" s="51" customFormat="1">
      <c r="CF19545" s="239"/>
      <c r="CM19545" s="336"/>
    </row>
    <row r="19546" spans="84:91" s="51" customFormat="1">
      <c r="CF19546" s="239"/>
      <c r="CM19546" s="336"/>
    </row>
    <row r="19547" spans="84:91" s="51" customFormat="1">
      <c r="CF19547" s="239"/>
      <c r="CM19547" s="336"/>
    </row>
    <row r="19548" spans="84:91" s="51" customFormat="1">
      <c r="CF19548" s="239"/>
      <c r="CM19548" s="336"/>
    </row>
    <row r="19549" spans="84:91" s="51" customFormat="1">
      <c r="CF19549" s="239"/>
      <c r="CM19549" s="336"/>
    </row>
    <row r="19550" spans="84:91" s="51" customFormat="1">
      <c r="CF19550" s="239"/>
      <c r="CM19550" s="336"/>
    </row>
    <row r="19551" spans="84:91" s="51" customFormat="1">
      <c r="CF19551" s="239"/>
      <c r="CM19551" s="336"/>
    </row>
    <row r="19552" spans="84:91" s="51" customFormat="1">
      <c r="CF19552" s="239"/>
      <c r="CM19552" s="336"/>
    </row>
    <row r="19553" spans="84:91" s="51" customFormat="1">
      <c r="CF19553" s="239"/>
      <c r="CM19553" s="336"/>
    </row>
    <row r="19554" spans="84:91" s="51" customFormat="1">
      <c r="CF19554" s="239"/>
      <c r="CM19554" s="336"/>
    </row>
    <row r="19555" spans="84:91" s="51" customFormat="1">
      <c r="CF19555" s="239"/>
      <c r="CM19555" s="336"/>
    </row>
    <row r="19556" spans="84:91" s="51" customFormat="1">
      <c r="CF19556" s="239"/>
      <c r="CM19556" s="336"/>
    </row>
    <row r="19557" spans="84:91" s="51" customFormat="1">
      <c r="CF19557" s="239"/>
      <c r="CM19557" s="336"/>
    </row>
    <row r="19558" spans="84:91" s="51" customFormat="1">
      <c r="CF19558" s="239"/>
      <c r="CM19558" s="336"/>
    </row>
    <row r="19559" spans="84:91" s="51" customFormat="1">
      <c r="CF19559" s="239"/>
      <c r="CM19559" s="336"/>
    </row>
    <row r="19560" spans="84:91" s="51" customFormat="1">
      <c r="CF19560" s="239"/>
      <c r="CM19560" s="336"/>
    </row>
    <row r="19561" spans="84:91" s="51" customFormat="1">
      <c r="CF19561" s="239"/>
      <c r="CM19561" s="336"/>
    </row>
    <row r="19562" spans="84:91" s="51" customFormat="1">
      <c r="CF19562" s="239"/>
      <c r="CM19562" s="336"/>
    </row>
    <row r="19563" spans="84:91" s="51" customFormat="1">
      <c r="CF19563" s="239"/>
      <c r="CM19563" s="336"/>
    </row>
    <row r="19564" spans="84:91" s="51" customFormat="1">
      <c r="CF19564" s="239"/>
      <c r="CM19564" s="336"/>
    </row>
    <row r="19565" spans="84:91" s="51" customFormat="1">
      <c r="CF19565" s="239"/>
      <c r="CM19565" s="336"/>
    </row>
    <row r="19566" spans="84:91" s="51" customFormat="1">
      <c r="CF19566" s="239"/>
      <c r="CM19566" s="336"/>
    </row>
    <row r="19567" spans="84:91" s="51" customFormat="1">
      <c r="CF19567" s="239"/>
      <c r="CM19567" s="336"/>
    </row>
    <row r="19568" spans="84:91" s="51" customFormat="1">
      <c r="CF19568" s="239"/>
      <c r="CM19568" s="336"/>
    </row>
    <row r="19569" spans="84:91" s="51" customFormat="1">
      <c r="CF19569" s="239"/>
      <c r="CM19569" s="336"/>
    </row>
    <row r="19570" spans="84:91" s="51" customFormat="1">
      <c r="CF19570" s="239"/>
      <c r="CM19570" s="336"/>
    </row>
    <row r="19571" spans="84:91" s="51" customFormat="1">
      <c r="CF19571" s="239"/>
      <c r="CM19571" s="336"/>
    </row>
    <row r="19572" spans="84:91" s="51" customFormat="1">
      <c r="CF19572" s="239"/>
      <c r="CM19572" s="336"/>
    </row>
    <row r="19573" spans="84:91" s="51" customFormat="1">
      <c r="CF19573" s="239"/>
      <c r="CM19573" s="336"/>
    </row>
    <row r="19574" spans="84:91" s="51" customFormat="1">
      <c r="CF19574" s="239"/>
      <c r="CM19574" s="336"/>
    </row>
    <row r="19575" spans="84:91" s="51" customFormat="1">
      <c r="CF19575" s="239"/>
      <c r="CM19575" s="336"/>
    </row>
    <row r="19576" spans="84:91" s="51" customFormat="1">
      <c r="CF19576" s="239"/>
      <c r="CM19576" s="336"/>
    </row>
    <row r="19577" spans="84:91" s="51" customFormat="1">
      <c r="CF19577" s="239"/>
      <c r="CM19577" s="336"/>
    </row>
    <row r="19578" spans="84:91" s="51" customFormat="1">
      <c r="CF19578" s="239"/>
      <c r="CM19578" s="336"/>
    </row>
    <row r="19579" spans="84:91" s="51" customFormat="1">
      <c r="CF19579" s="239"/>
      <c r="CM19579" s="336"/>
    </row>
    <row r="19580" spans="84:91" s="51" customFormat="1">
      <c r="CF19580" s="239"/>
      <c r="CM19580" s="336"/>
    </row>
    <row r="19581" spans="84:91" s="51" customFormat="1">
      <c r="CF19581" s="239"/>
      <c r="CM19581" s="336"/>
    </row>
    <row r="19582" spans="84:91" s="51" customFormat="1">
      <c r="CF19582" s="239"/>
      <c r="CM19582" s="336"/>
    </row>
    <row r="19583" spans="84:91" s="51" customFormat="1">
      <c r="CF19583" s="239"/>
      <c r="CM19583" s="336"/>
    </row>
    <row r="19584" spans="84:91" s="51" customFormat="1">
      <c r="CF19584" s="239"/>
      <c r="CM19584" s="336"/>
    </row>
    <row r="19585" spans="84:91" s="51" customFormat="1">
      <c r="CF19585" s="239"/>
      <c r="CM19585" s="336"/>
    </row>
    <row r="19586" spans="84:91" s="51" customFormat="1">
      <c r="CF19586" s="239"/>
      <c r="CM19586" s="336"/>
    </row>
    <row r="19587" spans="84:91" s="51" customFormat="1">
      <c r="CF19587" s="239"/>
      <c r="CM19587" s="336"/>
    </row>
    <row r="19588" spans="84:91" s="51" customFormat="1">
      <c r="CF19588" s="239"/>
      <c r="CM19588" s="336"/>
    </row>
    <row r="19589" spans="84:91" s="51" customFormat="1">
      <c r="CF19589" s="239"/>
      <c r="CM19589" s="336"/>
    </row>
    <row r="19590" spans="84:91" s="51" customFormat="1">
      <c r="CF19590" s="239"/>
      <c r="CM19590" s="336"/>
    </row>
    <row r="19591" spans="84:91" s="51" customFormat="1">
      <c r="CF19591" s="239"/>
      <c r="CM19591" s="336"/>
    </row>
    <row r="19592" spans="84:91" s="51" customFormat="1">
      <c r="CF19592" s="239"/>
      <c r="CM19592" s="336"/>
    </row>
    <row r="19593" spans="84:91" s="51" customFormat="1">
      <c r="CF19593" s="239"/>
      <c r="CM19593" s="336"/>
    </row>
    <row r="19594" spans="84:91" s="51" customFormat="1">
      <c r="CF19594" s="239"/>
      <c r="CM19594" s="336"/>
    </row>
    <row r="19595" spans="84:91" s="51" customFormat="1">
      <c r="CF19595" s="239"/>
      <c r="CM19595" s="336"/>
    </row>
    <row r="19596" spans="84:91" s="51" customFormat="1">
      <c r="CF19596" s="239"/>
      <c r="CM19596" s="336"/>
    </row>
    <row r="19597" spans="84:91" s="51" customFormat="1">
      <c r="CF19597" s="239"/>
      <c r="CM19597" s="336"/>
    </row>
    <row r="19598" spans="84:91" s="51" customFormat="1">
      <c r="CF19598" s="239"/>
      <c r="CM19598" s="336"/>
    </row>
    <row r="19599" spans="84:91" s="51" customFormat="1">
      <c r="CF19599" s="239"/>
      <c r="CM19599" s="336"/>
    </row>
    <row r="19600" spans="84:91" s="51" customFormat="1">
      <c r="CF19600" s="239"/>
      <c r="CM19600" s="336"/>
    </row>
    <row r="19601" spans="84:91" s="51" customFormat="1">
      <c r="CF19601" s="239"/>
      <c r="CM19601" s="336"/>
    </row>
    <row r="19602" spans="84:91" s="51" customFormat="1">
      <c r="CF19602" s="239"/>
      <c r="CM19602" s="336"/>
    </row>
    <row r="19603" spans="84:91" s="51" customFormat="1">
      <c r="CF19603" s="239"/>
      <c r="CM19603" s="336"/>
    </row>
    <row r="19604" spans="84:91" s="51" customFormat="1">
      <c r="CF19604" s="239"/>
      <c r="CM19604" s="336"/>
    </row>
    <row r="19605" spans="84:91" s="51" customFormat="1">
      <c r="CF19605" s="239"/>
      <c r="CM19605" s="336"/>
    </row>
    <row r="19606" spans="84:91" s="51" customFormat="1">
      <c r="CF19606" s="239"/>
      <c r="CM19606" s="336"/>
    </row>
    <row r="19607" spans="84:91" s="51" customFormat="1">
      <c r="CF19607" s="239"/>
      <c r="CM19607" s="336"/>
    </row>
    <row r="19608" spans="84:91" s="51" customFormat="1">
      <c r="CF19608" s="239"/>
      <c r="CM19608" s="336"/>
    </row>
    <row r="19609" spans="84:91" s="51" customFormat="1">
      <c r="CF19609" s="239"/>
      <c r="CM19609" s="336"/>
    </row>
    <row r="19610" spans="84:91" s="51" customFormat="1">
      <c r="CF19610" s="239"/>
      <c r="CM19610" s="336"/>
    </row>
    <row r="19611" spans="84:91" s="51" customFormat="1">
      <c r="CF19611" s="239"/>
      <c r="CM19611" s="336"/>
    </row>
    <row r="19612" spans="84:91" s="51" customFormat="1">
      <c r="CF19612" s="239"/>
      <c r="CM19612" s="336"/>
    </row>
    <row r="19613" spans="84:91" s="51" customFormat="1">
      <c r="CF19613" s="239"/>
      <c r="CM19613" s="336"/>
    </row>
    <row r="19614" spans="84:91" s="51" customFormat="1">
      <c r="CF19614" s="239"/>
      <c r="CM19614" s="336"/>
    </row>
    <row r="19615" spans="84:91" s="51" customFormat="1">
      <c r="CF19615" s="239"/>
      <c r="CM19615" s="336"/>
    </row>
    <row r="19616" spans="84:91" s="51" customFormat="1">
      <c r="CF19616" s="239"/>
      <c r="CM19616" s="336"/>
    </row>
    <row r="19617" spans="84:91" s="51" customFormat="1">
      <c r="CF19617" s="239"/>
      <c r="CM19617" s="336"/>
    </row>
    <row r="19618" spans="84:91" s="51" customFormat="1">
      <c r="CF19618" s="239"/>
      <c r="CM19618" s="336"/>
    </row>
    <row r="19619" spans="84:91" s="51" customFormat="1">
      <c r="CF19619" s="239"/>
      <c r="CM19619" s="336"/>
    </row>
    <row r="19620" spans="84:91" s="51" customFormat="1">
      <c r="CF19620" s="239"/>
      <c r="CM19620" s="336"/>
    </row>
    <row r="19621" spans="84:91" s="51" customFormat="1">
      <c r="CF19621" s="239"/>
      <c r="CM19621" s="336"/>
    </row>
    <row r="19622" spans="84:91" s="51" customFormat="1">
      <c r="CF19622" s="239"/>
      <c r="CM19622" s="336"/>
    </row>
    <row r="19623" spans="84:91" s="51" customFormat="1">
      <c r="CF19623" s="239"/>
      <c r="CM19623" s="336"/>
    </row>
    <row r="19624" spans="84:91" s="51" customFormat="1">
      <c r="CF19624" s="239"/>
      <c r="CM19624" s="336"/>
    </row>
    <row r="19625" spans="84:91" s="51" customFormat="1">
      <c r="CF19625" s="239"/>
      <c r="CM19625" s="336"/>
    </row>
    <row r="19626" spans="84:91" s="51" customFormat="1">
      <c r="CF19626" s="239"/>
      <c r="CM19626" s="336"/>
    </row>
    <row r="19627" spans="84:91" s="51" customFormat="1">
      <c r="CF19627" s="239"/>
      <c r="CM19627" s="336"/>
    </row>
    <row r="19628" spans="84:91" s="51" customFormat="1">
      <c r="CF19628" s="239"/>
      <c r="CM19628" s="336"/>
    </row>
    <row r="19629" spans="84:91" s="51" customFormat="1">
      <c r="CF19629" s="239"/>
      <c r="CM19629" s="336"/>
    </row>
    <row r="19630" spans="84:91" s="51" customFormat="1">
      <c r="CF19630" s="239"/>
      <c r="CM19630" s="336"/>
    </row>
    <row r="19631" spans="84:91" s="51" customFormat="1">
      <c r="CF19631" s="239"/>
      <c r="CM19631" s="336"/>
    </row>
    <row r="19632" spans="84:91" s="51" customFormat="1">
      <c r="CF19632" s="239"/>
      <c r="CM19632" s="336"/>
    </row>
    <row r="19633" spans="84:91" s="51" customFormat="1">
      <c r="CF19633" s="239"/>
      <c r="CM19633" s="336"/>
    </row>
    <row r="19634" spans="84:91" s="51" customFormat="1">
      <c r="CF19634" s="239"/>
      <c r="CM19634" s="336"/>
    </row>
    <row r="19635" spans="84:91" s="51" customFormat="1">
      <c r="CF19635" s="239"/>
      <c r="CM19635" s="336"/>
    </row>
    <row r="19636" spans="84:91" s="51" customFormat="1">
      <c r="CF19636" s="239"/>
      <c r="CM19636" s="336"/>
    </row>
    <row r="19637" spans="84:91" s="51" customFormat="1">
      <c r="CF19637" s="239"/>
      <c r="CM19637" s="336"/>
    </row>
    <row r="19638" spans="84:91" s="51" customFormat="1">
      <c r="CF19638" s="239"/>
      <c r="CM19638" s="336"/>
    </row>
    <row r="19639" spans="84:91" s="51" customFormat="1">
      <c r="CF19639" s="239"/>
      <c r="CM19639" s="336"/>
    </row>
    <row r="19640" spans="84:91" s="51" customFormat="1">
      <c r="CF19640" s="239"/>
      <c r="CM19640" s="336"/>
    </row>
    <row r="19641" spans="84:91" s="51" customFormat="1">
      <c r="CF19641" s="239"/>
      <c r="CM19641" s="336"/>
    </row>
    <row r="19642" spans="84:91" s="51" customFormat="1">
      <c r="CF19642" s="239"/>
      <c r="CM19642" s="336"/>
    </row>
    <row r="19643" spans="84:91" s="51" customFormat="1">
      <c r="CF19643" s="239"/>
      <c r="CM19643" s="336"/>
    </row>
    <row r="19644" spans="84:91" s="51" customFormat="1">
      <c r="CF19644" s="239"/>
      <c r="CM19644" s="336"/>
    </row>
    <row r="19645" spans="84:91" s="51" customFormat="1">
      <c r="CF19645" s="239"/>
      <c r="CM19645" s="336"/>
    </row>
    <row r="19646" spans="84:91" s="51" customFormat="1">
      <c r="CF19646" s="239"/>
      <c r="CM19646" s="336"/>
    </row>
    <row r="19647" spans="84:91" s="51" customFormat="1">
      <c r="CF19647" s="239"/>
      <c r="CM19647" s="336"/>
    </row>
    <row r="19648" spans="84:91" s="51" customFormat="1">
      <c r="CF19648" s="239"/>
      <c r="CM19648" s="336"/>
    </row>
    <row r="19649" spans="84:91" s="51" customFormat="1">
      <c r="CF19649" s="239"/>
      <c r="CM19649" s="336"/>
    </row>
    <row r="19650" spans="84:91" s="51" customFormat="1">
      <c r="CF19650" s="239"/>
      <c r="CM19650" s="336"/>
    </row>
    <row r="19651" spans="84:91" s="51" customFormat="1">
      <c r="CF19651" s="239"/>
      <c r="CM19651" s="336"/>
    </row>
    <row r="19652" spans="84:91" s="51" customFormat="1">
      <c r="CF19652" s="239"/>
      <c r="CM19652" s="336"/>
    </row>
    <row r="19653" spans="84:91" s="51" customFormat="1">
      <c r="CF19653" s="239"/>
      <c r="CM19653" s="336"/>
    </row>
    <row r="19654" spans="84:91" s="51" customFormat="1">
      <c r="CF19654" s="239"/>
      <c r="CM19654" s="336"/>
    </row>
    <row r="19655" spans="84:91" s="51" customFormat="1">
      <c r="CF19655" s="239"/>
      <c r="CM19655" s="336"/>
    </row>
    <row r="19656" spans="84:91" s="51" customFormat="1">
      <c r="CF19656" s="239"/>
      <c r="CM19656" s="336"/>
    </row>
    <row r="19657" spans="84:91" s="51" customFormat="1">
      <c r="CF19657" s="239"/>
      <c r="CM19657" s="336"/>
    </row>
    <row r="19658" spans="84:91" s="51" customFormat="1">
      <c r="CF19658" s="239"/>
      <c r="CM19658" s="336"/>
    </row>
    <row r="19659" spans="84:91" s="51" customFormat="1">
      <c r="CF19659" s="239"/>
      <c r="CM19659" s="336"/>
    </row>
    <row r="19660" spans="84:91" s="51" customFormat="1">
      <c r="CF19660" s="239"/>
      <c r="CM19660" s="336"/>
    </row>
    <row r="19661" spans="84:91" s="51" customFormat="1">
      <c r="CF19661" s="239"/>
      <c r="CM19661" s="336"/>
    </row>
    <row r="19662" spans="84:91" s="51" customFormat="1">
      <c r="CF19662" s="239"/>
      <c r="CM19662" s="336"/>
    </row>
    <row r="19663" spans="84:91" s="51" customFormat="1">
      <c r="CF19663" s="239"/>
      <c r="CM19663" s="336"/>
    </row>
    <row r="19664" spans="84:91" s="51" customFormat="1">
      <c r="CF19664" s="239"/>
      <c r="CM19664" s="336"/>
    </row>
    <row r="19665" spans="84:91" s="51" customFormat="1">
      <c r="CF19665" s="239"/>
      <c r="CM19665" s="336"/>
    </row>
    <row r="19666" spans="84:91" s="51" customFormat="1">
      <c r="CF19666" s="239"/>
      <c r="CM19666" s="336"/>
    </row>
    <row r="19667" spans="84:91" s="51" customFormat="1">
      <c r="CF19667" s="239"/>
      <c r="CM19667" s="336"/>
    </row>
    <row r="19668" spans="84:91" s="51" customFormat="1">
      <c r="CF19668" s="239"/>
      <c r="CM19668" s="336"/>
    </row>
    <row r="19669" spans="84:91" s="51" customFormat="1">
      <c r="CF19669" s="239"/>
      <c r="CM19669" s="336"/>
    </row>
    <row r="19670" spans="84:91" s="51" customFormat="1">
      <c r="CF19670" s="239"/>
      <c r="CM19670" s="336"/>
    </row>
    <row r="19671" spans="84:91" s="51" customFormat="1">
      <c r="CF19671" s="239"/>
      <c r="CM19671" s="336"/>
    </row>
    <row r="19672" spans="84:91" s="51" customFormat="1">
      <c r="CF19672" s="239"/>
      <c r="CM19672" s="336"/>
    </row>
    <row r="19673" spans="84:91" s="51" customFormat="1">
      <c r="CF19673" s="239"/>
      <c r="CM19673" s="336"/>
    </row>
    <row r="19674" spans="84:91" s="51" customFormat="1">
      <c r="CF19674" s="239"/>
      <c r="CM19674" s="336"/>
    </row>
    <row r="19675" spans="84:91" s="51" customFormat="1">
      <c r="CF19675" s="239"/>
      <c r="CM19675" s="336"/>
    </row>
    <row r="19676" spans="84:91" s="51" customFormat="1">
      <c r="CF19676" s="239"/>
      <c r="CM19676" s="336"/>
    </row>
    <row r="19677" spans="84:91" s="51" customFormat="1">
      <c r="CF19677" s="239"/>
      <c r="CM19677" s="336"/>
    </row>
    <row r="19678" spans="84:91" s="51" customFormat="1">
      <c r="CF19678" s="239"/>
      <c r="CM19678" s="336"/>
    </row>
    <row r="19679" spans="84:91" s="51" customFormat="1">
      <c r="CF19679" s="239"/>
      <c r="CM19679" s="336"/>
    </row>
    <row r="19680" spans="84:91" s="51" customFormat="1">
      <c r="CF19680" s="239"/>
      <c r="CM19680" s="336"/>
    </row>
    <row r="19681" spans="84:91" s="51" customFormat="1">
      <c r="CF19681" s="239"/>
      <c r="CM19681" s="336"/>
    </row>
    <row r="19682" spans="84:91" s="51" customFormat="1">
      <c r="CF19682" s="239"/>
      <c r="CM19682" s="336"/>
    </row>
    <row r="19683" spans="84:91" s="51" customFormat="1">
      <c r="CF19683" s="239"/>
      <c r="CM19683" s="336"/>
    </row>
    <row r="19684" spans="84:91" s="51" customFormat="1">
      <c r="CF19684" s="239"/>
      <c r="CM19684" s="336"/>
    </row>
    <row r="19685" spans="84:91" s="51" customFormat="1">
      <c r="CF19685" s="239"/>
      <c r="CM19685" s="336"/>
    </row>
    <row r="19686" spans="84:91" s="51" customFormat="1">
      <c r="CF19686" s="239"/>
      <c r="CM19686" s="336"/>
    </row>
    <row r="19687" spans="84:91" s="51" customFormat="1">
      <c r="CF19687" s="239"/>
      <c r="CM19687" s="336"/>
    </row>
    <row r="19688" spans="84:91" s="51" customFormat="1">
      <c r="CF19688" s="239"/>
      <c r="CM19688" s="336"/>
    </row>
    <row r="19689" spans="84:91" s="51" customFormat="1">
      <c r="CF19689" s="239"/>
      <c r="CM19689" s="336"/>
    </row>
    <row r="19690" spans="84:91" s="51" customFormat="1">
      <c r="CF19690" s="239"/>
      <c r="CM19690" s="336"/>
    </row>
    <row r="19691" spans="84:91" s="51" customFormat="1">
      <c r="CF19691" s="239"/>
      <c r="CM19691" s="336"/>
    </row>
    <row r="19692" spans="84:91" s="51" customFormat="1">
      <c r="CF19692" s="239"/>
      <c r="CM19692" s="336"/>
    </row>
    <row r="19693" spans="84:91" s="51" customFormat="1">
      <c r="CF19693" s="239"/>
      <c r="CM19693" s="336"/>
    </row>
    <row r="19694" spans="84:91" s="51" customFormat="1">
      <c r="CF19694" s="239"/>
      <c r="CM19694" s="336"/>
    </row>
    <row r="19695" spans="84:91" s="51" customFormat="1">
      <c r="CF19695" s="239"/>
      <c r="CM19695" s="336"/>
    </row>
    <row r="19696" spans="84:91" s="51" customFormat="1">
      <c r="CF19696" s="239"/>
      <c r="CM19696" s="336"/>
    </row>
    <row r="19697" spans="84:91" s="51" customFormat="1">
      <c r="CF19697" s="239"/>
      <c r="CM19697" s="336"/>
    </row>
    <row r="19698" spans="84:91" s="51" customFormat="1">
      <c r="CF19698" s="239"/>
      <c r="CM19698" s="336"/>
    </row>
    <row r="19699" spans="84:91" s="51" customFormat="1">
      <c r="CF19699" s="239"/>
      <c r="CM19699" s="336"/>
    </row>
    <row r="19700" spans="84:91" s="51" customFormat="1">
      <c r="CF19700" s="239"/>
      <c r="CM19700" s="336"/>
    </row>
    <row r="19701" spans="84:91" s="51" customFormat="1">
      <c r="CF19701" s="239"/>
      <c r="CM19701" s="336"/>
    </row>
    <row r="19702" spans="84:91" s="51" customFormat="1">
      <c r="CF19702" s="239"/>
      <c r="CM19702" s="336"/>
    </row>
    <row r="19703" spans="84:91" s="51" customFormat="1">
      <c r="CF19703" s="239"/>
      <c r="CM19703" s="336"/>
    </row>
    <row r="19704" spans="84:91" s="51" customFormat="1">
      <c r="CF19704" s="239"/>
      <c r="CM19704" s="336"/>
    </row>
    <row r="19705" spans="84:91" s="51" customFormat="1">
      <c r="CF19705" s="239"/>
      <c r="CM19705" s="336"/>
    </row>
    <row r="19706" spans="84:91" s="51" customFormat="1">
      <c r="CF19706" s="239"/>
      <c r="CM19706" s="336"/>
    </row>
    <row r="19707" spans="84:91" s="51" customFormat="1">
      <c r="CF19707" s="239"/>
      <c r="CM19707" s="336"/>
    </row>
    <row r="19708" spans="84:91" s="51" customFormat="1">
      <c r="CF19708" s="239"/>
      <c r="CM19708" s="336"/>
    </row>
    <row r="19709" spans="84:91" s="51" customFormat="1">
      <c r="CF19709" s="239"/>
      <c r="CM19709" s="336"/>
    </row>
    <row r="19710" spans="84:91" s="51" customFormat="1">
      <c r="CF19710" s="239"/>
      <c r="CM19710" s="336"/>
    </row>
    <row r="19711" spans="84:91" s="51" customFormat="1">
      <c r="CF19711" s="239"/>
      <c r="CM19711" s="336"/>
    </row>
    <row r="19712" spans="84:91" s="51" customFormat="1">
      <c r="CF19712" s="239"/>
      <c r="CM19712" s="336"/>
    </row>
    <row r="19713" spans="84:91" s="51" customFormat="1">
      <c r="CF19713" s="239"/>
      <c r="CM19713" s="336"/>
    </row>
    <row r="19714" spans="84:91" s="51" customFormat="1">
      <c r="CF19714" s="239"/>
      <c r="CM19714" s="336"/>
    </row>
    <row r="19715" spans="84:91" s="51" customFormat="1">
      <c r="CF19715" s="239"/>
      <c r="CM19715" s="336"/>
    </row>
    <row r="19716" spans="84:91" s="51" customFormat="1">
      <c r="CF19716" s="239"/>
      <c r="CM19716" s="336"/>
    </row>
    <row r="19717" spans="84:91" s="51" customFormat="1">
      <c r="CF19717" s="239"/>
      <c r="CM19717" s="336"/>
    </row>
    <row r="19718" spans="84:91" s="51" customFormat="1">
      <c r="CF19718" s="239"/>
      <c r="CM19718" s="336"/>
    </row>
    <row r="19719" spans="84:91" s="51" customFormat="1">
      <c r="CF19719" s="239"/>
      <c r="CM19719" s="336"/>
    </row>
    <row r="19720" spans="84:91" s="51" customFormat="1">
      <c r="CF19720" s="239"/>
      <c r="CM19720" s="336"/>
    </row>
    <row r="19721" spans="84:91" s="51" customFormat="1">
      <c r="CF19721" s="239"/>
      <c r="CM19721" s="336"/>
    </row>
    <row r="19722" spans="84:91" s="51" customFormat="1">
      <c r="CF19722" s="239"/>
      <c r="CM19722" s="336"/>
    </row>
    <row r="19723" spans="84:91" s="51" customFormat="1">
      <c r="CF19723" s="239"/>
      <c r="CM19723" s="336"/>
    </row>
    <row r="19724" spans="84:91" s="51" customFormat="1">
      <c r="CF19724" s="239"/>
      <c r="CM19724" s="336"/>
    </row>
    <row r="19725" spans="84:91" s="51" customFormat="1">
      <c r="CF19725" s="239"/>
      <c r="CM19725" s="336"/>
    </row>
    <row r="19726" spans="84:91" s="51" customFormat="1">
      <c r="CF19726" s="239"/>
      <c r="CM19726" s="336"/>
    </row>
    <row r="19727" spans="84:91" s="51" customFormat="1">
      <c r="CF19727" s="239"/>
      <c r="CM19727" s="336"/>
    </row>
    <row r="19728" spans="84:91" s="51" customFormat="1">
      <c r="CF19728" s="239"/>
      <c r="CM19728" s="336"/>
    </row>
    <row r="19729" spans="84:91" s="51" customFormat="1">
      <c r="CF19729" s="239"/>
      <c r="CM19729" s="336"/>
    </row>
    <row r="19730" spans="84:91" s="51" customFormat="1">
      <c r="CF19730" s="239"/>
      <c r="CM19730" s="336"/>
    </row>
    <row r="19731" spans="84:91" s="51" customFormat="1">
      <c r="CF19731" s="239"/>
      <c r="CM19731" s="336"/>
    </row>
    <row r="19732" spans="84:91" s="51" customFormat="1">
      <c r="CF19732" s="239"/>
      <c r="CM19732" s="336"/>
    </row>
    <row r="19733" spans="84:91" s="51" customFormat="1">
      <c r="CF19733" s="239"/>
      <c r="CM19733" s="336"/>
    </row>
    <row r="19734" spans="84:91" s="51" customFormat="1">
      <c r="CF19734" s="239"/>
      <c r="CM19734" s="336"/>
    </row>
    <row r="19735" spans="84:91" s="51" customFormat="1">
      <c r="CF19735" s="239"/>
      <c r="CM19735" s="336"/>
    </row>
    <row r="19736" spans="84:91" s="51" customFormat="1">
      <c r="CF19736" s="239"/>
      <c r="CM19736" s="336"/>
    </row>
    <row r="19737" spans="84:91" s="51" customFormat="1">
      <c r="CF19737" s="239"/>
      <c r="CM19737" s="336"/>
    </row>
    <row r="19738" spans="84:91" s="51" customFormat="1">
      <c r="CF19738" s="239"/>
      <c r="CM19738" s="336"/>
    </row>
    <row r="19739" spans="84:91" s="51" customFormat="1">
      <c r="CF19739" s="239"/>
      <c r="CM19739" s="336"/>
    </row>
    <row r="19740" spans="84:91" s="51" customFormat="1">
      <c r="CF19740" s="239"/>
      <c r="CM19740" s="336"/>
    </row>
    <row r="19741" spans="84:91" s="51" customFormat="1">
      <c r="CF19741" s="239"/>
      <c r="CM19741" s="336"/>
    </row>
    <row r="19742" spans="84:91" s="51" customFormat="1">
      <c r="CF19742" s="239"/>
      <c r="CM19742" s="336"/>
    </row>
    <row r="19743" spans="84:91" s="51" customFormat="1">
      <c r="CF19743" s="239"/>
      <c r="CM19743" s="336"/>
    </row>
    <row r="19744" spans="84:91" s="51" customFormat="1">
      <c r="CF19744" s="239"/>
      <c r="CM19744" s="336"/>
    </row>
    <row r="19745" spans="84:91" s="51" customFormat="1">
      <c r="CF19745" s="239"/>
      <c r="CM19745" s="336"/>
    </row>
    <row r="19746" spans="84:91" s="51" customFormat="1">
      <c r="CF19746" s="239"/>
      <c r="CM19746" s="336"/>
    </row>
    <row r="19747" spans="84:91" s="51" customFormat="1">
      <c r="CF19747" s="239"/>
      <c r="CM19747" s="336"/>
    </row>
    <row r="19748" spans="84:91" s="51" customFormat="1">
      <c r="CF19748" s="239"/>
      <c r="CM19748" s="336"/>
    </row>
    <row r="19749" spans="84:91" s="51" customFormat="1">
      <c r="CF19749" s="239"/>
      <c r="CM19749" s="336"/>
    </row>
    <row r="19750" spans="84:91" s="51" customFormat="1">
      <c r="CF19750" s="239"/>
      <c r="CM19750" s="336"/>
    </row>
    <row r="19751" spans="84:91" s="51" customFormat="1">
      <c r="CF19751" s="239"/>
      <c r="CM19751" s="336"/>
    </row>
    <row r="19752" spans="84:91" s="51" customFormat="1">
      <c r="CF19752" s="239"/>
      <c r="CM19752" s="336"/>
    </row>
    <row r="19753" spans="84:91" s="51" customFormat="1">
      <c r="CF19753" s="239"/>
      <c r="CM19753" s="336"/>
    </row>
    <row r="19754" spans="84:91" s="51" customFormat="1">
      <c r="CF19754" s="239"/>
      <c r="CM19754" s="336"/>
    </row>
    <row r="19755" spans="84:91" s="51" customFormat="1">
      <c r="CF19755" s="239"/>
      <c r="CM19755" s="336"/>
    </row>
    <row r="19756" spans="84:91" s="51" customFormat="1">
      <c r="CF19756" s="239"/>
      <c r="CM19756" s="336"/>
    </row>
    <row r="19757" spans="84:91" s="51" customFormat="1">
      <c r="CF19757" s="239"/>
      <c r="CM19757" s="336"/>
    </row>
    <row r="19758" spans="84:91" s="51" customFormat="1">
      <c r="CF19758" s="239"/>
      <c r="CM19758" s="336"/>
    </row>
    <row r="19759" spans="84:91" s="51" customFormat="1">
      <c r="CF19759" s="239"/>
      <c r="CM19759" s="336"/>
    </row>
    <row r="19760" spans="84:91" s="51" customFormat="1">
      <c r="CF19760" s="239"/>
      <c r="CM19760" s="336"/>
    </row>
    <row r="19761" spans="84:91" s="51" customFormat="1">
      <c r="CF19761" s="239"/>
      <c r="CM19761" s="336"/>
    </row>
    <row r="19762" spans="84:91" s="51" customFormat="1">
      <c r="CF19762" s="239"/>
      <c r="CM19762" s="336"/>
    </row>
    <row r="19763" spans="84:91" s="51" customFormat="1">
      <c r="CF19763" s="239"/>
      <c r="CM19763" s="336"/>
    </row>
    <row r="19764" spans="84:91" s="51" customFormat="1">
      <c r="CF19764" s="239"/>
      <c r="CM19764" s="336"/>
    </row>
    <row r="19765" spans="84:91" s="51" customFormat="1">
      <c r="CF19765" s="239"/>
      <c r="CM19765" s="336"/>
    </row>
    <row r="19766" spans="84:91" s="51" customFormat="1">
      <c r="CF19766" s="239"/>
      <c r="CM19766" s="336"/>
    </row>
    <row r="19767" spans="84:91" s="51" customFormat="1">
      <c r="CF19767" s="239"/>
      <c r="CM19767" s="336"/>
    </row>
    <row r="19768" spans="84:91" s="51" customFormat="1">
      <c r="CF19768" s="239"/>
      <c r="CM19768" s="336"/>
    </row>
    <row r="19769" spans="84:91" s="51" customFormat="1">
      <c r="CF19769" s="239"/>
      <c r="CM19769" s="336"/>
    </row>
    <row r="19770" spans="84:91" s="51" customFormat="1">
      <c r="CF19770" s="239"/>
      <c r="CM19770" s="336"/>
    </row>
    <row r="19771" spans="84:91" s="51" customFormat="1">
      <c r="CF19771" s="239"/>
      <c r="CM19771" s="336"/>
    </row>
    <row r="19772" spans="84:91" s="51" customFormat="1">
      <c r="CF19772" s="239"/>
      <c r="CM19772" s="336"/>
    </row>
    <row r="19773" spans="84:91" s="51" customFormat="1">
      <c r="CF19773" s="239"/>
      <c r="CM19773" s="336"/>
    </row>
    <row r="19774" spans="84:91" s="51" customFormat="1">
      <c r="CF19774" s="239"/>
      <c r="CM19774" s="336"/>
    </row>
    <row r="19775" spans="84:91" s="51" customFormat="1">
      <c r="CF19775" s="239"/>
      <c r="CM19775" s="336"/>
    </row>
    <row r="19776" spans="84:91" s="51" customFormat="1">
      <c r="CF19776" s="239"/>
      <c r="CM19776" s="336"/>
    </row>
    <row r="19777" spans="84:91" s="51" customFormat="1">
      <c r="CF19777" s="239"/>
      <c r="CM19777" s="336"/>
    </row>
    <row r="19778" spans="84:91" s="51" customFormat="1">
      <c r="CF19778" s="239"/>
      <c r="CM19778" s="336"/>
    </row>
    <row r="19779" spans="84:91" s="51" customFormat="1">
      <c r="CF19779" s="239"/>
      <c r="CM19779" s="336"/>
    </row>
    <row r="19780" spans="84:91" s="51" customFormat="1">
      <c r="CF19780" s="239"/>
      <c r="CM19780" s="336"/>
    </row>
    <row r="19781" spans="84:91" s="51" customFormat="1">
      <c r="CF19781" s="239"/>
      <c r="CM19781" s="336"/>
    </row>
    <row r="19782" spans="84:91" s="51" customFormat="1">
      <c r="CF19782" s="239"/>
      <c r="CM19782" s="336"/>
    </row>
    <row r="19783" spans="84:91" s="51" customFormat="1">
      <c r="CF19783" s="239"/>
      <c r="CM19783" s="336"/>
    </row>
    <row r="19784" spans="84:91" s="51" customFormat="1">
      <c r="CF19784" s="239"/>
      <c r="CM19784" s="336"/>
    </row>
    <row r="19785" spans="84:91" s="51" customFormat="1">
      <c r="CF19785" s="239"/>
      <c r="CM19785" s="336"/>
    </row>
    <row r="19786" spans="84:91" s="51" customFormat="1">
      <c r="CF19786" s="239"/>
      <c r="CM19786" s="336"/>
    </row>
    <row r="19787" spans="84:91" s="51" customFormat="1">
      <c r="CF19787" s="239"/>
      <c r="CM19787" s="336"/>
    </row>
    <row r="19788" spans="84:91" s="51" customFormat="1">
      <c r="CF19788" s="239"/>
      <c r="CM19788" s="336"/>
    </row>
    <row r="19789" spans="84:91" s="51" customFormat="1">
      <c r="CF19789" s="239"/>
      <c r="CM19789" s="336"/>
    </row>
    <row r="19790" spans="84:91" s="51" customFormat="1">
      <c r="CF19790" s="239"/>
      <c r="CM19790" s="336"/>
    </row>
    <row r="19791" spans="84:91" s="51" customFormat="1">
      <c r="CF19791" s="239"/>
      <c r="CM19791" s="336"/>
    </row>
    <row r="19792" spans="84:91" s="51" customFormat="1">
      <c r="CF19792" s="239"/>
      <c r="CM19792" s="336"/>
    </row>
    <row r="19793" spans="84:91" s="51" customFormat="1">
      <c r="CF19793" s="239"/>
      <c r="CM19793" s="336"/>
    </row>
    <row r="19794" spans="84:91" s="51" customFormat="1">
      <c r="CF19794" s="239"/>
      <c r="CM19794" s="336"/>
    </row>
    <row r="19795" spans="84:91" s="51" customFormat="1">
      <c r="CF19795" s="239"/>
      <c r="CM19795" s="336"/>
    </row>
    <row r="19796" spans="84:91" s="51" customFormat="1">
      <c r="CF19796" s="239"/>
      <c r="CM19796" s="336"/>
    </row>
    <row r="19797" spans="84:91" s="51" customFormat="1">
      <c r="CF19797" s="239"/>
      <c r="CM19797" s="336"/>
    </row>
    <row r="19798" spans="84:91" s="51" customFormat="1">
      <c r="CF19798" s="239"/>
      <c r="CM19798" s="336"/>
    </row>
    <row r="19799" spans="84:91" s="51" customFormat="1">
      <c r="CF19799" s="239"/>
      <c r="CM19799" s="336"/>
    </row>
    <row r="19800" spans="84:91" s="51" customFormat="1">
      <c r="CF19800" s="239"/>
      <c r="CM19800" s="336"/>
    </row>
    <row r="19801" spans="84:91" s="51" customFormat="1">
      <c r="CF19801" s="239"/>
      <c r="CM19801" s="336"/>
    </row>
    <row r="19802" spans="84:91" s="51" customFormat="1">
      <c r="CF19802" s="239"/>
      <c r="CM19802" s="336"/>
    </row>
    <row r="19803" spans="84:91" s="51" customFormat="1">
      <c r="CF19803" s="239"/>
      <c r="CM19803" s="336"/>
    </row>
    <row r="19804" spans="84:91" s="51" customFormat="1">
      <c r="CF19804" s="239"/>
      <c r="CM19804" s="336"/>
    </row>
    <row r="19805" spans="84:91" s="51" customFormat="1">
      <c r="CF19805" s="239"/>
      <c r="CM19805" s="336"/>
    </row>
    <row r="19806" spans="84:91" s="51" customFormat="1">
      <c r="CF19806" s="239"/>
      <c r="CM19806" s="336"/>
    </row>
    <row r="19807" spans="84:91" s="51" customFormat="1">
      <c r="CF19807" s="239"/>
      <c r="CM19807" s="336"/>
    </row>
    <row r="19808" spans="84:91" s="51" customFormat="1">
      <c r="CF19808" s="239"/>
      <c r="CM19808" s="336"/>
    </row>
    <row r="19809" spans="84:91" s="51" customFormat="1">
      <c r="CF19809" s="239"/>
      <c r="CM19809" s="336"/>
    </row>
    <row r="19810" spans="84:91" s="51" customFormat="1">
      <c r="CF19810" s="239"/>
      <c r="CM19810" s="336"/>
    </row>
    <row r="19811" spans="84:91" s="51" customFormat="1">
      <c r="CF19811" s="239"/>
      <c r="CM19811" s="336"/>
    </row>
    <row r="19812" spans="84:91" s="51" customFormat="1">
      <c r="CF19812" s="239"/>
      <c r="CM19812" s="336"/>
    </row>
    <row r="19813" spans="84:91" s="51" customFormat="1">
      <c r="CF19813" s="239"/>
      <c r="CM19813" s="336"/>
    </row>
    <row r="19814" spans="84:91" s="51" customFormat="1">
      <c r="CF19814" s="239"/>
      <c r="CM19814" s="336"/>
    </row>
    <row r="19815" spans="84:91" s="51" customFormat="1">
      <c r="CF19815" s="239"/>
      <c r="CM19815" s="336"/>
    </row>
    <row r="19816" spans="84:91" s="51" customFormat="1">
      <c r="CF19816" s="239"/>
      <c r="CM19816" s="336"/>
    </row>
    <row r="19817" spans="84:91" s="51" customFormat="1">
      <c r="CF19817" s="239"/>
      <c r="CM19817" s="336"/>
    </row>
    <row r="19818" spans="84:91" s="51" customFormat="1">
      <c r="CF19818" s="239"/>
      <c r="CM19818" s="336"/>
    </row>
    <row r="19819" spans="84:91" s="51" customFormat="1">
      <c r="CF19819" s="239"/>
      <c r="CM19819" s="336"/>
    </row>
    <row r="19820" spans="84:91" s="51" customFormat="1">
      <c r="CF19820" s="239"/>
      <c r="CM19820" s="336"/>
    </row>
    <row r="19821" spans="84:91" s="51" customFormat="1">
      <c r="CF19821" s="239"/>
      <c r="CM19821" s="336"/>
    </row>
    <row r="19822" spans="84:91" s="51" customFormat="1">
      <c r="CF19822" s="239"/>
      <c r="CM19822" s="336"/>
    </row>
    <row r="19823" spans="84:91" s="51" customFormat="1">
      <c r="CF19823" s="239"/>
      <c r="CM19823" s="336"/>
    </row>
    <row r="19824" spans="84:91" s="51" customFormat="1">
      <c r="CF19824" s="239"/>
      <c r="CM19824" s="336"/>
    </row>
    <row r="19825" spans="84:91" s="51" customFormat="1">
      <c r="CF19825" s="239"/>
      <c r="CM19825" s="336"/>
    </row>
    <row r="19826" spans="84:91" s="51" customFormat="1">
      <c r="CF19826" s="239"/>
      <c r="CM19826" s="336"/>
    </row>
    <row r="19827" spans="84:91" s="51" customFormat="1">
      <c r="CF19827" s="239"/>
      <c r="CM19827" s="336"/>
    </row>
    <row r="19828" spans="84:91" s="51" customFormat="1">
      <c r="CF19828" s="239"/>
      <c r="CM19828" s="336"/>
    </row>
    <row r="19829" spans="84:91" s="51" customFormat="1">
      <c r="CF19829" s="239"/>
      <c r="CM19829" s="336"/>
    </row>
    <row r="19830" spans="84:91" s="51" customFormat="1">
      <c r="CF19830" s="239"/>
      <c r="CM19830" s="336"/>
    </row>
    <row r="19831" spans="84:91" s="51" customFormat="1">
      <c r="CF19831" s="239"/>
      <c r="CM19831" s="336"/>
    </row>
    <row r="19832" spans="84:91" s="51" customFormat="1">
      <c r="CF19832" s="239"/>
      <c r="CM19832" s="336"/>
    </row>
    <row r="19833" spans="84:91" s="51" customFormat="1">
      <c r="CF19833" s="239"/>
      <c r="CM19833" s="336"/>
    </row>
    <row r="19834" spans="84:91" s="51" customFormat="1">
      <c r="CF19834" s="239"/>
      <c r="CM19834" s="336"/>
    </row>
    <row r="19835" spans="84:91" s="51" customFormat="1">
      <c r="CF19835" s="239"/>
      <c r="CM19835" s="336"/>
    </row>
    <row r="19836" spans="84:91" s="51" customFormat="1">
      <c r="CF19836" s="239"/>
      <c r="CM19836" s="336"/>
    </row>
    <row r="19837" spans="84:91" s="51" customFormat="1">
      <c r="CF19837" s="239"/>
      <c r="CM19837" s="336"/>
    </row>
    <row r="19838" spans="84:91" s="51" customFormat="1">
      <c r="CF19838" s="239"/>
      <c r="CM19838" s="336"/>
    </row>
    <row r="19839" spans="84:91" s="51" customFormat="1">
      <c r="CF19839" s="239"/>
      <c r="CM19839" s="336"/>
    </row>
    <row r="19840" spans="84:91" s="51" customFormat="1">
      <c r="CF19840" s="239"/>
      <c r="CM19840" s="336"/>
    </row>
    <row r="19841" spans="84:91" s="51" customFormat="1">
      <c r="CF19841" s="239"/>
      <c r="CM19841" s="336"/>
    </row>
    <row r="19842" spans="84:91" s="51" customFormat="1">
      <c r="CF19842" s="239"/>
      <c r="CM19842" s="336"/>
    </row>
    <row r="19843" spans="84:91" s="51" customFormat="1">
      <c r="CF19843" s="239"/>
      <c r="CM19843" s="336"/>
    </row>
    <row r="19844" spans="84:91" s="51" customFormat="1">
      <c r="CF19844" s="239"/>
      <c r="CM19844" s="336"/>
    </row>
    <row r="19845" spans="84:91" s="51" customFormat="1">
      <c r="CF19845" s="239"/>
      <c r="CM19845" s="336"/>
    </row>
    <row r="19846" spans="84:91" s="51" customFormat="1">
      <c r="CF19846" s="239"/>
      <c r="CM19846" s="336"/>
    </row>
    <row r="19847" spans="84:91" s="51" customFormat="1">
      <c r="CF19847" s="239"/>
      <c r="CM19847" s="336"/>
    </row>
    <row r="19848" spans="84:91" s="51" customFormat="1">
      <c r="CF19848" s="239"/>
      <c r="CM19848" s="336"/>
    </row>
    <row r="19849" spans="84:91" s="51" customFormat="1">
      <c r="CF19849" s="239"/>
      <c r="CM19849" s="336"/>
    </row>
    <row r="19850" spans="84:91" s="51" customFormat="1">
      <c r="CF19850" s="239"/>
      <c r="CM19850" s="336"/>
    </row>
    <row r="19851" spans="84:91" s="51" customFormat="1">
      <c r="CF19851" s="239"/>
      <c r="CM19851" s="336"/>
    </row>
    <row r="19852" spans="84:91" s="51" customFormat="1">
      <c r="CF19852" s="239"/>
      <c r="CM19852" s="336"/>
    </row>
    <row r="19853" spans="84:91" s="51" customFormat="1">
      <c r="CF19853" s="239"/>
      <c r="CM19853" s="336"/>
    </row>
    <row r="19854" spans="84:91" s="51" customFormat="1">
      <c r="CF19854" s="239"/>
      <c r="CM19854" s="336"/>
    </row>
    <row r="19855" spans="84:91" s="51" customFormat="1">
      <c r="CF19855" s="239"/>
      <c r="CM19855" s="336"/>
    </row>
    <row r="19856" spans="84:91" s="51" customFormat="1">
      <c r="CF19856" s="239"/>
      <c r="CM19856" s="336"/>
    </row>
    <row r="19857" spans="84:91" s="51" customFormat="1">
      <c r="CF19857" s="239"/>
      <c r="CM19857" s="336"/>
    </row>
    <row r="19858" spans="84:91" s="51" customFormat="1">
      <c r="CF19858" s="239"/>
      <c r="CM19858" s="336"/>
    </row>
    <row r="19859" spans="84:91" s="51" customFormat="1">
      <c r="CF19859" s="239"/>
      <c r="CM19859" s="336"/>
    </row>
    <row r="19860" spans="84:91" s="51" customFormat="1">
      <c r="CF19860" s="239"/>
      <c r="CM19860" s="336"/>
    </row>
    <row r="19861" spans="84:91" s="51" customFormat="1">
      <c r="CF19861" s="239"/>
      <c r="CM19861" s="336"/>
    </row>
    <row r="19862" spans="84:91" s="51" customFormat="1">
      <c r="CF19862" s="239"/>
      <c r="CM19862" s="336"/>
    </row>
    <row r="19863" spans="84:91" s="51" customFormat="1">
      <c r="CF19863" s="239"/>
      <c r="CM19863" s="336"/>
    </row>
    <row r="19864" spans="84:91" s="51" customFormat="1">
      <c r="CF19864" s="239"/>
      <c r="CM19864" s="336"/>
    </row>
    <row r="19865" spans="84:91" s="51" customFormat="1">
      <c r="CF19865" s="239"/>
      <c r="CM19865" s="336"/>
    </row>
    <row r="19866" spans="84:91" s="51" customFormat="1">
      <c r="CF19866" s="239"/>
      <c r="CM19866" s="336"/>
    </row>
    <row r="19867" spans="84:91" s="51" customFormat="1">
      <c r="CF19867" s="239"/>
      <c r="CM19867" s="336"/>
    </row>
    <row r="19868" spans="84:91" s="51" customFormat="1">
      <c r="CF19868" s="239"/>
      <c r="CM19868" s="336"/>
    </row>
    <row r="19869" spans="84:91" s="51" customFormat="1">
      <c r="CF19869" s="239"/>
      <c r="CM19869" s="336"/>
    </row>
    <row r="19870" spans="84:91" s="51" customFormat="1">
      <c r="CF19870" s="239"/>
      <c r="CM19870" s="336"/>
    </row>
    <row r="19871" spans="84:91" s="51" customFormat="1">
      <c r="CF19871" s="239"/>
      <c r="CM19871" s="336"/>
    </row>
    <row r="19872" spans="84:91" s="51" customFormat="1">
      <c r="CF19872" s="239"/>
      <c r="CM19872" s="336"/>
    </row>
    <row r="19873" spans="84:91" s="51" customFormat="1">
      <c r="CF19873" s="239"/>
      <c r="CM19873" s="336"/>
    </row>
    <row r="19874" spans="84:91" s="51" customFormat="1">
      <c r="CF19874" s="239"/>
      <c r="CM19874" s="336"/>
    </row>
    <row r="19875" spans="84:91" s="51" customFormat="1">
      <c r="CF19875" s="239"/>
      <c r="CM19875" s="336"/>
    </row>
    <row r="19876" spans="84:91" s="51" customFormat="1">
      <c r="CF19876" s="239"/>
      <c r="CM19876" s="336"/>
    </row>
    <row r="19877" spans="84:91" s="51" customFormat="1">
      <c r="CF19877" s="239"/>
      <c r="CM19877" s="336"/>
    </row>
    <row r="19878" spans="84:91" s="51" customFormat="1">
      <c r="CF19878" s="239"/>
      <c r="CM19878" s="336"/>
    </row>
    <row r="19879" spans="84:91" s="51" customFormat="1">
      <c r="CF19879" s="239"/>
      <c r="CM19879" s="336"/>
    </row>
    <row r="19880" spans="84:91" s="51" customFormat="1">
      <c r="CF19880" s="239"/>
      <c r="CM19880" s="336"/>
    </row>
    <row r="19881" spans="84:91" s="51" customFormat="1">
      <c r="CF19881" s="239"/>
      <c r="CM19881" s="336"/>
    </row>
    <row r="19882" spans="84:91" s="51" customFormat="1">
      <c r="CF19882" s="239"/>
      <c r="CM19882" s="336"/>
    </row>
    <row r="19883" spans="84:91" s="51" customFormat="1">
      <c r="CF19883" s="239"/>
      <c r="CM19883" s="336"/>
    </row>
    <row r="19884" spans="84:91" s="51" customFormat="1">
      <c r="CF19884" s="239"/>
      <c r="CM19884" s="336"/>
    </row>
    <row r="19885" spans="84:91" s="51" customFormat="1">
      <c r="CF19885" s="239"/>
      <c r="CM19885" s="336"/>
    </row>
    <row r="19886" spans="84:91" s="51" customFormat="1">
      <c r="CF19886" s="239"/>
      <c r="CM19886" s="336"/>
    </row>
    <row r="19887" spans="84:91" s="51" customFormat="1">
      <c r="CF19887" s="239"/>
      <c r="CM19887" s="336"/>
    </row>
    <row r="19888" spans="84:91" s="51" customFormat="1">
      <c r="CF19888" s="239"/>
      <c r="CM19888" s="336"/>
    </row>
    <row r="19889" spans="84:91" s="51" customFormat="1">
      <c r="CF19889" s="239"/>
      <c r="CM19889" s="336"/>
    </row>
    <row r="19890" spans="84:91" s="51" customFormat="1">
      <c r="CF19890" s="239"/>
      <c r="CM19890" s="336"/>
    </row>
    <row r="19891" spans="84:91" s="51" customFormat="1">
      <c r="CF19891" s="239"/>
      <c r="CM19891" s="336"/>
    </row>
    <row r="19892" spans="84:91" s="51" customFormat="1">
      <c r="CF19892" s="239"/>
      <c r="CM19892" s="336"/>
    </row>
    <row r="19893" spans="84:91" s="51" customFormat="1">
      <c r="CF19893" s="239"/>
      <c r="CM19893" s="336"/>
    </row>
    <row r="19894" spans="84:91" s="51" customFormat="1">
      <c r="CF19894" s="239"/>
      <c r="CM19894" s="336"/>
    </row>
    <row r="19895" spans="84:91" s="51" customFormat="1">
      <c r="CF19895" s="239"/>
      <c r="CM19895" s="336"/>
    </row>
    <row r="19896" spans="84:91" s="51" customFormat="1">
      <c r="CF19896" s="239"/>
      <c r="CM19896" s="336"/>
    </row>
    <row r="19897" spans="84:91" s="51" customFormat="1">
      <c r="CF19897" s="239"/>
      <c r="CM19897" s="336"/>
    </row>
    <row r="19898" spans="84:91" s="51" customFormat="1">
      <c r="CF19898" s="239"/>
      <c r="CM19898" s="336"/>
    </row>
    <row r="19899" spans="84:91" s="51" customFormat="1">
      <c r="CF19899" s="239"/>
      <c r="CM19899" s="336"/>
    </row>
    <row r="19900" spans="84:91" s="51" customFormat="1">
      <c r="CF19900" s="239"/>
      <c r="CM19900" s="336"/>
    </row>
    <row r="19901" spans="84:91" s="51" customFormat="1">
      <c r="CF19901" s="239"/>
      <c r="CM19901" s="336"/>
    </row>
    <row r="19902" spans="84:91" s="51" customFormat="1">
      <c r="CF19902" s="239"/>
      <c r="CM19902" s="336"/>
    </row>
    <row r="19903" spans="84:91" s="51" customFormat="1">
      <c r="CF19903" s="239"/>
      <c r="CM19903" s="336"/>
    </row>
    <row r="19904" spans="84:91" s="51" customFormat="1">
      <c r="CF19904" s="239"/>
      <c r="CM19904" s="336"/>
    </row>
    <row r="19905" spans="84:91" s="51" customFormat="1">
      <c r="CF19905" s="239"/>
      <c r="CM19905" s="336"/>
    </row>
    <row r="19906" spans="84:91" s="51" customFormat="1">
      <c r="CF19906" s="239"/>
      <c r="CM19906" s="336"/>
    </row>
    <row r="19907" spans="84:91" s="51" customFormat="1">
      <c r="CF19907" s="239"/>
      <c r="CM19907" s="336"/>
    </row>
    <row r="19908" spans="84:91" s="51" customFormat="1">
      <c r="CF19908" s="239"/>
      <c r="CM19908" s="336"/>
    </row>
    <row r="19909" spans="84:91" s="51" customFormat="1">
      <c r="CF19909" s="239"/>
      <c r="CM19909" s="336"/>
    </row>
    <row r="19910" spans="84:91" s="51" customFormat="1">
      <c r="CF19910" s="239"/>
      <c r="CM19910" s="336"/>
    </row>
    <row r="19911" spans="84:91" s="51" customFormat="1">
      <c r="CF19911" s="239"/>
      <c r="CM19911" s="336"/>
    </row>
    <row r="19912" spans="84:91" s="51" customFormat="1">
      <c r="CF19912" s="239"/>
      <c r="CM19912" s="336"/>
    </row>
    <row r="19913" spans="84:91" s="51" customFormat="1">
      <c r="CF19913" s="239"/>
      <c r="CM19913" s="336"/>
    </row>
    <row r="19914" spans="84:91" s="51" customFormat="1">
      <c r="CF19914" s="239"/>
      <c r="CM19914" s="336"/>
    </row>
    <row r="19915" spans="84:91" s="51" customFormat="1">
      <c r="CF19915" s="239"/>
      <c r="CM19915" s="336"/>
    </row>
    <row r="19916" spans="84:91" s="51" customFormat="1">
      <c r="CF19916" s="239"/>
      <c r="CM19916" s="336"/>
    </row>
    <row r="19917" spans="84:91" s="51" customFormat="1">
      <c r="CF19917" s="239"/>
      <c r="CM19917" s="336"/>
    </row>
    <row r="19918" spans="84:91" s="51" customFormat="1">
      <c r="CF19918" s="239"/>
      <c r="CM19918" s="336"/>
    </row>
    <row r="19919" spans="84:91" s="51" customFormat="1">
      <c r="CF19919" s="239"/>
      <c r="CM19919" s="336"/>
    </row>
    <row r="19920" spans="84:91" s="51" customFormat="1">
      <c r="CF19920" s="239"/>
      <c r="CM19920" s="336"/>
    </row>
    <row r="19921" spans="84:91" s="51" customFormat="1">
      <c r="CF19921" s="239"/>
      <c r="CM19921" s="336"/>
    </row>
    <row r="19922" spans="84:91" s="51" customFormat="1">
      <c r="CF19922" s="239"/>
      <c r="CM19922" s="336"/>
    </row>
    <row r="19923" spans="84:91" s="51" customFormat="1">
      <c r="CF19923" s="239"/>
      <c r="CM19923" s="336"/>
    </row>
    <row r="19924" spans="84:91" s="51" customFormat="1">
      <c r="CF19924" s="239"/>
      <c r="CM19924" s="336"/>
    </row>
    <row r="19925" spans="84:91" s="51" customFormat="1">
      <c r="CF19925" s="239"/>
      <c r="CM19925" s="336"/>
    </row>
    <row r="19926" spans="84:91" s="51" customFormat="1">
      <c r="CF19926" s="239"/>
      <c r="CM19926" s="336"/>
    </row>
    <row r="19927" spans="84:91" s="51" customFormat="1">
      <c r="CF19927" s="239"/>
      <c r="CM19927" s="336"/>
    </row>
    <row r="19928" spans="84:91" s="51" customFormat="1">
      <c r="CF19928" s="239"/>
      <c r="CM19928" s="336"/>
    </row>
    <row r="19929" spans="84:91" s="51" customFormat="1">
      <c r="CF19929" s="239"/>
      <c r="CM19929" s="336"/>
    </row>
    <row r="19930" spans="84:91" s="51" customFormat="1">
      <c r="CF19930" s="239"/>
      <c r="CM19930" s="336"/>
    </row>
    <row r="19931" spans="84:91" s="51" customFormat="1">
      <c r="CF19931" s="239"/>
      <c r="CM19931" s="336"/>
    </row>
    <row r="19932" spans="84:91" s="51" customFormat="1">
      <c r="CF19932" s="239"/>
      <c r="CM19932" s="336"/>
    </row>
    <row r="19933" spans="84:91" s="51" customFormat="1">
      <c r="CF19933" s="239"/>
      <c r="CM19933" s="336"/>
    </row>
    <row r="19934" spans="84:91" s="51" customFormat="1">
      <c r="CF19934" s="239"/>
      <c r="CM19934" s="336"/>
    </row>
    <row r="19935" spans="84:91" s="51" customFormat="1">
      <c r="CF19935" s="239"/>
      <c r="CM19935" s="336"/>
    </row>
    <row r="19936" spans="84:91" s="51" customFormat="1">
      <c r="CF19936" s="239"/>
      <c r="CM19936" s="336"/>
    </row>
    <row r="19937" spans="84:91" s="51" customFormat="1">
      <c r="CF19937" s="239"/>
      <c r="CM19937" s="336"/>
    </row>
    <row r="19938" spans="84:91" s="51" customFormat="1">
      <c r="CF19938" s="239"/>
      <c r="CM19938" s="336"/>
    </row>
    <row r="19939" spans="84:91" s="51" customFormat="1">
      <c r="CF19939" s="239"/>
      <c r="CM19939" s="336"/>
    </row>
    <row r="19940" spans="84:91" s="51" customFormat="1">
      <c r="CF19940" s="239"/>
      <c r="CM19940" s="336"/>
    </row>
    <row r="19941" spans="84:91" s="51" customFormat="1">
      <c r="CF19941" s="239"/>
      <c r="CM19941" s="336"/>
    </row>
    <row r="19942" spans="84:91" s="51" customFormat="1">
      <c r="CF19942" s="239"/>
      <c r="CM19942" s="336"/>
    </row>
    <row r="19943" spans="84:91" s="51" customFormat="1">
      <c r="CF19943" s="239"/>
      <c r="CM19943" s="336"/>
    </row>
    <row r="19944" spans="84:91" s="51" customFormat="1">
      <c r="CF19944" s="239"/>
      <c r="CM19944" s="336"/>
    </row>
    <row r="19945" spans="84:91" s="51" customFormat="1">
      <c r="CF19945" s="239"/>
      <c r="CM19945" s="336"/>
    </row>
    <row r="19946" spans="84:91" s="51" customFormat="1">
      <c r="CF19946" s="239"/>
      <c r="CM19946" s="336"/>
    </row>
    <row r="19947" spans="84:91" s="51" customFormat="1">
      <c r="CF19947" s="239"/>
      <c r="CM19947" s="336"/>
    </row>
    <row r="19948" spans="84:91" s="51" customFormat="1">
      <c r="CF19948" s="239"/>
      <c r="CM19948" s="336"/>
    </row>
    <row r="19949" spans="84:91" s="51" customFormat="1">
      <c r="CF19949" s="239"/>
      <c r="CM19949" s="336"/>
    </row>
    <row r="19950" spans="84:91" s="51" customFormat="1">
      <c r="CF19950" s="239"/>
      <c r="CM19950" s="336"/>
    </row>
    <row r="19951" spans="84:91" s="51" customFormat="1">
      <c r="CF19951" s="239"/>
      <c r="CM19951" s="336"/>
    </row>
    <row r="19952" spans="84:91" s="51" customFormat="1">
      <c r="CF19952" s="239"/>
      <c r="CM19952" s="336"/>
    </row>
    <row r="19953" spans="84:91" s="51" customFormat="1">
      <c r="CF19953" s="239"/>
      <c r="CM19953" s="336"/>
    </row>
    <row r="19954" spans="84:91" s="51" customFormat="1">
      <c r="CF19954" s="239"/>
      <c r="CM19954" s="336"/>
    </row>
    <row r="19955" spans="84:91" s="51" customFormat="1">
      <c r="CF19955" s="239"/>
      <c r="CM19955" s="336"/>
    </row>
    <row r="19956" spans="84:91" s="51" customFormat="1">
      <c r="CF19956" s="239"/>
      <c r="CM19956" s="336"/>
    </row>
    <row r="19957" spans="84:91" s="51" customFormat="1">
      <c r="CF19957" s="239"/>
      <c r="CM19957" s="336"/>
    </row>
    <row r="19958" spans="84:91" s="51" customFormat="1">
      <c r="CF19958" s="239"/>
      <c r="CM19958" s="336"/>
    </row>
    <row r="19959" spans="84:91" s="51" customFormat="1">
      <c r="CF19959" s="239"/>
      <c r="CM19959" s="336"/>
    </row>
    <row r="19960" spans="84:91" s="51" customFormat="1">
      <c r="CF19960" s="239"/>
      <c r="CM19960" s="336"/>
    </row>
    <row r="19961" spans="84:91" s="51" customFormat="1">
      <c r="CF19961" s="239"/>
      <c r="CM19961" s="336"/>
    </row>
    <row r="19962" spans="84:91" s="51" customFormat="1">
      <c r="CF19962" s="239"/>
      <c r="CM19962" s="336"/>
    </row>
    <row r="19963" spans="84:91" s="51" customFormat="1">
      <c r="CF19963" s="239"/>
      <c r="CM19963" s="336"/>
    </row>
    <row r="19964" spans="84:91" s="51" customFormat="1">
      <c r="CF19964" s="239"/>
      <c r="CM19964" s="336"/>
    </row>
    <row r="19965" spans="84:91" s="51" customFormat="1">
      <c r="CF19965" s="239"/>
      <c r="CM19965" s="336"/>
    </row>
    <row r="19966" spans="84:91" s="51" customFormat="1">
      <c r="CF19966" s="239"/>
      <c r="CM19966" s="336"/>
    </row>
    <row r="19967" spans="84:91" s="51" customFormat="1">
      <c r="CF19967" s="239"/>
      <c r="CM19967" s="336"/>
    </row>
    <row r="19968" spans="84:91" s="51" customFormat="1">
      <c r="CF19968" s="239"/>
      <c r="CM19968" s="336"/>
    </row>
    <row r="19969" spans="84:91" s="51" customFormat="1">
      <c r="CF19969" s="239"/>
      <c r="CM19969" s="336"/>
    </row>
    <row r="19970" spans="84:91" s="51" customFormat="1">
      <c r="CF19970" s="239"/>
      <c r="CM19970" s="336"/>
    </row>
    <row r="19971" spans="84:91" s="51" customFormat="1">
      <c r="CF19971" s="239"/>
      <c r="CM19971" s="336"/>
    </row>
    <row r="19972" spans="84:91" s="51" customFormat="1">
      <c r="CF19972" s="239"/>
      <c r="CM19972" s="336"/>
    </row>
    <row r="19973" spans="84:91" s="51" customFormat="1">
      <c r="CF19973" s="239"/>
      <c r="CM19973" s="336"/>
    </row>
    <row r="19974" spans="84:91" s="51" customFormat="1">
      <c r="CF19974" s="239"/>
      <c r="CM19974" s="336"/>
    </row>
    <row r="19975" spans="84:91" s="51" customFormat="1">
      <c r="CF19975" s="239"/>
      <c r="CM19975" s="336"/>
    </row>
    <row r="19976" spans="84:91" s="51" customFormat="1">
      <c r="CF19976" s="239"/>
      <c r="CM19976" s="336"/>
    </row>
    <row r="19977" spans="84:91" s="51" customFormat="1">
      <c r="CF19977" s="239"/>
      <c r="CM19977" s="336"/>
    </row>
    <row r="19978" spans="84:91" s="51" customFormat="1">
      <c r="CF19978" s="239"/>
      <c r="CM19978" s="336"/>
    </row>
    <row r="19979" spans="84:91" s="51" customFormat="1">
      <c r="CF19979" s="239"/>
      <c r="CM19979" s="336"/>
    </row>
    <row r="19980" spans="84:91" s="51" customFormat="1">
      <c r="CF19980" s="239"/>
      <c r="CM19980" s="336"/>
    </row>
    <row r="19981" spans="84:91" s="51" customFormat="1">
      <c r="CF19981" s="239"/>
      <c r="CM19981" s="336"/>
    </row>
    <row r="19982" spans="84:91" s="51" customFormat="1">
      <c r="CF19982" s="239"/>
      <c r="CM19982" s="336"/>
    </row>
    <row r="19983" spans="84:91" s="51" customFormat="1">
      <c r="CF19983" s="239"/>
      <c r="CM19983" s="336"/>
    </row>
    <row r="19984" spans="84:91" s="51" customFormat="1">
      <c r="CF19984" s="239"/>
      <c r="CM19984" s="336"/>
    </row>
    <row r="19985" spans="84:91" s="51" customFormat="1">
      <c r="CF19985" s="239"/>
      <c r="CM19985" s="336"/>
    </row>
    <row r="19986" spans="84:91" s="51" customFormat="1">
      <c r="CF19986" s="239"/>
      <c r="CM19986" s="336"/>
    </row>
    <row r="19987" spans="84:91" s="51" customFormat="1">
      <c r="CF19987" s="239"/>
      <c r="CM19987" s="336"/>
    </row>
    <row r="19988" spans="84:91" s="51" customFormat="1">
      <c r="CF19988" s="239"/>
      <c r="CM19988" s="336"/>
    </row>
    <row r="19989" spans="84:91" s="51" customFormat="1">
      <c r="CF19989" s="239"/>
      <c r="CM19989" s="336"/>
    </row>
    <row r="19990" spans="84:91" s="51" customFormat="1">
      <c r="CF19990" s="239"/>
      <c r="CM19990" s="336"/>
    </row>
    <row r="19991" spans="84:91" s="51" customFormat="1">
      <c r="CF19991" s="239"/>
      <c r="CM19991" s="336"/>
    </row>
    <row r="19992" spans="84:91" s="51" customFormat="1">
      <c r="CF19992" s="239"/>
      <c r="CM19992" s="336"/>
    </row>
    <row r="19993" spans="84:91" s="51" customFormat="1">
      <c r="CF19993" s="239"/>
      <c r="CM19993" s="336"/>
    </row>
    <row r="19994" spans="84:91" s="51" customFormat="1">
      <c r="CF19994" s="239"/>
      <c r="CM19994" s="336"/>
    </row>
    <row r="19995" spans="84:91" s="51" customFormat="1">
      <c r="CF19995" s="239"/>
      <c r="CM19995" s="336"/>
    </row>
    <row r="19996" spans="84:91" s="51" customFormat="1">
      <c r="CF19996" s="239"/>
      <c r="CM19996" s="336"/>
    </row>
    <row r="19997" spans="84:91" s="51" customFormat="1">
      <c r="CF19997" s="239"/>
      <c r="CM19997" s="336"/>
    </row>
    <row r="19998" spans="84:91" s="51" customFormat="1">
      <c r="CF19998" s="239"/>
      <c r="CM19998" s="336"/>
    </row>
    <row r="19999" spans="84:91" s="51" customFormat="1">
      <c r="CF19999" s="239"/>
      <c r="CM19999" s="336"/>
    </row>
    <row r="20000" spans="84:91" s="51" customFormat="1">
      <c r="CF20000" s="239"/>
      <c r="CM20000" s="336"/>
    </row>
    <row r="20001" spans="84:91" s="51" customFormat="1">
      <c r="CF20001" s="239"/>
      <c r="CM20001" s="336"/>
    </row>
    <row r="20002" spans="84:91" s="51" customFormat="1">
      <c r="CF20002" s="239"/>
      <c r="CM20002" s="336"/>
    </row>
    <row r="20003" spans="84:91" s="51" customFormat="1">
      <c r="CF20003" s="239"/>
      <c r="CM20003" s="336"/>
    </row>
    <row r="20004" spans="84:91" s="51" customFormat="1">
      <c r="CF20004" s="239"/>
      <c r="CM20004" s="336"/>
    </row>
    <row r="20005" spans="84:91" s="51" customFormat="1">
      <c r="CF20005" s="239"/>
      <c r="CM20005" s="336"/>
    </row>
    <row r="20006" spans="84:91" s="51" customFormat="1">
      <c r="CF20006" s="239"/>
      <c r="CM20006" s="336"/>
    </row>
    <row r="20007" spans="84:91" s="51" customFormat="1">
      <c r="CF20007" s="239"/>
      <c r="CM20007" s="336"/>
    </row>
    <row r="20008" spans="84:91" s="51" customFormat="1">
      <c r="CF20008" s="239"/>
      <c r="CM20008" s="336"/>
    </row>
    <row r="20009" spans="84:91" s="51" customFormat="1">
      <c r="CF20009" s="239"/>
      <c r="CM20009" s="336"/>
    </row>
    <row r="20010" spans="84:91" s="51" customFormat="1">
      <c r="CF20010" s="239"/>
      <c r="CM20010" s="336"/>
    </row>
    <row r="20011" spans="84:91" s="51" customFormat="1">
      <c r="CF20011" s="239"/>
      <c r="CM20011" s="336"/>
    </row>
    <row r="20012" spans="84:91" s="51" customFormat="1">
      <c r="CF20012" s="239"/>
      <c r="CM20012" s="336"/>
    </row>
    <row r="20013" spans="84:91" s="51" customFormat="1">
      <c r="CF20013" s="239"/>
      <c r="CM20013" s="336"/>
    </row>
    <row r="20014" spans="84:91" s="51" customFormat="1">
      <c r="CF20014" s="239"/>
      <c r="CM20014" s="336"/>
    </row>
    <row r="20015" spans="84:91" s="51" customFormat="1">
      <c r="CF20015" s="239"/>
      <c r="CM20015" s="336"/>
    </row>
    <row r="20016" spans="84:91" s="51" customFormat="1">
      <c r="CF20016" s="239"/>
      <c r="CM20016" s="336"/>
    </row>
    <row r="20017" spans="84:91" s="51" customFormat="1">
      <c r="CF20017" s="239"/>
      <c r="CM20017" s="336"/>
    </row>
    <row r="20018" spans="84:91" s="51" customFormat="1">
      <c r="CF20018" s="239"/>
      <c r="CM20018" s="336"/>
    </row>
    <row r="20019" spans="84:91" s="51" customFormat="1">
      <c r="CF20019" s="239"/>
      <c r="CM20019" s="336"/>
    </row>
    <row r="20020" spans="84:91" s="51" customFormat="1">
      <c r="CF20020" s="239"/>
      <c r="CM20020" s="336"/>
    </row>
    <row r="20021" spans="84:91" s="51" customFormat="1">
      <c r="CF20021" s="239"/>
      <c r="CM20021" s="336"/>
    </row>
    <row r="20022" spans="84:91" s="51" customFormat="1">
      <c r="CF20022" s="239"/>
      <c r="CM20022" s="336"/>
    </row>
    <row r="20023" spans="84:91" s="51" customFormat="1">
      <c r="CF20023" s="239"/>
      <c r="CM20023" s="336"/>
    </row>
    <row r="20024" spans="84:91" s="51" customFormat="1">
      <c r="CF20024" s="239"/>
      <c r="CM20024" s="336"/>
    </row>
    <row r="20025" spans="84:91" s="51" customFormat="1">
      <c r="CF20025" s="239"/>
      <c r="CM20025" s="336"/>
    </row>
    <row r="20026" spans="84:91" s="51" customFormat="1">
      <c r="CF20026" s="239"/>
      <c r="CM20026" s="336"/>
    </row>
    <row r="20027" spans="84:91" s="51" customFormat="1">
      <c r="CF20027" s="239"/>
      <c r="CM20027" s="336"/>
    </row>
    <row r="20028" spans="84:91" s="51" customFormat="1">
      <c r="CF20028" s="239"/>
      <c r="CM20028" s="336"/>
    </row>
    <row r="20029" spans="84:91" s="51" customFormat="1">
      <c r="CF20029" s="239"/>
      <c r="CM20029" s="336"/>
    </row>
    <row r="20030" spans="84:91" s="51" customFormat="1">
      <c r="CF20030" s="239"/>
      <c r="CM20030" s="336"/>
    </row>
    <row r="20031" spans="84:91" s="51" customFormat="1">
      <c r="CF20031" s="239"/>
      <c r="CM20031" s="336"/>
    </row>
    <row r="20032" spans="84:91" s="51" customFormat="1">
      <c r="CF20032" s="239"/>
      <c r="CM20032" s="336"/>
    </row>
    <row r="20033" spans="84:91" s="51" customFormat="1">
      <c r="CF20033" s="239"/>
      <c r="CM20033" s="336"/>
    </row>
    <row r="20034" spans="84:91" s="51" customFormat="1">
      <c r="CF20034" s="239"/>
      <c r="CM20034" s="336"/>
    </row>
    <row r="20035" spans="84:91" s="51" customFormat="1">
      <c r="CF20035" s="239"/>
      <c r="CM20035" s="336"/>
    </row>
    <row r="20036" spans="84:91" s="51" customFormat="1">
      <c r="CF20036" s="239"/>
      <c r="CM20036" s="336"/>
    </row>
    <row r="20037" spans="84:91" s="51" customFormat="1">
      <c r="CF20037" s="239"/>
      <c r="CM20037" s="336"/>
    </row>
    <row r="20038" spans="84:91" s="51" customFormat="1">
      <c r="CF20038" s="239"/>
      <c r="CM20038" s="336"/>
    </row>
    <row r="20039" spans="84:91" s="51" customFormat="1">
      <c r="CF20039" s="239"/>
      <c r="CM20039" s="336"/>
    </row>
    <row r="20040" spans="84:91" s="51" customFormat="1">
      <c r="CF20040" s="239"/>
      <c r="CM20040" s="336"/>
    </row>
    <row r="20041" spans="84:91" s="51" customFormat="1">
      <c r="CF20041" s="239"/>
      <c r="CM20041" s="336"/>
    </row>
    <row r="20042" spans="84:91" s="51" customFormat="1">
      <c r="CF20042" s="239"/>
      <c r="CM20042" s="336"/>
    </row>
    <row r="20043" spans="84:91" s="51" customFormat="1">
      <c r="CF20043" s="239"/>
      <c r="CM20043" s="336"/>
    </row>
    <row r="20044" spans="84:91" s="51" customFormat="1">
      <c r="CF20044" s="239"/>
      <c r="CM20044" s="336"/>
    </row>
    <row r="20045" spans="84:91" s="51" customFormat="1">
      <c r="CF20045" s="239"/>
      <c r="CM20045" s="336"/>
    </row>
    <row r="20046" spans="84:91" s="51" customFormat="1">
      <c r="CF20046" s="239"/>
      <c r="CM20046" s="336"/>
    </row>
    <row r="20047" spans="84:91" s="51" customFormat="1">
      <c r="CF20047" s="239"/>
      <c r="CM20047" s="336"/>
    </row>
    <row r="20048" spans="84:91" s="51" customFormat="1">
      <c r="CF20048" s="239"/>
      <c r="CM20048" s="336"/>
    </row>
    <row r="20049" spans="84:91" s="51" customFormat="1">
      <c r="CF20049" s="239"/>
      <c r="CM20049" s="336"/>
    </row>
    <row r="20050" spans="84:91" s="51" customFormat="1">
      <c r="CF20050" s="239"/>
      <c r="CM20050" s="336"/>
    </row>
    <row r="20051" spans="84:91" s="51" customFormat="1">
      <c r="CF20051" s="239"/>
      <c r="CM20051" s="336"/>
    </row>
    <row r="20052" spans="84:91" s="51" customFormat="1">
      <c r="CF20052" s="239"/>
      <c r="CM20052" s="336"/>
    </row>
    <row r="20053" spans="84:91" s="51" customFormat="1">
      <c r="CF20053" s="239"/>
      <c r="CM20053" s="336"/>
    </row>
    <row r="20054" spans="84:91" s="51" customFormat="1">
      <c r="CF20054" s="239"/>
      <c r="CM20054" s="336"/>
    </row>
    <row r="20055" spans="84:91" s="51" customFormat="1">
      <c r="CF20055" s="239"/>
      <c r="CM20055" s="336"/>
    </row>
    <row r="20056" spans="84:91" s="51" customFormat="1">
      <c r="CF20056" s="239"/>
      <c r="CM20056" s="336"/>
    </row>
    <row r="20057" spans="84:91" s="51" customFormat="1">
      <c r="CF20057" s="239"/>
      <c r="CM20057" s="336"/>
    </row>
    <row r="20058" spans="84:91" s="51" customFormat="1">
      <c r="CF20058" s="239"/>
      <c r="CM20058" s="336"/>
    </row>
    <row r="20059" spans="84:91" s="51" customFormat="1">
      <c r="CF20059" s="239"/>
      <c r="CM20059" s="336"/>
    </row>
    <row r="20060" spans="84:91" s="51" customFormat="1">
      <c r="CF20060" s="239"/>
      <c r="CM20060" s="336"/>
    </row>
    <row r="20061" spans="84:91" s="51" customFormat="1">
      <c r="CF20061" s="239"/>
      <c r="CM20061" s="336"/>
    </row>
    <row r="20062" spans="84:91" s="51" customFormat="1">
      <c r="CF20062" s="239"/>
      <c r="CM20062" s="336"/>
    </row>
    <row r="20063" spans="84:91" s="51" customFormat="1">
      <c r="CF20063" s="239"/>
      <c r="CM20063" s="336"/>
    </row>
    <row r="20064" spans="84:91" s="51" customFormat="1">
      <c r="CF20064" s="239"/>
      <c r="CM20064" s="336"/>
    </row>
    <row r="20065" spans="84:91" s="51" customFormat="1">
      <c r="CF20065" s="239"/>
      <c r="CM20065" s="336"/>
    </row>
    <row r="20066" spans="84:91" s="51" customFormat="1">
      <c r="CF20066" s="239"/>
      <c r="CM20066" s="336"/>
    </row>
    <row r="20067" spans="84:91" s="51" customFormat="1">
      <c r="CF20067" s="239"/>
      <c r="CM20067" s="336"/>
    </row>
    <row r="20068" spans="84:91" s="51" customFormat="1">
      <c r="CF20068" s="239"/>
      <c r="CM20068" s="336"/>
    </row>
    <row r="20069" spans="84:91" s="51" customFormat="1">
      <c r="CF20069" s="239"/>
      <c r="CM20069" s="336"/>
    </row>
    <row r="20070" spans="84:91" s="51" customFormat="1">
      <c r="CF20070" s="239"/>
      <c r="CM20070" s="336"/>
    </row>
    <row r="20071" spans="84:91" s="51" customFormat="1">
      <c r="CF20071" s="239"/>
      <c r="CM20071" s="336"/>
    </row>
    <row r="20072" spans="84:91" s="51" customFormat="1">
      <c r="CF20072" s="239"/>
      <c r="CM20072" s="336"/>
    </row>
    <row r="20073" spans="84:91" s="51" customFormat="1">
      <c r="CF20073" s="239"/>
      <c r="CM20073" s="336"/>
    </row>
    <row r="20074" spans="84:91" s="51" customFormat="1">
      <c r="CF20074" s="239"/>
      <c r="CM20074" s="336"/>
    </row>
    <row r="20075" spans="84:91" s="51" customFormat="1">
      <c r="CF20075" s="239"/>
      <c r="CM20075" s="336"/>
    </row>
    <row r="20076" spans="84:91" s="51" customFormat="1">
      <c r="CF20076" s="239"/>
      <c r="CM20076" s="336"/>
    </row>
    <row r="20077" spans="84:91" s="51" customFormat="1">
      <c r="CF20077" s="239"/>
      <c r="CM20077" s="336"/>
    </row>
    <row r="20078" spans="84:91" s="51" customFormat="1">
      <c r="CF20078" s="239"/>
      <c r="CM20078" s="336"/>
    </row>
    <row r="20079" spans="84:91" s="51" customFormat="1">
      <c r="CF20079" s="239"/>
      <c r="CM20079" s="336"/>
    </row>
    <row r="20080" spans="84:91" s="51" customFormat="1">
      <c r="CF20080" s="239"/>
      <c r="CM20080" s="336"/>
    </row>
    <row r="20081" spans="84:91" s="51" customFormat="1">
      <c r="CF20081" s="239"/>
      <c r="CM20081" s="336"/>
    </row>
    <row r="20082" spans="84:91" s="51" customFormat="1">
      <c r="CF20082" s="239"/>
      <c r="CM20082" s="336"/>
    </row>
    <row r="20083" spans="84:91" s="51" customFormat="1">
      <c r="CF20083" s="239"/>
      <c r="CM20083" s="336"/>
    </row>
    <row r="20084" spans="84:91" s="51" customFormat="1">
      <c r="CF20084" s="239"/>
      <c r="CM20084" s="336"/>
    </row>
    <row r="20085" spans="84:91" s="51" customFormat="1">
      <c r="CF20085" s="239"/>
      <c r="CM20085" s="336"/>
    </row>
    <row r="20086" spans="84:91" s="51" customFormat="1">
      <c r="CF20086" s="239"/>
      <c r="CM20086" s="336"/>
    </row>
    <row r="20087" spans="84:91" s="51" customFormat="1">
      <c r="CF20087" s="239"/>
      <c r="CM20087" s="336"/>
    </row>
    <row r="20088" spans="84:91" s="51" customFormat="1">
      <c r="CF20088" s="239"/>
      <c r="CM20088" s="336"/>
    </row>
    <row r="20089" spans="84:91" s="51" customFormat="1">
      <c r="CF20089" s="239"/>
      <c r="CM20089" s="336"/>
    </row>
    <row r="20090" spans="84:91" s="51" customFormat="1">
      <c r="CF20090" s="239"/>
      <c r="CM20090" s="336"/>
    </row>
    <row r="20091" spans="84:91" s="51" customFormat="1">
      <c r="CF20091" s="239"/>
      <c r="CM20091" s="336"/>
    </row>
    <row r="20092" spans="84:91" s="51" customFormat="1">
      <c r="CF20092" s="239"/>
      <c r="CM20092" s="336"/>
    </row>
    <row r="20093" spans="84:91" s="51" customFormat="1">
      <c r="CF20093" s="239"/>
      <c r="CM20093" s="336"/>
    </row>
    <row r="20094" spans="84:91" s="51" customFormat="1">
      <c r="CF20094" s="239"/>
      <c r="CM20094" s="336"/>
    </row>
    <row r="20095" spans="84:91" s="51" customFormat="1">
      <c r="CF20095" s="239"/>
      <c r="CM20095" s="336"/>
    </row>
    <row r="20096" spans="84:91" s="51" customFormat="1">
      <c r="CF20096" s="239"/>
      <c r="CM20096" s="336"/>
    </row>
    <row r="20097" spans="84:91" s="51" customFormat="1">
      <c r="CF20097" s="239"/>
      <c r="CM20097" s="336"/>
    </row>
    <row r="20098" spans="84:91" s="51" customFormat="1">
      <c r="CF20098" s="239"/>
      <c r="CM20098" s="336"/>
    </row>
    <row r="20099" spans="84:91" s="51" customFormat="1">
      <c r="CF20099" s="239"/>
      <c r="CM20099" s="336"/>
    </row>
    <row r="20100" spans="84:91" s="51" customFormat="1">
      <c r="CF20100" s="239"/>
      <c r="CM20100" s="336"/>
    </row>
    <row r="20101" spans="84:91" s="51" customFormat="1">
      <c r="CF20101" s="239"/>
      <c r="CM20101" s="336"/>
    </row>
    <row r="20102" spans="84:91" s="51" customFormat="1">
      <c r="CF20102" s="239"/>
      <c r="CM20102" s="336"/>
    </row>
    <row r="20103" spans="84:91" s="51" customFormat="1">
      <c r="CF20103" s="239"/>
      <c r="CM20103" s="336"/>
    </row>
    <row r="20104" spans="84:91" s="51" customFormat="1">
      <c r="CF20104" s="239"/>
      <c r="CM20104" s="336"/>
    </row>
    <row r="20105" spans="84:91" s="51" customFormat="1">
      <c r="CF20105" s="239"/>
      <c r="CM20105" s="336"/>
    </row>
    <row r="20106" spans="84:91" s="51" customFormat="1">
      <c r="CF20106" s="239"/>
      <c r="CM20106" s="336"/>
    </row>
    <row r="20107" spans="84:91" s="51" customFormat="1">
      <c r="CF20107" s="239"/>
      <c r="CM20107" s="336"/>
    </row>
    <row r="20108" spans="84:91" s="51" customFormat="1">
      <c r="CF20108" s="239"/>
      <c r="CM20108" s="336"/>
    </row>
    <row r="20109" spans="84:91" s="51" customFormat="1">
      <c r="CF20109" s="239"/>
      <c r="CM20109" s="336"/>
    </row>
    <row r="20110" spans="84:91" s="51" customFormat="1">
      <c r="CF20110" s="239"/>
      <c r="CM20110" s="336"/>
    </row>
    <row r="20111" spans="84:91" s="51" customFormat="1">
      <c r="CF20111" s="239"/>
      <c r="CM20111" s="336"/>
    </row>
    <row r="20112" spans="84:91" s="51" customFormat="1">
      <c r="CF20112" s="239"/>
      <c r="CM20112" s="336"/>
    </row>
    <row r="20113" spans="84:91" s="51" customFormat="1">
      <c r="CF20113" s="239"/>
      <c r="CM20113" s="336"/>
    </row>
    <row r="20114" spans="84:91" s="51" customFormat="1">
      <c r="CF20114" s="239"/>
      <c r="CM20114" s="336"/>
    </row>
    <row r="20115" spans="84:91" s="51" customFormat="1">
      <c r="CF20115" s="239"/>
      <c r="CM20115" s="336"/>
    </row>
    <row r="20116" spans="84:91" s="51" customFormat="1">
      <c r="CF20116" s="239"/>
      <c r="CM20116" s="336"/>
    </row>
    <row r="20117" spans="84:91" s="51" customFormat="1">
      <c r="CF20117" s="239"/>
      <c r="CM20117" s="336"/>
    </row>
    <row r="20118" spans="84:91" s="51" customFormat="1">
      <c r="CF20118" s="239"/>
      <c r="CM20118" s="336"/>
    </row>
    <row r="20119" spans="84:91" s="51" customFormat="1">
      <c r="CF20119" s="239"/>
      <c r="CM20119" s="336"/>
    </row>
    <row r="20120" spans="84:91" s="51" customFormat="1">
      <c r="CF20120" s="239"/>
      <c r="CM20120" s="336"/>
    </row>
    <row r="20121" spans="84:91" s="51" customFormat="1">
      <c r="CF20121" s="239"/>
      <c r="CM20121" s="336"/>
    </row>
    <row r="20122" spans="84:91" s="51" customFormat="1">
      <c r="CF20122" s="239"/>
      <c r="CM20122" s="336"/>
    </row>
    <row r="20123" spans="84:91" s="51" customFormat="1">
      <c r="CF20123" s="239"/>
      <c r="CM20123" s="336"/>
    </row>
    <row r="20124" spans="84:91" s="51" customFormat="1">
      <c r="CF20124" s="239"/>
      <c r="CM20124" s="336"/>
    </row>
    <row r="20125" spans="84:91" s="51" customFormat="1">
      <c r="CF20125" s="239"/>
      <c r="CM20125" s="336"/>
    </row>
    <row r="20126" spans="84:91" s="51" customFormat="1">
      <c r="CF20126" s="239"/>
      <c r="CM20126" s="336"/>
    </row>
    <row r="20127" spans="84:91" s="51" customFormat="1">
      <c r="CF20127" s="239"/>
      <c r="CM20127" s="336"/>
    </row>
    <row r="20128" spans="84:91" s="51" customFormat="1">
      <c r="CF20128" s="239"/>
      <c r="CM20128" s="336"/>
    </row>
    <row r="20129" spans="84:91" s="51" customFormat="1">
      <c r="CF20129" s="239"/>
      <c r="CM20129" s="336"/>
    </row>
    <row r="20130" spans="84:91" s="51" customFormat="1">
      <c r="CF20130" s="239"/>
      <c r="CM20130" s="336"/>
    </row>
    <row r="20131" spans="84:91" s="51" customFormat="1">
      <c r="CF20131" s="239"/>
      <c r="CM20131" s="336"/>
    </row>
    <row r="20132" spans="84:91" s="51" customFormat="1">
      <c r="CF20132" s="239"/>
      <c r="CM20132" s="336"/>
    </row>
    <row r="20133" spans="84:91" s="51" customFormat="1">
      <c r="CF20133" s="239"/>
      <c r="CM20133" s="336"/>
    </row>
    <row r="20134" spans="84:91" s="51" customFormat="1">
      <c r="CF20134" s="239"/>
      <c r="CM20134" s="336"/>
    </row>
    <row r="20135" spans="84:91" s="51" customFormat="1">
      <c r="CF20135" s="239"/>
      <c r="CM20135" s="336"/>
    </row>
    <row r="20136" spans="84:91" s="51" customFormat="1">
      <c r="CF20136" s="239"/>
      <c r="CM20136" s="336"/>
    </row>
    <row r="20137" spans="84:91" s="51" customFormat="1">
      <c r="CF20137" s="239"/>
      <c r="CM20137" s="336"/>
    </row>
    <row r="20138" spans="84:91" s="51" customFormat="1">
      <c r="CF20138" s="239"/>
      <c r="CM20138" s="336"/>
    </row>
    <row r="20139" spans="84:91" s="51" customFormat="1">
      <c r="CF20139" s="239"/>
      <c r="CM20139" s="336"/>
    </row>
    <row r="20140" spans="84:91" s="51" customFormat="1">
      <c r="CF20140" s="239"/>
      <c r="CM20140" s="336"/>
    </row>
    <row r="20141" spans="84:91" s="51" customFormat="1">
      <c r="CF20141" s="239"/>
      <c r="CM20141" s="336"/>
    </row>
    <row r="20142" spans="84:91" s="51" customFormat="1">
      <c r="CF20142" s="239"/>
      <c r="CM20142" s="336"/>
    </row>
    <row r="20143" spans="84:91" s="51" customFormat="1">
      <c r="CF20143" s="239"/>
      <c r="CM20143" s="336"/>
    </row>
    <row r="20144" spans="84:91" s="51" customFormat="1">
      <c r="CF20144" s="239"/>
      <c r="CM20144" s="336"/>
    </row>
    <row r="20145" spans="84:91" s="51" customFormat="1">
      <c r="CF20145" s="239"/>
      <c r="CM20145" s="336"/>
    </row>
    <row r="20146" spans="84:91" s="51" customFormat="1">
      <c r="CF20146" s="239"/>
      <c r="CM20146" s="336"/>
    </row>
    <row r="20147" spans="84:91" s="51" customFormat="1">
      <c r="CF20147" s="239"/>
      <c r="CM20147" s="336"/>
    </row>
    <row r="20148" spans="84:91" s="51" customFormat="1">
      <c r="CF20148" s="239"/>
      <c r="CM20148" s="336"/>
    </row>
    <row r="20149" spans="84:91" s="51" customFormat="1">
      <c r="CF20149" s="239"/>
      <c r="CM20149" s="336"/>
    </row>
    <row r="20150" spans="84:91" s="51" customFormat="1">
      <c r="CF20150" s="239"/>
      <c r="CM20150" s="336"/>
    </row>
    <row r="20151" spans="84:91" s="51" customFormat="1">
      <c r="CF20151" s="239"/>
      <c r="CM20151" s="336"/>
    </row>
    <row r="20152" spans="84:91" s="51" customFormat="1">
      <c r="CF20152" s="239"/>
      <c r="CM20152" s="336"/>
    </row>
    <row r="20153" spans="84:91" s="51" customFormat="1">
      <c r="CF20153" s="239"/>
      <c r="CM20153" s="336"/>
    </row>
    <row r="20154" spans="84:91" s="51" customFormat="1">
      <c r="CF20154" s="239"/>
      <c r="CM20154" s="336"/>
    </row>
    <row r="20155" spans="84:91" s="51" customFormat="1">
      <c r="CF20155" s="239"/>
      <c r="CM20155" s="336"/>
    </row>
    <row r="20156" spans="84:91" s="51" customFormat="1">
      <c r="CF20156" s="239"/>
      <c r="CM20156" s="336"/>
    </row>
    <row r="20157" spans="84:91" s="51" customFormat="1">
      <c r="CF20157" s="239"/>
      <c r="CM20157" s="336"/>
    </row>
    <row r="20158" spans="84:91" s="51" customFormat="1">
      <c r="CF20158" s="239"/>
      <c r="CM20158" s="336"/>
    </row>
    <row r="20159" spans="84:91" s="51" customFormat="1">
      <c r="CF20159" s="239"/>
      <c r="CM20159" s="336"/>
    </row>
    <row r="20160" spans="84:91" s="51" customFormat="1">
      <c r="CF20160" s="239"/>
      <c r="CM20160" s="336"/>
    </row>
    <row r="20161" spans="84:91" s="51" customFormat="1">
      <c r="CF20161" s="239"/>
      <c r="CM20161" s="336"/>
    </row>
    <row r="20162" spans="84:91" s="51" customFormat="1">
      <c r="CF20162" s="239"/>
      <c r="CM20162" s="336"/>
    </row>
    <row r="20163" spans="84:91" s="51" customFormat="1">
      <c r="CF20163" s="239"/>
      <c r="CM20163" s="336"/>
    </row>
    <row r="20164" spans="84:91" s="51" customFormat="1">
      <c r="CF20164" s="239"/>
      <c r="CM20164" s="336"/>
    </row>
    <row r="20165" spans="84:91" s="51" customFormat="1">
      <c r="CF20165" s="239"/>
      <c r="CM20165" s="336"/>
    </row>
    <row r="20166" spans="84:91" s="51" customFormat="1">
      <c r="CF20166" s="239"/>
      <c r="CM20166" s="336"/>
    </row>
    <row r="20167" spans="84:91" s="51" customFormat="1">
      <c r="CF20167" s="239"/>
      <c r="CM20167" s="336"/>
    </row>
    <row r="20168" spans="84:91" s="51" customFormat="1">
      <c r="CF20168" s="239"/>
      <c r="CM20168" s="336"/>
    </row>
    <row r="20169" spans="84:91" s="51" customFormat="1">
      <c r="CF20169" s="239"/>
      <c r="CM20169" s="336"/>
    </row>
    <row r="20170" spans="84:91" s="51" customFormat="1">
      <c r="CF20170" s="239"/>
      <c r="CM20170" s="336"/>
    </row>
    <row r="20171" spans="84:91" s="51" customFormat="1">
      <c r="CF20171" s="239"/>
      <c r="CM20171" s="336"/>
    </row>
    <row r="20172" spans="84:91" s="51" customFormat="1">
      <c r="CF20172" s="239"/>
      <c r="CM20172" s="336"/>
    </row>
    <row r="20173" spans="84:91" s="51" customFormat="1">
      <c r="CF20173" s="239"/>
      <c r="CM20173" s="336"/>
    </row>
    <row r="20174" spans="84:91" s="51" customFormat="1">
      <c r="CF20174" s="239"/>
      <c r="CM20174" s="336"/>
    </row>
    <row r="20175" spans="84:91" s="51" customFormat="1">
      <c r="CF20175" s="239"/>
      <c r="CM20175" s="336"/>
    </row>
    <row r="20176" spans="84:91" s="51" customFormat="1">
      <c r="CF20176" s="239"/>
      <c r="CM20176" s="336"/>
    </row>
    <row r="20177" spans="84:91" s="51" customFormat="1">
      <c r="CF20177" s="239"/>
      <c r="CM20177" s="336"/>
    </row>
    <row r="20178" spans="84:91" s="51" customFormat="1">
      <c r="CF20178" s="239"/>
      <c r="CM20178" s="336"/>
    </row>
    <row r="20179" spans="84:91" s="51" customFormat="1">
      <c r="CF20179" s="239"/>
      <c r="CM20179" s="336"/>
    </row>
    <row r="20180" spans="84:91" s="51" customFormat="1">
      <c r="CF20180" s="239"/>
      <c r="CM20180" s="336"/>
    </row>
    <row r="20181" spans="84:91" s="51" customFormat="1">
      <c r="CF20181" s="239"/>
      <c r="CM20181" s="336"/>
    </row>
    <row r="20182" spans="84:91" s="51" customFormat="1">
      <c r="CF20182" s="239"/>
      <c r="CM20182" s="336"/>
    </row>
    <row r="20183" spans="84:91" s="51" customFormat="1">
      <c r="CF20183" s="239"/>
      <c r="CM20183" s="336"/>
    </row>
    <row r="20184" spans="84:91" s="51" customFormat="1">
      <c r="CF20184" s="239"/>
      <c r="CM20184" s="336"/>
    </row>
    <row r="20185" spans="84:91" s="51" customFormat="1">
      <c r="CF20185" s="239"/>
      <c r="CM20185" s="336"/>
    </row>
    <row r="20186" spans="84:91" s="51" customFormat="1">
      <c r="CF20186" s="239"/>
      <c r="CM20186" s="336"/>
    </row>
    <row r="20187" spans="84:91" s="51" customFormat="1">
      <c r="CF20187" s="239"/>
      <c r="CM20187" s="336"/>
    </row>
    <row r="20188" spans="84:91" s="51" customFormat="1">
      <c r="CF20188" s="239"/>
      <c r="CM20188" s="336"/>
    </row>
    <row r="20189" spans="84:91" s="51" customFormat="1">
      <c r="CF20189" s="239"/>
      <c r="CM20189" s="336"/>
    </row>
    <row r="20190" spans="84:91" s="51" customFormat="1">
      <c r="CF20190" s="239"/>
      <c r="CM20190" s="336"/>
    </row>
    <row r="20191" spans="84:91" s="51" customFormat="1">
      <c r="CF20191" s="239"/>
      <c r="CM20191" s="336"/>
    </row>
    <row r="20192" spans="84:91" s="51" customFormat="1">
      <c r="CF20192" s="239"/>
      <c r="CM20192" s="336"/>
    </row>
    <row r="20193" spans="84:91" s="51" customFormat="1">
      <c r="CF20193" s="239"/>
      <c r="CM20193" s="336"/>
    </row>
    <row r="20194" spans="84:91" s="51" customFormat="1">
      <c r="CF20194" s="239"/>
      <c r="CM20194" s="336"/>
    </row>
    <row r="20195" spans="84:91" s="51" customFormat="1">
      <c r="CF20195" s="239"/>
      <c r="CM20195" s="336"/>
    </row>
    <row r="20196" spans="84:91" s="51" customFormat="1">
      <c r="CF20196" s="239"/>
      <c r="CM20196" s="336"/>
    </row>
    <row r="20197" spans="84:91" s="51" customFormat="1">
      <c r="CF20197" s="239"/>
      <c r="CM20197" s="336"/>
    </row>
    <row r="20198" spans="84:91" s="51" customFormat="1">
      <c r="CF20198" s="239"/>
      <c r="CM20198" s="336"/>
    </row>
    <row r="20199" spans="84:91" s="51" customFormat="1">
      <c r="CF20199" s="239"/>
      <c r="CM20199" s="336"/>
    </row>
    <row r="20200" spans="84:91" s="51" customFormat="1">
      <c r="CF20200" s="239"/>
      <c r="CM20200" s="336"/>
    </row>
    <row r="20201" spans="84:91" s="51" customFormat="1">
      <c r="CF20201" s="239"/>
      <c r="CM20201" s="336"/>
    </row>
    <row r="20202" spans="84:91" s="51" customFormat="1">
      <c r="CF20202" s="239"/>
      <c r="CM20202" s="336"/>
    </row>
    <row r="20203" spans="84:91" s="51" customFormat="1">
      <c r="CF20203" s="239"/>
      <c r="CM20203" s="336"/>
    </row>
    <row r="20204" spans="84:91" s="51" customFormat="1">
      <c r="CF20204" s="239"/>
      <c r="CM20204" s="336"/>
    </row>
    <row r="20205" spans="84:91" s="51" customFormat="1">
      <c r="CF20205" s="239"/>
      <c r="CM20205" s="336"/>
    </row>
    <row r="20206" spans="84:91" s="51" customFormat="1">
      <c r="CF20206" s="239"/>
      <c r="CM20206" s="336"/>
    </row>
    <row r="20207" spans="84:91" s="51" customFormat="1">
      <c r="CF20207" s="239"/>
      <c r="CM20207" s="336"/>
    </row>
    <row r="20208" spans="84:91" s="51" customFormat="1">
      <c r="CF20208" s="239"/>
      <c r="CM20208" s="336"/>
    </row>
    <row r="20209" spans="84:91" s="51" customFormat="1">
      <c r="CF20209" s="239"/>
      <c r="CM20209" s="336"/>
    </row>
    <row r="20210" spans="84:91" s="51" customFormat="1">
      <c r="CF20210" s="239"/>
      <c r="CM20210" s="336"/>
    </row>
    <row r="20211" spans="84:91" s="51" customFormat="1">
      <c r="CF20211" s="239"/>
      <c r="CM20211" s="336"/>
    </row>
    <row r="20212" spans="84:91" s="51" customFormat="1">
      <c r="CF20212" s="239"/>
      <c r="CM20212" s="336"/>
    </row>
    <row r="20213" spans="84:91" s="51" customFormat="1">
      <c r="CF20213" s="239"/>
      <c r="CM20213" s="336"/>
    </row>
    <row r="20214" spans="84:91" s="51" customFormat="1">
      <c r="CF20214" s="239"/>
      <c r="CM20214" s="336"/>
    </row>
    <row r="20215" spans="84:91" s="51" customFormat="1">
      <c r="CF20215" s="239"/>
      <c r="CM20215" s="336"/>
    </row>
    <row r="20216" spans="84:91" s="51" customFormat="1">
      <c r="CF20216" s="239"/>
      <c r="CM20216" s="336"/>
    </row>
    <row r="20217" spans="84:91" s="51" customFormat="1">
      <c r="CF20217" s="239"/>
      <c r="CM20217" s="336"/>
    </row>
    <row r="20218" spans="84:91" s="51" customFormat="1">
      <c r="CF20218" s="239"/>
      <c r="CM20218" s="336"/>
    </row>
    <row r="20219" spans="84:91" s="51" customFormat="1">
      <c r="CF20219" s="239"/>
      <c r="CM20219" s="336"/>
    </row>
    <row r="20220" spans="84:91" s="51" customFormat="1">
      <c r="CF20220" s="239"/>
      <c r="CM20220" s="336"/>
    </row>
    <row r="20221" spans="84:91" s="51" customFormat="1">
      <c r="CF20221" s="239"/>
      <c r="CM20221" s="336"/>
    </row>
    <row r="20222" spans="84:91" s="51" customFormat="1">
      <c r="CF20222" s="239"/>
      <c r="CM20222" s="336"/>
    </row>
    <row r="20223" spans="84:91" s="51" customFormat="1">
      <c r="CF20223" s="239"/>
      <c r="CM20223" s="336"/>
    </row>
    <row r="20224" spans="84:91" s="51" customFormat="1">
      <c r="CF20224" s="239"/>
      <c r="CM20224" s="336"/>
    </row>
    <row r="20225" spans="84:91" s="51" customFormat="1">
      <c r="CF20225" s="239"/>
      <c r="CM20225" s="336"/>
    </row>
    <row r="20226" spans="84:91" s="51" customFormat="1">
      <c r="CF20226" s="239"/>
      <c r="CM20226" s="336"/>
    </row>
    <row r="20227" spans="84:91" s="51" customFormat="1">
      <c r="CF20227" s="239"/>
      <c r="CM20227" s="336"/>
    </row>
    <row r="20228" spans="84:91" s="51" customFormat="1">
      <c r="CF20228" s="239"/>
      <c r="CM20228" s="336"/>
    </row>
    <row r="20229" spans="84:91" s="51" customFormat="1">
      <c r="CF20229" s="239"/>
      <c r="CM20229" s="336"/>
    </row>
    <row r="20230" spans="84:91" s="51" customFormat="1">
      <c r="CF20230" s="239"/>
      <c r="CM20230" s="336"/>
    </row>
    <row r="20231" spans="84:91" s="51" customFormat="1">
      <c r="CF20231" s="239"/>
      <c r="CM20231" s="336"/>
    </row>
    <row r="20232" spans="84:91" s="51" customFormat="1">
      <c r="CF20232" s="239"/>
      <c r="CM20232" s="336"/>
    </row>
    <row r="20233" spans="84:91" s="51" customFormat="1">
      <c r="CF20233" s="239"/>
      <c r="CM20233" s="336"/>
    </row>
    <row r="20234" spans="84:91" s="51" customFormat="1">
      <c r="CF20234" s="239"/>
      <c r="CM20234" s="336"/>
    </row>
    <row r="20235" spans="84:91" s="51" customFormat="1">
      <c r="CF20235" s="239"/>
      <c r="CM20235" s="336"/>
    </row>
    <row r="20236" spans="84:91" s="51" customFormat="1">
      <c r="CF20236" s="239"/>
      <c r="CM20236" s="336"/>
    </row>
    <row r="20237" spans="84:91" s="51" customFormat="1">
      <c r="CF20237" s="239"/>
      <c r="CM20237" s="336"/>
    </row>
    <row r="20238" spans="84:91" s="51" customFormat="1">
      <c r="CF20238" s="239"/>
      <c r="CM20238" s="336"/>
    </row>
    <row r="20239" spans="84:91" s="51" customFormat="1">
      <c r="CF20239" s="239"/>
      <c r="CM20239" s="336"/>
    </row>
    <row r="20240" spans="84:91" s="51" customFormat="1">
      <c r="CF20240" s="239"/>
      <c r="CM20240" s="336"/>
    </row>
    <row r="20241" spans="84:91" s="51" customFormat="1">
      <c r="CF20241" s="239"/>
      <c r="CM20241" s="336"/>
    </row>
    <row r="20242" spans="84:91" s="51" customFormat="1">
      <c r="CF20242" s="239"/>
      <c r="CM20242" s="336"/>
    </row>
    <row r="20243" spans="84:91" s="51" customFormat="1">
      <c r="CF20243" s="239"/>
      <c r="CM20243" s="336"/>
    </row>
    <row r="20244" spans="84:91" s="51" customFormat="1">
      <c r="CF20244" s="239"/>
      <c r="CM20244" s="336"/>
    </row>
    <row r="20245" spans="84:91" s="51" customFormat="1">
      <c r="CF20245" s="239"/>
      <c r="CM20245" s="336"/>
    </row>
    <row r="20246" spans="84:91" s="51" customFormat="1">
      <c r="CF20246" s="239"/>
      <c r="CM20246" s="336"/>
    </row>
    <row r="20247" spans="84:91" s="51" customFormat="1">
      <c r="CF20247" s="239"/>
      <c r="CM20247" s="336"/>
    </row>
    <row r="20248" spans="84:91" s="51" customFormat="1">
      <c r="CF20248" s="239"/>
      <c r="CM20248" s="336"/>
    </row>
    <row r="20249" spans="84:91" s="51" customFormat="1">
      <c r="CF20249" s="239"/>
      <c r="CM20249" s="336"/>
    </row>
    <row r="20250" spans="84:91" s="51" customFormat="1">
      <c r="CF20250" s="239"/>
      <c r="CM20250" s="336"/>
    </row>
    <row r="20251" spans="84:91" s="51" customFormat="1">
      <c r="CF20251" s="239"/>
      <c r="CM20251" s="336"/>
    </row>
    <row r="20252" spans="84:91" s="51" customFormat="1">
      <c r="CF20252" s="239"/>
      <c r="CM20252" s="336"/>
    </row>
    <row r="20253" spans="84:91" s="51" customFormat="1">
      <c r="CF20253" s="239"/>
      <c r="CM20253" s="336"/>
    </row>
    <row r="20254" spans="84:91" s="51" customFormat="1">
      <c r="CF20254" s="239"/>
      <c r="CM20254" s="336"/>
    </row>
    <row r="20255" spans="84:91" s="51" customFormat="1">
      <c r="CF20255" s="239"/>
      <c r="CM20255" s="336"/>
    </row>
    <row r="20256" spans="84:91" s="51" customFormat="1">
      <c r="CF20256" s="239"/>
      <c r="CM20256" s="336"/>
    </row>
    <row r="20257" spans="84:91" s="51" customFormat="1">
      <c r="CF20257" s="239"/>
      <c r="CM20257" s="336"/>
    </row>
    <row r="20258" spans="84:91" s="51" customFormat="1">
      <c r="CF20258" s="239"/>
      <c r="CM20258" s="336"/>
    </row>
    <row r="20259" spans="84:91" s="51" customFormat="1">
      <c r="CF20259" s="239"/>
      <c r="CM20259" s="336"/>
    </row>
    <row r="20260" spans="84:91" s="51" customFormat="1">
      <c r="CF20260" s="239"/>
      <c r="CM20260" s="336"/>
    </row>
    <row r="20261" spans="84:91" s="51" customFormat="1">
      <c r="CF20261" s="239"/>
      <c r="CM20261" s="336"/>
    </row>
    <row r="20262" spans="84:91" s="51" customFormat="1">
      <c r="CF20262" s="239"/>
      <c r="CM20262" s="336"/>
    </row>
    <row r="20263" spans="84:91" s="51" customFormat="1">
      <c r="CF20263" s="239"/>
      <c r="CM20263" s="336"/>
    </row>
    <row r="20264" spans="84:91" s="51" customFormat="1">
      <c r="CF20264" s="239"/>
      <c r="CM20264" s="336"/>
    </row>
    <row r="20265" spans="84:91" s="51" customFormat="1">
      <c r="CF20265" s="239"/>
      <c r="CM20265" s="336"/>
    </row>
    <row r="20266" spans="84:91" s="51" customFormat="1">
      <c r="CF20266" s="239"/>
      <c r="CM20266" s="336"/>
    </row>
    <row r="20267" spans="84:91" s="51" customFormat="1">
      <c r="CF20267" s="239"/>
      <c r="CM20267" s="336"/>
    </row>
    <row r="20268" spans="84:91" s="51" customFormat="1">
      <c r="CF20268" s="239"/>
      <c r="CM20268" s="336"/>
    </row>
    <row r="20269" spans="84:91" s="51" customFormat="1">
      <c r="CF20269" s="239"/>
      <c r="CM20269" s="336"/>
    </row>
    <row r="20270" spans="84:91" s="51" customFormat="1">
      <c r="CF20270" s="239"/>
      <c r="CM20270" s="336"/>
    </row>
    <row r="20271" spans="84:91" s="51" customFormat="1">
      <c r="CF20271" s="239"/>
      <c r="CM20271" s="336"/>
    </row>
    <row r="20272" spans="84:91" s="51" customFormat="1">
      <c r="CF20272" s="239"/>
      <c r="CM20272" s="336"/>
    </row>
    <row r="20273" spans="84:91" s="51" customFormat="1">
      <c r="CF20273" s="239"/>
      <c r="CM20273" s="336"/>
    </row>
    <row r="20274" spans="84:91" s="51" customFormat="1">
      <c r="CF20274" s="239"/>
      <c r="CM20274" s="336"/>
    </row>
    <row r="20275" spans="84:91" s="51" customFormat="1">
      <c r="CF20275" s="239"/>
      <c r="CM20275" s="336"/>
    </row>
    <row r="20276" spans="84:91" s="51" customFormat="1">
      <c r="CF20276" s="239"/>
      <c r="CM20276" s="336"/>
    </row>
    <row r="20277" spans="84:91" s="51" customFormat="1">
      <c r="CF20277" s="239"/>
      <c r="CM20277" s="336"/>
    </row>
    <row r="20278" spans="84:91" s="51" customFormat="1">
      <c r="CF20278" s="239"/>
      <c r="CM20278" s="336"/>
    </row>
    <row r="20279" spans="84:91" s="51" customFormat="1">
      <c r="CF20279" s="239"/>
      <c r="CM20279" s="336"/>
    </row>
    <row r="20280" spans="84:91" s="51" customFormat="1">
      <c r="CF20280" s="239"/>
      <c r="CM20280" s="336"/>
    </row>
    <row r="20281" spans="84:91" s="51" customFormat="1">
      <c r="CF20281" s="239"/>
      <c r="CM20281" s="336"/>
    </row>
    <row r="20282" spans="84:91" s="51" customFormat="1">
      <c r="CF20282" s="239"/>
      <c r="CM20282" s="336"/>
    </row>
    <row r="20283" spans="84:91" s="51" customFormat="1">
      <c r="CF20283" s="239"/>
      <c r="CM20283" s="336"/>
    </row>
    <row r="20284" spans="84:91" s="51" customFormat="1">
      <c r="CF20284" s="239"/>
      <c r="CM20284" s="336"/>
    </row>
    <row r="20285" spans="84:91" s="51" customFormat="1">
      <c r="CF20285" s="239"/>
      <c r="CM20285" s="336"/>
    </row>
    <row r="20286" spans="84:91" s="51" customFormat="1">
      <c r="CF20286" s="239"/>
      <c r="CM20286" s="336"/>
    </row>
    <row r="20287" spans="84:91" s="51" customFormat="1">
      <c r="CF20287" s="239"/>
      <c r="CM20287" s="336"/>
    </row>
    <row r="20288" spans="84:91" s="51" customFormat="1">
      <c r="CF20288" s="239"/>
      <c r="CM20288" s="336"/>
    </row>
    <row r="20289" spans="84:91" s="51" customFormat="1">
      <c r="CF20289" s="239"/>
      <c r="CM20289" s="336"/>
    </row>
    <row r="20290" spans="84:91" s="51" customFormat="1">
      <c r="CF20290" s="239"/>
      <c r="CM20290" s="336"/>
    </row>
    <row r="20291" spans="84:91" s="51" customFormat="1">
      <c r="CF20291" s="239"/>
      <c r="CM20291" s="336"/>
    </row>
    <row r="20292" spans="84:91" s="51" customFormat="1">
      <c r="CF20292" s="239"/>
      <c r="CM20292" s="336"/>
    </row>
    <row r="20293" spans="84:91" s="51" customFormat="1">
      <c r="CF20293" s="239"/>
      <c r="CM20293" s="336"/>
    </row>
    <row r="20294" spans="84:91" s="51" customFormat="1">
      <c r="CF20294" s="239"/>
      <c r="CM20294" s="336"/>
    </row>
    <row r="20295" spans="84:91" s="51" customFormat="1">
      <c r="CF20295" s="239"/>
      <c r="CM20295" s="336"/>
    </row>
    <row r="20296" spans="84:91" s="51" customFormat="1">
      <c r="CF20296" s="239"/>
      <c r="CM20296" s="336"/>
    </row>
    <row r="20297" spans="84:91" s="51" customFormat="1">
      <c r="CF20297" s="239"/>
      <c r="CM20297" s="336"/>
    </row>
    <row r="20298" spans="84:91" s="51" customFormat="1">
      <c r="CF20298" s="239"/>
      <c r="CM20298" s="336"/>
    </row>
    <row r="20299" spans="84:91" s="51" customFormat="1">
      <c r="CF20299" s="239"/>
      <c r="CM20299" s="336"/>
    </row>
    <row r="20300" spans="84:91" s="51" customFormat="1">
      <c r="CF20300" s="239"/>
      <c r="CM20300" s="336"/>
    </row>
    <row r="20301" spans="84:91" s="51" customFormat="1">
      <c r="CF20301" s="239"/>
      <c r="CM20301" s="336"/>
    </row>
    <row r="20302" spans="84:91" s="51" customFormat="1">
      <c r="CF20302" s="239"/>
      <c r="CM20302" s="336"/>
    </row>
    <row r="20303" spans="84:91" s="51" customFormat="1">
      <c r="CF20303" s="239"/>
      <c r="CM20303" s="336"/>
    </row>
    <row r="20304" spans="84:91" s="51" customFormat="1">
      <c r="CF20304" s="239"/>
      <c r="CM20304" s="336"/>
    </row>
    <row r="20305" spans="84:91" s="51" customFormat="1">
      <c r="CF20305" s="239"/>
      <c r="CM20305" s="336"/>
    </row>
    <row r="20306" spans="84:91" s="51" customFormat="1">
      <c r="CF20306" s="239"/>
      <c r="CM20306" s="336"/>
    </row>
    <row r="20307" spans="84:91" s="51" customFormat="1">
      <c r="CF20307" s="239"/>
      <c r="CM20307" s="336"/>
    </row>
    <row r="20308" spans="84:91" s="51" customFormat="1">
      <c r="CF20308" s="239"/>
      <c r="CM20308" s="336"/>
    </row>
    <row r="20309" spans="84:91" s="51" customFormat="1">
      <c r="CF20309" s="239"/>
      <c r="CM20309" s="336"/>
    </row>
    <row r="20310" spans="84:91" s="51" customFormat="1">
      <c r="CF20310" s="239"/>
      <c r="CM20310" s="336"/>
    </row>
    <row r="20311" spans="84:91" s="51" customFormat="1">
      <c r="CF20311" s="239"/>
      <c r="CM20311" s="336"/>
    </row>
    <row r="20312" spans="84:91" s="51" customFormat="1">
      <c r="CF20312" s="239"/>
      <c r="CM20312" s="336"/>
    </row>
    <row r="20313" spans="84:91" s="51" customFormat="1">
      <c r="CF20313" s="239"/>
      <c r="CM20313" s="336"/>
    </row>
    <row r="20314" spans="84:91" s="51" customFormat="1">
      <c r="CF20314" s="239"/>
      <c r="CM20314" s="336"/>
    </row>
    <row r="20315" spans="84:91" s="51" customFormat="1">
      <c r="CF20315" s="239"/>
      <c r="CM20315" s="336"/>
    </row>
    <row r="20316" spans="84:91" s="51" customFormat="1">
      <c r="CF20316" s="239"/>
      <c r="CM20316" s="336"/>
    </row>
    <row r="20317" spans="84:91" s="51" customFormat="1">
      <c r="CF20317" s="239"/>
      <c r="CM20317" s="336"/>
    </row>
    <row r="20318" spans="84:91" s="51" customFormat="1">
      <c r="CF20318" s="239"/>
      <c r="CM20318" s="336"/>
    </row>
    <row r="20319" spans="84:91" s="51" customFormat="1">
      <c r="CF20319" s="239"/>
      <c r="CM20319" s="336"/>
    </row>
    <row r="20320" spans="84:91" s="51" customFormat="1">
      <c r="CF20320" s="239"/>
      <c r="CM20320" s="336"/>
    </row>
    <row r="20321" spans="84:91" s="51" customFormat="1">
      <c r="CF20321" s="239"/>
      <c r="CM20321" s="336"/>
    </row>
    <row r="20322" spans="84:91" s="51" customFormat="1">
      <c r="CF20322" s="239"/>
      <c r="CM20322" s="336"/>
    </row>
    <row r="20323" spans="84:91" s="51" customFormat="1">
      <c r="CF20323" s="239"/>
      <c r="CM20323" s="336"/>
    </row>
    <row r="20324" spans="84:91" s="51" customFormat="1">
      <c r="CF20324" s="239"/>
      <c r="CM20324" s="336"/>
    </row>
    <row r="20325" spans="84:91" s="51" customFormat="1">
      <c r="CF20325" s="239"/>
      <c r="CM20325" s="336"/>
    </row>
    <row r="20326" spans="84:91" s="51" customFormat="1">
      <c r="CF20326" s="239"/>
      <c r="CM20326" s="336"/>
    </row>
    <row r="20327" spans="84:91" s="51" customFormat="1">
      <c r="CF20327" s="239"/>
      <c r="CM20327" s="336"/>
    </row>
    <row r="20328" spans="84:91" s="51" customFormat="1">
      <c r="CF20328" s="239"/>
      <c r="CM20328" s="336"/>
    </row>
    <row r="20329" spans="84:91" s="51" customFormat="1">
      <c r="CF20329" s="239"/>
      <c r="CM20329" s="336"/>
    </row>
    <row r="20330" spans="84:91" s="51" customFormat="1">
      <c r="CF20330" s="239"/>
      <c r="CM20330" s="336"/>
    </row>
    <row r="20331" spans="84:91" s="51" customFormat="1">
      <c r="CF20331" s="239"/>
      <c r="CM20331" s="336"/>
    </row>
    <row r="20332" spans="84:91" s="51" customFormat="1">
      <c r="CF20332" s="239"/>
      <c r="CM20332" s="336"/>
    </row>
    <row r="20333" spans="84:91" s="51" customFormat="1">
      <c r="CF20333" s="239"/>
      <c r="CM20333" s="336"/>
    </row>
    <row r="20334" spans="84:91" s="51" customFormat="1">
      <c r="CF20334" s="239"/>
      <c r="CM20334" s="336"/>
    </row>
    <row r="20335" spans="84:91" s="51" customFormat="1">
      <c r="CF20335" s="239"/>
      <c r="CM20335" s="336"/>
    </row>
    <row r="20336" spans="84:91" s="51" customFormat="1">
      <c r="CF20336" s="239"/>
      <c r="CM20336" s="336"/>
    </row>
    <row r="20337" spans="84:91" s="51" customFormat="1">
      <c r="CF20337" s="239"/>
      <c r="CM20337" s="336"/>
    </row>
    <row r="20338" spans="84:91" s="51" customFormat="1">
      <c r="CF20338" s="239"/>
      <c r="CM20338" s="336"/>
    </row>
    <row r="20339" spans="84:91" s="51" customFormat="1">
      <c r="CF20339" s="239"/>
      <c r="CM20339" s="336"/>
    </row>
    <row r="20340" spans="84:91" s="51" customFormat="1">
      <c r="CF20340" s="239"/>
      <c r="CM20340" s="336"/>
    </row>
    <row r="20341" spans="84:91" s="51" customFormat="1">
      <c r="CF20341" s="239"/>
      <c r="CM20341" s="336"/>
    </row>
    <row r="20342" spans="84:91" s="51" customFormat="1">
      <c r="CF20342" s="239"/>
      <c r="CM20342" s="336"/>
    </row>
    <row r="20343" spans="84:91" s="51" customFormat="1">
      <c r="CF20343" s="239"/>
      <c r="CM20343" s="336"/>
    </row>
    <row r="20344" spans="84:91" s="51" customFormat="1">
      <c r="CF20344" s="239"/>
      <c r="CM20344" s="336"/>
    </row>
    <row r="20345" spans="84:91" s="51" customFormat="1">
      <c r="CF20345" s="239"/>
      <c r="CM20345" s="336"/>
    </row>
    <row r="20346" spans="84:91" s="51" customFormat="1">
      <c r="CF20346" s="239"/>
      <c r="CM20346" s="336"/>
    </row>
    <row r="20347" spans="84:91" s="51" customFormat="1">
      <c r="CF20347" s="239"/>
      <c r="CM20347" s="336"/>
    </row>
    <row r="20348" spans="84:91" s="51" customFormat="1">
      <c r="CF20348" s="239"/>
      <c r="CM20348" s="336"/>
    </row>
    <row r="20349" spans="84:91" s="51" customFormat="1">
      <c r="CF20349" s="239"/>
      <c r="CM20349" s="336"/>
    </row>
    <row r="20350" spans="84:91" s="51" customFormat="1">
      <c r="CF20350" s="239"/>
      <c r="CM20350" s="336"/>
    </row>
    <row r="20351" spans="84:91" s="51" customFormat="1">
      <c r="CF20351" s="239"/>
      <c r="CM20351" s="336"/>
    </row>
    <row r="20352" spans="84:91" s="51" customFormat="1">
      <c r="CF20352" s="239"/>
      <c r="CM20352" s="336"/>
    </row>
    <row r="20353" spans="84:91" s="51" customFormat="1">
      <c r="CF20353" s="239"/>
      <c r="CM20353" s="336"/>
    </row>
    <row r="20354" spans="84:91" s="51" customFormat="1">
      <c r="CF20354" s="239"/>
      <c r="CM20354" s="336"/>
    </row>
    <row r="20355" spans="84:91" s="51" customFormat="1">
      <c r="CF20355" s="239"/>
      <c r="CM20355" s="336"/>
    </row>
    <row r="20356" spans="84:91" s="51" customFormat="1">
      <c r="CF20356" s="239"/>
      <c r="CM20356" s="336"/>
    </row>
    <row r="20357" spans="84:91" s="51" customFormat="1">
      <c r="CF20357" s="239"/>
      <c r="CM20357" s="336"/>
    </row>
    <row r="20358" spans="84:91" s="51" customFormat="1">
      <c r="CF20358" s="239"/>
      <c r="CM20358" s="336"/>
    </row>
    <row r="20359" spans="84:91" s="51" customFormat="1">
      <c r="CF20359" s="239"/>
      <c r="CM20359" s="336"/>
    </row>
    <row r="20360" spans="84:91" s="51" customFormat="1">
      <c r="CF20360" s="239"/>
      <c r="CM20360" s="336"/>
    </row>
    <row r="20361" spans="84:91" s="51" customFormat="1">
      <c r="CF20361" s="239"/>
      <c r="CM20361" s="336"/>
    </row>
    <row r="20362" spans="84:91" s="51" customFormat="1">
      <c r="CF20362" s="239"/>
      <c r="CM20362" s="336"/>
    </row>
    <row r="20363" spans="84:91" s="51" customFormat="1">
      <c r="CF20363" s="239"/>
      <c r="CM20363" s="336"/>
    </row>
    <row r="20364" spans="84:91" s="51" customFormat="1">
      <c r="CF20364" s="239"/>
      <c r="CM20364" s="336"/>
    </row>
    <row r="20365" spans="84:91" s="51" customFormat="1">
      <c r="CF20365" s="239"/>
      <c r="CM20365" s="336"/>
    </row>
    <row r="20366" spans="84:91" s="51" customFormat="1">
      <c r="CF20366" s="239"/>
      <c r="CM20366" s="336"/>
    </row>
    <row r="20367" spans="84:91" s="51" customFormat="1">
      <c r="CF20367" s="239"/>
      <c r="CM20367" s="336"/>
    </row>
    <row r="20368" spans="84:91" s="51" customFormat="1">
      <c r="CF20368" s="239"/>
      <c r="CM20368" s="336"/>
    </row>
    <row r="20369" spans="84:91" s="51" customFormat="1">
      <c r="CF20369" s="239"/>
      <c r="CM20369" s="336"/>
    </row>
    <row r="20370" spans="84:91" s="51" customFormat="1">
      <c r="CF20370" s="239"/>
      <c r="CM20370" s="336"/>
    </row>
    <row r="20371" spans="84:91" s="51" customFormat="1">
      <c r="CF20371" s="239"/>
      <c r="CM20371" s="336"/>
    </row>
    <row r="20372" spans="84:91" s="51" customFormat="1">
      <c r="CF20372" s="239"/>
      <c r="CM20372" s="336"/>
    </row>
    <row r="20373" spans="84:91" s="51" customFormat="1">
      <c r="CF20373" s="239"/>
      <c r="CM20373" s="336"/>
    </row>
    <row r="20374" spans="84:91" s="51" customFormat="1">
      <c r="CF20374" s="239"/>
      <c r="CM20374" s="336"/>
    </row>
    <row r="20375" spans="84:91" s="51" customFormat="1">
      <c r="CF20375" s="239"/>
      <c r="CM20375" s="336"/>
    </row>
    <row r="20376" spans="84:91" s="51" customFormat="1">
      <c r="CF20376" s="239"/>
      <c r="CM20376" s="336"/>
    </row>
    <row r="20377" spans="84:91" s="51" customFormat="1">
      <c r="CF20377" s="239"/>
      <c r="CM20377" s="336"/>
    </row>
    <row r="20378" spans="84:91" s="51" customFormat="1">
      <c r="CF20378" s="239"/>
      <c r="CM20378" s="336"/>
    </row>
    <row r="20379" spans="84:91" s="51" customFormat="1">
      <c r="CF20379" s="239"/>
      <c r="CM20379" s="336"/>
    </row>
    <row r="20380" spans="84:91" s="51" customFormat="1">
      <c r="CF20380" s="239"/>
      <c r="CM20380" s="336"/>
    </row>
    <row r="20381" spans="84:91" s="51" customFormat="1">
      <c r="CF20381" s="239"/>
      <c r="CM20381" s="336"/>
    </row>
    <row r="20382" spans="84:91" s="51" customFormat="1">
      <c r="CF20382" s="239"/>
      <c r="CM20382" s="336"/>
    </row>
    <row r="20383" spans="84:91" s="51" customFormat="1">
      <c r="CF20383" s="239"/>
      <c r="CM20383" s="336"/>
    </row>
    <row r="20384" spans="84:91" s="51" customFormat="1">
      <c r="CF20384" s="239"/>
      <c r="CM20384" s="336"/>
    </row>
    <row r="20385" spans="84:91" s="51" customFormat="1">
      <c r="CF20385" s="239"/>
      <c r="CM20385" s="336"/>
    </row>
    <row r="20386" spans="84:91" s="51" customFormat="1">
      <c r="CF20386" s="239"/>
      <c r="CM20386" s="336"/>
    </row>
    <row r="20387" spans="84:91" s="51" customFormat="1">
      <c r="CF20387" s="239"/>
      <c r="CM20387" s="336"/>
    </row>
    <row r="20388" spans="84:91" s="51" customFormat="1">
      <c r="CF20388" s="239"/>
      <c r="CM20388" s="336"/>
    </row>
    <row r="20389" spans="84:91" s="51" customFormat="1">
      <c r="CF20389" s="239"/>
      <c r="CM20389" s="336"/>
    </row>
    <row r="20390" spans="84:91" s="51" customFormat="1">
      <c r="CF20390" s="239"/>
      <c r="CM20390" s="336"/>
    </row>
    <row r="20391" spans="84:91" s="51" customFormat="1">
      <c r="CF20391" s="239"/>
      <c r="CM20391" s="336"/>
    </row>
    <row r="20392" spans="84:91" s="51" customFormat="1">
      <c r="CF20392" s="239"/>
      <c r="CM20392" s="336"/>
    </row>
    <row r="20393" spans="84:91" s="51" customFormat="1">
      <c r="CF20393" s="239"/>
      <c r="CM20393" s="336"/>
    </row>
    <row r="20394" spans="84:91" s="51" customFormat="1">
      <c r="CF20394" s="239"/>
      <c r="CM20394" s="336"/>
    </row>
    <row r="20395" spans="84:91" s="51" customFormat="1">
      <c r="CF20395" s="239"/>
      <c r="CM20395" s="336"/>
    </row>
    <row r="20396" spans="84:91" s="51" customFormat="1">
      <c r="CF20396" s="239"/>
      <c r="CM20396" s="336"/>
    </row>
    <row r="20397" spans="84:91" s="51" customFormat="1">
      <c r="CF20397" s="239"/>
      <c r="CM20397" s="336"/>
    </row>
    <row r="20398" spans="84:91" s="51" customFormat="1">
      <c r="CF20398" s="239"/>
      <c r="CM20398" s="336"/>
    </row>
    <row r="20399" spans="84:91" s="51" customFormat="1">
      <c r="CF20399" s="239"/>
      <c r="CM20399" s="336"/>
    </row>
    <row r="20400" spans="84:91" s="51" customFormat="1">
      <c r="CF20400" s="239"/>
      <c r="CM20400" s="336"/>
    </row>
    <row r="20401" spans="84:91" s="51" customFormat="1">
      <c r="CF20401" s="239"/>
      <c r="CM20401" s="336"/>
    </row>
    <row r="20402" spans="84:91" s="51" customFormat="1">
      <c r="CF20402" s="239"/>
      <c r="CM20402" s="336"/>
    </row>
    <row r="20403" spans="84:91" s="51" customFormat="1">
      <c r="CF20403" s="239"/>
      <c r="CM20403" s="336"/>
    </row>
    <row r="20404" spans="84:91" s="51" customFormat="1">
      <c r="CF20404" s="239"/>
      <c r="CM20404" s="336"/>
    </row>
    <row r="20405" spans="84:91" s="51" customFormat="1">
      <c r="CF20405" s="239"/>
      <c r="CM20405" s="336"/>
    </row>
    <row r="20406" spans="84:91" s="51" customFormat="1">
      <c r="CF20406" s="239"/>
      <c r="CM20406" s="336"/>
    </row>
    <row r="20407" spans="84:91" s="51" customFormat="1">
      <c r="CF20407" s="239"/>
      <c r="CM20407" s="336"/>
    </row>
    <row r="20408" spans="84:91" s="51" customFormat="1">
      <c r="CF20408" s="239"/>
      <c r="CM20408" s="336"/>
    </row>
    <row r="20409" spans="84:91" s="51" customFormat="1">
      <c r="CF20409" s="239"/>
      <c r="CM20409" s="336"/>
    </row>
    <row r="20410" spans="84:91" s="51" customFormat="1">
      <c r="CF20410" s="239"/>
      <c r="CM20410" s="336"/>
    </row>
    <row r="20411" spans="84:91" s="51" customFormat="1">
      <c r="CF20411" s="239"/>
      <c r="CM20411" s="336"/>
    </row>
    <row r="20412" spans="84:91" s="51" customFormat="1">
      <c r="CF20412" s="239"/>
      <c r="CM20412" s="336"/>
    </row>
    <row r="20413" spans="84:91" s="51" customFormat="1">
      <c r="CF20413" s="239"/>
      <c r="CM20413" s="336"/>
    </row>
    <row r="20414" spans="84:91" s="51" customFormat="1">
      <c r="CF20414" s="239"/>
      <c r="CM20414" s="336"/>
    </row>
    <row r="20415" spans="84:91" s="51" customFormat="1">
      <c r="CF20415" s="239"/>
      <c r="CM20415" s="336"/>
    </row>
    <row r="20416" spans="84:91" s="51" customFormat="1">
      <c r="CF20416" s="239"/>
      <c r="CM20416" s="336"/>
    </row>
    <row r="20417" spans="84:91" s="51" customFormat="1">
      <c r="CF20417" s="239"/>
      <c r="CM20417" s="336"/>
    </row>
    <row r="20418" spans="84:91" s="51" customFormat="1">
      <c r="CF20418" s="239"/>
      <c r="CM20418" s="336"/>
    </row>
    <row r="20419" spans="84:91" s="51" customFormat="1">
      <c r="CF20419" s="239"/>
      <c r="CM20419" s="336"/>
    </row>
    <row r="20420" spans="84:91" s="51" customFormat="1">
      <c r="CF20420" s="239"/>
      <c r="CM20420" s="336"/>
    </row>
    <row r="20421" spans="84:91" s="51" customFormat="1">
      <c r="CF20421" s="239"/>
      <c r="CM20421" s="336"/>
    </row>
    <row r="20422" spans="84:91" s="51" customFormat="1">
      <c r="CF20422" s="239"/>
      <c r="CM20422" s="336"/>
    </row>
    <row r="20423" spans="84:91" s="51" customFormat="1">
      <c r="CF20423" s="239"/>
      <c r="CM20423" s="336"/>
    </row>
    <row r="20424" spans="84:91" s="51" customFormat="1">
      <c r="CF20424" s="239"/>
      <c r="CM20424" s="336"/>
    </row>
    <row r="20425" spans="84:91" s="51" customFormat="1">
      <c r="CF20425" s="239"/>
      <c r="CM20425" s="336"/>
    </row>
    <row r="20426" spans="84:91" s="51" customFormat="1">
      <c r="CF20426" s="239"/>
      <c r="CM20426" s="336"/>
    </row>
    <row r="20427" spans="84:91" s="51" customFormat="1">
      <c r="CF20427" s="239"/>
      <c r="CM20427" s="336"/>
    </row>
    <row r="20428" spans="84:91" s="51" customFormat="1">
      <c r="CF20428" s="239"/>
      <c r="CM20428" s="336"/>
    </row>
    <row r="20429" spans="84:91" s="51" customFormat="1">
      <c r="CF20429" s="239"/>
      <c r="CM20429" s="336"/>
    </row>
    <row r="20430" spans="84:91" s="51" customFormat="1">
      <c r="CF20430" s="239"/>
      <c r="CM20430" s="336"/>
    </row>
    <row r="20431" spans="84:91" s="51" customFormat="1">
      <c r="CF20431" s="239"/>
      <c r="CM20431" s="336"/>
    </row>
    <row r="20432" spans="84:91" s="51" customFormat="1">
      <c r="CF20432" s="239"/>
      <c r="CM20432" s="336"/>
    </row>
    <row r="20433" spans="84:91" s="51" customFormat="1">
      <c r="CF20433" s="239"/>
      <c r="CM20433" s="336"/>
    </row>
    <row r="20434" spans="84:91" s="51" customFormat="1">
      <c r="CF20434" s="239"/>
      <c r="CM20434" s="336"/>
    </row>
    <row r="20435" spans="84:91" s="51" customFormat="1">
      <c r="CF20435" s="239"/>
      <c r="CM20435" s="336"/>
    </row>
    <row r="20436" spans="84:91" s="51" customFormat="1">
      <c r="CF20436" s="239"/>
      <c r="CM20436" s="336"/>
    </row>
    <row r="20437" spans="84:91" s="51" customFormat="1">
      <c r="CF20437" s="239"/>
      <c r="CM20437" s="336"/>
    </row>
    <row r="20438" spans="84:91" s="51" customFormat="1">
      <c r="CF20438" s="239"/>
      <c r="CM20438" s="336"/>
    </row>
    <row r="20439" spans="84:91" s="51" customFormat="1">
      <c r="CF20439" s="239"/>
      <c r="CM20439" s="336"/>
    </row>
    <row r="20440" spans="84:91" s="51" customFormat="1">
      <c r="CF20440" s="239"/>
      <c r="CM20440" s="336"/>
    </row>
    <row r="20441" spans="84:91" s="51" customFormat="1">
      <c r="CF20441" s="239"/>
      <c r="CM20441" s="336"/>
    </row>
    <row r="20442" spans="84:91" s="51" customFormat="1">
      <c r="CF20442" s="239"/>
      <c r="CM20442" s="336"/>
    </row>
    <row r="20443" spans="84:91" s="51" customFormat="1">
      <c r="CF20443" s="239"/>
      <c r="CM20443" s="336"/>
    </row>
    <row r="20444" spans="84:91" s="51" customFormat="1">
      <c r="CF20444" s="239"/>
      <c r="CM20444" s="336"/>
    </row>
    <row r="20445" spans="84:91" s="51" customFormat="1">
      <c r="CF20445" s="239"/>
      <c r="CM20445" s="336"/>
    </row>
    <row r="20446" spans="84:91" s="51" customFormat="1">
      <c r="CF20446" s="239"/>
      <c r="CM20446" s="336"/>
    </row>
    <row r="20447" spans="84:91" s="51" customFormat="1">
      <c r="CF20447" s="239"/>
      <c r="CM20447" s="336"/>
    </row>
    <row r="20448" spans="84:91" s="51" customFormat="1">
      <c r="CF20448" s="239"/>
      <c r="CM20448" s="336"/>
    </row>
    <row r="20449" spans="84:91" s="51" customFormat="1">
      <c r="CF20449" s="239"/>
      <c r="CM20449" s="336"/>
    </row>
    <row r="20450" spans="84:91" s="51" customFormat="1">
      <c r="CF20450" s="239"/>
      <c r="CM20450" s="336"/>
    </row>
    <row r="20451" spans="84:91" s="51" customFormat="1">
      <c r="CF20451" s="239"/>
      <c r="CM20451" s="336"/>
    </row>
    <row r="20452" spans="84:91" s="51" customFormat="1">
      <c r="CF20452" s="239"/>
      <c r="CM20452" s="336"/>
    </row>
    <row r="20453" spans="84:91" s="51" customFormat="1">
      <c r="CF20453" s="239"/>
      <c r="CM20453" s="336"/>
    </row>
    <row r="20454" spans="84:91" s="51" customFormat="1">
      <c r="CF20454" s="239"/>
      <c r="CM20454" s="336"/>
    </row>
    <row r="20455" spans="84:91" s="51" customFormat="1">
      <c r="CF20455" s="239"/>
      <c r="CM20455" s="336"/>
    </row>
    <row r="20456" spans="84:91" s="51" customFormat="1">
      <c r="CF20456" s="239"/>
      <c r="CM20456" s="336"/>
    </row>
    <row r="20457" spans="84:91" s="51" customFormat="1">
      <c r="CF20457" s="239"/>
      <c r="CM20457" s="336"/>
    </row>
    <row r="20458" spans="84:91" s="51" customFormat="1">
      <c r="CF20458" s="239"/>
      <c r="CM20458" s="336"/>
    </row>
    <row r="20459" spans="84:91" s="51" customFormat="1">
      <c r="CF20459" s="239"/>
      <c r="CM20459" s="336"/>
    </row>
    <row r="20460" spans="84:91" s="51" customFormat="1">
      <c r="CF20460" s="239"/>
      <c r="CM20460" s="336"/>
    </row>
    <row r="20461" spans="84:91" s="51" customFormat="1">
      <c r="CF20461" s="239"/>
      <c r="CM20461" s="336"/>
    </row>
    <row r="20462" spans="84:91" s="51" customFormat="1">
      <c r="CF20462" s="239"/>
      <c r="CM20462" s="336"/>
    </row>
    <row r="20463" spans="84:91" s="51" customFormat="1">
      <c r="CF20463" s="239"/>
      <c r="CM20463" s="336"/>
    </row>
    <row r="20464" spans="84:91" s="51" customFormat="1">
      <c r="CF20464" s="239"/>
      <c r="CM20464" s="336"/>
    </row>
    <row r="20465" spans="84:91" s="51" customFormat="1">
      <c r="CF20465" s="239"/>
      <c r="CM20465" s="336"/>
    </row>
    <row r="20466" spans="84:91" s="51" customFormat="1">
      <c r="CF20466" s="239"/>
      <c r="CM20466" s="336"/>
    </row>
    <row r="20467" spans="84:91" s="51" customFormat="1">
      <c r="CF20467" s="239"/>
      <c r="CM20467" s="336"/>
    </row>
    <row r="20468" spans="84:91" s="51" customFormat="1">
      <c r="CF20468" s="239"/>
      <c r="CM20468" s="336"/>
    </row>
    <row r="20469" spans="84:91" s="51" customFormat="1">
      <c r="CF20469" s="239"/>
      <c r="CM20469" s="336"/>
    </row>
    <row r="20470" spans="84:91" s="51" customFormat="1">
      <c r="CF20470" s="239"/>
      <c r="CM20470" s="336"/>
    </row>
    <row r="20471" spans="84:91" s="51" customFormat="1">
      <c r="CF20471" s="239"/>
      <c r="CM20471" s="336"/>
    </row>
    <row r="20472" spans="84:91" s="51" customFormat="1">
      <c r="CF20472" s="239"/>
      <c r="CM20472" s="336"/>
    </row>
    <row r="20473" spans="84:91" s="51" customFormat="1">
      <c r="CF20473" s="239"/>
      <c r="CM20473" s="336"/>
    </row>
    <row r="20474" spans="84:91" s="51" customFormat="1">
      <c r="CF20474" s="239"/>
      <c r="CM20474" s="336"/>
    </row>
    <row r="20475" spans="84:91" s="51" customFormat="1">
      <c r="CF20475" s="239"/>
      <c r="CM20475" s="336"/>
    </row>
    <row r="20476" spans="84:91" s="51" customFormat="1">
      <c r="CF20476" s="239"/>
      <c r="CM20476" s="336"/>
    </row>
    <row r="20477" spans="84:91" s="51" customFormat="1">
      <c r="CF20477" s="239"/>
      <c r="CM20477" s="336"/>
    </row>
    <row r="20478" spans="84:91" s="51" customFormat="1">
      <c r="CF20478" s="239"/>
      <c r="CM20478" s="336"/>
    </row>
    <row r="20479" spans="84:91" s="51" customFormat="1">
      <c r="CF20479" s="239"/>
      <c r="CM20479" s="336"/>
    </row>
    <row r="20480" spans="84:91" s="51" customFormat="1">
      <c r="CF20480" s="239"/>
      <c r="CM20480" s="336"/>
    </row>
    <row r="20481" spans="84:91" s="51" customFormat="1">
      <c r="CF20481" s="239"/>
      <c r="CM20481" s="336"/>
    </row>
    <row r="20482" spans="84:91" s="51" customFormat="1">
      <c r="CF20482" s="239"/>
      <c r="CM20482" s="336"/>
    </row>
    <row r="20483" spans="84:91" s="51" customFormat="1">
      <c r="CF20483" s="239"/>
      <c r="CM20483" s="336"/>
    </row>
    <row r="20484" spans="84:91" s="51" customFormat="1">
      <c r="CF20484" s="239"/>
      <c r="CM20484" s="336"/>
    </row>
    <row r="20485" spans="84:91" s="51" customFormat="1">
      <c r="CF20485" s="239"/>
      <c r="CM20485" s="336"/>
    </row>
    <row r="20486" spans="84:91" s="51" customFormat="1">
      <c r="CF20486" s="239"/>
      <c r="CM20486" s="336"/>
    </row>
    <row r="20487" spans="84:91" s="51" customFormat="1">
      <c r="CF20487" s="239"/>
      <c r="CM20487" s="336"/>
    </row>
    <row r="20488" spans="84:91" s="51" customFormat="1">
      <c r="CF20488" s="239"/>
      <c r="CM20488" s="336"/>
    </row>
    <row r="20489" spans="84:91" s="51" customFormat="1">
      <c r="CF20489" s="239"/>
      <c r="CM20489" s="336"/>
    </row>
    <row r="20490" spans="84:91" s="51" customFormat="1">
      <c r="CF20490" s="239"/>
      <c r="CM20490" s="336"/>
    </row>
    <row r="20491" spans="84:91" s="51" customFormat="1">
      <c r="CF20491" s="239"/>
      <c r="CM20491" s="336"/>
    </row>
    <row r="20492" spans="84:91" s="51" customFormat="1">
      <c r="CF20492" s="239"/>
      <c r="CM20492" s="336"/>
    </row>
    <row r="20493" spans="84:91" s="51" customFormat="1">
      <c r="CF20493" s="239"/>
      <c r="CM20493" s="336"/>
    </row>
    <row r="20494" spans="84:91" s="51" customFormat="1">
      <c r="CF20494" s="239"/>
      <c r="CM20494" s="336"/>
    </row>
    <row r="20495" spans="84:91" s="51" customFormat="1">
      <c r="CF20495" s="239"/>
      <c r="CM20495" s="336"/>
    </row>
    <row r="20496" spans="84:91" s="51" customFormat="1">
      <c r="CF20496" s="239"/>
      <c r="CM20496" s="336"/>
    </row>
    <row r="20497" spans="84:91" s="51" customFormat="1">
      <c r="CF20497" s="239"/>
      <c r="CM20497" s="336"/>
    </row>
    <row r="20498" spans="84:91" s="51" customFormat="1">
      <c r="CF20498" s="239"/>
      <c r="CM20498" s="336"/>
    </row>
    <row r="20499" spans="84:91" s="51" customFormat="1">
      <c r="CF20499" s="239"/>
      <c r="CM20499" s="336"/>
    </row>
    <row r="20500" spans="84:91" s="51" customFormat="1">
      <c r="CF20500" s="239"/>
      <c r="CM20500" s="336"/>
    </row>
    <row r="20501" spans="84:91" s="51" customFormat="1">
      <c r="CF20501" s="239"/>
      <c r="CM20501" s="336"/>
    </row>
    <row r="20502" spans="84:91" s="51" customFormat="1">
      <c r="CF20502" s="239"/>
      <c r="CM20502" s="336"/>
    </row>
    <row r="20503" spans="84:91" s="51" customFormat="1">
      <c r="CF20503" s="239"/>
      <c r="CM20503" s="336"/>
    </row>
    <row r="20504" spans="84:91" s="51" customFormat="1">
      <c r="CF20504" s="239"/>
      <c r="CM20504" s="336"/>
    </row>
    <row r="20505" spans="84:91" s="51" customFormat="1">
      <c r="CF20505" s="239"/>
      <c r="CM20505" s="336"/>
    </row>
    <row r="20506" spans="84:91" s="51" customFormat="1">
      <c r="CF20506" s="239"/>
      <c r="CM20506" s="336"/>
    </row>
    <row r="20507" spans="84:91" s="51" customFormat="1">
      <c r="CF20507" s="239"/>
      <c r="CM20507" s="336"/>
    </row>
    <row r="20508" spans="84:91" s="51" customFormat="1">
      <c r="CF20508" s="239"/>
      <c r="CM20508" s="336"/>
    </row>
    <row r="20509" spans="84:91" s="51" customFormat="1">
      <c r="CF20509" s="239"/>
      <c r="CM20509" s="336"/>
    </row>
    <row r="20510" spans="84:91" s="51" customFormat="1">
      <c r="CF20510" s="239"/>
      <c r="CM20510" s="336"/>
    </row>
    <row r="20511" spans="84:91" s="51" customFormat="1">
      <c r="CF20511" s="239"/>
      <c r="CM20511" s="336"/>
    </row>
    <row r="20512" spans="84:91" s="51" customFormat="1">
      <c r="CF20512" s="239"/>
      <c r="CM20512" s="336"/>
    </row>
    <row r="20513" spans="84:91" s="51" customFormat="1">
      <c r="CF20513" s="239"/>
      <c r="CM20513" s="336"/>
    </row>
    <row r="20514" spans="84:91" s="51" customFormat="1">
      <c r="CF20514" s="239"/>
      <c r="CM20514" s="336"/>
    </row>
    <row r="20515" spans="84:91" s="51" customFormat="1">
      <c r="CF20515" s="239"/>
      <c r="CM20515" s="336"/>
    </row>
    <row r="20516" spans="84:91" s="51" customFormat="1">
      <c r="CF20516" s="239"/>
      <c r="CM20516" s="336"/>
    </row>
    <row r="20517" spans="84:91" s="51" customFormat="1">
      <c r="CF20517" s="239"/>
      <c r="CM20517" s="336"/>
    </row>
    <row r="20518" spans="84:91" s="51" customFormat="1">
      <c r="CF20518" s="239"/>
      <c r="CM20518" s="336"/>
    </row>
    <row r="20519" spans="84:91" s="51" customFormat="1">
      <c r="CF20519" s="239"/>
      <c r="CM20519" s="336"/>
    </row>
    <row r="20520" spans="84:91" s="51" customFormat="1">
      <c r="CF20520" s="239"/>
      <c r="CM20520" s="336"/>
    </row>
    <row r="20521" spans="84:91" s="51" customFormat="1">
      <c r="CF20521" s="239"/>
      <c r="CM20521" s="336"/>
    </row>
    <row r="20522" spans="84:91" s="51" customFormat="1">
      <c r="CF20522" s="239"/>
      <c r="CM20522" s="336"/>
    </row>
    <row r="20523" spans="84:91" s="51" customFormat="1">
      <c r="CF20523" s="239"/>
      <c r="CM20523" s="336"/>
    </row>
    <row r="20524" spans="84:91" s="51" customFormat="1">
      <c r="CF20524" s="239"/>
      <c r="CM20524" s="336"/>
    </row>
    <row r="20525" spans="84:91" s="51" customFormat="1">
      <c r="CF20525" s="239"/>
      <c r="CM20525" s="336"/>
    </row>
    <row r="20526" spans="84:91" s="51" customFormat="1">
      <c r="CF20526" s="239"/>
      <c r="CM20526" s="336"/>
    </row>
    <row r="20527" spans="84:91" s="51" customFormat="1">
      <c r="CF20527" s="239"/>
      <c r="CM20527" s="336"/>
    </row>
    <row r="20528" spans="84:91" s="51" customFormat="1">
      <c r="CF20528" s="239"/>
      <c r="CM20528" s="336"/>
    </row>
    <row r="20529" spans="84:91" s="51" customFormat="1">
      <c r="CF20529" s="239"/>
      <c r="CM20529" s="336"/>
    </row>
    <row r="20530" spans="84:91" s="51" customFormat="1">
      <c r="CF20530" s="239"/>
      <c r="CM20530" s="336"/>
    </row>
    <row r="20531" spans="84:91" s="51" customFormat="1">
      <c r="CF20531" s="239"/>
      <c r="CM20531" s="336"/>
    </row>
    <row r="20532" spans="84:91" s="51" customFormat="1">
      <c r="CF20532" s="239"/>
      <c r="CM20532" s="336"/>
    </row>
    <row r="20533" spans="84:91" s="51" customFormat="1">
      <c r="CF20533" s="239"/>
      <c r="CM20533" s="336"/>
    </row>
    <row r="20534" spans="84:91" s="51" customFormat="1">
      <c r="CF20534" s="239"/>
      <c r="CM20534" s="336"/>
    </row>
    <row r="20535" spans="84:91" s="51" customFormat="1">
      <c r="CF20535" s="239"/>
      <c r="CM20535" s="336"/>
    </row>
    <row r="20536" spans="84:91" s="51" customFormat="1">
      <c r="CF20536" s="239"/>
      <c r="CM20536" s="336"/>
    </row>
    <row r="20537" spans="84:91" s="51" customFormat="1">
      <c r="CF20537" s="239"/>
      <c r="CM20537" s="336"/>
    </row>
    <row r="20538" spans="84:91" s="51" customFormat="1">
      <c r="CF20538" s="239"/>
      <c r="CM20538" s="336"/>
    </row>
    <row r="20539" spans="84:91" s="51" customFormat="1">
      <c r="CF20539" s="239"/>
      <c r="CM20539" s="336"/>
    </row>
    <row r="20540" spans="84:91" s="51" customFormat="1">
      <c r="CF20540" s="239"/>
      <c r="CM20540" s="336"/>
    </row>
    <row r="20541" spans="84:91" s="51" customFormat="1">
      <c r="CF20541" s="239"/>
      <c r="CM20541" s="336"/>
    </row>
    <row r="20542" spans="84:91" s="51" customFormat="1">
      <c r="CF20542" s="239"/>
      <c r="CM20542" s="336"/>
    </row>
    <row r="20543" spans="84:91" s="51" customFormat="1">
      <c r="CF20543" s="239"/>
      <c r="CM20543" s="336"/>
    </row>
    <row r="20544" spans="84:91" s="51" customFormat="1">
      <c r="CF20544" s="239"/>
      <c r="CM20544" s="336"/>
    </row>
    <row r="20545" spans="84:91" s="51" customFormat="1">
      <c r="CF20545" s="239"/>
      <c r="CM20545" s="336"/>
    </row>
    <row r="20546" spans="84:91" s="51" customFormat="1">
      <c r="CF20546" s="239"/>
      <c r="CM20546" s="336"/>
    </row>
    <row r="20547" spans="84:91" s="51" customFormat="1">
      <c r="CF20547" s="239"/>
      <c r="CM20547" s="336"/>
    </row>
    <row r="20548" spans="84:91" s="51" customFormat="1">
      <c r="CF20548" s="239"/>
      <c r="CM20548" s="336"/>
    </row>
    <row r="20549" spans="84:91" s="51" customFormat="1">
      <c r="CF20549" s="239"/>
      <c r="CM20549" s="336"/>
    </row>
    <row r="20550" spans="84:91" s="51" customFormat="1">
      <c r="CF20550" s="239"/>
      <c r="CM20550" s="336"/>
    </row>
    <row r="20551" spans="84:91" s="51" customFormat="1">
      <c r="CF20551" s="239"/>
      <c r="CM20551" s="336"/>
    </row>
    <row r="20552" spans="84:91" s="51" customFormat="1">
      <c r="CF20552" s="239"/>
      <c r="CM20552" s="336"/>
    </row>
    <row r="20553" spans="84:91" s="51" customFormat="1">
      <c r="CF20553" s="239"/>
      <c r="CM20553" s="336"/>
    </row>
    <row r="20554" spans="84:91" s="51" customFormat="1">
      <c r="CF20554" s="239"/>
      <c r="CM20554" s="336"/>
    </row>
    <row r="20555" spans="84:91" s="51" customFormat="1">
      <c r="CF20555" s="239"/>
      <c r="CM20555" s="336"/>
    </row>
    <row r="20556" spans="84:91" s="51" customFormat="1">
      <c r="CF20556" s="239"/>
      <c r="CM20556" s="336"/>
    </row>
    <row r="20557" spans="84:91" s="51" customFormat="1">
      <c r="CF20557" s="239"/>
      <c r="CM20557" s="336"/>
    </row>
    <row r="20558" spans="84:91" s="51" customFormat="1">
      <c r="CF20558" s="239"/>
      <c r="CM20558" s="336"/>
    </row>
    <row r="20559" spans="84:91" s="51" customFormat="1">
      <c r="CF20559" s="239"/>
      <c r="CM20559" s="336"/>
    </row>
    <row r="20560" spans="84:91" s="51" customFormat="1">
      <c r="CF20560" s="239"/>
      <c r="CM20560" s="336"/>
    </row>
    <row r="20561" spans="84:91" s="51" customFormat="1">
      <c r="CF20561" s="239"/>
      <c r="CM20561" s="336"/>
    </row>
    <row r="20562" spans="84:91" s="51" customFormat="1">
      <c r="CF20562" s="239"/>
      <c r="CM20562" s="336"/>
    </row>
    <row r="20563" spans="84:91" s="51" customFormat="1">
      <c r="CF20563" s="239"/>
      <c r="CM20563" s="336"/>
    </row>
    <row r="20564" spans="84:91" s="51" customFormat="1">
      <c r="CF20564" s="239"/>
      <c r="CM20564" s="336"/>
    </row>
    <row r="20565" spans="84:91" s="51" customFormat="1">
      <c r="CF20565" s="239"/>
      <c r="CM20565" s="336"/>
    </row>
    <row r="20566" spans="84:91" s="51" customFormat="1">
      <c r="CF20566" s="239"/>
      <c r="CM20566" s="336"/>
    </row>
    <row r="20567" spans="84:91" s="51" customFormat="1">
      <c r="CF20567" s="239"/>
      <c r="CM20567" s="336"/>
    </row>
    <row r="20568" spans="84:91" s="51" customFormat="1">
      <c r="CF20568" s="239"/>
      <c r="CM20568" s="336"/>
    </row>
    <row r="20569" spans="84:91" s="51" customFormat="1">
      <c r="CF20569" s="239"/>
      <c r="CM20569" s="336"/>
    </row>
    <row r="20570" spans="84:91" s="51" customFormat="1">
      <c r="CF20570" s="239"/>
      <c r="CM20570" s="336"/>
    </row>
    <row r="20571" spans="84:91" s="51" customFormat="1">
      <c r="CF20571" s="239"/>
      <c r="CM20571" s="336"/>
    </row>
    <row r="20572" spans="84:91" s="51" customFormat="1">
      <c r="CF20572" s="239"/>
      <c r="CM20572" s="336"/>
    </row>
    <row r="20573" spans="84:91" s="51" customFormat="1">
      <c r="CF20573" s="239"/>
      <c r="CM20573" s="336"/>
    </row>
    <row r="20574" spans="84:91" s="51" customFormat="1">
      <c r="CF20574" s="239"/>
      <c r="CM20574" s="336"/>
    </row>
    <row r="20575" spans="84:91" s="51" customFormat="1">
      <c r="CF20575" s="239"/>
      <c r="CM20575" s="336"/>
    </row>
    <row r="20576" spans="84:91" s="51" customFormat="1">
      <c r="CF20576" s="239"/>
      <c r="CM20576" s="336"/>
    </row>
    <row r="20577" spans="84:91" s="51" customFormat="1">
      <c r="CF20577" s="239"/>
      <c r="CM20577" s="336"/>
    </row>
    <row r="20578" spans="84:91" s="51" customFormat="1">
      <c r="CF20578" s="239"/>
      <c r="CM20578" s="336"/>
    </row>
    <row r="20579" spans="84:91" s="51" customFormat="1">
      <c r="CF20579" s="239"/>
      <c r="CM20579" s="336"/>
    </row>
    <row r="20580" spans="84:91" s="51" customFormat="1">
      <c r="CF20580" s="239"/>
      <c r="CM20580" s="336"/>
    </row>
    <row r="20581" spans="84:91" s="51" customFormat="1">
      <c r="CF20581" s="239"/>
      <c r="CM20581" s="336"/>
    </row>
    <row r="20582" spans="84:91" s="51" customFormat="1">
      <c r="CF20582" s="239"/>
      <c r="CM20582" s="336"/>
    </row>
    <row r="20583" spans="84:91" s="51" customFormat="1">
      <c r="CF20583" s="239"/>
      <c r="CM20583" s="336"/>
    </row>
    <row r="20584" spans="84:91" s="51" customFormat="1">
      <c r="CF20584" s="239"/>
      <c r="CM20584" s="336"/>
    </row>
    <row r="20585" spans="84:91" s="51" customFormat="1">
      <c r="CF20585" s="239"/>
      <c r="CM20585" s="336"/>
    </row>
    <row r="20586" spans="84:91" s="51" customFormat="1">
      <c r="CF20586" s="239"/>
      <c r="CM20586" s="336"/>
    </row>
    <row r="20587" spans="84:91" s="51" customFormat="1">
      <c r="CF20587" s="239"/>
      <c r="CM20587" s="336"/>
    </row>
    <row r="20588" spans="84:91" s="51" customFormat="1">
      <c r="CF20588" s="239"/>
      <c r="CM20588" s="336"/>
    </row>
    <row r="20589" spans="84:91" s="51" customFormat="1">
      <c r="CF20589" s="239"/>
      <c r="CM20589" s="336"/>
    </row>
    <row r="20590" spans="84:91" s="51" customFormat="1">
      <c r="CF20590" s="239"/>
      <c r="CM20590" s="336"/>
    </row>
    <row r="20591" spans="84:91" s="51" customFormat="1">
      <c r="CF20591" s="239"/>
      <c r="CM20591" s="336"/>
    </row>
    <row r="20592" spans="84:91" s="51" customFormat="1">
      <c r="CF20592" s="239"/>
      <c r="CM20592" s="336"/>
    </row>
    <row r="20593" spans="84:91" s="51" customFormat="1">
      <c r="CF20593" s="239"/>
      <c r="CM20593" s="336"/>
    </row>
    <row r="20594" spans="84:91" s="51" customFormat="1">
      <c r="CF20594" s="239"/>
      <c r="CM20594" s="336"/>
    </row>
    <row r="20595" spans="84:91" s="51" customFormat="1">
      <c r="CF20595" s="239"/>
      <c r="CM20595" s="336"/>
    </row>
    <row r="20596" spans="84:91" s="51" customFormat="1">
      <c r="CF20596" s="239"/>
      <c r="CM20596" s="336"/>
    </row>
    <row r="20597" spans="84:91" s="51" customFormat="1">
      <c r="CF20597" s="239"/>
      <c r="CM20597" s="336"/>
    </row>
    <row r="20598" spans="84:91" s="51" customFormat="1">
      <c r="CF20598" s="239"/>
      <c r="CM20598" s="336"/>
    </row>
    <row r="20599" spans="84:91" s="51" customFormat="1">
      <c r="CF20599" s="239"/>
      <c r="CM20599" s="336"/>
    </row>
    <row r="20600" spans="84:91" s="51" customFormat="1">
      <c r="CF20600" s="239"/>
      <c r="CM20600" s="336"/>
    </row>
    <row r="20601" spans="84:91" s="51" customFormat="1">
      <c r="CF20601" s="239"/>
      <c r="CM20601" s="336"/>
    </row>
    <row r="20602" spans="84:91" s="51" customFormat="1">
      <c r="CF20602" s="239"/>
      <c r="CM20602" s="336"/>
    </row>
    <row r="20603" spans="84:91" s="51" customFormat="1">
      <c r="CF20603" s="239"/>
      <c r="CM20603" s="336"/>
    </row>
    <row r="20604" spans="84:91" s="51" customFormat="1">
      <c r="CF20604" s="239"/>
      <c r="CM20604" s="336"/>
    </row>
    <row r="20605" spans="84:91" s="51" customFormat="1">
      <c r="CF20605" s="239"/>
      <c r="CM20605" s="336"/>
    </row>
    <row r="20606" spans="84:91" s="51" customFormat="1">
      <c r="CF20606" s="239"/>
      <c r="CM20606" s="336"/>
    </row>
    <row r="20607" spans="84:91" s="51" customFormat="1">
      <c r="CF20607" s="239"/>
      <c r="CM20607" s="336"/>
    </row>
    <row r="20608" spans="84:91" s="51" customFormat="1">
      <c r="CF20608" s="239"/>
      <c r="CM20608" s="336"/>
    </row>
    <row r="20609" spans="84:91" s="51" customFormat="1">
      <c r="CF20609" s="239"/>
      <c r="CM20609" s="336"/>
    </row>
    <row r="20610" spans="84:91" s="51" customFormat="1">
      <c r="CF20610" s="239"/>
      <c r="CM20610" s="336"/>
    </row>
    <row r="20611" spans="84:91" s="51" customFormat="1">
      <c r="CF20611" s="239"/>
      <c r="CM20611" s="336"/>
    </row>
    <row r="20612" spans="84:91" s="51" customFormat="1">
      <c r="CF20612" s="239"/>
      <c r="CM20612" s="336"/>
    </row>
    <row r="20613" spans="84:91" s="51" customFormat="1">
      <c r="CF20613" s="239"/>
      <c r="CM20613" s="336"/>
    </row>
    <row r="20614" spans="84:91" s="51" customFormat="1">
      <c r="CF20614" s="239"/>
      <c r="CM20614" s="336"/>
    </row>
    <row r="20615" spans="84:91" s="51" customFormat="1">
      <c r="CF20615" s="239"/>
      <c r="CM20615" s="336"/>
    </row>
    <row r="20616" spans="84:91" s="51" customFormat="1">
      <c r="CF20616" s="239"/>
      <c r="CM20616" s="336"/>
    </row>
    <row r="20617" spans="84:91" s="51" customFormat="1">
      <c r="CF20617" s="239"/>
      <c r="CM20617" s="336"/>
    </row>
    <row r="20618" spans="84:91" s="51" customFormat="1">
      <c r="CF20618" s="239"/>
      <c r="CM20618" s="336"/>
    </row>
    <row r="20619" spans="84:91" s="51" customFormat="1">
      <c r="CF20619" s="239"/>
      <c r="CM20619" s="336"/>
    </row>
    <row r="20620" spans="84:91" s="51" customFormat="1">
      <c r="CF20620" s="239"/>
      <c r="CM20620" s="336"/>
    </row>
    <row r="20621" spans="84:91" s="51" customFormat="1">
      <c r="CF20621" s="239"/>
      <c r="CM20621" s="336"/>
    </row>
    <row r="20622" spans="84:91" s="51" customFormat="1">
      <c r="CF20622" s="239"/>
      <c r="CM20622" s="336"/>
    </row>
    <row r="20623" spans="84:91" s="51" customFormat="1">
      <c r="CF20623" s="239"/>
      <c r="CM20623" s="336"/>
    </row>
    <row r="20624" spans="84:91" s="51" customFormat="1">
      <c r="CF20624" s="239"/>
      <c r="CM20624" s="336"/>
    </row>
    <row r="20625" spans="84:91" s="51" customFormat="1">
      <c r="CF20625" s="239"/>
      <c r="CM20625" s="336"/>
    </row>
    <row r="20626" spans="84:91" s="51" customFormat="1">
      <c r="CF20626" s="239"/>
      <c r="CM20626" s="336"/>
    </row>
    <row r="20627" spans="84:91" s="51" customFormat="1">
      <c r="CF20627" s="239"/>
      <c r="CM20627" s="336"/>
    </row>
    <row r="20628" spans="84:91" s="51" customFormat="1">
      <c r="CF20628" s="239"/>
      <c r="CM20628" s="336"/>
    </row>
    <row r="20629" spans="84:91" s="51" customFormat="1">
      <c r="CF20629" s="239"/>
      <c r="CM20629" s="336"/>
    </row>
    <row r="20630" spans="84:91" s="51" customFormat="1">
      <c r="CF20630" s="239"/>
      <c r="CM20630" s="336"/>
    </row>
    <row r="20631" spans="84:91" s="51" customFormat="1">
      <c r="CF20631" s="239"/>
      <c r="CM20631" s="336"/>
    </row>
    <row r="20632" spans="84:91" s="51" customFormat="1">
      <c r="CF20632" s="239"/>
      <c r="CM20632" s="336"/>
    </row>
    <row r="20633" spans="84:91" s="51" customFormat="1">
      <c r="CF20633" s="239"/>
      <c r="CM20633" s="336"/>
    </row>
    <row r="20634" spans="84:91" s="51" customFormat="1">
      <c r="CF20634" s="239"/>
      <c r="CM20634" s="336"/>
    </row>
    <row r="20635" spans="84:91" s="51" customFormat="1">
      <c r="CF20635" s="239"/>
      <c r="CM20635" s="336"/>
    </row>
    <row r="20636" spans="84:91" s="51" customFormat="1">
      <c r="CF20636" s="239"/>
      <c r="CM20636" s="336"/>
    </row>
    <row r="20637" spans="84:91" s="51" customFormat="1">
      <c r="CF20637" s="239"/>
      <c r="CM20637" s="336"/>
    </row>
    <row r="20638" spans="84:91" s="51" customFormat="1">
      <c r="CF20638" s="239"/>
      <c r="CM20638" s="336"/>
    </row>
    <row r="20639" spans="84:91" s="51" customFormat="1">
      <c r="CF20639" s="239"/>
      <c r="CM20639" s="336"/>
    </row>
    <row r="20640" spans="84:91" s="51" customFormat="1">
      <c r="CF20640" s="239"/>
      <c r="CM20640" s="336"/>
    </row>
    <row r="20641" spans="84:91" s="51" customFormat="1">
      <c r="CF20641" s="239"/>
      <c r="CM20641" s="336"/>
    </row>
    <row r="20642" spans="84:91" s="51" customFormat="1">
      <c r="CF20642" s="239"/>
      <c r="CM20642" s="336"/>
    </row>
    <row r="20643" spans="84:91" s="51" customFormat="1">
      <c r="CF20643" s="239"/>
      <c r="CM20643" s="336"/>
    </row>
    <row r="20644" spans="84:91" s="51" customFormat="1">
      <c r="CF20644" s="239"/>
      <c r="CM20644" s="336"/>
    </row>
    <row r="20645" spans="84:91" s="51" customFormat="1">
      <c r="CF20645" s="239"/>
      <c r="CM20645" s="336"/>
    </row>
    <row r="20646" spans="84:91" s="51" customFormat="1">
      <c r="CF20646" s="239"/>
      <c r="CM20646" s="336"/>
    </row>
    <row r="20647" spans="84:91" s="51" customFormat="1">
      <c r="CF20647" s="239"/>
      <c r="CM20647" s="336"/>
    </row>
    <row r="20648" spans="84:91" s="51" customFormat="1">
      <c r="CF20648" s="239"/>
      <c r="CM20648" s="336"/>
    </row>
    <row r="20649" spans="84:91" s="51" customFormat="1">
      <c r="CF20649" s="239"/>
      <c r="CM20649" s="336"/>
    </row>
    <row r="20650" spans="84:91" s="51" customFormat="1">
      <c r="CF20650" s="239"/>
      <c r="CM20650" s="336"/>
    </row>
    <row r="20651" spans="84:91" s="51" customFormat="1">
      <c r="CF20651" s="239"/>
      <c r="CM20651" s="336"/>
    </row>
    <row r="20652" spans="84:91" s="51" customFormat="1">
      <c r="CF20652" s="239"/>
      <c r="CM20652" s="336"/>
    </row>
    <row r="20653" spans="84:91" s="51" customFormat="1">
      <c r="CF20653" s="239"/>
      <c r="CM20653" s="336"/>
    </row>
    <row r="20654" spans="84:91" s="51" customFormat="1">
      <c r="CF20654" s="239"/>
      <c r="CM20654" s="336"/>
    </row>
    <row r="20655" spans="84:91" s="51" customFormat="1">
      <c r="CF20655" s="239"/>
      <c r="CM20655" s="336"/>
    </row>
    <row r="20656" spans="84:91" s="51" customFormat="1">
      <c r="CF20656" s="239"/>
      <c r="CM20656" s="336"/>
    </row>
    <row r="20657" spans="84:91" s="51" customFormat="1">
      <c r="CF20657" s="239"/>
      <c r="CM20657" s="336"/>
    </row>
    <row r="20658" spans="84:91" s="51" customFormat="1">
      <c r="CF20658" s="239"/>
      <c r="CM20658" s="336"/>
    </row>
    <row r="20659" spans="84:91" s="51" customFormat="1">
      <c r="CF20659" s="239"/>
      <c r="CM20659" s="336"/>
    </row>
    <row r="20660" spans="84:91" s="51" customFormat="1">
      <c r="CF20660" s="239"/>
      <c r="CM20660" s="336"/>
    </row>
    <row r="20661" spans="84:91" s="51" customFormat="1">
      <c r="CF20661" s="239"/>
      <c r="CM20661" s="336"/>
    </row>
    <row r="20662" spans="84:91" s="51" customFormat="1">
      <c r="CF20662" s="239"/>
      <c r="CM20662" s="336"/>
    </row>
    <row r="20663" spans="84:91" s="51" customFormat="1">
      <c r="CF20663" s="239"/>
      <c r="CM20663" s="336"/>
    </row>
    <row r="20664" spans="84:91" s="51" customFormat="1">
      <c r="CF20664" s="239"/>
      <c r="CM20664" s="336"/>
    </row>
    <row r="20665" spans="84:91" s="51" customFormat="1">
      <c r="CF20665" s="239"/>
      <c r="CM20665" s="336"/>
    </row>
    <row r="20666" spans="84:91" s="51" customFormat="1">
      <c r="CF20666" s="239"/>
      <c r="CM20666" s="336"/>
    </row>
    <row r="20667" spans="84:91" s="51" customFormat="1">
      <c r="CF20667" s="239"/>
      <c r="CM20667" s="336"/>
    </row>
    <row r="20668" spans="84:91" s="51" customFormat="1">
      <c r="CF20668" s="239"/>
      <c r="CM20668" s="336"/>
    </row>
    <row r="20669" spans="84:91" s="51" customFormat="1">
      <c r="CF20669" s="239"/>
      <c r="CM20669" s="336"/>
    </row>
    <row r="20670" spans="84:91" s="51" customFormat="1">
      <c r="CF20670" s="239"/>
      <c r="CM20670" s="336"/>
    </row>
    <row r="20671" spans="84:91" s="51" customFormat="1">
      <c r="CF20671" s="239"/>
      <c r="CM20671" s="336"/>
    </row>
    <row r="20672" spans="84:91" s="51" customFormat="1">
      <c r="CF20672" s="239"/>
      <c r="CM20672" s="336"/>
    </row>
    <row r="20673" spans="84:91" s="51" customFormat="1">
      <c r="CF20673" s="239"/>
      <c r="CM20673" s="336"/>
    </row>
    <row r="20674" spans="84:91" s="51" customFormat="1">
      <c r="CF20674" s="239"/>
      <c r="CM20674" s="336"/>
    </row>
    <row r="20675" spans="84:91" s="51" customFormat="1">
      <c r="CF20675" s="239"/>
      <c r="CM20675" s="336"/>
    </row>
    <row r="20676" spans="84:91" s="51" customFormat="1">
      <c r="CF20676" s="239"/>
      <c r="CM20676" s="336"/>
    </row>
    <row r="20677" spans="84:91" s="51" customFormat="1">
      <c r="CF20677" s="239"/>
      <c r="CM20677" s="336"/>
    </row>
    <row r="20678" spans="84:91" s="51" customFormat="1">
      <c r="CF20678" s="239"/>
      <c r="CM20678" s="336"/>
    </row>
    <row r="20679" spans="84:91" s="51" customFormat="1">
      <c r="CF20679" s="239"/>
      <c r="CM20679" s="336"/>
    </row>
    <row r="20680" spans="84:91" s="51" customFormat="1">
      <c r="CF20680" s="239"/>
      <c r="CM20680" s="336"/>
    </row>
    <row r="20681" spans="84:91" s="51" customFormat="1">
      <c r="CF20681" s="239"/>
      <c r="CM20681" s="336"/>
    </row>
    <row r="20682" spans="84:91" s="51" customFormat="1">
      <c r="CF20682" s="239"/>
      <c r="CM20682" s="336"/>
    </row>
    <row r="20683" spans="84:91" s="51" customFormat="1">
      <c r="CF20683" s="239"/>
      <c r="CM20683" s="336"/>
    </row>
    <row r="20684" spans="84:91" s="51" customFormat="1">
      <c r="CF20684" s="239"/>
      <c r="CM20684" s="336"/>
    </row>
    <row r="20685" spans="84:91" s="51" customFormat="1">
      <c r="CF20685" s="239"/>
      <c r="CM20685" s="336"/>
    </row>
    <row r="20686" spans="84:91" s="51" customFormat="1">
      <c r="CF20686" s="239"/>
      <c r="CM20686" s="336"/>
    </row>
    <row r="20687" spans="84:91" s="51" customFormat="1">
      <c r="CF20687" s="239"/>
      <c r="CM20687" s="336"/>
    </row>
    <row r="20688" spans="84:91" s="51" customFormat="1">
      <c r="CF20688" s="239"/>
      <c r="CM20688" s="336"/>
    </row>
    <row r="20689" spans="84:91" s="51" customFormat="1">
      <c r="CF20689" s="239"/>
      <c r="CM20689" s="336"/>
    </row>
    <row r="20690" spans="84:91" s="51" customFormat="1">
      <c r="CF20690" s="239"/>
      <c r="CM20690" s="336"/>
    </row>
    <row r="20691" spans="84:91" s="51" customFormat="1">
      <c r="CF20691" s="239"/>
      <c r="CM20691" s="336"/>
    </row>
    <row r="20692" spans="84:91" s="51" customFormat="1">
      <c r="CF20692" s="239"/>
      <c r="CM20692" s="336"/>
    </row>
    <row r="20693" spans="84:91" s="51" customFormat="1">
      <c r="CF20693" s="239"/>
      <c r="CM20693" s="336"/>
    </row>
    <row r="20694" spans="84:91" s="51" customFormat="1">
      <c r="CF20694" s="239"/>
      <c r="CM20694" s="336"/>
    </row>
    <row r="20695" spans="84:91" s="51" customFormat="1">
      <c r="CF20695" s="239"/>
      <c r="CM20695" s="336"/>
    </row>
    <row r="20696" spans="84:91" s="51" customFormat="1">
      <c r="CF20696" s="239"/>
      <c r="CM20696" s="336"/>
    </row>
    <row r="20697" spans="84:91" s="51" customFormat="1">
      <c r="CF20697" s="239"/>
      <c r="CM20697" s="336"/>
    </row>
    <row r="20698" spans="84:91" s="51" customFormat="1">
      <c r="CF20698" s="239"/>
      <c r="CM20698" s="336"/>
    </row>
    <row r="20699" spans="84:91" s="51" customFormat="1">
      <c r="CF20699" s="239"/>
      <c r="CM20699" s="336"/>
    </row>
    <row r="20700" spans="84:91" s="51" customFormat="1">
      <c r="CF20700" s="239"/>
      <c r="CM20700" s="336"/>
    </row>
    <row r="20701" spans="84:91" s="51" customFormat="1">
      <c r="CF20701" s="239"/>
      <c r="CM20701" s="336"/>
    </row>
    <row r="20702" spans="84:91" s="51" customFormat="1">
      <c r="CF20702" s="239"/>
      <c r="CM20702" s="336"/>
    </row>
    <row r="20703" spans="84:91" s="51" customFormat="1">
      <c r="CF20703" s="239"/>
      <c r="CM20703" s="336"/>
    </row>
    <row r="20704" spans="84:91" s="51" customFormat="1">
      <c r="CF20704" s="239"/>
      <c r="CM20704" s="336"/>
    </row>
    <row r="20705" spans="84:91" s="51" customFormat="1">
      <c r="CF20705" s="239"/>
      <c r="CM20705" s="336"/>
    </row>
    <row r="20706" spans="84:91" s="51" customFormat="1">
      <c r="CF20706" s="239"/>
      <c r="CM20706" s="336"/>
    </row>
    <row r="20707" spans="84:91" s="51" customFormat="1">
      <c r="CF20707" s="239"/>
      <c r="CM20707" s="336"/>
    </row>
    <row r="20708" spans="84:91" s="51" customFormat="1">
      <c r="CF20708" s="239"/>
      <c r="CM20708" s="336"/>
    </row>
    <row r="20709" spans="84:91" s="51" customFormat="1">
      <c r="CF20709" s="239"/>
      <c r="CM20709" s="336"/>
    </row>
    <row r="20710" spans="84:91" s="51" customFormat="1">
      <c r="CF20710" s="239"/>
      <c r="CM20710" s="336"/>
    </row>
    <row r="20711" spans="84:91" s="51" customFormat="1">
      <c r="CF20711" s="239"/>
      <c r="CM20711" s="336"/>
    </row>
    <row r="20712" spans="84:91" s="51" customFormat="1">
      <c r="CF20712" s="239"/>
      <c r="CM20712" s="336"/>
    </row>
    <row r="20713" spans="84:91" s="51" customFormat="1">
      <c r="CF20713" s="239"/>
      <c r="CM20713" s="336"/>
    </row>
    <row r="20714" spans="84:91" s="51" customFormat="1">
      <c r="CF20714" s="239"/>
      <c r="CM20714" s="336"/>
    </row>
    <row r="20715" spans="84:91" s="51" customFormat="1">
      <c r="CF20715" s="239"/>
      <c r="CM20715" s="336"/>
    </row>
    <row r="20716" spans="84:91" s="51" customFormat="1">
      <c r="CF20716" s="239"/>
      <c r="CM20716" s="336"/>
    </row>
    <row r="20717" spans="84:91" s="51" customFormat="1">
      <c r="CF20717" s="239"/>
      <c r="CM20717" s="336"/>
    </row>
    <row r="20718" spans="84:91" s="51" customFormat="1">
      <c r="CF20718" s="239"/>
      <c r="CM20718" s="336"/>
    </row>
    <row r="20719" spans="84:91" s="51" customFormat="1">
      <c r="CF20719" s="239"/>
      <c r="CM20719" s="336"/>
    </row>
    <row r="20720" spans="84:91" s="51" customFormat="1">
      <c r="CF20720" s="239"/>
      <c r="CM20720" s="336"/>
    </row>
    <row r="20721" spans="84:91" s="51" customFormat="1">
      <c r="CF20721" s="239"/>
      <c r="CM20721" s="336"/>
    </row>
    <row r="20722" spans="84:91" s="51" customFormat="1">
      <c r="CF20722" s="239"/>
      <c r="CM20722" s="336"/>
    </row>
    <row r="20723" spans="84:91" s="51" customFormat="1">
      <c r="CF20723" s="239"/>
      <c r="CM20723" s="336"/>
    </row>
    <row r="20724" spans="84:91" s="51" customFormat="1">
      <c r="CF20724" s="239"/>
      <c r="CM20724" s="336"/>
    </row>
    <row r="20725" spans="84:91" s="51" customFormat="1">
      <c r="CF20725" s="239"/>
      <c r="CM20725" s="336"/>
    </row>
    <row r="20726" spans="84:91" s="51" customFormat="1">
      <c r="CF20726" s="239"/>
      <c r="CM20726" s="336"/>
    </row>
    <row r="20727" spans="84:91" s="51" customFormat="1">
      <c r="CF20727" s="239"/>
      <c r="CM20727" s="336"/>
    </row>
    <row r="20728" spans="84:91" s="51" customFormat="1">
      <c r="CF20728" s="239"/>
      <c r="CM20728" s="336"/>
    </row>
    <row r="20729" spans="84:91" s="51" customFormat="1">
      <c r="CF20729" s="239"/>
      <c r="CM20729" s="336"/>
    </row>
    <row r="20730" spans="84:91" s="51" customFormat="1">
      <c r="CF20730" s="239"/>
      <c r="CM20730" s="336"/>
    </row>
    <row r="20731" spans="84:91" s="51" customFormat="1">
      <c r="CF20731" s="239"/>
      <c r="CM20731" s="336"/>
    </row>
    <row r="20732" spans="84:91" s="51" customFormat="1">
      <c r="CF20732" s="239"/>
      <c r="CM20732" s="336"/>
    </row>
    <row r="20733" spans="84:91" s="51" customFormat="1">
      <c r="CF20733" s="239"/>
      <c r="CM20733" s="336"/>
    </row>
    <row r="20734" spans="84:91" s="51" customFormat="1">
      <c r="CF20734" s="239"/>
      <c r="CM20734" s="336"/>
    </row>
    <row r="20735" spans="84:91" s="51" customFormat="1">
      <c r="CF20735" s="239"/>
      <c r="CM20735" s="336"/>
    </row>
    <row r="20736" spans="84:91" s="51" customFormat="1">
      <c r="CF20736" s="239"/>
      <c r="CM20736" s="336"/>
    </row>
    <row r="20737" spans="84:91" s="51" customFormat="1">
      <c r="CF20737" s="239"/>
      <c r="CM20737" s="336"/>
    </row>
    <row r="20738" spans="84:91" s="51" customFormat="1">
      <c r="CF20738" s="239"/>
      <c r="CM20738" s="336"/>
    </row>
    <row r="20739" spans="84:91" s="51" customFormat="1">
      <c r="CF20739" s="239"/>
      <c r="CM20739" s="336"/>
    </row>
    <row r="20740" spans="84:91" s="51" customFormat="1">
      <c r="CF20740" s="239"/>
      <c r="CM20740" s="336"/>
    </row>
    <row r="20741" spans="84:91" s="51" customFormat="1">
      <c r="CF20741" s="239"/>
      <c r="CM20741" s="336"/>
    </row>
    <row r="20742" spans="84:91" s="51" customFormat="1">
      <c r="CF20742" s="239"/>
      <c r="CM20742" s="336"/>
    </row>
    <row r="20743" spans="84:91" s="51" customFormat="1">
      <c r="CF20743" s="239"/>
      <c r="CM20743" s="336"/>
    </row>
    <row r="20744" spans="84:91" s="51" customFormat="1">
      <c r="CF20744" s="239"/>
      <c r="CM20744" s="336"/>
    </row>
    <row r="20745" spans="84:91" s="51" customFormat="1">
      <c r="CF20745" s="239"/>
      <c r="CM20745" s="336"/>
    </row>
    <row r="20746" spans="84:91" s="51" customFormat="1">
      <c r="CF20746" s="239"/>
      <c r="CM20746" s="336"/>
    </row>
    <row r="20747" spans="84:91" s="51" customFormat="1">
      <c r="CF20747" s="239"/>
      <c r="CM20747" s="336"/>
    </row>
    <row r="20748" spans="84:91" s="51" customFormat="1">
      <c r="CF20748" s="239"/>
      <c r="CM20748" s="336"/>
    </row>
    <row r="20749" spans="84:91" s="51" customFormat="1">
      <c r="CF20749" s="239"/>
      <c r="CM20749" s="336"/>
    </row>
    <row r="20750" spans="84:91" s="51" customFormat="1">
      <c r="CF20750" s="239"/>
      <c r="CM20750" s="336"/>
    </row>
    <row r="20751" spans="84:91" s="51" customFormat="1">
      <c r="CF20751" s="239"/>
      <c r="CM20751" s="336"/>
    </row>
    <row r="20752" spans="84:91" s="51" customFormat="1">
      <c r="CF20752" s="239"/>
      <c r="CM20752" s="336"/>
    </row>
    <row r="20753" spans="84:91" s="51" customFormat="1">
      <c r="CF20753" s="239"/>
      <c r="CM20753" s="336"/>
    </row>
    <row r="20754" spans="84:91" s="51" customFormat="1">
      <c r="CF20754" s="239"/>
      <c r="CM20754" s="336"/>
    </row>
    <row r="20755" spans="84:91" s="51" customFormat="1">
      <c r="CF20755" s="239"/>
      <c r="CM20755" s="336"/>
    </row>
    <row r="20756" spans="84:91" s="51" customFormat="1">
      <c r="CF20756" s="239"/>
      <c r="CM20756" s="336"/>
    </row>
    <row r="20757" spans="84:91" s="51" customFormat="1">
      <c r="CF20757" s="239"/>
      <c r="CM20757" s="336"/>
    </row>
    <row r="20758" spans="84:91" s="51" customFormat="1">
      <c r="CF20758" s="239"/>
      <c r="CM20758" s="336"/>
    </row>
    <row r="20759" spans="84:91" s="51" customFormat="1">
      <c r="CF20759" s="239"/>
      <c r="CM20759" s="336"/>
    </row>
    <row r="20760" spans="84:91" s="51" customFormat="1">
      <c r="CF20760" s="239"/>
      <c r="CM20760" s="336"/>
    </row>
    <row r="20761" spans="84:91" s="51" customFormat="1">
      <c r="CF20761" s="239"/>
      <c r="CM20761" s="336"/>
    </row>
    <row r="20762" spans="84:91" s="51" customFormat="1">
      <c r="CF20762" s="239"/>
      <c r="CM20762" s="336"/>
    </row>
    <row r="20763" spans="84:91" s="51" customFormat="1">
      <c r="CF20763" s="239"/>
      <c r="CM20763" s="336"/>
    </row>
    <row r="20764" spans="84:91" s="51" customFormat="1">
      <c r="CF20764" s="239"/>
      <c r="CM20764" s="336"/>
    </row>
    <row r="20765" spans="84:91" s="51" customFormat="1">
      <c r="CF20765" s="239"/>
      <c r="CM20765" s="336"/>
    </row>
    <row r="20766" spans="84:91" s="51" customFormat="1">
      <c r="CF20766" s="239"/>
      <c r="CM20766" s="336"/>
    </row>
    <row r="20767" spans="84:91" s="51" customFormat="1">
      <c r="CF20767" s="239"/>
      <c r="CM20767" s="336"/>
    </row>
    <row r="20768" spans="84:91" s="51" customFormat="1">
      <c r="CF20768" s="239"/>
      <c r="CM20768" s="336"/>
    </row>
    <row r="20769" spans="84:91" s="51" customFormat="1">
      <c r="CF20769" s="239"/>
      <c r="CM20769" s="336"/>
    </row>
    <row r="20770" spans="84:91" s="51" customFormat="1">
      <c r="CF20770" s="239"/>
      <c r="CM20770" s="336"/>
    </row>
    <row r="20771" spans="84:91" s="51" customFormat="1">
      <c r="CF20771" s="239"/>
      <c r="CM20771" s="336"/>
    </row>
    <row r="20772" spans="84:91" s="51" customFormat="1">
      <c r="CF20772" s="239"/>
      <c r="CM20772" s="336"/>
    </row>
    <row r="20773" spans="84:91" s="51" customFormat="1">
      <c r="CF20773" s="239"/>
      <c r="CM20773" s="336"/>
    </row>
    <row r="20774" spans="84:91" s="51" customFormat="1">
      <c r="CF20774" s="239"/>
      <c r="CM20774" s="336"/>
    </row>
    <row r="20775" spans="84:91" s="51" customFormat="1">
      <c r="CF20775" s="239"/>
      <c r="CM20775" s="336"/>
    </row>
    <row r="20776" spans="84:91" s="51" customFormat="1">
      <c r="CF20776" s="239"/>
      <c r="CM20776" s="336"/>
    </row>
    <row r="20777" spans="84:91" s="51" customFormat="1">
      <c r="CF20777" s="239"/>
      <c r="CM20777" s="336"/>
    </row>
    <row r="20778" spans="84:91" s="51" customFormat="1">
      <c r="CF20778" s="239"/>
      <c r="CM20778" s="336"/>
    </row>
    <row r="20779" spans="84:91" s="51" customFormat="1">
      <c r="CF20779" s="239"/>
      <c r="CM20779" s="336"/>
    </row>
    <row r="20780" spans="84:91" s="51" customFormat="1">
      <c r="CF20780" s="239"/>
      <c r="CM20780" s="336"/>
    </row>
    <row r="20781" spans="84:91" s="51" customFormat="1">
      <c r="CF20781" s="239"/>
      <c r="CM20781" s="336"/>
    </row>
    <row r="20782" spans="84:91" s="51" customFormat="1">
      <c r="CF20782" s="239"/>
      <c r="CM20782" s="336"/>
    </row>
    <row r="20783" spans="84:91" s="51" customFormat="1">
      <c r="CF20783" s="239"/>
      <c r="CM20783" s="336"/>
    </row>
    <row r="20784" spans="84:91" s="51" customFormat="1">
      <c r="CF20784" s="239"/>
      <c r="CM20784" s="336"/>
    </row>
    <row r="20785" spans="84:91" s="51" customFormat="1">
      <c r="CF20785" s="239"/>
      <c r="CM20785" s="336"/>
    </row>
    <row r="20786" spans="84:91" s="51" customFormat="1">
      <c r="CF20786" s="239"/>
      <c r="CM20786" s="336"/>
    </row>
    <row r="20787" spans="84:91" s="51" customFormat="1">
      <c r="CF20787" s="239"/>
      <c r="CM20787" s="336"/>
    </row>
    <row r="20788" spans="84:91" s="51" customFormat="1">
      <c r="CF20788" s="239"/>
      <c r="CM20788" s="336"/>
    </row>
    <row r="20789" spans="84:91" s="51" customFormat="1">
      <c r="CF20789" s="239"/>
      <c r="CM20789" s="336"/>
    </row>
    <row r="20790" spans="84:91" s="51" customFormat="1">
      <c r="CF20790" s="239"/>
      <c r="CM20790" s="336"/>
    </row>
    <row r="20791" spans="84:91" s="51" customFormat="1">
      <c r="CF20791" s="239"/>
      <c r="CM20791" s="336"/>
    </row>
    <row r="20792" spans="84:91" s="51" customFormat="1">
      <c r="CF20792" s="239"/>
      <c r="CM20792" s="336"/>
    </row>
    <row r="20793" spans="84:91" s="51" customFormat="1">
      <c r="CF20793" s="239"/>
      <c r="CM20793" s="336"/>
    </row>
    <row r="20794" spans="84:91" s="51" customFormat="1">
      <c r="CF20794" s="239"/>
      <c r="CM20794" s="336"/>
    </row>
    <row r="20795" spans="84:91" s="51" customFormat="1">
      <c r="CF20795" s="239"/>
      <c r="CM20795" s="336"/>
    </row>
    <row r="20796" spans="84:91" s="51" customFormat="1">
      <c r="CF20796" s="239"/>
      <c r="CM20796" s="336"/>
    </row>
    <row r="20797" spans="84:91" s="51" customFormat="1">
      <c r="CF20797" s="239"/>
      <c r="CM20797" s="336"/>
    </row>
    <row r="20798" spans="84:91" s="51" customFormat="1">
      <c r="CF20798" s="239"/>
      <c r="CM20798" s="336"/>
    </row>
    <row r="20799" spans="84:91" s="51" customFormat="1">
      <c r="CF20799" s="239"/>
      <c r="CM20799" s="336"/>
    </row>
    <row r="20800" spans="84:91" s="51" customFormat="1">
      <c r="CF20800" s="239"/>
      <c r="CM20800" s="336"/>
    </row>
    <row r="20801" spans="84:91" s="51" customFormat="1">
      <c r="CF20801" s="239"/>
      <c r="CM20801" s="336"/>
    </row>
    <row r="20802" spans="84:91" s="51" customFormat="1">
      <c r="CF20802" s="239"/>
      <c r="CM20802" s="336"/>
    </row>
    <row r="20803" spans="84:91" s="51" customFormat="1">
      <c r="CF20803" s="239"/>
      <c r="CM20803" s="336"/>
    </row>
    <row r="20804" spans="84:91" s="51" customFormat="1">
      <c r="CF20804" s="239"/>
      <c r="CM20804" s="336"/>
    </row>
    <row r="20805" spans="84:91" s="51" customFormat="1">
      <c r="CF20805" s="239"/>
      <c r="CM20805" s="336"/>
    </row>
    <row r="20806" spans="84:91" s="51" customFormat="1">
      <c r="CF20806" s="239"/>
      <c r="CM20806" s="336"/>
    </row>
    <row r="20807" spans="84:91" s="51" customFormat="1">
      <c r="CF20807" s="239"/>
      <c r="CM20807" s="336"/>
    </row>
    <row r="20808" spans="84:91" s="51" customFormat="1">
      <c r="CF20808" s="239"/>
      <c r="CM20808" s="336"/>
    </row>
    <row r="20809" spans="84:91" s="51" customFormat="1">
      <c r="CF20809" s="239"/>
      <c r="CM20809" s="336"/>
    </row>
    <row r="20810" spans="84:91" s="51" customFormat="1">
      <c r="CF20810" s="239"/>
      <c r="CM20810" s="336"/>
    </row>
    <row r="20811" spans="84:91" s="51" customFormat="1">
      <c r="CF20811" s="239"/>
      <c r="CM20811" s="336"/>
    </row>
    <row r="20812" spans="84:91" s="51" customFormat="1">
      <c r="CF20812" s="239"/>
      <c r="CM20812" s="336"/>
    </row>
    <row r="20813" spans="84:91" s="51" customFormat="1">
      <c r="CF20813" s="239"/>
      <c r="CM20813" s="336"/>
    </row>
    <row r="20814" spans="84:91" s="51" customFormat="1">
      <c r="CF20814" s="239"/>
      <c r="CM20814" s="336"/>
    </row>
    <row r="20815" spans="84:91" s="51" customFormat="1">
      <c r="CF20815" s="239"/>
      <c r="CM20815" s="336"/>
    </row>
    <row r="20816" spans="84:91" s="51" customFormat="1">
      <c r="CF20816" s="239"/>
      <c r="CM20816" s="336"/>
    </row>
    <row r="20817" spans="84:91" s="51" customFormat="1">
      <c r="CF20817" s="239"/>
      <c r="CM20817" s="336"/>
    </row>
    <row r="20818" spans="84:91" s="51" customFormat="1">
      <c r="CF20818" s="239"/>
      <c r="CM20818" s="336"/>
    </row>
    <row r="20819" spans="84:91" s="51" customFormat="1">
      <c r="CF20819" s="239"/>
      <c r="CM20819" s="336"/>
    </row>
    <row r="20820" spans="84:91" s="51" customFormat="1">
      <c r="CF20820" s="239"/>
      <c r="CM20820" s="336"/>
    </row>
    <row r="20821" spans="84:91" s="51" customFormat="1">
      <c r="CF20821" s="239"/>
      <c r="CM20821" s="336"/>
    </row>
    <row r="20822" spans="84:91" s="51" customFormat="1">
      <c r="CF20822" s="239"/>
      <c r="CM20822" s="336"/>
    </row>
    <row r="20823" spans="84:91" s="51" customFormat="1">
      <c r="CF20823" s="239"/>
      <c r="CM20823" s="336"/>
    </row>
    <row r="20824" spans="84:91" s="51" customFormat="1">
      <c r="CF20824" s="239"/>
      <c r="CM20824" s="336"/>
    </row>
    <row r="20825" spans="84:91" s="51" customFormat="1">
      <c r="CF20825" s="239"/>
      <c r="CM20825" s="336"/>
    </row>
    <row r="20826" spans="84:91" s="51" customFormat="1">
      <c r="CF20826" s="239"/>
      <c r="CM20826" s="336"/>
    </row>
    <row r="20827" spans="84:91" s="51" customFormat="1">
      <c r="CF20827" s="239"/>
      <c r="CM20827" s="336"/>
    </row>
    <row r="20828" spans="84:91" s="51" customFormat="1">
      <c r="CF20828" s="239"/>
      <c r="CM20828" s="336"/>
    </row>
    <row r="20829" spans="84:91" s="51" customFormat="1">
      <c r="CF20829" s="239"/>
      <c r="CM20829" s="336"/>
    </row>
    <row r="20830" spans="84:91" s="51" customFormat="1">
      <c r="CF20830" s="239"/>
      <c r="CM20830" s="336"/>
    </row>
    <row r="20831" spans="84:91" s="51" customFormat="1">
      <c r="CF20831" s="239"/>
      <c r="CM20831" s="336"/>
    </row>
    <row r="20832" spans="84:91" s="51" customFormat="1">
      <c r="CF20832" s="239"/>
      <c r="CM20832" s="336"/>
    </row>
    <row r="20833" spans="84:91" s="51" customFormat="1">
      <c r="CF20833" s="239"/>
      <c r="CM20833" s="336"/>
    </row>
    <row r="20834" spans="84:91" s="51" customFormat="1">
      <c r="CF20834" s="239"/>
      <c r="CM20834" s="336"/>
    </row>
    <row r="20835" spans="84:91" s="51" customFormat="1">
      <c r="CF20835" s="239"/>
      <c r="CM20835" s="336"/>
    </row>
    <row r="20836" spans="84:91" s="51" customFormat="1">
      <c r="CF20836" s="239"/>
      <c r="CM20836" s="336"/>
    </row>
    <row r="20837" spans="84:91" s="51" customFormat="1">
      <c r="CF20837" s="239"/>
      <c r="CM20837" s="336"/>
    </row>
    <row r="20838" spans="84:91" s="51" customFormat="1">
      <c r="CF20838" s="239"/>
      <c r="CM20838" s="336"/>
    </row>
    <row r="20839" spans="84:91" s="51" customFormat="1">
      <c r="CF20839" s="239"/>
      <c r="CM20839" s="336"/>
    </row>
    <row r="20840" spans="84:91" s="51" customFormat="1">
      <c r="CF20840" s="239"/>
      <c r="CM20840" s="336"/>
    </row>
    <row r="20841" spans="84:91" s="51" customFormat="1">
      <c r="CF20841" s="239"/>
      <c r="CM20841" s="336"/>
    </row>
    <row r="20842" spans="84:91" s="51" customFormat="1">
      <c r="CF20842" s="239"/>
      <c r="CM20842" s="336"/>
    </row>
    <row r="20843" spans="84:91" s="51" customFormat="1">
      <c r="CF20843" s="239"/>
      <c r="CM20843" s="336"/>
    </row>
    <row r="20844" spans="84:91" s="51" customFormat="1">
      <c r="CF20844" s="239"/>
      <c r="CM20844" s="336"/>
    </row>
    <row r="20845" spans="84:91" s="51" customFormat="1">
      <c r="CF20845" s="239"/>
      <c r="CM20845" s="336"/>
    </row>
    <row r="20846" spans="84:91" s="51" customFormat="1">
      <c r="CF20846" s="239"/>
      <c r="CM20846" s="336"/>
    </row>
    <row r="20847" spans="84:91" s="51" customFormat="1">
      <c r="CF20847" s="239"/>
      <c r="CM20847" s="336"/>
    </row>
    <row r="20848" spans="84:91" s="51" customFormat="1">
      <c r="CF20848" s="239"/>
      <c r="CM20848" s="336"/>
    </row>
    <row r="20849" spans="84:91" s="51" customFormat="1">
      <c r="CF20849" s="239"/>
      <c r="CM20849" s="336"/>
    </row>
    <row r="20850" spans="84:91" s="51" customFormat="1">
      <c r="CF20850" s="239"/>
      <c r="CM20850" s="336"/>
    </row>
    <row r="20851" spans="84:91" s="51" customFormat="1">
      <c r="CF20851" s="239"/>
      <c r="CM20851" s="336"/>
    </row>
    <row r="20852" spans="84:91" s="51" customFormat="1">
      <c r="CF20852" s="239"/>
      <c r="CM20852" s="336"/>
    </row>
    <row r="20853" spans="84:91" s="51" customFormat="1">
      <c r="CF20853" s="239"/>
      <c r="CM20853" s="336"/>
    </row>
    <row r="20854" spans="84:91" s="51" customFormat="1">
      <c r="CF20854" s="239"/>
      <c r="CM20854" s="336"/>
    </row>
    <row r="20855" spans="84:91" s="51" customFormat="1">
      <c r="CF20855" s="239"/>
      <c r="CM20855" s="336"/>
    </row>
    <row r="20856" spans="84:91" s="51" customFormat="1">
      <c r="CF20856" s="239"/>
      <c r="CM20856" s="336"/>
    </row>
    <row r="20857" spans="84:91" s="51" customFormat="1">
      <c r="CF20857" s="239"/>
      <c r="CM20857" s="336"/>
    </row>
    <row r="20858" spans="84:91" s="51" customFormat="1">
      <c r="CF20858" s="239"/>
      <c r="CM20858" s="336"/>
    </row>
    <row r="20859" spans="84:91" s="51" customFormat="1">
      <c r="CF20859" s="239"/>
      <c r="CM20859" s="336"/>
    </row>
    <row r="20860" spans="84:91" s="51" customFormat="1">
      <c r="CF20860" s="239"/>
      <c r="CM20860" s="336"/>
    </row>
    <row r="20861" spans="84:91" s="51" customFormat="1">
      <c r="CF20861" s="239"/>
      <c r="CM20861" s="336"/>
    </row>
    <row r="20862" spans="84:91" s="51" customFormat="1">
      <c r="CF20862" s="239"/>
      <c r="CM20862" s="336"/>
    </row>
    <row r="20863" spans="84:91" s="51" customFormat="1">
      <c r="CF20863" s="239"/>
      <c r="CM20863" s="336"/>
    </row>
    <row r="20864" spans="84:91" s="51" customFormat="1">
      <c r="CF20864" s="239"/>
      <c r="CM20864" s="336"/>
    </row>
    <row r="20865" spans="84:91" s="51" customFormat="1">
      <c r="CF20865" s="239"/>
      <c r="CM20865" s="336"/>
    </row>
    <row r="20866" spans="84:91" s="51" customFormat="1">
      <c r="CF20866" s="239"/>
      <c r="CM20866" s="336"/>
    </row>
    <row r="20867" spans="84:91" s="51" customFormat="1">
      <c r="CF20867" s="239"/>
      <c r="CM20867" s="336"/>
    </row>
    <row r="20868" spans="84:91" s="51" customFormat="1">
      <c r="CF20868" s="239"/>
      <c r="CM20868" s="336"/>
    </row>
    <row r="20869" spans="84:91" s="51" customFormat="1">
      <c r="CF20869" s="239"/>
      <c r="CM20869" s="336"/>
    </row>
    <row r="20870" spans="84:91" s="51" customFormat="1">
      <c r="CF20870" s="239"/>
      <c r="CM20870" s="336"/>
    </row>
    <row r="20871" spans="84:91" s="51" customFormat="1">
      <c r="CF20871" s="239"/>
      <c r="CM20871" s="336"/>
    </row>
    <row r="20872" spans="84:91" s="51" customFormat="1">
      <c r="CF20872" s="239"/>
      <c r="CM20872" s="336"/>
    </row>
    <row r="20873" spans="84:91" s="51" customFormat="1">
      <c r="CF20873" s="239"/>
      <c r="CM20873" s="336"/>
    </row>
    <row r="20874" spans="84:91" s="51" customFormat="1">
      <c r="CF20874" s="239"/>
      <c r="CM20874" s="336"/>
    </row>
    <row r="20875" spans="84:91" s="51" customFormat="1">
      <c r="CF20875" s="239"/>
      <c r="CM20875" s="336"/>
    </row>
    <row r="20876" spans="84:91" s="51" customFormat="1">
      <c r="CF20876" s="239"/>
      <c r="CM20876" s="336"/>
    </row>
    <row r="20877" spans="84:91" s="51" customFormat="1">
      <c r="CF20877" s="239"/>
      <c r="CM20877" s="336"/>
    </row>
    <row r="20878" spans="84:91" s="51" customFormat="1">
      <c r="CF20878" s="239"/>
      <c r="CM20878" s="336"/>
    </row>
    <row r="20879" spans="84:91" s="51" customFormat="1">
      <c r="CF20879" s="239"/>
      <c r="CM20879" s="336"/>
    </row>
    <row r="20880" spans="84:91" s="51" customFormat="1">
      <c r="CF20880" s="239"/>
      <c r="CM20880" s="336"/>
    </row>
    <row r="20881" spans="84:91" s="51" customFormat="1">
      <c r="CF20881" s="239"/>
      <c r="CM20881" s="336"/>
    </row>
    <row r="20882" spans="84:91" s="51" customFormat="1">
      <c r="CF20882" s="239"/>
      <c r="CM20882" s="336"/>
    </row>
    <row r="20883" spans="84:91" s="51" customFormat="1">
      <c r="CF20883" s="239"/>
      <c r="CM20883" s="336"/>
    </row>
    <row r="20884" spans="84:91" s="51" customFormat="1">
      <c r="CF20884" s="239"/>
      <c r="CM20884" s="336"/>
    </row>
    <row r="20885" spans="84:91" s="51" customFormat="1">
      <c r="CF20885" s="239"/>
      <c r="CM20885" s="336"/>
    </row>
    <row r="20886" spans="84:91" s="51" customFormat="1">
      <c r="CF20886" s="239"/>
      <c r="CM20886" s="336"/>
    </row>
    <row r="20887" spans="84:91" s="51" customFormat="1">
      <c r="CF20887" s="239"/>
      <c r="CM20887" s="336"/>
    </row>
    <row r="20888" spans="84:91" s="51" customFormat="1">
      <c r="CF20888" s="239"/>
      <c r="CM20888" s="336"/>
    </row>
    <row r="20889" spans="84:91" s="51" customFormat="1">
      <c r="CF20889" s="239"/>
      <c r="CM20889" s="336"/>
    </row>
    <row r="20890" spans="84:91" s="51" customFormat="1">
      <c r="CF20890" s="239"/>
      <c r="CM20890" s="336"/>
    </row>
    <row r="20891" spans="84:91" s="51" customFormat="1">
      <c r="CF20891" s="239"/>
      <c r="CM20891" s="336"/>
    </row>
    <row r="20892" spans="84:91" s="51" customFormat="1">
      <c r="CF20892" s="239"/>
      <c r="CM20892" s="336"/>
    </row>
    <row r="20893" spans="84:91" s="51" customFormat="1">
      <c r="CF20893" s="239"/>
      <c r="CM20893" s="336"/>
    </row>
    <row r="20894" spans="84:91" s="51" customFormat="1">
      <c r="CF20894" s="239"/>
      <c r="CM20894" s="336"/>
    </row>
    <row r="20895" spans="84:91" s="51" customFormat="1">
      <c r="CF20895" s="239"/>
      <c r="CM20895" s="336"/>
    </row>
    <row r="20896" spans="84:91" s="51" customFormat="1">
      <c r="CF20896" s="239"/>
      <c r="CM20896" s="336"/>
    </row>
    <row r="20897" spans="84:91" s="51" customFormat="1">
      <c r="CF20897" s="239"/>
      <c r="CM20897" s="336"/>
    </row>
    <row r="20898" spans="84:91" s="51" customFormat="1">
      <c r="CF20898" s="239"/>
      <c r="CM20898" s="336"/>
    </row>
    <row r="20899" spans="84:91" s="51" customFormat="1">
      <c r="CF20899" s="239"/>
      <c r="CM20899" s="336"/>
    </row>
    <row r="20900" spans="84:91" s="51" customFormat="1">
      <c r="CF20900" s="239"/>
      <c r="CM20900" s="336"/>
    </row>
    <row r="20901" spans="84:91" s="51" customFormat="1">
      <c r="CF20901" s="239"/>
      <c r="CM20901" s="336"/>
    </row>
    <row r="20902" spans="84:91" s="51" customFormat="1">
      <c r="CF20902" s="239"/>
      <c r="CM20902" s="336"/>
    </row>
    <row r="20903" spans="84:91" s="51" customFormat="1">
      <c r="CF20903" s="239"/>
      <c r="CM20903" s="336"/>
    </row>
    <row r="20904" spans="84:91" s="51" customFormat="1">
      <c r="CF20904" s="239"/>
      <c r="CM20904" s="336"/>
    </row>
    <row r="20905" spans="84:91" s="51" customFormat="1">
      <c r="CF20905" s="239"/>
      <c r="CM20905" s="336"/>
    </row>
    <row r="20906" spans="84:91" s="51" customFormat="1">
      <c r="CF20906" s="239"/>
      <c r="CM20906" s="336"/>
    </row>
    <row r="20907" spans="84:91" s="51" customFormat="1">
      <c r="CF20907" s="239"/>
      <c r="CM20907" s="336"/>
    </row>
    <row r="20908" spans="84:91" s="51" customFormat="1">
      <c r="CF20908" s="239"/>
      <c r="CM20908" s="336"/>
    </row>
    <row r="20909" spans="84:91" s="51" customFormat="1">
      <c r="CF20909" s="239"/>
      <c r="CM20909" s="336"/>
    </row>
    <row r="20910" spans="84:91" s="51" customFormat="1">
      <c r="CF20910" s="239"/>
      <c r="CM20910" s="336"/>
    </row>
    <row r="20911" spans="84:91" s="51" customFormat="1">
      <c r="CF20911" s="239"/>
      <c r="CM20911" s="336"/>
    </row>
    <row r="20912" spans="84:91" s="51" customFormat="1">
      <c r="CF20912" s="239"/>
      <c r="CM20912" s="336"/>
    </row>
    <row r="20913" spans="84:91" s="51" customFormat="1">
      <c r="CF20913" s="239"/>
      <c r="CM20913" s="336"/>
    </row>
    <row r="20914" spans="84:91" s="51" customFormat="1">
      <c r="CF20914" s="239"/>
      <c r="CM20914" s="336"/>
    </row>
    <row r="20915" spans="84:91" s="51" customFormat="1">
      <c r="CF20915" s="239"/>
      <c r="CM20915" s="336"/>
    </row>
    <row r="20916" spans="84:91" s="51" customFormat="1">
      <c r="CF20916" s="239"/>
      <c r="CM20916" s="336"/>
    </row>
    <row r="20917" spans="84:91" s="51" customFormat="1">
      <c r="CF20917" s="239"/>
      <c r="CM20917" s="336"/>
    </row>
    <row r="20918" spans="84:91" s="51" customFormat="1">
      <c r="CF20918" s="239"/>
      <c r="CM20918" s="336"/>
    </row>
    <row r="20919" spans="84:91" s="51" customFormat="1">
      <c r="CF20919" s="239"/>
      <c r="CM20919" s="336"/>
    </row>
    <row r="20920" spans="84:91" s="51" customFormat="1">
      <c r="CF20920" s="239"/>
      <c r="CM20920" s="336"/>
    </row>
    <row r="20921" spans="84:91" s="51" customFormat="1">
      <c r="CF20921" s="239"/>
      <c r="CM20921" s="336"/>
    </row>
    <row r="20922" spans="84:91" s="51" customFormat="1">
      <c r="CF20922" s="239"/>
      <c r="CM20922" s="336"/>
    </row>
    <row r="20923" spans="84:91" s="51" customFormat="1">
      <c r="CF20923" s="239"/>
      <c r="CM20923" s="336"/>
    </row>
    <row r="20924" spans="84:91" s="51" customFormat="1">
      <c r="CF20924" s="239"/>
      <c r="CM20924" s="336"/>
    </row>
    <row r="20925" spans="84:91" s="51" customFormat="1">
      <c r="CF20925" s="239"/>
      <c r="CM20925" s="336"/>
    </row>
    <row r="20926" spans="84:91" s="51" customFormat="1">
      <c r="CF20926" s="239"/>
      <c r="CM20926" s="336"/>
    </row>
    <row r="20927" spans="84:91" s="51" customFormat="1">
      <c r="CF20927" s="239"/>
      <c r="CM20927" s="336"/>
    </row>
    <row r="20928" spans="84:91" s="51" customFormat="1">
      <c r="CF20928" s="239"/>
      <c r="CM20928" s="336"/>
    </row>
    <row r="20929" spans="84:91" s="51" customFormat="1">
      <c r="CF20929" s="239"/>
      <c r="CM20929" s="336"/>
    </row>
    <row r="20930" spans="84:91" s="51" customFormat="1">
      <c r="CF20930" s="239"/>
      <c r="CM20930" s="336"/>
    </row>
    <row r="20931" spans="84:91" s="51" customFormat="1">
      <c r="CF20931" s="239"/>
      <c r="CM20931" s="336"/>
    </row>
    <row r="20932" spans="84:91" s="51" customFormat="1">
      <c r="CF20932" s="239"/>
      <c r="CM20932" s="336"/>
    </row>
    <row r="20933" spans="84:91" s="51" customFormat="1">
      <c r="CF20933" s="239"/>
      <c r="CM20933" s="336"/>
    </row>
    <row r="20934" spans="84:91" s="51" customFormat="1">
      <c r="CF20934" s="239"/>
      <c r="CM20934" s="336"/>
    </row>
    <row r="20935" spans="84:91" s="51" customFormat="1">
      <c r="CF20935" s="239"/>
      <c r="CM20935" s="336"/>
    </row>
    <row r="20936" spans="84:91" s="51" customFormat="1">
      <c r="CF20936" s="239"/>
      <c r="CM20936" s="336"/>
    </row>
    <row r="20937" spans="84:91" s="51" customFormat="1">
      <c r="CF20937" s="239"/>
      <c r="CM20937" s="336"/>
    </row>
    <row r="20938" spans="84:91" s="51" customFormat="1">
      <c r="CF20938" s="239"/>
      <c r="CM20938" s="336"/>
    </row>
    <row r="20939" spans="84:91" s="51" customFormat="1">
      <c r="CF20939" s="239"/>
      <c r="CM20939" s="336"/>
    </row>
    <row r="20940" spans="84:91" s="51" customFormat="1">
      <c r="CF20940" s="239"/>
      <c r="CM20940" s="336"/>
    </row>
    <row r="20941" spans="84:91" s="51" customFormat="1">
      <c r="CF20941" s="239"/>
      <c r="CM20941" s="336"/>
    </row>
    <row r="20942" spans="84:91" s="51" customFormat="1">
      <c r="CF20942" s="239"/>
      <c r="CM20942" s="336"/>
    </row>
    <row r="20943" spans="84:91" s="51" customFormat="1">
      <c r="CF20943" s="239"/>
      <c r="CM20943" s="336"/>
    </row>
    <row r="20944" spans="84:91" s="51" customFormat="1">
      <c r="CF20944" s="239"/>
      <c r="CM20944" s="336"/>
    </row>
    <row r="20945" spans="84:91" s="51" customFormat="1">
      <c r="CF20945" s="239"/>
      <c r="CM20945" s="336"/>
    </row>
    <row r="20946" spans="84:91" s="51" customFormat="1">
      <c r="CF20946" s="239"/>
      <c r="CM20946" s="336"/>
    </row>
    <row r="20947" spans="84:91" s="51" customFormat="1">
      <c r="CF20947" s="239"/>
      <c r="CM20947" s="336"/>
    </row>
    <row r="20948" spans="84:91" s="51" customFormat="1">
      <c r="CF20948" s="239"/>
      <c r="CM20948" s="336"/>
    </row>
    <row r="20949" spans="84:91" s="51" customFormat="1">
      <c r="CF20949" s="239"/>
      <c r="CM20949" s="336"/>
    </row>
    <row r="20950" spans="84:91" s="51" customFormat="1">
      <c r="CF20950" s="239"/>
      <c r="CM20950" s="336"/>
    </row>
    <row r="20951" spans="84:91" s="51" customFormat="1">
      <c r="CF20951" s="239"/>
      <c r="CM20951" s="336"/>
    </row>
    <row r="20952" spans="84:91" s="51" customFormat="1">
      <c r="CF20952" s="239"/>
      <c r="CM20952" s="336"/>
    </row>
    <row r="20953" spans="84:91" s="51" customFormat="1">
      <c r="CF20953" s="239"/>
      <c r="CM20953" s="336"/>
    </row>
    <row r="20954" spans="84:91" s="51" customFormat="1">
      <c r="CF20954" s="239"/>
      <c r="CM20954" s="336"/>
    </row>
    <row r="20955" spans="84:91" s="51" customFormat="1">
      <c r="CF20955" s="239"/>
      <c r="CM20955" s="336"/>
    </row>
    <row r="20956" spans="84:91" s="51" customFormat="1">
      <c r="CF20956" s="239"/>
      <c r="CM20956" s="336"/>
    </row>
    <row r="20957" spans="84:91" s="51" customFormat="1">
      <c r="CF20957" s="239"/>
      <c r="CM20957" s="336"/>
    </row>
    <row r="20958" spans="84:91" s="51" customFormat="1">
      <c r="CF20958" s="239"/>
      <c r="CM20958" s="336"/>
    </row>
    <row r="20959" spans="84:91" s="51" customFormat="1">
      <c r="CF20959" s="239"/>
      <c r="CM20959" s="336"/>
    </row>
    <row r="20960" spans="84:91" s="51" customFormat="1">
      <c r="CF20960" s="239"/>
      <c r="CM20960" s="336"/>
    </row>
    <row r="20961" spans="84:91" s="51" customFormat="1">
      <c r="CF20961" s="239"/>
      <c r="CM20961" s="336"/>
    </row>
    <row r="20962" spans="84:91" s="51" customFormat="1">
      <c r="CF20962" s="239"/>
      <c r="CM20962" s="336"/>
    </row>
    <row r="20963" spans="84:91" s="51" customFormat="1">
      <c r="CF20963" s="239"/>
      <c r="CM20963" s="336"/>
    </row>
    <row r="20964" spans="84:91" s="51" customFormat="1">
      <c r="CF20964" s="239"/>
      <c r="CM20964" s="336"/>
    </row>
    <row r="20965" spans="84:91" s="51" customFormat="1">
      <c r="CF20965" s="239"/>
      <c r="CM20965" s="336"/>
    </row>
    <row r="20966" spans="84:91" s="51" customFormat="1">
      <c r="CF20966" s="239"/>
      <c r="CM20966" s="336"/>
    </row>
    <row r="20967" spans="84:91" s="51" customFormat="1">
      <c r="CF20967" s="239"/>
      <c r="CM20967" s="336"/>
    </row>
    <row r="20968" spans="84:91" s="51" customFormat="1">
      <c r="CF20968" s="239"/>
      <c r="CM20968" s="336"/>
    </row>
    <row r="20969" spans="84:91" s="51" customFormat="1">
      <c r="CF20969" s="239"/>
      <c r="CM20969" s="336"/>
    </row>
    <row r="20970" spans="84:91" s="51" customFormat="1">
      <c r="CF20970" s="239"/>
      <c r="CM20970" s="336"/>
    </row>
    <row r="20971" spans="84:91" s="51" customFormat="1">
      <c r="CF20971" s="239"/>
      <c r="CM20971" s="336"/>
    </row>
    <row r="20972" spans="84:91" s="51" customFormat="1">
      <c r="CF20972" s="239"/>
      <c r="CM20972" s="336"/>
    </row>
    <row r="20973" spans="84:91" s="51" customFormat="1">
      <c r="CF20973" s="239"/>
      <c r="CM20973" s="336"/>
    </row>
    <row r="20974" spans="84:91" s="51" customFormat="1">
      <c r="CF20974" s="239"/>
      <c r="CM20974" s="336"/>
    </row>
    <row r="20975" spans="84:91" s="51" customFormat="1">
      <c r="CF20975" s="239"/>
      <c r="CM20975" s="336"/>
    </row>
    <row r="20976" spans="84:91" s="51" customFormat="1">
      <c r="CF20976" s="239"/>
      <c r="CM20976" s="336"/>
    </row>
    <row r="20977" spans="84:91" s="51" customFormat="1">
      <c r="CF20977" s="239"/>
      <c r="CM20977" s="336"/>
    </row>
    <row r="20978" spans="84:91" s="51" customFormat="1">
      <c r="CF20978" s="239"/>
      <c r="CM20978" s="336"/>
    </row>
    <row r="20979" spans="84:91" s="51" customFormat="1">
      <c r="CF20979" s="239"/>
      <c r="CM20979" s="336"/>
    </row>
    <row r="20980" spans="84:91" s="51" customFormat="1">
      <c r="CF20980" s="239"/>
      <c r="CM20980" s="336"/>
    </row>
    <row r="20981" spans="84:91" s="51" customFormat="1">
      <c r="CF20981" s="239"/>
      <c r="CM20981" s="336"/>
    </row>
    <row r="20982" spans="84:91" s="51" customFormat="1">
      <c r="CF20982" s="239"/>
      <c r="CM20982" s="336"/>
    </row>
    <row r="20983" spans="84:91" s="51" customFormat="1">
      <c r="CF20983" s="239"/>
      <c r="CM20983" s="336"/>
    </row>
    <row r="20984" spans="84:91" s="51" customFormat="1">
      <c r="CF20984" s="239"/>
      <c r="CM20984" s="336"/>
    </row>
    <row r="20985" spans="84:91" s="51" customFormat="1">
      <c r="CF20985" s="239"/>
      <c r="CM20985" s="336"/>
    </row>
    <row r="20986" spans="84:91" s="51" customFormat="1">
      <c r="CF20986" s="239"/>
      <c r="CM20986" s="336"/>
    </row>
    <row r="20987" spans="84:91" s="51" customFormat="1">
      <c r="CF20987" s="239"/>
      <c r="CM20987" s="336"/>
    </row>
    <row r="20988" spans="84:91" s="51" customFormat="1">
      <c r="CF20988" s="239"/>
      <c r="CM20988" s="336"/>
    </row>
    <row r="20989" spans="84:91" s="51" customFormat="1">
      <c r="CF20989" s="239"/>
      <c r="CM20989" s="336"/>
    </row>
    <row r="20990" spans="84:91" s="51" customFormat="1">
      <c r="CF20990" s="239"/>
      <c r="CM20990" s="336"/>
    </row>
    <row r="20991" spans="84:91" s="51" customFormat="1">
      <c r="CF20991" s="239"/>
      <c r="CM20991" s="336"/>
    </row>
    <row r="20992" spans="84:91" s="51" customFormat="1">
      <c r="CF20992" s="239"/>
      <c r="CM20992" s="336"/>
    </row>
    <row r="20993" spans="84:91" s="51" customFormat="1">
      <c r="CF20993" s="239"/>
      <c r="CM20993" s="336"/>
    </row>
    <row r="20994" spans="84:91" s="51" customFormat="1">
      <c r="CF20994" s="239"/>
      <c r="CM20994" s="336"/>
    </row>
    <row r="20995" spans="84:91" s="51" customFormat="1">
      <c r="CF20995" s="239"/>
      <c r="CM20995" s="336"/>
    </row>
    <row r="20996" spans="84:91" s="51" customFormat="1">
      <c r="CF20996" s="239"/>
      <c r="CM20996" s="336"/>
    </row>
    <row r="20997" spans="84:91" s="51" customFormat="1">
      <c r="CF20997" s="239"/>
      <c r="CM20997" s="336"/>
    </row>
    <row r="20998" spans="84:91" s="51" customFormat="1">
      <c r="CF20998" s="239"/>
      <c r="CM20998" s="336"/>
    </row>
    <row r="20999" spans="84:91" s="51" customFormat="1">
      <c r="CF20999" s="239"/>
      <c r="CM20999" s="336"/>
    </row>
    <row r="21000" spans="84:91" s="51" customFormat="1">
      <c r="CF21000" s="239"/>
      <c r="CM21000" s="336"/>
    </row>
    <row r="21001" spans="84:91" s="51" customFormat="1">
      <c r="CF21001" s="239"/>
      <c r="CM21001" s="336"/>
    </row>
    <row r="21002" spans="84:91" s="51" customFormat="1">
      <c r="CF21002" s="239"/>
      <c r="CM21002" s="336"/>
    </row>
    <row r="21003" spans="84:91" s="51" customFormat="1">
      <c r="CF21003" s="239"/>
      <c r="CM21003" s="336"/>
    </row>
    <row r="21004" spans="84:91" s="51" customFormat="1">
      <c r="CF21004" s="239"/>
      <c r="CM21004" s="336"/>
    </row>
    <row r="21005" spans="84:91" s="51" customFormat="1">
      <c r="CF21005" s="239"/>
      <c r="CM21005" s="336"/>
    </row>
    <row r="21006" spans="84:91" s="51" customFormat="1">
      <c r="CF21006" s="239"/>
      <c r="CM21006" s="336"/>
    </row>
    <row r="21007" spans="84:91" s="51" customFormat="1">
      <c r="CF21007" s="239"/>
      <c r="CM21007" s="336"/>
    </row>
    <row r="21008" spans="84:91" s="51" customFormat="1">
      <c r="CF21008" s="239"/>
      <c r="CM21008" s="336"/>
    </row>
    <row r="21009" spans="84:91" s="51" customFormat="1">
      <c r="CF21009" s="239"/>
      <c r="CM21009" s="336"/>
    </row>
    <row r="21010" spans="84:91" s="51" customFormat="1">
      <c r="CF21010" s="239"/>
      <c r="CM21010" s="336"/>
    </row>
    <row r="21011" spans="84:91" s="51" customFormat="1">
      <c r="CF21011" s="239"/>
      <c r="CM21011" s="336"/>
    </row>
    <row r="21012" spans="84:91" s="51" customFormat="1">
      <c r="CF21012" s="239"/>
      <c r="CM21012" s="336"/>
    </row>
    <row r="21013" spans="84:91" s="51" customFormat="1">
      <c r="CF21013" s="239"/>
      <c r="CM21013" s="336"/>
    </row>
    <row r="21014" spans="84:91" s="51" customFormat="1">
      <c r="CF21014" s="239"/>
      <c r="CM21014" s="336"/>
    </row>
    <row r="21015" spans="84:91" s="51" customFormat="1">
      <c r="CF21015" s="239"/>
      <c r="CM21015" s="336"/>
    </row>
    <row r="21016" spans="84:91" s="51" customFormat="1">
      <c r="CF21016" s="239"/>
      <c r="CM21016" s="336"/>
    </row>
    <row r="21017" spans="84:91" s="51" customFormat="1">
      <c r="CF21017" s="239"/>
      <c r="CM21017" s="336"/>
    </row>
    <row r="21018" spans="84:91" s="51" customFormat="1">
      <c r="CF21018" s="239"/>
      <c r="CM21018" s="336"/>
    </row>
    <row r="21019" spans="84:91" s="51" customFormat="1">
      <c r="CF21019" s="239"/>
      <c r="CM21019" s="336"/>
    </row>
    <row r="21020" spans="84:91" s="51" customFormat="1">
      <c r="CF21020" s="239"/>
      <c r="CM21020" s="336"/>
    </row>
    <row r="21021" spans="84:91" s="51" customFormat="1">
      <c r="CF21021" s="239"/>
      <c r="CM21021" s="336"/>
    </row>
    <row r="21022" spans="84:91" s="51" customFormat="1">
      <c r="CF21022" s="239"/>
      <c r="CM21022" s="336"/>
    </row>
    <row r="21023" spans="84:91" s="51" customFormat="1">
      <c r="CF21023" s="239"/>
      <c r="CM21023" s="336"/>
    </row>
    <row r="21024" spans="84:91" s="51" customFormat="1">
      <c r="CF21024" s="239"/>
      <c r="CM21024" s="336"/>
    </row>
    <row r="21025" spans="84:91" s="51" customFormat="1">
      <c r="CF21025" s="239"/>
      <c r="CM21025" s="336"/>
    </row>
    <row r="21026" spans="84:91" s="51" customFormat="1">
      <c r="CF21026" s="239"/>
      <c r="CM21026" s="336"/>
    </row>
    <row r="21027" spans="84:91" s="51" customFormat="1">
      <c r="CF21027" s="239"/>
      <c r="CM21027" s="336"/>
    </row>
    <row r="21028" spans="84:91" s="51" customFormat="1">
      <c r="CF21028" s="239"/>
      <c r="CM21028" s="336"/>
    </row>
    <row r="21029" spans="84:91" s="51" customFormat="1">
      <c r="CF21029" s="239"/>
      <c r="CM21029" s="336"/>
    </row>
    <row r="21030" spans="84:91" s="51" customFormat="1">
      <c r="CF21030" s="239"/>
      <c r="CM21030" s="336"/>
    </row>
    <row r="21031" spans="84:91" s="51" customFormat="1">
      <c r="CF21031" s="239"/>
      <c r="CM21031" s="336"/>
    </row>
    <row r="21032" spans="84:91" s="51" customFormat="1">
      <c r="CF21032" s="239"/>
      <c r="CM21032" s="336"/>
    </row>
    <row r="21033" spans="84:91" s="51" customFormat="1">
      <c r="CF21033" s="239"/>
      <c r="CM21033" s="336"/>
    </row>
    <row r="21034" spans="84:91" s="51" customFormat="1">
      <c r="CF21034" s="239"/>
      <c r="CM21034" s="336"/>
    </row>
    <row r="21035" spans="84:91" s="51" customFormat="1">
      <c r="CF21035" s="239"/>
      <c r="CM21035" s="336"/>
    </row>
    <row r="21036" spans="84:91" s="51" customFormat="1">
      <c r="CF21036" s="239"/>
      <c r="CM21036" s="336"/>
    </row>
    <row r="21037" spans="84:91" s="51" customFormat="1">
      <c r="CF21037" s="239"/>
      <c r="CM21037" s="336"/>
    </row>
    <row r="21038" spans="84:91" s="51" customFormat="1">
      <c r="CF21038" s="239"/>
      <c r="CM21038" s="336"/>
    </row>
    <row r="21039" spans="84:91" s="51" customFormat="1">
      <c r="CF21039" s="239"/>
      <c r="CM21039" s="336"/>
    </row>
    <row r="21040" spans="84:91" s="51" customFormat="1">
      <c r="CF21040" s="239"/>
      <c r="CM21040" s="336"/>
    </row>
    <row r="21041" spans="84:91" s="51" customFormat="1">
      <c r="CF21041" s="239"/>
      <c r="CM21041" s="336"/>
    </row>
    <row r="21042" spans="84:91" s="51" customFormat="1">
      <c r="CF21042" s="239"/>
      <c r="CM21042" s="336"/>
    </row>
    <row r="21043" spans="84:91" s="51" customFormat="1">
      <c r="CF21043" s="239"/>
      <c r="CM21043" s="336"/>
    </row>
    <row r="21044" spans="84:91" s="51" customFormat="1">
      <c r="CF21044" s="239"/>
      <c r="CM21044" s="336"/>
    </row>
    <row r="21045" spans="84:91" s="51" customFormat="1">
      <c r="CF21045" s="239"/>
      <c r="CM21045" s="336"/>
    </row>
    <row r="21046" spans="84:91" s="51" customFormat="1">
      <c r="CF21046" s="239"/>
      <c r="CM21046" s="336"/>
    </row>
    <row r="21047" spans="84:91" s="51" customFormat="1">
      <c r="CF21047" s="239"/>
      <c r="CM21047" s="336"/>
    </row>
    <row r="21048" spans="84:91" s="51" customFormat="1">
      <c r="CF21048" s="239"/>
      <c r="CM21048" s="336"/>
    </row>
    <row r="21049" spans="84:91" s="51" customFormat="1">
      <c r="CF21049" s="239"/>
      <c r="CM21049" s="336"/>
    </row>
    <row r="21050" spans="84:91" s="51" customFormat="1">
      <c r="CF21050" s="239"/>
      <c r="CM21050" s="336"/>
    </row>
    <row r="21051" spans="84:91" s="51" customFormat="1">
      <c r="CF21051" s="239"/>
      <c r="CM21051" s="336"/>
    </row>
    <row r="21052" spans="84:91" s="51" customFormat="1">
      <c r="CF21052" s="239"/>
      <c r="CM21052" s="336"/>
    </row>
    <row r="21053" spans="84:91" s="51" customFormat="1">
      <c r="CF21053" s="239"/>
      <c r="CM21053" s="336"/>
    </row>
    <row r="21054" spans="84:91" s="51" customFormat="1">
      <c r="CF21054" s="239"/>
      <c r="CM21054" s="336"/>
    </row>
    <row r="21055" spans="84:91" s="51" customFormat="1">
      <c r="CF21055" s="239"/>
      <c r="CM21055" s="336"/>
    </row>
    <row r="21056" spans="84:91" s="51" customFormat="1">
      <c r="CF21056" s="239"/>
      <c r="CM21056" s="336"/>
    </row>
    <row r="21057" spans="84:91" s="51" customFormat="1">
      <c r="CF21057" s="239"/>
      <c r="CM21057" s="336"/>
    </row>
    <row r="21058" spans="84:91" s="51" customFormat="1">
      <c r="CF21058" s="239"/>
      <c r="CM21058" s="336"/>
    </row>
    <row r="21059" spans="84:91" s="51" customFormat="1">
      <c r="CF21059" s="239"/>
      <c r="CM21059" s="336"/>
    </row>
    <row r="21060" spans="84:91" s="51" customFormat="1">
      <c r="CF21060" s="239"/>
      <c r="CM21060" s="336"/>
    </row>
    <row r="21061" spans="84:91" s="51" customFormat="1">
      <c r="CF21061" s="239"/>
      <c r="CM21061" s="336"/>
    </row>
    <row r="21062" spans="84:91" s="51" customFormat="1">
      <c r="CF21062" s="239"/>
      <c r="CM21062" s="336"/>
    </row>
    <row r="21063" spans="84:91" s="51" customFormat="1">
      <c r="CF21063" s="239"/>
      <c r="CM21063" s="336"/>
    </row>
    <row r="21064" spans="84:91" s="51" customFormat="1">
      <c r="CF21064" s="239"/>
      <c r="CM21064" s="336"/>
    </row>
    <row r="21065" spans="84:91" s="51" customFormat="1">
      <c r="CF21065" s="239"/>
      <c r="CM21065" s="336"/>
    </row>
    <row r="21066" spans="84:91" s="51" customFormat="1">
      <c r="CF21066" s="239"/>
      <c r="CM21066" s="336"/>
    </row>
    <row r="21067" spans="84:91" s="51" customFormat="1">
      <c r="CF21067" s="239"/>
      <c r="CM21067" s="336"/>
    </row>
    <row r="21068" spans="84:91" s="51" customFormat="1">
      <c r="CF21068" s="239"/>
      <c r="CM21068" s="336"/>
    </row>
    <row r="21069" spans="84:91" s="51" customFormat="1">
      <c r="CF21069" s="239"/>
      <c r="CM21069" s="336"/>
    </row>
    <row r="21070" spans="84:91" s="51" customFormat="1">
      <c r="CF21070" s="239"/>
      <c r="CM21070" s="336"/>
    </row>
    <row r="21071" spans="84:91" s="51" customFormat="1">
      <c r="CF21071" s="239"/>
      <c r="CM21071" s="336"/>
    </row>
    <row r="21072" spans="84:91" s="51" customFormat="1">
      <c r="CF21072" s="239"/>
      <c r="CM21072" s="336"/>
    </row>
    <row r="21073" spans="84:91" s="51" customFormat="1">
      <c r="CF21073" s="239"/>
      <c r="CM21073" s="336"/>
    </row>
    <row r="21074" spans="84:91" s="51" customFormat="1">
      <c r="CF21074" s="239"/>
      <c r="CM21074" s="336"/>
    </row>
    <row r="21075" spans="84:91" s="51" customFormat="1">
      <c r="CF21075" s="239"/>
      <c r="CM21075" s="336"/>
    </row>
    <row r="21076" spans="84:91" s="51" customFormat="1">
      <c r="CF21076" s="239"/>
      <c r="CM21076" s="336"/>
    </row>
    <row r="21077" spans="84:91" s="51" customFormat="1">
      <c r="CF21077" s="239"/>
      <c r="CM21077" s="336"/>
    </row>
    <row r="21078" spans="84:91" s="51" customFormat="1">
      <c r="CF21078" s="239"/>
      <c r="CM21078" s="336"/>
    </row>
    <row r="21079" spans="84:91" s="51" customFormat="1">
      <c r="CF21079" s="239"/>
      <c r="CM21079" s="336"/>
    </row>
    <row r="21080" spans="84:91" s="51" customFormat="1">
      <c r="CF21080" s="239"/>
      <c r="CM21080" s="336"/>
    </row>
    <row r="21081" spans="84:91" s="51" customFormat="1">
      <c r="CF21081" s="239"/>
      <c r="CM21081" s="336"/>
    </row>
    <row r="21082" spans="84:91" s="51" customFormat="1">
      <c r="CF21082" s="239"/>
      <c r="CM21082" s="336"/>
    </row>
    <row r="21083" spans="84:91" s="51" customFormat="1">
      <c r="CF21083" s="239"/>
      <c r="CM21083" s="336"/>
    </row>
    <row r="21084" spans="84:91" s="51" customFormat="1">
      <c r="CF21084" s="239"/>
      <c r="CM21084" s="336"/>
    </row>
    <row r="21085" spans="84:91" s="51" customFormat="1">
      <c r="CF21085" s="239"/>
      <c r="CM21085" s="336"/>
    </row>
    <row r="21086" spans="84:91" s="51" customFormat="1">
      <c r="CF21086" s="239"/>
      <c r="CM21086" s="336"/>
    </row>
    <row r="21087" spans="84:91" s="51" customFormat="1">
      <c r="CF21087" s="239"/>
      <c r="CM21087" s="336"/>
    </row>
    <row r="21088" spans="84:91" s="51" customFormat="1">
      <c r="CF21088" s="239"/>
      <c r="CM21088" s="336"/>
    </row>
    <row r="21089" spans="84:91" s="51" customFormat="1">
      <c r="CF21089" s="239"/>
      <c r="CM21089" s="336"/>
    </row>
    <row r="21090" spans="84:91" s="51" customFormat="1">
      <c r="CF21090" s="239"/>
      <c r="CM21090" s="336"/>
    </row>
    <row r="21091" spans="84:91" s="51" customFormat="1">
      <c r="CF21091" s="239"/>
      <c r="CM21091" s="336"/>
    </row>
    <row r="21092" spans="84:91" s="51" customFormat="1">
      <c r="CF21092" s="239"/>
      <c r="CM21092" s="336"/>
    </row>
    <row r="21093" spans="84:91" s="51" customFormat="1">
      <c r="CF21093" s="239"/>
      <c r="CM21093" s="336"/>
    </row>
    <row r="21094" spans="84:91" s="51" customFormat="1">
      <c r="CF21094" s="239"/>
      <c r="CM21094" s="336"/>
    </row>
    <row r="21095" spans="84:91" s="51" customFormat="1">
      <c r="CF21095" s="239"/>
      <c r="CM21095" s="336"/>
    </row>
    <row r="21096" spans="84:91" s="51" customFormat="1">
      <c r="CF21096" s="239"/>
      <c r="CM21096" s="336"/>
    </row>
    <row r="21097" spans="84:91" s="51" customFormat="1">
      <c r="CF21097" s="239"/>
      <c r="CM21097" s="336"/>
    </row>
    <row r="21098" spans="84:91" s="51" customFormat="1">
      <c r="CF21098" s="239"/>
      <c r="CM21098" s="336"/>
    </row>
    <row r="21099" spans="84:91" s="51" customFormat="1">
      <c r="CF21099" s="239"/>
      <c r="CM21099" s="336"/>
    </row>
    <row r="21100" spans="84:91" s="51" customFormat="1">
      <c r="CF21100" s="239"/>
      <c r="CM21100" s="336"/>
    </row>
    <row r="21101" spans="84:91" s="51" customFormat="1">
      <c r="CF21101" s="239"/>
      <c r="CM21101" s="336"/>
    </row>
    <row r="21102" spans="84:91" s="51" customFormat="1">
      <c r="CF21102" s="239"/>
      <c r="CM21102" s="336"/>
    </row>
    <row r="21103" spans="84:91" s="51" customFormat="1">
      <c r="CF21103" s="239"/>
      <c r="CM21103" s="336"/>
    </row>
    <row r="21104" spans="84:91" s="51" customFormat="1">
      <c r="CF21104" s="239"/>
      <c r="CM21104" s="336"/>
    </row>
    <row r="21105" spans="84:91" s="51" customFormat="1">
      <c r="CF21105" s="239"/>
      <c r="CM21105" s="336"/>
    </row>
    <row r="21106" spans="84:91" s="51" customFormat="1">
      <c r="CF21106" s="239"/>
      <c r="CM21106" s="336"/>
    </row>
    <row r="21107" spans="84:91" s="51" customFormat="1">
      <c r="CF21107" s="239"/>
      <c r="CM21107" s="336"/>
    </row>
    <row r="21108" spans="84:91" s="51" customFormat="1">
      <c r="CF21108" s="239"/>
      <c r="CM21108" s="336"/>
    </row>
    <row r="21109" spans="84:91" s="51" customFormat="1">
      <c r="CF21109" s="239"/>
      <c r="CM21109" s="336"/>
    </row>
    <row r="21110" spans="84:91" s="51" customFormat="1">
      <c r="CF21110" s="239"/>
      <c r="CM21110" s="336"/>
    </row>
    <row r="21111" spans="84:91" s="51" customFormat="1">
      <c r="CF21111" s="239"/>
      <c r="CM21111" s="336"/>
    </row>
    <row r="21112" spans="84:91" s="51" customFormat="1">
      <c r="CF21112" s="239"/>
      <c r="CM21112" s="336"/>
    </row>
    <row r="21113" spans="84:91" s="51" customFormat="1">
      <c r="CF21113" s="239"/>
      <c r="CM21113" s="336"/>
    </row>
    <row r="21114" spans="84:91" s="51" customFormat="1">
      <c r="CF21114" s="239"/>
      <c r="CM21114" s="336"/>
    </row>
    <row r="21115" spans="84:91" s="51" customFormat="1">
      <c r="CF21115" s="239"/>
      <c r="CM21115" s="336"/>
    </row>
    <row r="21116" spans="84:91" s="51" customFormat="1">
      <c r="CF21116" s="239"/>
      <c r="CM21116" s="336"/>
    </row>
    <row r="21117" spans="84:91" s="51" customFormat="1">
      <c r="CF21117" s="239"/>
      <c r="CM21117" s="336"/>
    </row>
    <row r="21118" spans="84:91" s="51" customFormat="1">
      <c r="CF21118" s="239"/>
      <c r="CM21118" s="336"/>
    </row>
    <row r="21119" spans="84:91" s="51" customFormat="1">
      <c r="CF21119" s="239"/>
      <c r="CM21119" s="336"/>
    </row>
    <row r="21120" spans="84:91" s="51" customFormat="1">
      <c r="CF21120" s="239"/>
      <c r="CM21120" s="336"/>
    </row>
    <row r="21121" spans="84:91" s="51" customFormat="1">
      <c r="CF21121" s="239"/>
      <c r="CM21121" s="336"/>
    </row>
    <row r="21122" spans="84:91" s="51" customFormat="1">
      <c r="CF21122" s="239"/>
      <c r="CM21122" s="336"/>
    </row>
    <row r="21123" spans="84:91" s="51" customFormat="1">
      <c r="CF21123" s="239"/>
      <c r="CM21123" s="336"/>
    </row>
    <row r="21124" spans="84:91" s="51" customFormat="1">
      <c r="CF21124" s="239"/>
      <c r="CM21124" s="336"/>
    </row>
    <row r="21125" spans="84:91" s="51" customFormat="1">
      <c r="CF21125" s="239"/>
      <c r="CM21125" s="336"/>
    </row>
    <row r="21126" spans="84:91" s="51" customFormat="1">
      <c r="CF21126" s="239"/>
      <c r="CM21126" s="336"/>
    </row>
    <row r="21127" spans="84:91" s="51" customFormat="1">
      <c r="CF21127" s="239"/>
      <c r="CM21127" s="336"/>
    </row>
    <row r="21128" spans="84:91" s="51" customFormat="1">
      <c r="CF21128" s="239"/>
      <c r="CM21128" s="336"/>
    </row>
    <row r="21129" spans="84:91" s="51" customFormat="1">
      <c r="CF21129" s="239"/>
      <c r="CM21129" s="336"/>
    </row>
    <row r="21130" spans="84:91" s="51" customFormat="1">
      <c r="CF21130" s="239"/>
      <c r="CM21130" s="336"/>
    </row>
    <row r="21131" spans="84:91" s="51" customFormat="1">
      <c r="CF21131" s="239"/>
      <c r="CM21131" s="336"/>
    </row>
    <row r="21132" spans="84:91" s="51" customFormat="1">
      <c r="CF21132" s="239"/>
      <c r="CM21132" s="336"/>
    </row>
    <row r="21133" spans="84:91" s="51" customFormat="1">
      <c r="CF21133" s="239"/>
      <c r="CM21133" s="336"/>
    </row>
    <row r="21134" spans="84:91" s="51" customFormat="1">
      <c r="CF21134" s="239"/>
      <c r="CM21134" s="336"/>
    </row>
    <row r="21135" spans="84:91" s="51" customFormat="1">
      <c r="CF21135" s="239"/>
      <c r="CM21135" s="336"/>
    </row>
    <row r="21136" spans="84:91" s="51" customFormat="1">
      <c r="CF21136" s="239"/>
      <c r="CM21136" s="336"/>
    </row>
    <row r="21137" spans="84:91" s="51" customFormat="1">
      <c r="CF21137" s="239"/>
      <c r="CM21137" s="336"/>
    </row>
    <row r="21138" spans="84:91" s="51" customFormat="1">
      <c r="CF21138" s="239"/>
      <c r="CM21138" s="336"/>
    </row>
    <row r="21139" spans="84:91" s="51" customFormat="1">
      <c r="CF21139" s="239"/>
      <c r="CM21139" s="336"/>
    </row>
    <row r="21140" spans="84:91" s="51" customFormat="1">
      <c r="CF21140" s="239"/>
      <c r="CM21140" s="336"/>
    </row>
    <row r="21141" spans="84:91" s="51" customFormat="1">
      <c r="CF21141" s="239"/>
      <c r="CM21141" s="336"/>
    </row>
    <row r="21142" spans="84:91" s="51" customFormat="1">
      <c r="CF21142" s="239"/>
      <c r="CM21142" s="336"/>
    </row>
    <row r="21143" spans="84:91" s="51" customFormat="1">
      <c r="CF21143" s="239"/>
      <c r="CM21143" s="336"/>
    </row>
    <row r="21144" spans="84:91" s="51" customFormat="1">
      <c r="CF21144" s="239"/>
      <c r="CM21144" s="336"/>
    </row>
    <row r="21145" spans="84:91" s="51" customFormat="1">
      <c r="CF21145" s="239"/>
      <c r="CM21145" s="336"/>
    </row>
    <row r="21146" spans="84:91" s="51" customFormat="1">
      <c r="CF21146" s="239"/>
      <c r="CM21146" s="336"/>
    </row>
    <row r="21147" spans="84:91" s="51" customFormat="1">
      <c r="CF21147" s="239"/>
      <c r="CM21147" s="336"/>
    </row>
    <row r="21148" spans="84:91" s="51" customFormat="1">
      <c r="CF21148" s="239"/>
      <c r="CM21148" s="336"/>
    </row>
    <row r="21149" spans="84:91" s="51" customFormat="1">
      <c r="CF21149" s="239"/>
      <c r="CM21149" s="336"/>
    </row>
    <row r="21150" spans="84:91" s="51" customFormat="1">
      <c r="CF21150" s="239"/>
      <c r="CM21150" s="336"/>
    </row>
    <row r="21151" spans="84:91" s="51" customFormat="1">
      <c r="CF21151" s="239"/>
      <c r="CM21151" s="336"/>
    </row>
    <row r="21152" spans="84:91" s="51" customFormat="1">
      <c r="CF21152" s="239"/>
      <c r="CM21152" s="336"/>
    </row>
    <row r="21153" spans="84:91" s="51" customFormat="1">
      <c r="CF21153" s="239"/>
      <c r="CM21153" s="336"/>
    </row>
    <row r="21154" spans="84:91" s="51" customFormat="1">
      <c r="CF21154" s="239"/>
      <c r="CM21154" s="336"/>
    </row>
    <row r="21155" spans="84:91" s="51" customFormat="1">
      <c r="CF21155" s="239"/>
      <c r="CM21155" s="336"/>
    </row>
    <row r="21156" spans="84:91" s="51" customFormat="1">
      <c r="CF21156" s="239"/>
      <c r="CM21156" s="336"/>
    </row>
    <row r="21157" spans="84:91" s="51" customFormat="1">
      <c r="CF21157" s="239"/>
      <c r="CM21157" s="336"/>
    </row>
    <row r="21158" spans="84:91" s="51" customFormat="1">
      <c r="CF21158" s="239"/>
      <c r="CM21158" s="336"/>
    </row>
    <row r="21159" spans="84:91" s="51" customFormat="1">
      <c r="CF21159" s="239"/>
      <c r="CM21159" s="336"/>
    </row>
    <row r="21160" spans="84:91" s="51" customFormat="1">
      <c r="CF21160" s="239"/>
      <c r="CM21160" s="336"/>
    </row>
    <row r="21161" spans="84:91" s="51" customFormat="1">
      <c r="CF21161" s="239"/>
      <c r="CM21161" s="336"/>
    </row>
    <row r="21162" spans="84:91" s="51" customFormat="1">
      <c r="CF21162" s="239"/>
      <c r="CM21162" s="336"/>
    </row>
    <row r="21163" spans="84:91" s="51" customFormat="1">
      <c r="CF21163" s="239"/>
      <c r="CM21163" s="336"/>
    </row>
    <row r="21164" spans="84:91" s="51" customFormat="1">
      <c r="CF21164" s="239"/>
      <c r="CM21164" s="336"/>
    </row>
    <row r="21165" spans="84:91" s="51" customFormat="1">
      <c r="CF21165" s="239"/>
      <c r="CM21165" s="336"/>
    </row>
    <row r="21166" spans="84:91" s="51" customFormat="1">
      <c r="CF21166" s="239"/>
      <c r="CM21166" s="336"/>
    </row>
    <row r="21167" spans="84:91" s="51" customFormat="1">
      <c r="CF21167" s="239"/>
      <c r="CM21167" s="336"/>
    </row>
    <row r="21168" spans="84:91" s="51" customFormat="1">
      <c r="CF21168" s="239"/>
      <c r="CM21168" s="336"/>
    </row>
    <row r="21169" spans="84:91" s="51" customFormat="1">
      <c r="CF21169" s="239"/>
      <c r="CM21169" s="336"/>
    </row>
    <row r="21170" spans="84:91" s="51" customFormat="1">
      <c r="CF21170" s="239"/>
      <c r="CM21170" s="336"/>
    </row>
    <row r="21171" spans="84:91" s="51" customFormat="1">
      <c r="CF21171" s="239"/>
      <c r="CM21171" s="336"/>
    </row>
    <row r="21172" spans="84:91" s="51" customFormat="1">
      <c r="CF21172" s="239"/>
      <c r="CM21172" s="336"/>
    </row>
    <row r="21173" spans="84:91" s="51" customFormat="1">
      <c r="CF21173" s="239"/>
      <c r="CM21173" s="336"/>
    </row>
    <row r="21174" spans="84:91" s="51" customFormat="1">
      <c r="CF21174" s="239"/>
      <c r="CM21174" s="336"/>
    </row>
    <row r="21175" spans="84:91" s="51" customFormat="1">
      <c r="CF21175" s="239"/>
      <c r="CM21175" s="336"/>
    </row>
    <row r="21176" spans="84:91" s="51" customFormat="1">
      <c r="CF21176" s="239"/>
      <c r="CM21176" s="336"/>
    </row>
    <row r="21177" spans="84:91" s="51" customFormat="1">
      <c r="CF21177" s="239"/>
      <c r="CM21177" s="336"/>
    </row>
    <row r="21178" spans="84:91" s="51" customFormat="1">
      <c r="CF21178" s="239"/>
      <c r="CM21178" s="336"/>
    </row>
    <row r="21179" spans="84:91" s="51" customFormat="1">
      <c r="CF21179" s="239"/>
      <c r="CM21179" s="336"/>
    </row>
    <row r="21180" spans="84:91" s="51" customFormat="1">
      <c r="CF21180" s="239"/>
      <c r="CM21180" s="336"/>
    </row>
    <row r="21181" spans="84:91" s="51" customFormat="1">
      <c r="CF21181" s="239"/>
      <c r="CM21181" s="336"/>
    </row>
    <row r="21182" spans="84:91" s="51" customFormat="1">
      <c r="CF21182" s="239"/>
      <c r="CM21182" s="336"/>
    </row>
    <row r="21183" spans="84:91" s="51" customFormat="1">
      <c r="CF21183" s="239"/>
      <c r="CM21183" s="336"/>
    </row>
    <row r="21184" spans="84:91" s="51" customFormat="1">
      <c r="CF21184" s="239"/>
      <c r="CM21184" s="336"/>
    </row>
    <row r="21185" spans="84:91" s="51" customFormat="1">
      <c r="CF21185" s="239"/>
      <c r="CM21185" s="336"/>
    </row>
    <row r="21186" spans="84:91" s="51" customFormat="1">
      <c r="CF21186" s="239"/>
      <c r="CM21186" s="336"/>
    </row>
    <row r="21187" spans="84:91" s="51" customFormat="1">
      <c r="CF21187" s="239"/>
      <c r="CM21187" s="336"/>
    </row>
    <row r="21188" spans="84:91" s="51" customFormat="1">
      <c r="CF21188" s="239"/>
      <c r="CM21188" s="336"/>
    </row>
    <row r="21189" spans="84:91" s="51" customFormat="1">
      <c r="CF21189" s="239"/>
      <c r="CM21189" s="336"/>
    </row>
    <row r="21190" spans="84:91" s="51" customFormat="1">
      <c r="CF21190" s="239"/>
      <c r="CM21190" s="336"/>
    </row>
    <row r="21191" spans="84:91" s="51" customFormat="1">
      <c r="CF21191" s="239"/>
      <c r="CM21191" s="336"/>
    </row>
    <row r="21192" spans="84:91" s="51" customFormat="1">
      <c r="CF21192" s="239"/>
      <c r="CM21192" s="336"/>
    </row>
    <row r="21193" spans="84:91" s="51" customFormat="1">
      <c r="CF21193" s="239"/>
      <c r="CM21193" s="336"/>
    </row>
    <row r="21194" spans="84:91" s="51" customFormat="1">
      <c r="CF21194" s="239"/>
      <c r="CM21194" s="336"/>
    </row>
    <row r="21195" spans="84:91" s="51" customFormat="1">
      <c r="CF21195" s="239"/>
      <c r="CM21195" s="336"/>
    </row>
    <row r="21196" spans="84:91" s="51" customFormat="1">
      <c r="CF21196" s="239"/>
      <c r="CM21196" s="336"/>
    </row>
    <row r="21197" spans="84:91" s="51" customFormat="1">
      <c r="CF21197" s="239"/>
      <c r="CM21197" s="336"/>
    </row>
    <row r="21198" spans="84:91" s="51" customFormat="1">
      <c r="CF21198" s="239"/>
      <c r="CM21198" s="336"/>
    </row>
    <row r="21199" spans="84:91" s="51" customFormat="1">
      <c r="CF21199" s="239"/>
      <c r="CM21199" s="336"/>
    </row>
    <row r="21200" spans="84:91" s="51" customFormat="1">
      <c r="CF21200" s="239"/>
      <c r="CM21200" s="336"/>
    </row>
    <row r="21201" spans="84:91" s="51" customFormat="1">
      <c r="CF21201" s="239"/>
      <c r="CM21201" s="336"/>
    </row>
    <row r="21202" spans="84:91" s="51" customFormat="1">
      <c r="CF21202" s="239"/>
      <c r="CM21202" s="336"/>
    </row>
    <row r="21203" spans="84:91" s="51" customFormat="1">
      <c r="CF21203" s="239"/>
      <c r="CM21203" s="336"/>
    </row>
    <row r="21204" spans="84:91" s="51" customFormat="1">
      <c r="CF21204" s="239"/>
      <c r="CM21204" s="336"/>
    </row>
    <row r="21205" spans="84:91" s="51" customFormat="1">
      <c r="CF21205" s="239"/>
      <c r="CM21205" s="336"/>
    </row>
    <row r="21206" spans="84:91" s="51" customFormat="1">
      <c r="CF21206" s="239"/>
      <c r="CM21206" s="336"/>
    </row>
    <row r="21207" spans="84:91" s="51" customFormat="1">
      <c r="CF21207" s="239"/>
      <c r="CM21207" s="336"/>
    </row>
    <row r="21208" spans="84:91" s="51" customFormat="1">
      <c r="CF21208" s="239"/>
      <c r="CM21208" s="336"/>
    </row>
    <row r="21209" spans="84:91" s="51" customFormat="1">
      <c r="CF21209" s="239"/>
      <c r="CM21209" s="336"/>
    </row>
    <row r="21210" spans="84:91" s="51" customFormat="1">
      <c r="CF21210" s="239"/>
      <c r="CM21210" s="336"/>
    </row>
    <row r="21211" spans="84:91" s="51" customFormat="1">
      <c r="CF21211" s="239"/>
      <c r="CM21211" s="336"/>
    </row>
    <row r="21212" spans="84:91" s="51" customFormat="1">
      <c r="CF21212" s="239"/>
      <c r="CM21212" s="336"/>
    </row>
    <row r="21213" spans="84:91" s="51" customFormat="1">
      <c r="CF21213" s="239"/>
      <c r="CM21213" s="336"/>
    </row>
    <row r="21214" spans="84:91" s="51" customFormat="1">
      <c r="CF21214" s="239"/>
      <c r="CM21214" s="336"/>
    </row>
    <row r="21215" spans="84:91" s="51" customFormat="1">
      <c r="CF21215" s="239"/>
      <c r="CM21215" s="336"/>
    </row>
    <row r="21216" spans="84:91" s="51" customFormat="1">
      <c r="CF21216" s="239"/>
      <c r="CM21216" s="336"/>
    </row>
    <row r="21217" spans="84:91" s="51" customFormat="1">
      <c r="CF21217" s="239"/>
      <c r="CM21217" s="336"/>
    </row>
    <row r="21218" spans="84:91" s="51" customFormat="1">
      <c r="CF21218" s="239"/>
      <c r="CM21218" s="336"/>
    </row>
    <row r="21219" spans="84:91" s="51" customFormat="1">
      <c r="CF21219" s="239"/>
      <c r="CM21219" s="336"/>
    </row>
    <row r="21220" spans="84:91" s="51" customFormat="1">
      <c r="CF21220" s="239"/>
      <c r="CM21220" s="336"/>
    </row>
    <row r="21221" spans="84:91" s="51" customFormat="1">
      <c r="CF21221" s="239"/>
      <c r="CM21221" s="336"/>
    </row>
    <row r="21222" spans="84:91" s="51" customFormat="1">
      <c r="CF21222" s="239"/>
      <c r="CM21222" s="336"/>
    </row>
    <row r="21223" spans="84:91" s="51" customFormat="1">
      <c r="CF21223" s="239"/>
      <c r="CM21223" s="336"/>
    </row>
    <row r="21224" spans="84:91" s="51" customFormat="1">
      <c r="CF21224" s="239"/>
      <c r="CM21224" s="336"/>
    </row>
    <row r="21225" spans="84:91" s="51" customFormat="1">
      <c r="CF21225" s="239"/>
      <c r="CM21225" s="336"/>
    </row>
    <row r="21226" spans="84:91" s="51" customFormat="1">
      <c r="CF21226" s="239"/>
      <c r="CM21226" s="336"/>
    </row>
    <row r="21227" spans="84:91" s="51" customFormat="1">
      <c r="CF21227" s="239"/>
      <c r="CM21227" s="336"/>
    </row>
    <row r="21228" spans="84:91" s="51" customFormat="1">
      <c r="CF21228" s="239"/>
      <c r="CM21228" s="336"/>
    </row>
    <row r="21229" spans="84:91" s="51" customFormat="1">
      <c r="CF21229" s="239"/>
      <c r="CM21229" s="336"/>
    </row>
    <row r="21230" spans="84:91" s="51" customFormat="1">
      <c r="CF21230" s="239"/>
      <c r="CM21230" s="336"/>
    </row>
    <row r="21231" spans="84:91" s="51" customFormat="1">
      <c r="CF21231" s="239"/>
      <c r="CM21231" s="336"/>
    </row>
    <row r="21232" spans="84:91" s="51" customFormat="1">
      <c r="CF21232" s="239"/>
      <c r="CM21232" s="336"/>
    </row>
    <row r="21233" spans="84:91" s="51" customFormat="1">
      <c r="CF21233" s="239"/>
      <c r="CM21233" s="336"/>
    </row>
    <row r="21234" spans="84:91" s="51" customFormat="1">
      <c r="CF21234" s="239"/>
      <c r="CM21234" s="336"/>
    </row>
    <row r="21235" spans="84:91" s="51" customFormat="1">
      <c r="CF21235" s="239"/>
      <c r="CM21235" s="336"/>
    </row>
    <row r="21236" spans="84:91" s="51" customFormat="1">
      <c r="CF21236" s="239"/>
      <c r="CM21236" s="336"/>
    </row>
    <row r="21237" spans="84:91" s="51" customFormat="1">
      <c r="CF21237" s="239"/>
      <c r="CM21237" s="336"/>
    </row>
    <row r="21238" spans="84:91" s="51" customFormat="1">
      <c r="CF21238" s="239"/>
      <c r="CM21238" s="336"/>
    </row>
    <row r="21239" spans="84:91" s="51" customFormat="1">
      <c r="CF21239" s="239"/>
      <c r="CM21239" s="336"/>
    </row>
    <row r="21240" spans="84:91" s="51" customFormat="1">
      <c r="CF21240" s="239"/>
      <c r="CM21240" s="336"/>
    </row>
    <row r="21241" spans="84:91" s="51" customFormat="1">
      <c r="CF21241" s="239"/>
      <c r="CM21241" s="336"/>
    </row>
    <row r="21242" spans="84:91" s="51" customFormat="1">
      <c r="CF21242" s="239"/>
      <c r="CM21242" s="336"/>
    </row>
    <row r="21243" spans="84:91" s="51" customFormat="1">
      <c r="CF21243" s="239"/>
      <c r="CM21243" s="336"/>
    </row>
    <row r="21244" spans="84:91" s="51" customFormat="1">
      <c r="CF21244" s="239"/>
      <c r="CM21244" s="336"/>
    </row>
    <row r="21245" spans="84:91" s="51" customFormat="1">
      <c r="CF21245" s="239"/>
      <c r="CM21245" s="336"/>
    </row>
    <row r="21246" spans="84:91" s="51" customFormat="1">
      <c r="CF21246" s="239"/>
      <c r="CM21246" s="336"/>
    </row>
    <row r="21247" spans="84:91" s="51" customFormat="1">
      <c r="CF21247" s="239"/>
      <c r="CM21247" s="336"/>
    </row>
    <row r="21248" spans="84:91" s="51" customFormat="1">
      <c r="CF21248" s="239"/>
      <c r="CM21248" s="336"/>
    </row>
    <row r="21249" spans="84:91" s="51" customFormat="1">
      <c r="CF21249" s="239"/>
      <c r="CM21249" s="336"/>
    </row>
    <row r="21250" spans="84:91" s="51" customFormat="1">
      <c r="CF21250" s="239"/>
      <c r="CM21250" s="336"/>
    </row>
    <row r="21251" spans="84:91" s="51" customFormat="1">
      <c r="CF21251" s="239"/>
      <c r="CM21251" s="336"/>
    </row>
    <row r="21252" spans="84:91" s="51" customFormat="1">
      <c r="CF21252" s="239"/>
      <c r="CM21252" s="336"/>
    </row>
    <row r="21253" spans="84:91" s="51" customFormat="1">
      <c r="CF21253" s="239"/>
      <c r="CM21253" s="336"/>
    </row>
    <row r="21254" spans="84:91" s="51" customFormat="1">
      <c r="CF21254" s="239"/>
      <c r="CM21254" s="336"/>
    </row>
    <row r="21255" spans="84:91" s="51" customFormat="1">
      <c r="CF21255" s="239"/>
      <c r="CM21255" s="336"/>
    </row>
    <row r="21256" spans="84:91" s="51" customFormat="1">
      <c r="CF21256" s="239"/>
      <c r="CM21256" s="336"/>
    </row>
    <row r="21257" spans="84:91" s="51" customFormat="1">
      <c r="CF21257" s="239"/>
      <c r="CM21257" s="336"/>
    </row>
    <row r="21258" spans="84:91" s="51" customFormat="1">
      <c r="CF21258" s="239"/>
      <c r="CM21258" s="336"/>
    </row>
    <row r="21259" spans="84:91" s="51" customFormat="1">
      <c r="CF21259" s="239"/>
      <c r="CM21259" s="336"/>
    </row>
    <row r="21260" spans="84:91" s="51" customFormat="1">
      <c r="CF21260" s="239"/>
      <c r="CM21260" s="336"/>
    </row>
    <row r="21261" spans="84:91" s="51" customFormat="1">
      <c r="CF21261" s="239"/>
      <c r="CM21261" s="336"/>
    </row>
    <row r="21262" spans="84:91" s="51" customFormat="1">
      <c r="CF21262" s="239"/>
      <c r="CM21262" s="336"/>
    </row>
    <row r="21263" spans="84:91" s="51" customFormat="1">
      <c r="CF21263" s="239"/>
      <c r="CM21263" s="336"/>
    </row>
    <row r="21264" spans="84:91" s="51" customFormat="1">
      <c r="CF21264" s="239"/>
      <c r="CM21264" s="336"/>
    </row>
    <row r="21265" spans="84:91" s="51" customFormat="1">
      <c r="CF21265" s="239"/>
      <c r="CM21265" s="336"/>
    </row>
    <row r="21266" spans="84:91" s="51" customFormat="1">
      <c r="CF21266" s="239"/>
      <c r="CM21266" s="336"/>
    </row>
    <row r="21267" spans="84:91" s="51" customFormat="1">
      <c r="CF21267" s="239"/>
      <c r="CM21267" s="336"/>
    </row>
    <row r="21268" spans="84:91" s="51" customFormat="1">
      <c r="CF21268" s="239"/>
      <c r="CM21268" s="336"/>
    </row>
    <row r="21269" spans="84:91" s="51" customFormat="1">
      <c r="CF21269" s="239"/>
      <c r="CM21269" s="336"/>
    </row>
    <row r="21270" spans="84:91" s="51" customFormat="1">
      <c r="CF21270" s="239"/>
      <c r="CM21270" s="336"/>
    </row>
    <row r="21271" spans="84:91" s="51" customFormat="1">
      <c r="CF21271" s="239"/>
      <c r="CM21271" s="336"/>
    </row>
    <row r="21272" spans="84:91" s="51" customFormat="1">
      <c r="CF21272" s="239"/>
      <c r="CM21272" s="336"/>
    </row>
    <row r="21273" spans="84:91" s="51" customFormat="1">
      <c r="CF21273" s="239"/>
      <c r="CM21273" s="336"/>
    </row>
    <row r="21274" spans="84:91" s="51" customFormat="1">
      <c r="CF21274" s="239"/>
      <c r="CM21274" s="336"/>
    </row>
    <row r="21275" spans="84:91" s="51" customFormat="1">
      <c r="CF21275" s="239"/>
      <c r="CM21275" s="336"/>
    </row>
    <row r="21276" spans="84:91" s="51" customFormat="1">
      <c r="CF21276" s="239"/>
      <c r="CM21276" s="336"/>
    </row>
    <row r="21277" spans="84:91" s="51" customFormat="1">
      <c r="CF21277" s="239"/>
      <c r="CM21277" s="336"/>
    </row>
    <row r="21278" spans="84:91" s="51" customFormat="1">
      <c r="CF21278" s="239"/>
      <c r="CM21278" s="336"/>
    </row>
    <row r="21279" spans="84:91" s="51" customFormat="1">
      <c r="CF21279" s="239"/>
      <c r="CM21279" s="336"/>
    </row>
    <row r="21280" spans="84:91" s="51" customFormat="1">
      <c r="CF21280" s="239"/>
      <c r="CM21280" s="336"/>
    </row>
    <row r="21281" spans="84:91" s="51" customFormat="1">
      <c r="CF21281" s="239"/>
      <c r="CM21281" s="336"/>
    </row>
    <row r="21282" spans="84:91" s="51" customFormat="1">
      <c r="CF21282" s="239"/>
      <c r="CM21282" s="336"/>
    </row>
    <row r="21283" spans="84:91" s="51" customFormat="1">
      <c r="CF21283" s="239"/>
      <c r="CM21283" s="336"/>
    </row>
    <row r="21284" spans="84:91" s="51" customFormat="1">
      <c r="CF21284" s="239"/>
      <c r="CM21284" s="336"/>
    </row>
    <row r="21285" spans="84:91" s="51" customFormat="1">
      <c r="CF21285" s="239"/>
      <c r="CM21285" s="336"/>
    </row>
    <row r="21286" spans="84:91" s="51" customFormat="1">
      <c r="CF21286" s="239"/>
      <c r="CM21286" s="336"/>
    </row>
    <row r="21287" spans="84:91" s="51" customFormat="1">
      <c r="CF21287" s="239"/>
      <c r="CM21287" s="336"/>
    </row>
    <row r="21288" spans="84:91" s="51" customFormat="1">
      <c r="CF21288" s="239"/>
      <c r="CM21288" s="336"/>
    </row>
    <row r="21289" spans="84:91" s="51" customFormat="1">
      <c r="CF21289" s="239"/>
      <c r="CM21289" s="336"/>
    </row>
    <row r="21290" spans="84:91" s="51" customFormat="1">
      <c r="CF21290" s="239"/>
      <c r="CM21290" s="336"/>
    </row>
    <row r="21291" spans="84:91" s="51" customFormat="1">
      <c r="CF21291" s="239"/>
      <c r="CM21291" s="336"/>
    </row>
    <row r="21292" spans="84:91" s="51" customFormat="1">
      <c r="CF21292" s="239"/>
      <c r="CM21292" s="336"/>
    </row>
    <row r="21293" spans="84:91" s="51" customFormat="1">
      <c r="CF21293" s="239"/>
      <c r="CM21293" s="336"/>
    </row>
    <row r="21294" spans="84:91" s="51" customFormat="1">
      <c r="CF21294" s="239"/>
      <c r="CM21294" s="336"/>
    </row>
    <row r="21295" spans="84:91" s="51" customFormat="1">
      <c r="CF21295" s="239"/>
      <c r="CM21295" s="336"/>
    </row>
    <row r="21296" spans="84:91" s="51" customFormat="1">
      <c r="CF21296" s="239"/>
      <c r="CM21296" s="336"/>
    </row>
    <row r="21297" spans="84:91" s="51" customFormat="1">
      <c r="CF21297" s="239"/>
      <c r="CM21297" s="336"/>
    </row>
    <row r="21298" spans="84:91" s="51" customFormat="1">
      <c r="CF21298" s="239"/>
      <c r="CM21298" s="336"/>
    </row>
    <row r="21299" spans="84:91" s="51" customFormat="1">
      <c r="CF21299" s="239"/>
      <c r="CM21299" s="336"/>
    </row>
    <row r="21300" spans="84:91" s="51" customFormat="1">
      <c r="CF21300" s="239"/>
      <c r="CM21300" s="336"/>
    </row>
    <row r="21301" spans="84:91" s="51" customFormat="1">
      <c r="CF21301" s="239"/>
      <c r="CM21301" s="336"/>
    </row>
    <row r="21302" spans="84:91" s="51" customFormat="1">
      <c r="CF21302" s="239"/>
      <c r="CM21302" s="336"/>
    </row>
    <row r="21303" spans="84:91" s="51" customFormat="1">
      <c r="CF21303" s="239"/>
      <c r="CM21303" s="336"/>
    </row>
    <row r="21304" spans="84:91" s="51" customFormat="1">
      <c r="CF21304" s="239"/>
      <c r="CM21304" s="336"/>
    </row>
    <row r="21305" spans="84:91" s="51" customFormat="1">
      <c r="CF21305" s="239"/>
      <c r="CM21305" s="336"/>
    </row>
    <row r="21306" spans="84:91" s="51" customFormat="1">
      <c r="CF21306" s="239"/>
      <c r="CM21306" s="336"/>
    </row>
    <row r="21307" spans="84:91" s="51" customFormat="1">
      <c r="CF21307" s="239"/>
      <c r="CM21307" s="336"/>
    </row>
    <row r="21308" spans="84:91" s="51" customFormat="1">
      <c r="CF21308" s="239"/>
      <c r="CM21308" s="336"/>
    </row>
    <row r="21309" spans="84:91" s="51" customFormat="1">
      <c r="CF21309" s="239"/>
      <c r="CM21309" s="336"/>
    </row>
    <row r="21310" spans="84:91" s="51" customFormat="1">
      <c r="CF21310" s="239"/>
      <c r="CM21310" s="336"/>
    </row>
    <row r="21311" spans="84:91" s="51" customFormat="1">
      <c r="CF21311" s="239"/>
      <c r="CM21311" s="336"/>
    </row>
    <row r="21312" spans="84:91" s="51" customFormat="1">
      <c r="CF21312" s="239"/>
      <c r="CM21312" s="336"/>
    </row>
    <row r="21313" spans="84:91" s="51" customFormat="1">
      <c r="CF21313" s="239"/>
      <c r="CM21313" s="336"/>
    </row>
    <row r="21314" spans="84:91" s="51" customFormat="1">
      <c r="CF21314" s="239"/>
      <c r="CM21314" s="336"/>
    </row>
    <row r="21315" spans="84:91" s="51" customFormat="1">
      <c r="CF21315" s="239"/>
      <c r="CM21315" s="336"/>
    </row>
    <row r="21316" spans="84:91" s="51" customFormat="1">
      <c r="CF21316" s="239"/>
      <c r="CM21316" s="336"/>
    </row>
    <row r="21317" spans="84:91" s="51" customFormat="1">
      <c r="CF21317" s="239"/>
      <c r="CM21317" s="336"/>
    </row>
    <row r="21318" spans="84:91" s="51" customFormat="1">
      <c r="CF21318" s="239"/>
      <c r="CM21318" s="336"/>
    </row>
    <row r="21319" spans="84:91" s="51" customFormat="1">
      <c r="CF21319" s="239"/>
      <c r="CM21319" s="336"/>
    </row>
    <row r="21320" spans="84:91" s="51" customFormat="1">
      <c r="CF21320" s="239"/>
      <c r="CM21320" s="336"/>
    </row>
    <row r="21321" spans="84:91" s="51" customFormat="1">
      <c r="CF21321" s="239"/>
      <c r="CM21321" s="336"/>
    </row>
    <row r="21322" spans="84:91" s="51" customFormat="1">
      <c r="CF21322" s="239"/>
      <c r="CM21322" s="336"/>
    </row>
    <row r="21323" spans="84:91" s="51" customFormat="1">
      <c r="CF21323" s="239"/>
      <c r="CM21323" s="336"/>
    </row>
    <row r="21324" spans="84:91" s="51" customFormat="1">
      <c r="CF21324" s="239"/>
      <c r="CM21324" s="336"/>
    </row>
    <row r="21325" spans="84:91" s="51" customFormat="1">
      <c r="CF21325" s="239"/>
      <c r="CM21325" s="336"/>
    </row>
    <row r="21326" spans="84:91" s="51" customFormat="1">
      <c r="CF21326" s="239"/>
      <c r="CM21326" s="336"/>
    </row>
    <row r="21327" spans="84:91" s="51" customFormat="1">
      <c r="CF21327" s="239"/>
      <c r="CM21327" s="336"/>
    </row>
    <row r="21328" spans="84:91" s="51" customFormat="1">
      <c r="CF21328" s="239"/>
      <c r="CM21328" s="336"/>
    </row>
    <row r="21329" spans="84:91" s="51" customFormat="1">
      <c r="CF21329" s="239"/>
      <c r="CM21329" s="336"/>
    </row>
    <row r="21330" spans="84:91" s="51" customFormat="1">
      <c r="CF21330" s="239"/>
      <c r="CM21330" s="336"/>
    </row>
    <row r="21331" spans="84:91" s="51" customFormat="1">
      <c r="CF21331" s="239"/>
      <c r="CM21331" s="336"/>
    </row>
    <row r="21332" spans="84:91" s="51" customFormat="1">
      <c r="CF21332" s="239"/>
      <c r="CM21332" s="336"/>
    </row>
    <row r="21333" spans="84:91" s="51" customFormat="1">
      <c r="CF21333" s="239"/>
      <c r="CM21333" s="336"/>
    </row>
    <row r="21334" spans="84:91" s="51" customFormat="1">
      <c r="CF21334" s="239"/>
      <c r="CM21334" s="336"/>
    </row>
    <row r="21335" spans="84:91" s="51" customFormat="1">
      <c r="CF21335" s="239"/>
      <c r="CM21335" s="336"/>
    </row>
    <row r="21336" spans="84:91" s="51" customFormat="1">
      <c r="CF21336" s="239"/>
      <c r="CM21336" s="336"/>
    </row>
    <row r="21337" spans="84:91" s="51" customFormat="1">
      <c r="CF21337" s="239"/>
      <c r="CM21337" s="336"/>
    </row>
    <row r="21338" spans="84:91" s="51" customFormat="1">
      <c r="CF21338" s="239"/>
      <c r="CM21338" s="336"/>
    </row>
    <row r="21339" spans="84:91" s="51" customFormat="1">
      <c r="CF21339" s="239"/>
      <c r="CM21339" s="336"/>
    </row>
    <row r="21340" spans="84:91" s="51" customFormat="1">
      <c r="CF21340" s="239"/>
      <c r="CM21340" s="336"/>
    </row>
    <row r="21341" spans="84:91" s="51" customFormat="1">
      <c r="CF21341" s="239"/>
      <c r="CM21341" s="336"/>
    </row>
    <row r="21342" spans="84:91" s="51" customFormat="1">
      <c r="CF21342" s="239"/>
      <c r="CM21342" s="336"/>
    </row>
    <row r="21343" spans="84:91" s="51" customFormat="1">
      <c r="CF21343" s="239"/>
      <c r="CM21343" s="336"/>
    </row>
    <row r="21344" spans="84:91" s="51" customFormat="1">
      <c r="CF21344" s="239"/>
      <c r="CM21344" s="336"/>
    </row>
    <row r="21345" spans="84:91" s="51" customFormat="1">
      <c r="CF21345" s="239"/>
      <c r="CM21345" s="336"/>
    </row>
    <row r="21346" spans="84:91" s="51" customFormat="1">
      <c r="CF21346" s="239"/>
      <c r="CM21346" s="336"/>
    </row>
    <row r="21347" spans="84:91" s="51" customFormat="1">
      <c r="CF21347" s="239"/>
      <c r="CM21347" s="336"/>
    </row>
    <row r="21348" spans="84:91" s="51" customFormat="1">
      <c r="CF21348" s="239"/>
      <c r="CM21348" s="336"/>
    </row>
    <row r="21349" spans="84:91" s="51" customFormat="1">
      <c r="CF21349" s="239"/>
      <c r="CM21349" s="336"/>
    </row>
    <row r="21350" spans="84:91" s="51" customFormat="1">
      <c r="CF21350" s="239"/>
      <c r="CM21350" s="336"/>
    </row>
    <row r="21351" spans="84:91" s="51" customFormat="1">
      <c r="CF21351" s="239"/>
      <c r="CM21351" s="336"/>
    </row>
    <row r="21352" spans="84:91" s="51" customFormat="1">
      <c r="CF21352" s="239"/>
      <c r="CM21352" s="336"/>
    </row>
    <row r="21353" spans="84:91" s="51" customFormat="1">
      <c r="CF21353" s="239"/>
      <c r="CM21353" s="336"/>
    </row>
    <row r="21354" spans="84:91" s="51" customFormat="1">
      <c r="CF21354" s="239"/>
      <c r="CM21354" s="336"/>
    </row>
    <row r="21355" spans="84:91" s="51" customFormat="1">
      <c r="CF21355" s="239"/>
      <c r="CM21355" s="336"/>
    </row>
    <row r="21356" spans="84:91" s="51" customFormat="1">
      <c r="CF21356" s="239"/>
      <c r="CM21356" s="336"/>
    </row>
    <row r="21357" spans="84:91" s="51" customFormat="1">
      <c r="CF21357" s="239"/>
      <c r="CM21357" s="336"/>
    </row>
    <row r="21358" spans="84:91" s="51" customFormat="1">
      <c r="CF21358" s="239"/>
      <c r="CM21358" s="336"/>
    </row>
    <row r="21359" spans="84:91" s="51" customFormat="1">
      <c r="CF21359" s="239"/>
      <c r="CM21359" s="336"/>
    </row>
    <row r="21360" spans="84:91" s="51" customFormat="1">
      <c r="CF21360" s="239"/>
      <c r="CM21360" s="336"/>
    </row>
    <row r="21361" spans="84:91" s="51" customFormat="1">
      <c r="CF21361" s="239"/>
      <c r="CM21361" s="336"/>
    </row>
    <row r="21362" spans="84:91" s="51" customFormat="1">
      <c r="CF21362" s="239"/>
      <c r="CM21362" s="336"/>
    </row>
    <row r="21363" spans="84:91" s="51" customFormat="1">
      <c r="CF21363" s="239"/>
      <c r="CM21363" s="336"/>
    </row>
    <row r="21364" spans="84:91" s="51" customFormat="1">
      <c r="CF21364" s="239"/>
      <c r="CM21364" s="336"/>
    </row>
    <row r="21365" spans="84:91" s="51" customFormat="1">
      <c r="CF21365" s="239"/>
      <c r="CM21365" s="336"/>
    </row>
    <row r="21366" spans="84:91" s="51" customFormat="1">
      <c r="CF21366" s="239"/>
      <c r="CM21366" s="336"/>
    </row>
    <row r="21367" spans="84:91" s="51" customFormat="1">
      <c r="CF21367" s="239"/>
      <c r="CM21367" s="336"/>
    </row>
    <row r="21368" spans="84:91" s="51" customFormat="1">
      <c r="CF21368" s="239"/>
      <c r="CM21368" s="336"/>
    </row>
    <row r="21369" spans="84:91" s="51" customFormat="1">
      <c r="CF21369" s="239"/>
      <c r="CM21369" s="336"/>
    </row>
    <row r="21370" spans="84:91" s="51" customFormat="1">
      <c r="CF21370" s="239"/>
      <c r="CM21370" s="336"/>
    </row>
    <row r="21371" spans="84:91" s="51" customFormat="1">
      <c r="CF21371" s="239"/>
      <c r="CM21371" s="336"/>
    </row>
    <row r="21372" spans="84:91" s="51" customFormat="1">
      <c r="CF21372" s="239"/>
      <c r="CM21372" s="336"/>
    </row>
    <row r="21373" spans="84:91" s="51" customFormat="1">
      <c r="CF21373" s="239"/>
      <c r="CM21373" s="336"/>
    </row>
    <row r="21374" spans="84:91" s="51" customFormat="1">
      <c r="CF21374" s="239"/>
      <c r="CM21374" s="336"/>
    </row>
    <row r="21375" spans="84:91" s="51" customFormat="1">
      <c r="CF21375" s="239"/>
      <c r="CM21375" s="336"/>
    </row>
    <row r="21376" spans="84:91" s="51" customFormat="1">
      <c r="CF21376" s="239"/>
      <c r="CM21376" s="336"/>
    </row>
    <row r="21377" spans="84:91" s="51" customFormat="1">
      <c r="CF21377" s="239"/>
      <c r="CM21377" s="336"/>
    </row>
    <row r="21378" spans="84:91" s="51" customFormat="1">
      <c r="CF21378" s="239"/>
      <c r="CM21378" s="336"/>
    </row>
    <row r="21379" spans="84:91" s="51" customFormat="1">
      <c r="CF21379" s="239"/>
      <c r="CM21379" s="336"/>
    </row>
    <row r="21380" spans="84:91" s="51" customFormat="1">
      <c r="CF21380" s="239"/>
      <c r="CM21380" s="336"/>
    </row>
    <row r="21381" spans="84:91" s="51" customFormat="1">
      <c r="CF21381" s="239"/>
      <c r="CM21381" s="336"/>
    </row>
    <row r="21382" spans="84:91" s="51" customFormat="1">
      <c r="CF21382" s="239"/>
      <c r="CM21382" s="336"/>
    </row>
    <row r="21383" spans="84:91" s="51" customFormat="1">
      <c r="CF21383" s="239"/>
      <c r="CM21383" s="336"/>
    </row>
    <row r="21384" spans="84:91" s="51" customFormat="1">
      <c r="CF21384" s="239"/>
      <c r="CM21384" s="336"/>
    </row>
    <row r="21385" spans="84:91" s="51" customFormat="1">
      <c r="CF21385" s="239"/>
      <c r="CM21385" s="336"/>
    </row>
    <row r="21386" spans="84:91" s="51" customFormat="1">
      <c r="CF21386" s="239"/>
      <c r="CM21386" s="336"/>
    </row>
    <row r="21387" spans="84:91" s="51" customFormat="1">
      <c r="CF21387" s="239"/>
      <c r="CM21387" s="336"/>
    </row>
    <row r="21388" spans="84:91" s="51" customFormat="1">
      <c r="CF21388" s="239"/>
      <c r="CM21388" s="336"/>
    </row>
    <row r="21389" spans="84:91" s="51" customFormat="1">
      <c r="CF21389" s="239"/>
      <c r="CM21389" s="336"/>
    </row>
    <row r="21390" spans="84:91" s="51" customFormat="1">
      <c r="CF21390" s="239"/>
      <c r="CM21390" s="336"/>
    </row>
    <row r="21391" spans="84:91" s="51" customFormat="1">
      <c r="CF21391" s="239"/>
      <c r="CM21391" s="336"/>
    </row>
    <row r="21392" spans="84:91" s="51" customFormat="1">
      <c r="CF21392" s="239"/>
      <c r="CM21392" s="336"/>
    </row>
    <row r="21393" spans="84:91" s="51" customFormat="1">
      <c r="CF21393" s="239"/>
      <c r="CM21393" s="336"/>
    </row>
    <row r="21394" spans="84:91" s="51" customFormat="1">
      <c r="CF21394" s="239"/>
      <c r="CM21394" s="336"/>
    </row>
    <row r="21395" spans="84:91" s="51" customFormat="1">
      <c r="CF21395" s="239"/>
      <c r="CM21395" s="336"/>
    </row>
    <row r="21396" spans="84:91" s="51" customFormat="1">
      <c r="CF21396" s="239"/>
      <c r="CM21396" s="336"/>
    </row>
    <row r="21397" spans="84:91" s="51" customFormat="1">
      <c r="CF21397" s="239"/>
      <c r="CM21397" s="336"/>
    </row>
    <row r="21398" spans="84:91" s="51" customFormat="1">
      <c r="CF21398" s="239"/>
      <c r="CM21398" s="336"/>
    </row>
    <row r="21399" spans="84:91" s="51" customFormat="1">
      <c r="CF21399" s="239"/>
      <c r="CM21399" s="336"/>
    </row>
    <row r="21400" spans="84:91" s="51" customFormat="1">
      <c r="CF21400" s="239"/>
      <c r="CM21400" s="336"/>
    </row>
    <row r="21401" spans="84:91" s="51" customFormat="1">
      <c r="CF21401" s="239"/>
      <c r="CM21401" s="336"/>
    </row>
    <row r="21402" spans="84:91" s="51" customFormat="1">
      <c r="CF21402" s="239"/>
      <c r="CM21402" s="336"/>
    </row>
    <row r="21403" spans="84:91" s="51" customFormat="1">
      <c r="CF21403" s="239"/>
      <c r="CM21403" s="336"/>
    </row>
    <row r="21404" spans="84:91" s="51" customFormat="1">
      <c r="CF21404" s="239"/>
      <c r="CM21404" s="336"/>
    </row>
    <row r="21405" spans="84:91" s="51" customFormat="1">
      <c r="CF21405" s="239"/>
      <c r="CM21405" s="336"/>
    </row>
    <row r="21406" spans="84:91" s="51" customFormat="1">
      <c r="CF21406" s="239"/>
      <c r="CM21406" s="336"/>
    </row>
    <row r="21407" spans="84:91" s="51" customFormat="1">
      <c r="CF21407" s="239"/>
      <c r="CM21407" s="336"/>
    </row>
    <row r="21408" spans="84:91" s="51" customFormat="1">
      <c r="CF21408" s="239"/>
      <c r="CM21408" s="336"/>
    </row>
    <row r="21409" spans="84:91" s="51" customFormat="1">
      <c r="CF21409" s="239"/>
      <c r="CM21409" s="336"/>
    </row>
    <row r="21410" spans="84:91" s="51" customFormat="1">
      <c r="CF21410" s="239"/>
      <c r="CM21410" s="336"/>
    </row>
    <row r="21411" spans="84:91" s="51" customFormat="1">
      <c r="CF21411" s="239"/>
      <c r="CM21411" s="336"/>
    </row>
    <row r="21412" spans="84:91" s="51" customFormat="1">
      <c r="CF21412" s="239"/>
      <c r="CM21412" s="336"/>
    </row>
    <row r="21413" spans="84:91" s="51" customFormat="1">
      <c r="CF21413" s="239"/>
      <c r="CM21413" s="336"/>
    </row>
    <row r="21414" spans="84:91" s="51" customFormat="1">
      <c r="CF21414" s="239"/>
      <c r="CM21414" s="336"/>
    </row>
    <row r="21415" spans="84:91" s="51" customFormat="1">
      <c r="CF21415" s="239"/>
      <c r="CM21415" s="336"/>
    </row>
    <row r="21416" spans="84:91" s="51" customFormat="1">
      <c r="CF21416" s="239"/>
      <c r="CM21416" s="336"/>
    </row>
    <row r="21417" spans="84:91" s="51" customFormat="1">
      <c r="CF21417" s="239"/>
      <c r="CM21417" s="336"/>
    </row>
    <row r="21418" spans="84:91" s="51" customFormat="1">
      <c r="CF21418" s="239"/>
      <c r="CM21418" s="336"/>
    </row>
    <row r="21419" spans="84:91" s="51" customFormat="1">
      <c r="CF21419" s="239"/>
      <c r="CM21419" s="336"/>
    </row>
    <row r="21420" spans="84:91" s="51" customFormat="1">
      <c r="CF21420" s="239"/>
      <c r="CM21420" s="336"/>
    </row>
    <row r="21421" spans="84:91" s="51" customFormat="1">
      <c r="CF21421" s="239"/>
      <c r="CM21421" s="336"/>
    </row>
    <row r="21422" spans="84:91" s="51" customFormat="1">
      <c r="CF21422" s="239"/>
      <c r="CM21422" s="336"/>
    </row>
    <row r="21423" spans="84:91" s="51" customFormat="1">
      <c r="CF21423" s="239"/>
      <c r="CM21423" s="336"/>
    </row>
    <row r="21424" spans="84:91" s="51" customFormat="1">
      <c r="CF21424" s="239"/>
      <c r="CM21424" s="336"/>
    </row>
    <row r="21425" spans="84:91" s="51" customFormat="1">
      <c r="CF21425" s="239"/>
      <c r="CM21425" s="336"/>
    </row>
    <row r="21426" spans="84:91" s="51" customFormat="1">
      <c r="CF21426" s="239"/>
      <c r="CM21426" s="336"/>
    </row>
    <row r="21427" spans="84:91" s="51" customFormat="1">
      <c r="CF21427" s="239"/>
      <c r="CM21427" s="336"/>
    </row>
    <row r="21428" spans="84:91" s="51" customFormat="1">
      <c r="CF21428" s="239"/>
      <c r="CM21428" s="336"/>
    </row>
    <row r="21429" spans="84:91" s="51" customFormat="1">
      <c r="CF21429" s="239"/>
      <c r="CM21429" s="336"/>
    </row>
    <row r="21430" spans="84:91" s="51" customFormat="1">
      <c r="CF21430" s="239"/>
      <c r="CM21430" s="336"/>
    </row>
    <row r="21431" spans="84:91" s="51" customFormat="1">
      <c r="CF21431" s="239"/>
      <c r="CM21431" s="336"/>
    </row>
    <row r="21432" spans="84:91" s="51" customFormat="1">
      <c r="CF21432" s="239"/>
      <c r="CM21432" s="336"/>
    </row>
    <row r="21433" spans="84:91" s="51" customFormat="1">
      <c r="CF21433" s="239"/>
      <c r="CM21433" s="336"/>
    </row>
    <row r="21434" spans="84:91" s="51" customFormat="1">
      <c r="CF21434" s="239"/>
      <c r="CM21434" s="336"/>
    </row>
    <row r="21435" spans="84:91" s="51" customFormat="1">
      <c r="CF21435" s="239"/>
      <c r="CM21435" s="336"/>
    </row>
    <row r="21436" spans="84:91" s="51" customFormat="1">
      <c r="CF21436" s="239"/>
      <c r="CM21436" s="336"/>
    </row>
    <row r="21437" spans="84:91" s="51" customFormat="1">
      <c r="CF21437" s="239"/>
      <c r="CM21437" s="336"/>
    </row>
    <row r="21438" spans="84:91" s="51" customFormat="1">
      <c r="CF21438" s="239"/>
      <c r="CM21438" s="336"/>
    </row>
    <row r="21439" spans="84:91" s="51" customFormat="1">
      <c r="CF21439" s="239"/>
      <c r="CM21439" s="336"/>
    </row>
    <row r="21440" spans="84:91" s="51" customFormat="1">
      <c r="CF21440" s="239"/>
      <c r="CM21440" s="336"/>
    </row>
    <row r="21441" spans="84:91" s="51" customFormat="1">
      <c r="CF21441" s="239"/>
      <c r="CM21441" s="336"/>
    </row>
    <row r="21442" spans="84:91" s="51" customFormat="1">
      <c r="CF21442" s="239"/>
      <c r="CM21442" s="336"/>
    </row>
    <row r="21443" spans="84:91" s="51" customFormat="1">
      <c r="CF21443" s="239"/>
      <c r="CM21443" s="336"/>
    </row>
    <row r="21444" spans="84:91" s="51" customFormat="1">
      <c r="CF21444" s="239"/>
      <c r="CM21444" s="336"/>
    </row>
    <row r="21445" spans="84:91" s="51" customFormat="1">
      <c r="CF21445" s="239"/>
      <c r="CM21445" s="336"/>
    </row>
    <row r="21446" spans="84:91" s="51" customFormat="1">
      <c r="CF21446" s="239"/>
      <c r="CM21446" s="336"/>
    </row>
    <row r="21447" spans="84:91" s="51" customFormat="1">
      <c r="CF21447" s="239"/>
      <c r="CM21447" s="336"/>
    </row>
    <row r="21448" spans="84:91" s="51" customFormat="1">
      <c r="CF21448" s="239"/>
      <c r="CM21448" s="336"/>
    </row>
    <row r="21449" spans="84:91" s="51" customFormat="1">
      <c r="CF21449" s="239"/>
      <c r="CM21449" s="336"/>
    </row>
    <row r="21450" spans="84:91" s="51" customFormat="1">
      <c r="CF21450" s="239"/>
      <c r="CM21450" s="336"/>
    </row>
    <row r="21451" spans="84:91" s="51" customFormat="1">
      <c r="CF21451" s="239"/>
      <c r="CM21451" s="336"/>
    </row>
    <row r="21452" spans="84:91" s="51" customFormat="1">
      <c r="CF21452" s="239"/>
      <c r="CM21452" s="336"/>
    </row>
    <row r="21453" spans="84:91" s="51" customFormat="1">
      <c r="CF21453" s="239"/>
      <c r="CM21453" s="336"/>
    </row>
    <row r="21454" spans="84:91" s="51" customFormat="1">
      <c r="CF21454" s="239"/>
      <c r="CM21454" s="336"/>
    </row>
    <row r="21455" spans="84:91" s="51" customFormat="1">
      <c r="CF21455" s="239"/>
      <c r="CM21455" s="336"/>
    </row>
    <row r="21456" spans="84:91" s="51" customFormat="1">
      <c r="CF21456" s="239"/>
      <c r="CM21456" s="336"/>
    </row>
    <row r="21457" spans="84:91" s="51" customFormat="1">
      <c r="CF21457" s="239"/>
      <c r="CM21457" s="336"/>
    </row>
    <row r="21458" spans="84:91" s="51" customFormat="1">
      <c r="CF21458" s="239"/>
      <c r="CM21458" s="336"/>
    </row>
    <row r="21459" spans="84:91" s="51" customFormat="1">
      <c r="CF21459" s="239"/>
      <c r="CM21459" s="336"/>
    </row>
    <row r="21460" spans="84:91" s="51" customFormat="1">
      <c r="CF21460" s="239"/>
      <c r="CM21460" s="336"/>
    </row>
    <row r="21461" spans="84:91" s="51" customFormat="1">
      <c r="CF21461" s="239"/>
      <c r="CM21461" s="336"/>
    </row>
    <row r="21462" spans="84:91" s="51" customFormat="1">
      <c r="CF21462" s="239"/>
      <c r="CM21462" s="336"/>
    </row>
    <row r="21463" spans="84:91" s="51" customFormat="1">
      <c r="CF21463" s="239"/>
      <c r="CM21463" s="336"/>
    </row>
    <row r="21464" spans="84:91" s="51" customFormat="1">
      <c r="CF21464" s="239"/>
      <c r="CM21464" s="336"/>
    </row>
    <row r="21465" spans="84:91" s="51" customFormat="1">
      <c r="CF21465" s="239"/>
      <c r="CM21465" s="336"/>
    </row>
    <row r="21466" spans="84:91" s="51" customFormat="1">
      <c r="CF21466" s="239"/>
      <c r="CM21466" s="336"/>
    </row>
    <row r="21467" spans="84:91" s="51" customFormat="1">
      <c r="CF21467" s="239"/>
      <c r="CM21467" s="336"/>
    </row>
    <row r="21468" spans="84:91" s="51" customFormat="1">
      <c r="CF21468" s="239"/>
      <c r="CM21468" s="336"/>
    </row>
    <row r="21469" spans="84:91" s="51" customFormat="1">
      <c r="CF21469" s="239"/>
      <c r="CM21469" s="336"/>
    </row>
    <row r="21470" spans="84:91" s="51" customFormat="1">
      <c r="CF21470" s="239"/>
      <c r="CM21470" s="336"/>
    </row>
    <row r="21471" spans="84:91" s="51" customFormat="1">
      <c r="CF21471" s="239"/>
      <c r="CM21471" s="336"/>
    </row>
    <row r="21472" spans="84:91" s="51" customFormat="1">
      <c r="CF21472" s="239"/>
      <c r="CM21472" s="336"/>
    </row>
    <row r="21473" spans="84:91" s="51" customFormat="1">
      <c r="CF21473" s="239"/>
      <c r="CM21473" s="336"/>
    </row>
    <row r="21474" spans="84:91" s="51" customFormat="1">
      <c r="CF21474" s="239"/>
      <c r="CM21474" s="336"/>
    </row>
    <row r="21475" spans="84:91" s="51" customFormat="1">
      <c r="CF21475" s="239"/>
      <c r="CM21475" s="336"/>
    </row>
    <row r="21476" spans="84:91" s="51" customFormat="1">
      <c r="CF21476" s="239"/>
      <c r="CM21476" s="336"/>
    </row>
    <row r="21477" spans="84:91" s="51" customFormat="1">
      <c r="CF21477" s="239"/>
      <c r="CM21477" s="336"/>
    </row>
    <row r="21478" spans="84:91" s="51" customFormat="1">
      <c r="CF21478" s="239"/>
      <c r="CM21478" s="336"/>
    </row>
    <row r="21479" spans="84:91" s="51" customFormat="1">
      <c r="CF21479" s="239"/>
      <c r="CM21479" s="336"/>
    </row>
    <row r="21480" spans="84:91" s="51" customFormat="1">
      <c r="CF21480" s="239"/>
      <c r="CM21480" s="336"/>
    </row>
    <row r="21481" spans="84:91" s="51" customFormat="1">
      <c r="CF21481" s="239"/>
      <c r="CM21481" s="336"/>
    </row>
    <row r="21482" spans="84:91" s="51" customFormat="1">
      <c r="CF21482" s="239"/>
      <c r="CM21482" s="336"/>
    </row>
    <row r="21483" spans="84:91" s="51" customFormat="1">
      <c r="CF21483" s="239"/>
      <c r="CM21483" s="336"/>
    </row>
    <row r="21484" spans="84:91" s="51" customFormat="1">
      <c r="CF21484" s="239"/>
      <c r="CM21484" s="336"/>
    </row>
    <row r="21485" spans="84:91" s="51" customFormat="1">
      <c r="CF21485" s="239"/>
      <c r="CM21485" s="336"/>
    </row>
    <row r="21486" spans="84:91" s="51" customFormat="1">
      <c r="CF21486" s="239"/>
      <c r="CM21486" s="336"/>
    </row>
    <row r="21487" spans="84:91" s="51" customFormat="1">
      <c r="CF21487" s="239"/>
      <c r="CM21487" s="336"/>
    </row>
    <row r="21488" spans="84:91" s="51" customFormat="1">
      <c r="CF21488" s="239"/>
      <c r="CM21488" s="336"/>
    </row>
    <row r="21489" spans="84:91" s="51" customFormat="1">
      <c r="CF21489" s="239"/>
      <c r="CM21489" s="336"/>
    </row>
    <row r="21490" spans="84:91" s="51" customFormat="1">
      <c r="CF21490" s="239"/>
      <c r="CM21490" s="336"/>
    </row>
    <row r="21491" spans="84:91" s="51" customFormat="1">
      <c r="CF21491" s="239"/>
      <c r="CM21491" s="336"/>
    </row>
    <row r="21492" spans="84:91" s="51" customFormat="1">
      <c r="CF21492" s="239"/>
      <c r="CM21492" s="336"/>
    </row>
    <row r="21493" spans="84:91" s="51" customFormat="1">
      <c r="CF21493" s="239"/>
      <c r="CM21493" s="336"/>
    </row>
    <row r="21494" spans="84:91" s="51" customFormat="1">
      <c r="CF21494" s="239"/>
      <c r="CM21494" s="336"/>
    </row>
    <row r="21495" spans="84:91" s="51" customFormat="1">
      <c r="CF21495" s="239"/>
      <c r="CM21495" s="336"/>
    </row>
    <row r="21496" spans="84:91" s="51" customFormat="1">
      <c r="CF21496" s="239"/>
      <c r="CM21496" s="336"/>
    </row>
    <row r="21497" spans="84:91" s="51" customFormat="1">
      <c r="CF21497" s="239"/>
      <c r="CM21497" s="336"/>
    </row>
    <row r="21498" spans="84:91" s="51" customFormat="1">
      <c r="CF21498" s="239"/>
      <c r="CM21498" s="336"/>
    </row>
    <row r="21499" spans="84:91" s="51" customFormat="1">
      <c r="CF21499" s="239"/>
      <c r="CM21499" s="336"/>
    </row>
    <row r="21500" spans="84:91" s="51" customFormat="1">
      <c r="CF21500" s="239"/>
      <c r="CM21500" s="336"/>
    </row>
    <row r="21501" spans="84:91" s="51" customFormat="1">
      <c r="CF21501" s="239"/>
      <c r="CM21501" s="336"/>
    </row>
    <row r="21502" spans="84:91" s="51" customFormat="1">
      <c r="CF21502" s="239"/>
      <c r="CM21502" s="336"/>
    </row>
    <row r="21503" spans="84:91" s="51" customFormat="1">
      <c r="CF21503" s="239"/>
      <c r="CM21503" s="336"/>
    </row>
    <row r="21504" spans="84:91" s="51" customFormat="1">
      <c r="CF21504" s="239"/>
      <c r="CM21504" s="336"/>
    </row>
    <row r="21505" spans="84:91" s="51" customFormat="1">
      <c r="CF21505" s="239"/>
      <c r="CM21505" s="336"/>
    </row>
    <row r="21506" spans="84:91" s="51" customFormat="1">
      <c r="CF21506" s="239"/>
      <c r="CM21506" s="336"/>
    </row>
    <row r="21507" spans="84:91" s="51" customFormat="1">
      <c r="CF21507" s="239"/>
      <c r="CM21507" s="336"/>
    </row>
    <row r="21508" spans="84:91" s="51" customFormat="1">
      <c r="CF21508" s="239"/>
      <c r="CM21508" s="336"/>
    </row>
    <row r="21509" spans="84:91" s="51" customFormat="1">
      <c r="CF21509" s="239"/>
      <c r="CM21509" s="336"/>
    </row>
    <row r="21510" spans="84:91" s="51" customFormat="1">
      <c r="CF21510" s="239"/>
      <c r="CM21510" s="336"/>
    </row>
    <row r="21511" spans="84:91" s="51" customFormat="1">
      <c r="CF21511" s="239"/>
      <c r="CM21511" s="336"/>
    </row>
    <row r="21512" spans="84:91" s="51" customFormat="1">
      <c r="CF21512" s="239"/>
      <c r="CM21512" s="336"/>
    </row>
    <row r="21513" spans="84:91" s="51" customFormat="1">
      <c r="CF21513" s="239"/>
      <c r="CM21513" s="336"/>
    </row>
    <row r="21514" spans="84:91" s="51" customFormat="1">
      <c r="CF21514" s="239"/>
      <c r="CM21514" s="336"/>
    </row>
    <row r="21515" spans="84:91" s="51" customFormat="1">
      <c r="CF21515" s="239"/>
      <c r="CM21515" s="336"/>
    </row>
    <row r="21516" spans="84:91" s="51" customFormat="1">
      <c r="CF21516" s="239"/>
      <c r="CM21516" s="336"/>
    </row>
    <row r="21517" spans="84:91" s="51" customFormat="1">
      <c r="CF21517" s="239"/>
      <c r="CM21517" s="336"/>
    </row>
    <row r="21518" spans="84:91" s="51" customFormat="1">
      <c r="CF21518" s="239"/>
      <c r="CM21518" s="336"/>
    </row>
    <row r="21519" spans="84:91" s="51" customFormat="1">
      <c r="CF21519" s="239"/>
      <c r="CM21519" s="336"/>
    </row>
    <row r="21520" spans="84:91" s="51" customFormat="1">
      <c r="CF21520" s="239"/>
      <c r="CM21520" s="336"/>
    </row>
    <row r="21521" spans="84:91" s="51" customFormat="1">
      <c r="CF21521" s="239"/>
      <c r="CM21521" s="336"/>
    </row>
    <row r="21522" spans="84:91" s="51" customFormat="1">
      <c r="CF21522" s="239"/>
      <c r="CM21522" s="336"/>
    </row>
    <row r="21523" spans="84:91" s="51" customFormat="1">
      <c r="CF21523" s="239"/>
      <c r="CM21523" s="336"/>
    </row>
    <row r="21524" spans="84:91" s="51" customFormat="1">
      <c r="CF21524" s="239"/>
      <c r="CM21524" s="336"/>
    </row>
    <row r="21525" spans="84:91" s="51" customFormat="1">
      <c r="CF21525" s="239"/>
      <c r="CM21525" s="336"/>
    </row>
    <row r="21526" spans="84:91" s="51" customFormat="1">
      <c r="CF21526" s="239"/>
      <c r="CM21526" s="336"/>
    </row>
    <row r="21527" spans="84:91" s="51" customFormat="1">
      <c r="CF21527" s="239"/>
      <c r="CM21527" s="336"/>
    </row>
    <row r="21528" spans="84:91" s="51" customFormat="1">
      <c r="CF21528" s="239"/>
      <c r="CM21528" s="336"/>
    </row>
    <row r="21529" spans="84:91" s="51" customFormat="1">
      <c r="CF21529" s="239"/>
      <c r="CM21529" s="336"/>
    </row>
    <row r="21530" spans="84:91" s="51" customFormat="1">
      <c r="CF21530" s="239"/>
      <c r="CM21530" s="336"/>
    </row>
    <row r="21531" spans="84:91" s="51" customFormat="1">
      <c r="CF21531" s="239"/>
      <c r="CM21531" s="336"/>
    </row>
    <row r="21532" spans="84:91" s="51" customFormat="1">
      <c r="CF21532" s="239"/>
      <c r="CM21532" s="336"/>
    </row>
    <row r="21533" spans="84:91" s="51" customFormat="1">
      <c r="CF21533" s="239"/>
      <c r="CM21533" s="336"/>
    </row>
    <row r="21534" spans="84:91" s="51" customFormat="1">
      <c r="CF21534" s="239"/>
      <c r="CM21534" s="336"/>
    </row>
    <row r="21535" spans="84:91" s="51" customFormat="1">
      <c r="CF21535" s="239"/>
      <c r="CM21535" s="336"/>
    </row>
    <row r="21536" spans="84:91" s="51" customFormat="1">
      <c r="CF21536" s="239"/>
      <c r="CM21536" s="336"/>
    </row>
    <row r="21537" spans="84:91" s="51" customFormat="1">
      <c r="CF21537" s="239"/>
      <c r="CM21537" s="336"/>
    </row>
    <row r="21538" spans="84:91" s="51" customFormat="1">
      <c r="CF21538" s="239"/>
      <c r="CM21538" s="336"/>
    </row>
    <row r="21539" spans="84:91" s="51" customFormat="1">
      <c r="CF21539" s="239"/>
      <c r="CM21539" s="336"/>
    </row>
    <row r="21540" spans="84:91" s="51" customFormat="1">
      <c r="CF21540" s="239"/>
      <c r="CM21540" s="336"/>
    </row>
    <row r="21541" spans="84:91" s="51" customFormat="1">
      <c r="CF21541" s="239"/>
      <c r="CM21541" s="336"/>
    </row>
    <row r="21542" spans="84:91" s="51" customFormat="1">
      <c r="CF21542" s="239"/>
      <c r="CM21542" s="336"/>
    </row>
    <row r="21543" spans="84:91" s="51" customFormat="1">
      <c r="CF21543" s="239"/>
      <c r="CM21543" s="336"/>
    </row>
    <row r="21544" spans="84:91" s="51" customFormat="1">
      <c r="CF21544" s="239"/>
      <c r="CM21544" s="336"/>
    </row>
    <row r="21545" spans="84:91" s="51" customFormat="1">
      <c r="CF21545" s="239"/>
      <c r="CM21545" s="336"/>
    </row>
    <row r="21546" spans="84:91" s="51" customFormat="1">
      <c r="CF21546" s="239"/>
      <c r="CM21546" s="336"/>
    </row>
    <row r="21547" spans="84:91" s="51" customFormat="1">
      <c r="CF21547" s="239"/>
      <c r="CM21547" s="336"/>
    </row>
    <row r="21548" spans="84:91" s="51" customFormat="1">
      <c r="CF21548" s="239"/>
      <c r="CM21548" s="336"/>
    </row>
    <row r="21549" spans="84:91" s="51" customFormat="1">
      <c r="CF21549" s="239"/>
      <c r="CM21549" s="336"/>
    </row>
    <row r="21550" spans="84:91" s="51" customFormat="1">
      <c r="CF21550" s="239"/>
      <c r="CM21550" s="336"/>
    </row>
    <row r="21551" spans="84:91" s="51" customFormat="1">
      <c r="CF21551" s="239"/>
      <c r="CM21551" s="336"/>
    </row>
    <row r="21552" spans="84:91" s="51" customFormat="1">
      <c r="CF21552" s="239"/>
      <c r="CM21552" s="336"/>
    </row>
    <row r="21553" spans="84:91" s="51" customFormat="1">
      <c r="CF21553" s="239"/>
      <c r="CM21553" s="336"/>
    </row>
    <row r="21554" spans="84:91" s="51" customFormat="1">
      <c r="CF21554" s="239"/>
      <c r="CM21554" s="336"/>
    </row>
    <row r="21555" spans="84:91" s="51" customFormat="1">
      <c r="CF21555" s="239"/>
      <c r="CM21555" s="336"/>
    </row>
    <row r="21556" spans="84:91" s="51" customFormat="1">
      <c r="CF21556" s="239"/>
      <c r="CM21556" s="336"/>
    </row>
    <row r="21557" spans="84:91" s="51" customFormat="1">
      <c r="CF21557" s="239"/>
      <c r="CM21557" s="336"/>
    </row>
    <row r="21558" spans="84:91" s="51" customFormat="1">
      <c r="CF21558" s="239"/>
      <c r="CM21558" s="336"/>
    </row>
    <row r="21559" spans="84:91" s="51" customFormat="1">
      <c r="CF21559" s="239"/>
      <c r="CM21559" s="336"/>
    </row>
    <row r="21560" spans="84:91" s="51" customFormat="1">
      <c r="CF21560" s="239"/>
      <c r="CM21560" s="336"/>
    </row>
    <row r="21561" spans="84:91" s="51" customFormat="1">
      <c r="CF21561" s="239"/>
      <c r="CM21561" s="336"/>
    </row>
    <row r="21562" spans="84:91" s="51" customFormat="1">
      <c r="CF21562" s="239"/>
      <c r="CM21562" s="336"/>
    </row>
    <row r="21563" spans="84:91" s="51" customFormat="1">
      <c r="CF21563" s="239"/>
      <c r="CM21563" s="336"/>
    </row>
    <row r="21564" spans="84:91" s="51" customFormat="1">
      <c r="CF21564" s="239"/>
      <c r="CM21564" s="336"/>
    </row>
    <row r="21565" spans="84:91" s="51" customFormat="1">
      <c r="CF21565" s="239"/>
      <c r="CM21565" s="336"/>
    </row>
    <row r="21566" spans="84:91" s="51" customFormat="1">
      <c r="CF21566" s="239"/>
      <c r="CM21566" s="336"/>
    </row>
    <row r="21567" spans="84:91" s="51" customFormat="1">
      <c r="CF21567" s="239"/>
      <c r="CM21567" s="336"/>
    </row>
    <row r="21568" spans="84:91" s="51" customFormat="1">
      <c r="CF21568" s="239"/>
      <c r="CM21568" s="336"/>
    </row>
    <row r="21569" spans="84:91" s="51" customFormat="1">
      <c r="CF21569" s="239"/>
      <c r="CM21569" s="336"/>
    </row>
    <row r="21570" spans="84:91" s="51" customFormat="1">
      <c r="CF21570" s="239"/>
      <c r="CM21570" s="336"/>
    </row>
    <row r="21571" spans="84:91" s="51" customFormat="1">
      <c r="CF21571" s="239"/>
      <c r="CM21571" s="336"/>
    </row>
    <row r="21572" spans="84:91" s="51" customFormat="1">
      <c r="CF21572" s="239"/>
      <c r="CM21572" s="336"/>
    </row>
    <row r="21573" spans="84:91" s="51" customFormat="1">
      <c r="CF21573" s="239"/>
      <c r="CM21573" s="336"/>
    </row>
    <row r="21574" spans="84:91" s="51" customFormat="1">
      <c r="CF21574" s="239"/>
      <c r="CM21574" s="336"/>
    </row>
    <row r="21575" spans="84:91" s="51" customFormat="1">
      <c r="CF21575" s="239"/>
      <c r="CM21575" s="336"/>
    </row>
    <row r="21576" spans="84:91" s="51" customFormat="1">
      <c r="CF21576" s="239"/>
      <c r="CM21576" s="336"/>
    </row>
    <row r="21577" spans="84:91" s="51" customFormat="1">
      <c r="CF21577" s="239"/>
      <c r="CM21577" s="336"/>
    </row>
    <row r="21578" spans="84:91" s="51" customFormat="1">
      <c r="CF21578" s="239"/>
      <c r="CM21578" s="336"/>
    </row>
    <row r="21579" spans="84:91" s="51" customFormat="1">
      <c r="CF21579" s="239"/>
      <c r="CM21579" s="336"/>
    </row>
    <row r="21580" spans="84:91" s="51" customFormat="1">
      <c r="CF21580" s="239"/>
      <c r="CM21580" s="336"/>
    </row>
    <row r="21581" spans="84:91" s="51" customFormat="1">
      <c r="CF21581" s="239"/>
      <c r="CM21581" s="336"/>
    </row>
    <row r="21582" spans="84:91" s="51" customFormat="1">
      <c r="CF21582" s="239"/>
      <c r="CM21582" s="336"/>
    </row>
    <row r="21583" spans="84:91" s="51" customFormat="1">
      <c r="CF21583" s="239"/>
      <c r="CM21583" s="336"/>
    </row>
    <row r="21584" spans="84:91" s="51" customFormat="1">
      <c r="CF21584" s="239"/>
      <c r="CM21584" s="336"/>
    </row>
    <row r="21585" spans="84:91" s="51" customFormat="1">
      <c r="CF21585" s="239"/>
      <c r="CM21585" s="336"/>
    </row>
    <row r="21586" spans="84:91" s="51" customFormat="1">
      <c r="CF21586" s="239"/>
      <c r="CM21586" s="336"/>
    </row>
    <row r="21587" spans="84:91" s="51" customFormat="1">
      <c r="CF21587" s="239"/>
      <c r="CM21587" s="336"/>
    </row>
    <row r="21588" spans="84:91" s="51" customFormat="1">
      <c r="CF21588" s="239"/>
      <c r="CM21588" s="336"/>
    </row>
    <row r="21589" spans="84:91" s="51" customFormat="1">
      <c r="CF21589" s="239"/>
      <c r="CM21589" s="336"/>
    </row>
    <row r="21590" spans="84:91" s="51" customFormat="1">
      <c r="CF21590" s="239"/>
      <c r="CM21590" s="336"/>
    </row>
    <row r="21591" spans="84:91" s="51" customFormat="1">
      <c r="CF21591" s="239"/>
      <c r="CM21591" s="336"/>
    </row>
    <row r="21592" spans="84:91" s="51" customFormat="1">
      <c r="CF21592" s="239"/>
      <c r="CM21592" s="336"/>
    </row>
    <row r="21593" spans="84:91" s="51" customFormat="1">
      <c r="CF21593" s="239"/>
      <c r="CM21593" s="336"/>
    </row>
    <row r="21594" spans="84:91" s="51" customFormat="1">
      <c r="CF21594" s="239"/>
      <c r="CM21594" s="336"/>
    </row>
    <row r="21595" spans="84:91" s="51" customFormat="1">
      <c r="CF21595" s="239"/>
      <c r="CM21595" s="336"/>
    </row>
    <row r="21596" spans="84:91" s="51" customFormat="1">
      <c r="CF21596" s="239"/>
      <c r="CM21596" s="336"/>
    </row>
    <row r="21597" spans="84:91" s="51" customFormat="1">
      <c r="CF21597" s="239"/>
      <c r="CM21597" s="336"/>
    </row>
    <row r="21598" spans="84:91" s="51" customFormat="1">
      <c r="CF21598" s="239"/>
      <c r="CM21598" s="336"/>
    </row>
    <row r="21599" spans="84:91" s="51" customFormat="1">
      <c r="CF21599" s="239"/>
      <c r="CM21599" s="336"/>
    </row>
    <row r="21600" spans="84:91" s="51" customFormat="1">
      <c r="CF21600" s="239"/>
      <c r="CM21600" s="336"/>
    </row>
    <row r="21601" spans="84:91" s="51" customFormat="1">
      <c r="CF21601" s="239"/>
      <c r="CM21601" s="336"/>
    </row>
    <row r="21602" spans="84:91" s="51" customFormat="1">
      <c r="CF21602" s="239"/>
      <c r="CM21602" s="336"/>
    </row>
    <row r="21603" spans="84:91" s="51" customFormat="1">
      <c r="CF21603" s="239"/>
      <c r="CM21603" s="336"/>
    </row>
    <row r="21604" spans="84:91" s="51" customFormat="1">
      <c r="CF21604" s="239"/>
      <c r="CM21604" s="336"/>
    </row>
    <row r="21605" spans="84:91" s="51" customFormat="1">
      <c r="CF21605" s="239"/>
      <c r="CM21605" s="336"/>
    </row>
    <row r="21606" spans="84:91" s="51" customFormat="1">
      <c r="CF21606" s="239"/>
      <c r="CM21606" s="336"/>
    </row>
    <row r="21607" spans="84:91" s="51" customFormat="1">
      <c r="CF21607" s="239"/>
      <c r="CM21607" s="336"/>
    </row>
    <row r="21608" spans="84:91" s="51" customFormat="1">
      <c r="CF21608" s="239"/>
      <c r="CM21608" s="336"/>
    </row>
    <row r="21609" spans="84:91" s="51" customFormat="1">
      <c r="CF21609" s="239"/>
      <c r="CM21609" s="336"/>
    </row>
    <row r="21610" spans="84:91" s="51" customFormat="1">
      <c r="CF21610" s="239"/>
      <c r="CM21610" s="336"/>
    </row>
    <row r="21611" spans="84:91" s="51" customFormat="1">
      <c r="CF21611" s="239"/>
      <c r="CM21611" s="336"/>
    </row>
    <row r="21612" spans="84:91" s="51" customFormat="1">
      <c r="CF21612" s="239"/>
      <c r="CM21612" s="336"/>
    </row>
    <row r="21613" spans="84:91" s="51" customFormat="1">
      <c r="CF21613" s="239"/>
      <c r="CM21613" s="336"/>
    </row>
    <row r="21614" spans="84:91" s="51" customFormat="1">
      <c r="CF21614" s="239"/>
      <c r="CM21614" s="336"/>
    </row>
    <row r="21615" spans="84:91" s="51" customFormat="1">
      <c r="CF21615" s="239"/>
      <c r="CM21615" s="336"/>
    </row>
    <row r="21616" spans="84:91" s="51" customFormat="1">
      <c r="CF21616" s="239"/>
      <c r="CM21616" s="336"/>
    </row>
    <row r="21617" spans="84:91" s="51" customFormat="1">
      <c r="CF21617" s="239"/>
      <c r="CM21617" s="336"/>
    </row>
    <row r="21618" spans="84:91" s="51" customFormat="1">
      <c r="CF21618" s="239"/>
      <c r="CM21618" s="336"/>
    </row>
    <row r="21619" spans="84:91" s="51" customFormat="1">
      <c r="CF21619" s="239"/>
      <c r="CM21619" s="336"/>
    </row>
    <row r="21620" spans="84:91" s="51" customFormat="1">
      <c r="CF21620" s="239"/>
      <c r="CM21620" s="336"/>
    </row>
    <row r="21621" spans="84:91" s="51" customFormat="1">
      <c r="CF21621" s="239"/>
      <c r="CM21621" s="336"/>
    </row>
    <row r="21622" spans="84:91" s="51" customFormat="1">
      <c r="CF21622" s="239"/>
      <c r="CM21622" s="336"/>
    </row>
    <row r="21623" spans="84:91" s="51" customFormat="1">
      <c r="CF21623" s="239"/>
      <c r="CM21623" s="336"/>
    </row>
    <row r="21624" spans="84:91" s="51" customFormat="1">
      <c r="CF21624" s="239"/>
      <c r="CM21624" s="336"/>
    </row>
    <row r="21625" spans="84:91" s="51" customFormat="1">
      <c r="CF21625" s="239"/>
      <c r="CM21625" s="336"/>
    </row>
    <row r="21626" spans="84:91" s="51" customFormat="1">
      <c r="CF21626" s="239"/>
      <c r="CM21626" s="336"/>
    </row>
    <row r="21627" spans="84:91" s="51" customFormat="1">
      <c r="CF21627" s="239"/>
      <c r="CM21627" s="336"/>
    </row>
    <row r="21628" spans="84:91" s="51" customFormat="1">
      <c r="CF21628" s="239"/>
      <c r="CM21628" s="336"/>
    </row>
    <row r="21629" spans="84:91" s="51" customFormat="1">
      <c r="CF21629" s="239"/>
      <c r="CM21629" s="336"/>
    </row>
    <row r="21630" spans="84:91" s="51" customFormat="1">
      <c r="CF21630" s="239"/>
      <c r="CM21630" s="336"/>
    </row>
    <row r="21631" spans="84:91" s="51" customFormat="1">
      <c r="CF21631" s="239"/>
      <c r="CM21631" s="336"/>
    </row>
    <row r="21632" spans="84:91" s="51" customFormat="1">
      <c r="CF21632" s="239"/>
      <c r="CM21632" s="336"/>
    </row>
    <row r="21633" spans="84:91" s="51" customFormat="1">
      <c r="CF21633" s="239"/>
      <c r="CM21633" s="336"/>
    </row>
    <row r="21634" spans="84:91" s="51" customFormat="1">
      <c r="CF21634" s="239"/>
      <c r="CM21634" s="336"/>
    </row>
    <row r="21635" spans="84:91" s="51" customFormat="1">
      <c r="CF21635" s="239"/>
      <c r="CM21635" s="336"/>
    </row>
    <row r="21636" spans="84:91" s="51" customFormat="1">
      <c r="CF21636" s="239"/>
      <c r="CM21636" s="336"/>
    </row>
    <row r="21637" spans="84:91" s="51" customFormat="1">
      <c r="CF21637" s="239"/>
      <c r="CM21637" s="336"/>
    </row>
    <row r="21638" spans="84:91" s="51" customFormat="1">
      <c r="CF21638" s="239"/>
      <c r="CM21638" s="336"/>
    </row>
    <row r="21639" spans="84:91" s="51" customFormat="1">
      <c r="CF21639" s="239"/>
      <c r="CM21639" s="336"/>
    </row>
    <row r="21640" spans="84:91" s="51" customFormat="1">
      <c r="CF21640" s="239"/>
      <c r="CM21640" s="336"/>
    </row>
    <row r="21641" spans="84:91" s="51" customFormat="1">
      <c r="CF21641" s="239"/>
      <c r="CM21641" s="336"/>
    </row>
    <row r="21642" spans="84:91" s="51" customFormat="1">
      <c r="CF21642" s="239"/>
      <c r="CM21642" s="336"/>
    </row>
    <row r="21643" spans="84:91" s="51" customFormat="1">
      <c r="CF21643" s="239"/>
      <c r="CM21643" s="336"/>
    </row>
    <row r="21644" spans="84:91" s="51" customFormat="1">
      <c r="CF21644" s="239"/>
      <c r="CM21644" s="336"/>
    </row>
    <row r="21645" spans="84:91" s="51" customFormat="1">
      <c r="CF21645" s="239"/>
      <c r="CM21645" s="336"/>
    </row>
    <row r="21646" spans="84:91" s="51" customFormat="1">
      <c r="CF21646" s="239"/>
      <c r="CM21646" s="336"/>
    </row>
    <row r="21647" spans="84:91" s="51" customFormat="1">
      <c r="CF21647" s="239"/>
      <c r="CM21647" s="336"/>
    </row>
    <row r="21648" spans="84:91" s="51" customFormat="1">
      <c r="CF21648" s="239"/>
      <c r="CM21648" s="336"/>
    </row>
    <row r="21649" spans="84:91" s="51" customFormat="1">
      <c r="CF21649" s="239"/>
      <c r="CM21649" s="336"/>
    </row>
    <row r="21650" spans="84:91" s="51" customFormat="1">
      <c r="CF21650" s="239"/>
      <c r="CM21650" s="336"/>
    </row>
    <row r="21651" spans="84:91" s="51" customFormat="1">
      <c r="CF21651" s="239"/>
      <c r="CM21651" s="336"/>
    </row>
    <row r="21652" spans="84:91" s="51" customFormat="1">
      <c r="CF21652" s="239"/>
      <c r="CM21652" s="336"/>
    </row>
    <row r="21653" spans="84:91" s="51" customFormat="1">
      <c r="CF21653" s="239"/>
      <c r="CM21653" s="336"/>
    </row>
    <row r="21654" spans="84:91" s="51" customFormat="1">
      <c r="CF21654" s="239"/>
      <c r="CM21654" s="336"/>
    </row>
    <row r="21655" spans="84:91" s="51" customFormat="1">
      <c r="CF21655" s="239"/>
      <c r="CM21655" s="336"/>
    </row>
    <row r="21656" spans="84:91" s="51" customFormat="1">
      <c r="CF21656" s="239"/>
      <c r="CM21656" s="336"/>
    </row>
    <row r="21657" spans="84:91" s="51" customFormat="1">
      <c r="CF21657" s="239"/>
      <c r="CM21657" s="336"/>
    </row>
    <row r="21658" spans="84:91" s="51" customFormat="1">
      <c r="CF21658" s="239"/>
      <c r="CM21658" s="336"/>
    </row>
    <row r="21659" spans="84:91" s="51" customFormat="1">
      <c r="CF21659" s="239"/>
      <c r="CM21659" s="336"/>
    </row>
    <row r="21660" spans="84:91" s="51" customFormat="1">
      <c r="CF21660" s="239"/>
      <c r="CM21660" s="336"/>
    </row>
    <row r="21661" spans="84:91" s="51" customFormat="1">
      <c r="CF21661" s="239"/>
      <c r="CM21661" s="336"/>
    </row>
    <row r="21662" spans="84:91" s="51" customFormat="1">
      <c r="CF21662" s="239"/>
      <c r="CM21662" s="336"/>
    </row>
    <row r="21663" spans="84:91" s="51" customFormat="1">
      <c r="CF21663" s="239"/>
      <c r="CM21663" s="336"/>
    </row>
    <row r="21664" spans="84:91" s="51" customFormat="1">
      <c r="CF21664" s="239"/>
      <c r="CM21664" s="336"/>
    </row>
    <row r="21665" spans="84:91" s="51" customFormat="1">
      <c r="CF21665" s="239"/>
      <c r="CM21665" s="336"/>
    </row>
    <row r="21666" spans="84:91" s="51" customFormat="1">
      <c r="CF21666" s="239"/>
      <c r="CM21666" s="336"/>
    </row>
    <row r="21667" spans="84:91" s="51" customFormat="1">
      <c r="CF21667" s="239"/>
      <c r="CM21667" s="336"/>
    </row>
    <row r="21668" spans="84:91" s="51" customFormat="1">
      <c r="CF21668" s="239"/>
      <c r="CM21668" s="336"/>
    </row>
    <row r="21669" spans="84:91" s="51" customFormat="1">
      <c r="CF21669" s="239"/>
      <c r="CM21669" s="336"/>
    </row>
    <row r="21670" spans="84:91" s="51" customFormat="1">
      <c r="CF21670" s="239"/>
      <c r="CM21670" s="336"/>
    </row>
    <row r="21671" spans="84:91" s="51" customFormat="1">
      <c r="CF21671" s="239"/>
      <c r="CM21671" s="336"/>
    </row>
    <row r="21672" spans="84:91" s="51" customFormat="1">
      <c r="CF21672" s="239"/>
      <c r="CM21672" s="336"/>
    </row>
    <row r="21673" spans="84:91" s="51" customFormat="1">
      <c r="CF21673" s="239"/>
      <c r="CM21673" s="336"/>
    </row>
    <row r="21674" spans="84:91" s="51" customFormat="1">
      <c r="CF21674" s="239"/>
      <c r="CM21674" s="336"/>
    </row>
    <row r="21675" spans="84:91" s="51" customFormat="1">
      <c r="CF21675" s="239"/>
      <c r="CM21675" s="336"/>
    </row>
    <row r="21676" spans="84:91" s="51" customFormat="1">
      <c r="CF21676" s="239"/>
      <c r="CM21676" s="336"/>
    </row>
    <row r="21677" spans="84:91" s="51" customFormat="1">
      <c r="CF21677" s="239"/>
      <c r="CM21677" s="336"/>
    </row>
    <row r="21678" spans="84:91" s="51" customFormat="1">
      <c r="CF21678" s="239"/>
      <c r="CM21678" s="336"/>
    </row>
    <row r="21679" spans="84:91" s="51" customFormat="1">
      <c r="CF21679" s="239"/>
      <c r="CM21679" s="336"/>
    </row>
    <row r="21680" spans="84:91" s="51" customFormat="1">
      <c r="CF21680" s="239"/>
      <c r="CM21680" s="336"/>
    </row>
    <row r="21681" spans="84:91" s="51" customFormat="1">
      <c r="CF21681" s="239"/>
      <c r="CM21681" s="336"/>
    </row>
    <row r="21682" spans="84:91" s="51" customFormat="1">
      <c r="CF21682" s="239"/>
      <c r="CM21682" s="336"/>
    </row>
    <row r="21683" spans="84:91" s="51" customFormat="1">
      <c r="CF21683" s="239"/>
      <c r="CM21683" s="336"/>
    </row>
    <row r="21684" spans="84:91" s="51" customFormat="1">
      <c r="CF21684" s="239"/>
      <c r="CM21684" s="336"/>
    </row>
    <row r="21685" spans="84:91" s="51" customFormat="1">
      <c r="CF21685" s="239"/>
      <c r="CM21685" s="336"/>
    </row>
    <row r="21686" spans="84:91" s="51" customFormat="1">
      <c r="CF21686" s="239"/>
      <c r="CM21686" s="336"/>
    </row>
    <row r="21687" spans="84:91" s="51" customFormat="1">
      <c r="CF21687" s="239"/>
      <c r="CM21687" s="336"/>
    </row>
    <row r="21688" spans="84:91" s="51" customFormat="1">
      <c r="CF21688" s="239"/>
      <c r="CM21688" s="336"/>
    </row>
    <row r="21689" spans="84:91" s="51" customFormat="1">
      <c r="CF21689" s="239"/>
      <c r="CM21689" s="336"/>
    </row>
    <row r="21690" spans="84:91" s="51" customFormat="1">
      <c r="CF21690" s="239"/>
      <c r="CM21690" s="336"/>
    </row>
    <row r="21691" spans="84:91" s="51" customFormat="1">
      <c r="CF21691" s="239"/>
      <c r="CM21691" s="336"/>
    </row>
    <row r="21692" spans="84:91" s="51" customFormat="1">
      <c r="CF21692" s="239"/>
      <c r="CM21692" s="336"/>
    </row>
    <row r="21693" spans="84:91" s="51" customFormat="1">
      <c r="CF21693" s="239"/>
      <c r="CM21693" s="336"/>
    </row>
    <row r="21694" spans="84:91" s="51" customFormat="1">
      <c r="CF21694" s="239"/>
      <c r="CM21694" s="336"/>
    </row>
    <row r="21695" spans="84:91" s="51" customFormat="1">
      <c r="CF21695" s="239"/>
      <c r="CM21695" s="336"/>
    </row>
    <row r="21696" spans="84:91" s="51" customFormat="1">
      <c r="CF21696" s="239"/>
      <c r="CM21696" s="336"/>
    </row>
    <row r="21697" spans="84:91" s="51" customFormat="1">
      <c r="CF21697" s="239"/>
      <c r="CM21697" s="336"/>
    </row>
    <row r="21698" spans="84:91" s="51" customFormat="1">
      <c r="CF21698" s="239"/>
      <c r="CM21698" s="336"/>
    </row>
    <row r="21699" spans="84:91" s="51" customFormat="1">
      <c r="CF21699" s="239"/>
      <c r="CM21699" s="336"/>
    </row>
    <row r="21700" spans="84:91" s="51" customFormat="1">
      <c r="CF21700" s="239"/>
      <c r="CM21700" s="336"/>
    </row>
    <row r="21701" spans="84:91" s="51" customFormat="1">
      <c r="CF21701" s="239"/>
      <c r="CM21701" s="336"/>
    </row>
    <row r="21702" spans="84:91" s="51" customFormat="1">
      <c r="CF21702" s="239"/>
      <c r="CM21702" s="336"/>
    </row>
    <row r="21703" spans="84:91" s="51" customFormat="1">
      <c r="CF21703" s="239"/>
      <c r="CM21703" s="336"/>
    </row>
    <row r="21704" spans="84:91" s="51" customFormat="1">
      <c r="CF21704" s="239"/>
      <c r="CM21704" s="336"/>
    </row>
    <row r="21705" spans="84:91" s="51" customFormat="1">
      <c r="CF21705" s="239"/>
      <c r="CM21705" s="336"/>
    </row>
    <row r="21706" spans="84:91" s="51" customFormat="1">
      <c r="CF21706" s="239"/>
      <c r="CM21706" s="336"/>
    </row>
    <row r="21707" spans="84:91" s="51" customFormat="1">
      <c r="CF21707" s="239"/>
      <c r="CM21707" s="336"/>
    </row>
    <row r="21708" spans="84:91" s="51" customFormat="1">
      <c r="CF21708" s="239"/>
      <c r="CM21708" s="336"/>
    </row>
    <row r="21709" spans="84:91" s="51" customFormat="1">
      <c r="CF21709" s="239"/>
      <c r="CM21709" s="336"/>
    </row>
    <row r="21710" spans="84:91" s="51" customFormat="1">
      <c r="CF21710" s="239"/>
      <c r="CM21710" s="336"/>
    </row>
    <row r="21711" spans="84:91" s="51" customFormat="1">
      <c r="CF21711" s="239"/>
      <c r="CM21711" s="336"/>
    </row>
    <row r="21712" spans="84:91" s="51" customFormat="1">
      <c r="CF21712" s="239"/>
      <c r="CM21712" s="336"/>
    </row>
    <row r="21713" spans="84:91" s="51" customFormat="1">
      <c r="CF21713" s="239"/>
      <c r="CM21713" s="336"/>
    </row>
    <row r="21714" spans="84:91" s="51" customFormat="1">
      <c r="CF21714" s="239"/>
      <c r="CM21714" s="336"/>
    </row>
    <row r="21715" spans="84:91" s="51" customFormat="1">
      <c r="CF21715" s="239"/>
      <c r="CM21715" s="336"/>
    </row>
    <row r="21716" spans="84:91" s="51" customFormat="1">
      <c r="CF21716" s="239"/>
      <c r="CM21716" s="336"/>
    </row>
    <row r="21717" spans="84:91" s="51" customFormat="1">
      <c r="CF21717" s="239"/>
      <c r="CM21717" s="336"/>
    </row>
    <row r="21718" spans="84:91" s="51" customFormat="1">
      <c r="CF21718" s="239"/>
      <c r="CM21718" s="336"/>
    </row>
    <row r="21719" spans="84:91" s="51" customFormat="1">
      <c r="CF21719" s="239"/>
      <c r="CM21719" s="336"/>
    </row>
    <row r="21720" spans="84:91" s="51" customFormat="1">
      <c r="CF21720" s="239"/>
      <c r="CM21720" s="336"/>
    </row>
    <row r="21721" spans="84:91" s="51" customFormat="1">
      <c r="CF21721" s="239"/>
      <c r="CM21721" s="336"/>
    </row>
    <row r="21722" spans="84:91" s="51" customFormat="1">
      <c r="CF21722" s="239"/>
      <c r="CM21722" s="336"/>
    </row>
    <row r="21723" spans="84:91" s="51" customFormat="1">
      <c r="CF21723" s="239"/>
      <c r="CM21723" s="336"/>
    </row>
    <row r="21724" spans="84:91" s="51" customFormat="1">
      <c r="CF21724" s="239"/>
      <c r="CM21724" s="336"/>
    </row>
    <row r="21725" spans="84:91" s="51" customFormat="1">
      <c r="CF21725" s="239"/>
      <c r="CM21725" s="336"/>
    </row>
    <row r="21726" spans="84:91" s="51" customFormat="1">
      <c r="CF21726" s="239"/>
      <c r="CM21726" s="336"/>
    </row>
    <row r="21727" spans="84:91" s="51" customFormat="1">
      <c r="CF21727" s="239"/>
      <c r="CM21727" s="336"/>
    </row>
    <row r="21728" spans="84:91" s="51" customFormat="1">
      <c r="CF21728" s="239"/>
      <c r="CM21728" s="336"/>
    </row>
    <row r="21729" spans="84:91" s="51" customFormat="1">
      <c r="CF21729" s="239"/>
      <c r="CM21729" s="336"/>
    </row>
    <row r="21730" spans="84:91" s="51" customFormat="1">
      <c r="CF21730" s="239"/>
      <c r="CM21730" s="336"/>
    </row>
    <row r="21731" spans="84:91" s="51" customFormat="1">
      <c r="CF21731" s="239"/>
      <c r="CM21731" s="336"/>
    </row>
    <row r="21732" spans="84:91" s="51" customFormat="1">
      <c r="CF21732" s="239"/>
      <c r="CM21732" s="336"/>
    </row>
    <row r="21733" spans="84:91" s="51" customFormat="1">
      <c r="CF21733" s="239"/>
      <c r="CM21733" s="336"/>
    </row>
    <row r="21734" spans="84:91" s="51" customFormat="1">
      <c r="CF21734" s="239"/>
      <c r="CM21734" s="336"/>
    </row>
    <row r="21735" spans="84:91" s="51" customFormat="1">
      <c r="CF21735" s="239"/>
      <c r="CM21735" s="336"/>
    </row>
    <row r="21736" spans="84:91" s="51" customFormat="1">
      <c r="CF21736" s="239"/>
      <c r="CM21736" s="336"/>
    </row>
    <row r="21737" spans="84:91" s="51" customFormat="1">
      <c r="CF21737" s="239"/>
      <c r="CM21737" s="336"/>
    </row>
    <row r="21738" spans="84:91" s="51" customFormat="1">
      <c r="CF21738" s="239"/>
      <c r="CM21738" s="336"/>
    </row>
    <row r="21739" spans="84:91" s="51" customFormat="1">
      <c r="CF21739" s="239"/>
      <c r="CM21739" s="336"/>
    </row>
    <row r="21740" spans="84:91" s="51" customFormat="1">
      <c r="CF21740" s="239"/>
      <c r="CM21740" s="336"/>
    </row>
    <row r="21741" spans="84:91" s="51" customFormat="1">
      <c r="CF21741" s="239"/>
      <c r="CM21741" s="336"/>
    </row>
    <row r="21742" spans="84:91" s="51" customFormat="1">
      <c r="CF21742" s="239"/>
      <c r="CM21742" s="336"/>
    </row>
    <row r="21743" spans="84:91" s="51" customFormat="1">
      <c r="CF21743" s="239"/>
      <c r="CM21743" s="336"/>
    </row>
    <row r="21744" spans="84:91" s="51" customFormat="1">
      <c r="CF21744" s="239"/>
      <c r="CM21744" s="336"/>
    </row>
    <row r="21745" spans="84:91" s="51" customFormat="1">
      <c r="CF21745" s="239"/>
      <c r="CM21745" s="336"/>
    </row>
    <row r="21746" spans="84:91" s="51" customFormat="1">
      <c r="CF21746" s="239"/>
      <c r="CM21746" s="336"/>
    </row>
    <row r="21747" spans="84:91" s="51" customFormat="1">
      <c r="CF21747" s="239"/>
      <c r="CM21747" s="336"/>
    </row>
    <row r="21748" spans="84:91" s="51" customFormat="1">
      <c r="CF21748" s="239"/>
      <c r="CM21748" s="336"/>
    </row>
    <row r="21749" spans="84:91" s="51" customFormat="1">
      <c r="CF21749" s="239"/>
      <c r="CM21749" s="336"/>
    </row>
    <row r="21750" spans="84:91" s="51" customFormat="1">
      <c r="CF21750" s="239"/>
      <c r="CM21750" s="336"/>
    </row>
    <row r="21751" spans="84:91" s="51" customFormat="1">
      <c r="CF21751" s="239"/>
      <c r="CM21751" s="336"/>
    </row>
    <row r="21752" spans="84:91" s="51" customFormat="1">
      <c r="CF21752" s="239"/>
      <c r="CM21752" s="336"/>
    </row>
    <row r="21753" spans="84:91" s="51" customFormat="1">
      <c r="CF21753" s="239"/>
      <c r="CM21753" s="336"/>
    </row>
    <row r="21754" spans="84:91" s="51" customFormat="1">
      <c r="CF21754" s="239"/>
      <c r="CM21754" s="336"/>
    </row>
    <row r="21755" spans="84:91" s="51" customFormat="1">
      <c r="CF21755" s="239"/>
      <c r="CM21755" s="336"/>
    </row>
    <row r="21756" spans="84:91" s="51" customFormat="1">
      <c r="CF21756" s="239"/>
      <c r="CM21756" s="336"/>
    </row>
    <row r="21757" spans="84:91" s="51" customFormat="1">
      <c r="CF21757" s="239"/>
      <c r="CM21757" s="336"/>
    </row>
    <row r="21758" spans="84:91" s="51" customFormat="1">
      <c r="CF21758" s="239"/>
      <c r="CM21758" s="336"/>
    </row>
    <row r="21759" spans="84:91" s="51" customFormat="1">
      <c r="CF21759" s="239"/>
      <c r="CM21759" s="336"/>
    </row>
    <row r="21760" spans="84:91" s="51" customFormat="1">
      <c r="CF21760" s="239"/>
      <c r="CM21760" s="336"/>
    </row>
    <row r="21761" spans="84:91" s="51" customFormat="1">
      <c r="CF21761" s="239"/>
      <c r="CM21761" s="336"/>
    </row>
    <row r="21762" spans="84:91" s="51" customFormat="1">
      <c r="CF21762" s="239"/>
      <c r="CM21762" s="336"/>
    </row>
    <row r="21763" spans="84:91" s="51" customFormat="1">
      <c r="CF21763" s="239"/>
      <c r="CM21763" s="336"/>
    </row>
    <row r="21764" spans="84:91" s="51" customFormat="1">
      <c r="CF21764" s="239"/>
      <c r="CM21764" s="336"/>
    </row>
    <row r="21765" spans="84:91" s="51" customFormat="1">
      <c r="CF21765" s="239"/>
      <c r="CM21765" s="336"/>
    </row>
    <row r="21766" spans="84:91" s="51" customFormat="1">
      <c r="CF21766" s="239"/>
      <c r="CM21766" s="336"/>
    </row>
    <row r="21767" spans="84:91" s="51" customFormat="1">
      <c r="CF21767" s="239"/>
      <c r="CM21767" s="336"/>
    </row>
    <row r="21768" spans="84:91" s="51" customFormat="1">
      <c r="CF21768" s="239"/>
      <c r="CM21768" s="336"/>
    </row>
    <row r="21769" spans="84:91" s="51" customFormat="1">
      <c r="CF21769" s="239"/>
      <c r="CM21769" s="336"/>
    </row>
    <row r="21770" spans="84:91" s="51" customFormat="1">
      <c r="CF21770" s="239"/>
      <c r="CM21770" s="336"/>
    </row>
    <row r="21771" spans="84:91" s="51" customFormat="1">
      <c r="CF21771" s="239"/>
      <c r="CM21771" s="336"/>
    </row>
    <row r="21772" spans="84:91" s="51" customFormat="1">
      <c r="CF21772" s="239"/>
      <c r="CM21772" s="336"/>
    </row>
    <row r="21773" spans="84:91" s="51" customFormat="1">
      <c r="CF21773" s="239"/>
      <c r="CM21773" s="336"/>
    </row>
    <row r="21774" spans="84:91" s="51" customFormat="1">
      <c r="CF21774" s="239"/>
      <c r="CM21774" s="336"/>
    </row>
    <row r="21775" spans="84:91" s="51" customFormat="1">
      <c r="CF21775" s="239"/>
      <c r="CM21775" s="336"/>
    </row>
    <row r="21776" spans="84:91" s="51" customFormat="1">
      <c r="CF21776" s="239"/>
      <c r="CM21776" s="336"/>
    </row>
    <row r="21777" spans="84:91" s="51" customFormat="1">
      <c r="CF21777" s="239"/>
      <c r="CM21777" s="336"/>
    </row>
    <row r="21778" spans="84:91" s="51" customFormat="1">
      <c r="CF21778" s="239"/>
      <c r="CM21778" s="336"/>
    </row>
    <row r="21779" spans="84:91" s="51" customFormat="1">
      <c r="CF21779" s="239"/>
      <c r="CM21779" s="336"/>
    </row>
    <row r="21780" spans="84:91" s="51" customFormat="1">
      <c r="CF21780" s="239"/>
      <c r="CM21780" s="336"/>
    </row>
    <row r="21781" spans="84:91" s="51" customFormat="1">
      <c r="CF21781" s="239"/>
      <c r="CM21781" s="336"/>
    </row>
    <row r="21782" spans="84:91" s="51" customFormat="1">
      <c r="CF21782" s="239"/>
      <c r="CM21782" s="336"/>
    </row>
    <row r="21783" spans="84:91" s="51" customFormat="1">
      <c r="CF21783" s="239"/>
      <c r="CM21783" s="336"/>
    </row>
    <row r="21784" spans="84:91" s="51" customFormat="1">
      <c r="CF21784" s="239"/>
      <c r="CM21784" s="336"/>
    </row>
    <row r="21785" spans="84:91" s="51" customFormat="1">
      <c r="CF21785" s="239"/>
      <c r="CM21785" s="336"/>
    </row>
    <row r="21786" spans="84:91" s="51" customFormat="1">
      <c r="CF21786" s="239"/>
      <c r="CM21786" s="336"/>
    </row>
    <row r="21787" spans="84:91" s="51" customFormat="1">
      <c r="CF21787" s="239"/>
      <c r="CM21787" s="336"/>
    </row>
    <row r="21788" spans="84:91" s="51" customFormat="1">
      <c r="CF21788" s="239"/>
      <c r="CM21788" s="336"/>
    </row>
    <row r="21789" spans="84:91" s="51" customFormat="1">
      <c r="CF21789" s="239"/>
      <c r="CM21789" s="336"/>
    </row>
    <row r="21790" spans="84:91" s="51" customFormat="1">
      <c r="CF21790" s="239"/>
      <c r="CM21790" s="336"/>
    </row>
    <row r="21791" spans="84:91" s="51" customFormat="1">
      <c r="CF21791" s="239"/>
      <c r="CM21791" s="336"/>
    </row>
    <row r="21792" spans="84:91" s="51" customFormat="1">
      <c r="CF21792" s="239"/>
      <c r="CM21792" s="336"/>
    </row>
    <row r="21793" spans="84:91" s="51" customFormat="1">
      <c r="CF21793" s="239"/>
      <c r="CM21793" s="336"/>
    </row>
    <row r="21794" spans="84:91" s="51" customFormat="1">
      <c r="CF21794" s="239"/>
      <c r="CM21794" s="336"/>
    </row>
    <row r="21795" spans="84:91" s="51" customFormat="1">
      <c r="CF21795" s="239"/>
      <c r="CM21795" s="336"/>
    </row>
    <row r="21796" spans="84:91" s="51" customFormat="1">
      <c r="CF21796" s="239"/>
      <c r="CM21796" s="336"/>
    </row>
    <row r="21797" spans="84:91" s="51" customFormat="1">
      <c r="CF21797" s="239"/>
      <c r="CM21797" s="336"/>
    </row>
    <row r="21798" spans="84:91" s="51" customFormat="1">
      <c r="CF21798" s="239"/>
      <c r="CM21798" s="336"/>
    </row>
    <row r="21799" spans="84:91" s="51" customFormat="1">
      <c r="CF21799" s="239"/>
      <c r="CM21799" s="336"/>
    </row>
    <row r="21800" spans="84:91" s="51" customFormat="1">
      <c r="CF21800" s="239"/>
      <c r="CM21800" s="336"/>
    </row>
    <row r="21801" spans="84:91" s="51" customFormat="1">
      <c r="CF21801" s="239"/>
      <c r="CM21801" s="336"/>
    </row>
    <row r="21802" spans="84:91" s="51" customFormat="1">
      <c r="CF21802" s="239"/>
      <c r="CM21802" s="336"/>
    </row>
    <row r="21803" spans="84:91" s="51" customFormat="1">
      <c r="CF21803" s="239"/>
      <c r="CM21803" s="336"/>
    </row>
    <row r="21804" spans="84:91" s="51" customFormat="1">
      <c r="CF21804" s="239"/>
      <c r="CM21804" s="336"/>
    </row>
    <row r="21805" spans="84:91" s="51" customFormat="1">
      <c r="CF21805" s="239"/>
      <c r="CM21805" s="336"/>
    </row>
    <row r="21806" spans="84:91" s="51" customFormat="1">
      <c r="CF21806" s="239"/>
      <c r="CM21806" s="336"/>
    </row>
    <row r="21807" spans="84:91" s="51" customFormat="1">
      <c r="CF21807" s="239"/>
      <c r="CM21807" s="336"/>
    </row>
    <row r="21808" spans="84:91" s="51" customFormat="1">
      <c r="CF21808" s="239"/>
      <c r="CM21808" s="336"/>
    </row>
    <row r="21809" spans="84:91" s="51" customFormat="1">
      <c r="CF21809" s="239"/>
      <c r="CM21809" s="336"/>
    </row>
    <row r="21810" spans="84:91" s="51" customFormat="1">
      <c r="CF21810" s="239"/>
      <c r="CM21810" s="336"/>
    </row>
    <row r="21811" spans="84:91" s="51" customFormat="1">
      <c r="CF21811" s="239"/>
      <c r="CM21811" s="336"/>
    </row>
    <row r="21812" spans="84:91" s="51" customFormat="1">
      <c r="CF21812" s="239"/>
      <c r="CM21812" s="336"/>
    </row>
    <row r="21813" spans="84:91" s="51" customFormat="1">
      <c r="CF21813" s="239"/>
      <c r="CM21813" s="336"/>
    </row>
    <row r="21814" spans="84:91" s="51" customFormat="1">
      <c r="CF21814" s="239"/>
      <c r="CM21814" s="336"/>
    </row>
    <row r="21815" spans="84:91" s="51" customFormat="1">
      <c r="CF21815" s="239"/>
      <c r="CM21815" s="336"/>
    </row>
    <row r="21816" spans="84:91" s="51" customFormat="1">
      <c r="CF21816" s="239"/>
      <c r="CM21816" s="336"/>
    </row>
    <row r="21817" spans="84:91" s="51" customFormat="1">
      <c r="CF21817" s="239"/>
      <c r="CM21817" s="336"/>
    </row>
    <row r="21818" spans="84:91" s="51" customFormat="1">
      <c r="CF21818" s="239"/>
      <c r="CM21818" s="336"/>
    </row>
    <row r="21819" spans="84:91" s="51" customFormat="1">
      <c r="CF21819" s="239"/>
      <c r="CM21819" s="336"/>
    </row>
    <row r="21820" spans="84:91" s="51" customFormat="1">
      <c r="CF21820" s="239"/>
      <c r="CM21820" s="336"/>
    </row>
    <row r="21821" spans="84:91" s="51" customFormat="1">
      <c r="CF21821" s="239"/>
      <c r="CM21821" s="336"/>
    </row>
    <row r="21822" spans="84:91" s="51" customFormat="1">
      <c r="CF21822" s="239"/>
      <c r="CM21822" s="336"/>
    </row>
    <row r="21823" spans="84:91" s="51" customFormat="1">
      <c r="CF21823" s="239"/>
      <c r="CM21823" s="336"/>
    </row>
    <row r="21824" spans="84:91" s="51" customFormat="1">
      <c r="CF21824" s="239"/>
      <c r="CM21824" s="336"/>
    </row>
    <row r="21825" spans="84:91" s="51" customFormat="1">
      <c r="CF21825" s="239"/>
      <c r="CM21825" s="336"/>
    </row>
    <row r="21826" spans="84:91" s="51" customFormat="1">
      <c r="CF21826" s="239"/>
      <c r="CM21826" s="336"/>
    </row>
    <row r="21827" spans="84:91" s="51" customFormat="1">
      <c r="CF21827" s="239"/>
      <c r="CM21827" s="336"/>
    </row>
    <row r="21828" spans="84:91" s="51" customFormat="1">
      <c r="CF21828" s="239"/>
      <c r="CM21828" s="336"/>
    </row>
    <row r="21829" spans="84:91" s="51" customFormat="1">
      <c r="CF21829" s="239"/>
      <c r="CM21829" s="336"/>
    </row>
    <row r="21830" spans="84:91" s="51" customFormat="1">
      <c r="CF21830" s="239"/>
      <c r="CM21830" s="336"/>
    </row>
    <row r="21831" spans="84:91" s="51" customFormat="1">
      <c r="CF21831" s="239"/>
      <c r="CM21831" s="336"/>
    </row>
    <row r="21832" spans="84:91" s="51" customFormat="1">
      <c r="CF21832" s="239"/>
      <c r="CM21832" s="336"/>
    </row>
    <row r="21833" spans="84:91" s="51" customFormat="1">
      <c r="CF21833" s="239"/>
      <c r="CM21833" s="336"/>
    </row>
    <row r="21834" spans="84:91" s="51" customFormat="1">
      <c r="CF21834" s="239"/>
      <c r="CM21834" s="336"/>
    </row>
    <row r="21835" spans="84:91" s="51" customFormat="1">
      <c r="CF21835" s="239"/>
      <c r="CM21835" s="336"/>
    </row>
    <row r="21836" spans="84:91" s="51" customFormat="1">
      <c r="CF21836" s="239"/>
      <c r="CM21836" s="336"/>
    </row>
    <row r="21837" spans="84:91" s="51" customFormat="1">
      <c r="CF21837" s="239"/>
      <c r="CM21837" s="336"/>
    </row>
    <row r="21838" spans="84:91" s="51" customFormat="1">
      <c r="CF21838" s="239"/>
      <c r="CM21838" s="336"/>
    </row>
    <row r="21839" spans="84:91" s="51" customFormat="1">
      <c r="CF21839" s="239"/>
      <c r="CM21839" s="336"/>
    </row>
    <row r="21840" spans="84:91" s="51" customFormat="1">
      <c r="CF21840" s="239"/>
      <c r="CM21840" s="336"/>
    </row>
    <row r="21841" spans="84:91" s="51" customFormat="1">
      <c r="CF21841" s="239"/>
      <c r="CM21841" s="336"/>
    </row>
    <row r="21842" spans="84:91" s="51" customFormat="1">
      <c r="CF21842" s="239"/>
      <c r="CM21842" s="336"/>
    </row>
    <row r="21843" spans="84:91" s="51" customFormat="1">
      <c r="CF21843" s="239"/>
      <c r="CM21843" s="336"/>
    </row>
    <row r="21844" spans="84:91" s="51" customFormat="1">
      <c r="CF21844" s="239"/>
      <c r="CM21844" s="336"/>
    </row>
    <row r="21845" spans="84:91" s="51" customFormat="1">
      <c r="CF21845" s="239"/>
      <c r="CM21845" s="336"/>
    </row>
    <row r="21846" spans="84:91" s="51" customFormat="1">
      <c r="CF21846" s="239"/>
      <c r="CM21846" s="336"/>
    </row>
    <row r="21847" spans="84:91" s="51" customFormat="1">
      <c r="CF21847" s="239"/>
      <c r="CM21847" s="336"/>
    </row>
    <row r="21848" spans="84:91" s="51" customFormat="1">
      <c r="CF21848" s="239"/>
      <c r="CM21848" s="336"/>
    </row>
    <row r="21849" spans="84:91" s="51" customFormat="1">
      <c r="CF21849" s="239"/>
      <c r="CM21849" s="336"/>
    </row>
    <row r="21850" spans="84:91" s="51" customFormat="1">
      <c r="CF21850" s="239"/>
      <c r="CM21850" s="336"/>
    </row>
    <row r="21851" spans="84:91" s="51" customFormat="1">
      <c r="CF21851" s="239"/>
      <c r="CM21851" s="336"/>
    </row>
    <row r="21852" spans="84:91" s="51" customFormat="1">
      <c r="CF21852" s="239"/>
      <c r="CM21852" s="336"/>
    </row>
    <row r="21853" spans="84:91" s="51" customFormat="1">
      <c r="CF21853" s="239"/>
      <c r="CM21853" s="336"/>
    </row>
    <row r="21854" spans="84:91" s="51" customFormat="1">
      <c r="CF21854" s="239"/>
      <c r="CM21854" s="336"/>
    </row>
    <row r="21855" spans="84:91" s="51" customFormat="1">
      <c r="CF21855" s="239"/>
      <c r="CM21855" s="336"/>
    </row>
    <row r="21856" spans="84:91" s="51" customFormat="1">
      <c r="CF21856" s="239"/>
      <c r="CM21856" s="336"/>
    </row>
    <row r="21857" spans="84:91" s="51" customFormat="1">
      <c r="CF21857" s="239"/>
      <c r="CM21857" s="336"/>
    </row>
    <row r="21858" spans="84:91" s="51" customFormat="1">
      <c r="CF21858" s="239"/>
      <c r="CM21858" s="336"/>
    </row>
    <row r="21859" spans="84:91" s="51" customFormat="1">
      <c r="CF21859" s="239"/>
      <c r="CM21859" s="336"/>
    </row>
    <row r="21860" spans="84:91" s="51" customFormat="1">
      <c r="CF21860" s="239"/>
      <c r="CM21860" s="336"/>
    </row>
    <row r="21861" spans="84:91" s="51" customFormat="1">
      <c r="CF21861" s="239"/>
      <c r="CM21861" s="336"/>
    </row>
    <row r="21862" spans="84:91" s="51" customFormat="1">
      <c r="CF21862" s="239"/>
      <c r="CM21862" s="336"/>
    </row>
    <row r="21863" spans="84:91" s="51" customFormat="1">
      <c r="CF21863" s="239"/>
      <c r="CM21863" s="336"/>
    </row>
    <row r="21864" spans="84:91" s="51" customFormat="1">
      <c r="CF21864" s="239"/>
      <c r="CM21864" s="336"/>
    </row>
    <row r="21865" spans="84:91" s="51" customFormat="1">
      <c r="CF21865" s="239"/>
      <c r="CM21865" s="336"/>
    </row>
    <row r="21866" spans="84:91" s="51" customFormat="1">
      <c r="CF21866" s="239"/>
      <c r="CM21866" s="336"/>
    </row>
    <row r="21867" spans="84:91" s="51" customFormat="1">
      <c r="CF21867" s="239"/>
      <c r="CM21867" s="336"/>
    </row>
    <row r="21868" spans="84:91" s="51" customFormat="1">
      <c r="CF21868" s="239"/>
      <c r="CM21868" s="336"/>
    </row>
    <row r="21869" spans="84:91" s="51" customFormat="1">
      <c r="CF21869" s="239"/>
      <c r="CM21869" s="336"/>
    </row>
    <row r="21870" spans="84:91" s="51" customFormat="1">
      <c r="CF21870" s="239"/>
      <c r="CM21870" s="336"/>
    </row>
    <row r="21871" spans="84:91" s="51" customFormat="1">
      <c r="CF21871" s="239"/>
      <c r="CM21871" s="336"/>
    </row>
    <row r="21872" spans="84:91" s="51" customFormat="1">
      <c r="CF21872" s="239"/>
      <c r="CM21872" s="336"/>
    </row>
    <row r="21873" spans="84:91" s="51" customFormat="1">
      <c r="CF21873" s="239"/>
      <c r="CM21873" s="336"/>
    </row>
    <row r="21874" spans="84:91" s="51" customFormat="1">
      <c r="CF21874" s="239"/>
      <c r="CM21874" s="336"/>
    </row>
    <row r="21875" spans="84:91" s="51" customFormat="1">
      <c r="CF21875" s="239"/>
      <c r="CM21875" s="336"/>
    </row>
    <row r="21876" spans="84:91" s="51" customFormat="1">
      <c r="CF21876" s="239"/>
      <c r="CM21876" s="336"/>
    </row>
    <row r="21877" spans="84:91" s="51" customFormat="1">
      <c r="CF21877" s="239"/>
      <c r="CM21877" s="336"/>
    </row>
    <row r="21878" spans="84:91" s="51" customFormat="1">
      <c r="CF21878" s="239"/>
      <c r="CM21878" s="336"/>
    </row>
    <row r="21879" spans="84:91" s="51" customFormat="1">
      <c r="CF21879" s="239"/>
      <c r="CM21879" s="336"/>
    </row>
    <row r="21880" spans="84:91" s="51" customFormat="1">
      <c r="CF21880" s="239"/>
      <c r="CM21880" s="336"/>
    </row>
    <row r="21881" spans="84:91" s="51" customFormat="1">
      <c r="CF21881" s="239"/>
      <c r="CM21881" s="336"/>
    </row>
    <row r="21882" spans="84:91" s="51" customFormat="1">
      <c r="CF21882" s="239"/>
      <c r="CM21882" s="336"/>
    </row>
    <row r="21883" spans="84:91" s="51" customFormat="1">
      <c r="CF21883" s="239"/>
      <c r="CM21883" s="336"/>
    </row>
    <row r="21884" spans="84:91" s="51" customFormat="1">
      <c r="CF21884" s="239"/>
      <c r="CM21884" s="336"/>
    </row>
    <row r="21885" spans="84:91" s="51" customFormat="1">
      <c r="CF21885" s="239"/>
      <c r="CM21885" s="336"/>
    </row>
    <row r="21886" spans="84:91" s="51" customFormat="1">
      <c r="CF21886" s="239"/>
      <c r="CM21886" s="336"/>
    </row>
    <row r="21887" spans="84:91" s="51" customFormat="1">
      <c r="CF21887" s="239"/>
      <c r="CM21887" s="336"/>
    </row>
    <row r="21888" spans="84:91" s="51" customFormat="1">
      <c r="CF21888" s="239"/>
      <c r="CM21888" s="336"/>
    </row>
    <row r="21889" spans="84:91" s="51" customFormat="1">
      <c r="CF21889" s="239"/>
      <c r="CM21889" s="336"/>
    </row>
    <row r="21890" spans="84:91" s="51" customFormat="1">
      <c r="CF21890" s="239"/>
      <c r="CM21890" s="336"/>
    </row>
    <row r="21891" spans="84:91" s="51" customFormat="1">
      <c r="CF21891" s="239"/>
      <c r="CM21891" s="336"/>
    </row>
    <row r="21892" spans="84:91" s="51" customFormat="1">
      <c r="CF21892" s="239"/>
      <c r="CM21892" s="336"/>
    </row>
    <row r="21893" spans="84:91" s="51" customFormat="1">
      <c r="CF21893" s="239"/>
      <c r="CM21893" s="336"/>
    </row>
    <row r="21894" spans="84:91" s="51" customFormat="1">
      <c r="CF21894" s="239"/>
      <c r="CM21894" s="336"/>
    </row>
    <row r="21895" spans="84:91" s="51" customFormat="1">
      <c r="CF21895" s="239"/>
      <c r="CM21895" s="336"/>
    </row>
    <row r="21896" spans="84:91" s="51" customFormat="1">
      <c r="CF21896" s="239"/>
      <c r="CM21896" s="336"/>
    </row>
    <row r="21897" spans="84:91" s="51" customFormat="1">
      <c r="CF21897" s="239"/>
      <c r="CM21897" s="336"/>
    </row>
    <row r="21898" spans="84:91" s="51" customFormat="1">
      <c r="CF21898" s="239"/>
      <c r="CM21898" s="336"/>
    </row>
    <row r="21899" spans="84:91" s="51" customFormat="1">
      <c r="CF21899" s="239"/>
      <c r="CM21899" s="336"/>
    </row>
    <row r="21900" spans="84:91" s="51" customFormat="1">
      <c r="CF21900" s="239"/>
      <c r="CM21900" s="336"/>
    </row>
    <row r="21901" spans="84:91" s="51" customFormat="1">
      <c r="CF21901" s="239"/>
      <c r="CM21901" s="336"/>
    </row>
    <row r="21902" spans="84:91" s="51" customFormat="1">
      <c r="CF21902" s="239"/>
      <c r="CM21902" s="336"/>
    </row>
    <row r="21903" spans="84:91" s="51" customFormat="1">
      <c r="CF21903" s="239"/>
      <c r="CM21903" s="336"/>
    </row>
    <row r="21904" spans="84:91" s="51" customFormat="1">
      <c r="CF21904" s="239"/>
      <c r="CM21904" s="336"/>
    </row>
    <row r="21905" spans="84:91" s="51" customFormat="1">
      <c r="CF21905" s="239"/>
      <c r="CM21905" s="336"/>
    </row>
    <row r="21906" spans="84:91" s="51" customFormat="1">
      <c r="CF21906" s="239"/>
      <c r="CM21906" s="336"/>
    </row>
    <row r="21907" spans="84:91" s="51" customFormat="1">
      <c r="CF21907" s="239"/>
      <c r="CM21907" s="336"/>
    </row>
    <row r="21908" spans="84:91" s="51" customFormat="1">
      <c r="CF21908" s="239"/>
      <c r="CM21908" s="336"/>
    </row>
    <row r="21909" spans="84:91" s="51" customFormat="1">
      <c r="CF21909" s="239"/>
      <c r="CM21909" s="336"/>
    </row>
    <row r="21910" spans="84:91" s="51" customFormat="1">
      <c r="CF21910" s="239"/>
      <c r="CM21910" s="336"/>
    </row>
    <row r="21911" spans="84:91" s="51" customFormat="1">
      <c r="CF21911" s="239"/>
      <c r="CM21911" s="336"/>
    </row>
    <row r="21912" spans="84:91" s="51" customFormat="1">
      <c r="CF21912" s="239"/>
      <c r="CM21912" s="336"/>
    </row>
    <row r="21913" spans="84:91" s="51" customFormat="1">
      <c r="CF21913" s="239"/>
      <c r="CM21913" s="336"/>
    </row>
    <row r="21914" spans="84:91" s="51" customFormat="1">
      <c r="CF21914" s="239"/>
      <c r="CM21914" s="336"/>
    </row>
    <row r="21915" spans="84:91" s="51" customFormat="1">
      <c r="CF21915" s="239"/>
      <c r="CM21915" s="336"/>
    </row>
    <row r="21916" spans="84:91" s="51" customFormat="1">
      <c r="CF21916" s="239"/>
      <c r="CM21916" s="336"/>
    </row>
    <row r="21917" spans="84:91" s="51" customFormat="1">
      <c r="CF21917" s="239"/>
      <c r="CM21917" s="336"/>
    </row>
    <row r="21918" spans="84:91" s="51" customFormat="1">
      <c r="CF21918" s="239"/>
      <c r="CM21918" s="336"/>
    </row>
    <row r="21919" spans="84:91" s="51" customFormat="1">
      <c r="CF21919" s="239"/>
      <c r="CM21919" s="336"/>
    </row>
    <row r="21920" spans="84:91" s="51" customFormat="1">
      <c r="CF21920" s="239"/>
      <c r="CM21920" s="336"/>
    </row>
    <row r="21921" spans="84:91" s="51" customFormat="1">
      <c r="CF21921" s="239"/>
      <c r="CM21921" s="336"/>
    </row>
    <row r="21922" spans="84:91" s="51" customFormat="1">
      <c r="CF21922" s="239"/>
      <c r="CM21922" s="336"/>
    </row>
    <row r="21923" spans="84:91" s="51" customFormat="1">
      <c r="CF21923" s="239"/>
      <c r="CM21923" s="336"/>
    </row>
    <row r="21924" spans="84:91" s="51" customFormat="1">
      <c r="CF21924" s="239"/>
      <c r="CM21924" s="336"/>
    </row>
    <row r="21925" spans="84:91" s="51" customFormat="1">
      <c r="CF21925" s="239"/>
      <c r="CM21925" s="336"/>
    </row>
    <row r="21926" spans="84:91" s="51" customFormat="1">
      <c r="CF21926" s="239"/>
      <c r="CM21926" s="336"/>
    </row>
    <row r="21927" spans="84:91" s="51" customFormat="1">
      <c r="CF21927" s="239"/>
      <c r="CM21927" s="336"/>
    </row>
    <row r="21928" spans="84:91" s="51" customFormat="1">
      <c r="CF21928" s="239"/>
      <c r="CM21928" s="336"/>
    </row>
    <row r="21929" spans="84:91" s="51" customFormat="1">
      <c r="CF21929" s="239"/>
      <c r="CM21929" s="336"/>
    </row>
    <row r="21930" spans="84:91" s="51" customFormat="1">
      <c r="CF21930" s="239"/>
      <c r="CM21930" s="336"/>
    </row>
    <row r="21931" spans="84:91" s="51" customFormat="1">
      <c r="CF21931" s="239"/>
      <c r="CM21931" s="336"/>
    </row>
    <row r="21932" spans="84:91" s="51" customFormat="1">
      <c r="CF21932" s="239"/>
      <c r="CM21932" s="336"/>
    </row>
    <row r="21933" spans="84:91" s="51" customFormat="1">
      <c r="CF21933" s="239"/>
      <c r="CM21933" s="336"/>
    </row>
    <row r="21934" spans="84:91" s="51" customFormat="1">
      <c r="CF21934" s="239"/>
      <c r="CM21934" s="336"/>
    </row>
    <row r="21935" spans="84:91" s="51" customFormat="1">
      <c r="CF21935" s="239"/>
      <c r="CM21935" s="336"/>
    </row>
    <row r="21936" spans="84:91" s="51" customFormat="1">
      <c r="CF21936" s="239"/>
      <c r="CM21936" s="336"/>
    </row>
    <row r="21937" spans="84:91" s="51" customFormat="1">
      <c r="CF21937" s="239"/>
      <c r="CM21937" s="336"/>
    </row>
    <row r="21938" spans="84:91" s="51" customFormat="1">
      <c r="CF21938" s="239"/>
      <c r="CM21938" s="336"/>
    </row>
    <row r="21939" spans="84:91" s="51" customFormat="1">
      <c r="CF21939" s="239"/>
      <c r="CM21939" s="336"/>
    </row>
    <row r="21940" spans="84:91" s="51" customFormat="1">
      <c r="CF21940" s="239"/>
      <c r="CM21940" s="336"/>
    </row>
    <row r="21941" spans="84:91" s="51" customFormat="1">
      <c r="CF21941" s="239"/>
      <c r="CM21941" s="336"/>
    </row>
    <row r="21942" spans="84:91" s="51" customFormat="1">
      <c r="CF21942" s="239"/>
      <c r="CM21942" s="336"/>
    </row>
    <row r="21943" spans="84:91" s="51" customFormat="1">
      <c r="CF21943" s="239"/>
      <c r="CM21943" s="336"/>
    </row>
    <row r="21944" spans="84:91" s="51" customFormat="1">
      <c r="CF21944" s="239"/>
      <c r="CM21944" s="336"/>
    </row>
    <row r="21945" spans="84:91" s="51" customFormat="1">
      <c r="CF21945" s="239"/>
      <c r="CM21945" s="336"/>
    </row>
    <row r="21946" spans="84:91" s="51" customFormat="1">
      <c r="CF21946" s="239"/>
      <c r="CM21946" s="336"/>
    </row>
    <row r="21947" spans="84:91" s="51" customFormat="1">
      <c r="CF21947" s="239"/>
      <c r="CM21947" s="336"/>
    </row>
    <row r="21948" spans="84:91" s="51" customFormat="1">
      <c r="CF21948" s="239"/>
      <c r="CM21948" s="336"/>
    </row>
    <row r="21949" spans="84:91" s="51" customFormat="1">
      <c r="CF21949" s="239"/>
      <c r="CM21949" s="336"/>
    </row>
    <row r="21950" spans="84:91" s="51" customFormat="1">
      <c r="CF21950" s="239"/>
      <c r="CM21950" s="336"/>
    </row>
    <row r="21951" spans="84:91" s="51" customFormat="1">
      <c r="CF21951" s="239"/>
      <c r="CM21951" s="336"/>
    </row>
    <row r="21952" spans="84:91" s="51" customFormat="1">
      <c r="CF21952" s="239"/>
      <c r="CM21952" s="336"/>
    </row>
    <row r="21953" spans="84:91" s="51" customFormat="1">
      <c r="CF21953" s="239"/>
      <c r="CM21953" s="336"/>
    </row>
    <row r="21954" spans="84:91" s="51" customFormat="1">
      <c r="CF21954" s="239"/>
      <c r="CM21954" s="336"/>
    </row>
    <row r="21955" spans="84:91" s="51" customFormat="1">
      <c r="CF21955" s="239"/>
      <c r="CM21955" s="336"/>
    </row>
    <row r="21956" spans="84:91" s="51" customFormat="1">
      <c r="CF21956" s="239"/>
      <c r="CM21956" s="336"/>
    </row>
    <row r="21957" spans="84:91" s="51" customFormat="1">
      <c r="CF21957" s="239"/>
      <c r="CM21957" s="336"/>
    </row>
    <row r="21958" spans="84:91" s="51" customFormat="1">
      <c r="CF21958" s="239"/>
      <c r="CM21958" s="336"/>
    </row>
    <row r="21959" spans="84:91" s="51" customFormat="1">
      <c r="CF21959" s="239"/>
      <c r="CM21959" s="336"/>
    </row>
    <row r="21960" spans="84:91" s="51" customFormat="1">
      <c r="CF21960" s="239"/>
      <c r="CM21960" s="336"/>
    </row>
    <row r="21961" spans="84:91" s="51" customFormat="1">
      <c r="CF21961" s="239"/>
      <c r="CM21961" s="336"/>
    </row>
    <row r="21962" spans="84:91" s="51" customFormat="1">
      <c r="CF21962" s="239"/>
      <c r="CM21962" s="336"/>
    </row>
    <row r="21963" spans="84:91" s="51" customFormat="1">
      <c r="CF21963" s="239"/>
      <c r="CM21963" s="336"/>
    </row>
    <row r="21964" spans="84:91" s="51" customFormat="1">
      <c r="CF21964" s="239"/>
      <c r="CM21964" s="336"/>
    </row>
    <row r="21965" spans="84:91" s="51" customFormat="1">
      <c r="CF21965" s="239"/>
      <c r="CM21965" s="336"/>
    </row>
    <row r="21966" spans="84:91" s="51" customFormat="1">
      <c r="CF21966" s="239"/>
      <c r="CM21966" s="336"/>
    </row>
    <row r="21967" spans="84:91" s="51" customFormat="1">
      <c r="CF21967" s="239"/>
      <c r="CM21967" s="336"/>
    </row>
    <row r="21968" spans="84:91" s="51" customFormat="1">
      <c r="CF21968" s="239"/>
      <c r="CM21968" s="336"/>
    </row>
    <row r="21969" spans="84:91" s="51" customFormat="1">
      <c r="CF21969" s="239"/>
      <c r="CM21969" s="336"/>
    </row>
    <row r="21970" spans="84:91" s="51" customFormat="1">
      <c r="CF21970" s="239"/>
      <c r="CM21970" s="336"/>
    </row>
    <row r="21971" spans="84:91" s="51" customFormat="1">
      <c r="CF21971" s="239"/>
      <c r="CM21971" s="336"/>
    </row>
    <row r="21972" spans="84:91" s="51" customFormat="1">
      <c r="CF21972" s="239"/>
      <c r="CM21972" s="336"/>
    </row>
    <row r="21973" spans="84:91" s="51" customFormat="1">
      <c r="CF21973" s="239"/>
      <c r="CM21973" s="336"/>
    </row>
    <row r="21974" spans="84:91" s="51" customFormat="1">
      <c r="CF21974" s="239"/>
      <c r="CM21974" s="336"/>
    </row>
    <row r="21975" spans="84:91" s="51" customFormat="1">
      <c r="CF21975" s="239"/>
      <c r="CM21975" s="336"/>
    </row>
    <row r="21976" spans="84:91" s="51" customFormat="1">
      <c r="CF21976" s="239"/>
      <c r="CM21976" s="336"/>
    </row>
    <row r="21977" spans="84:91" s="51" customFormat="1">
      <c r="CF21977" s="239"/>
      <c r="CM21977" s="336"/>
    </row>
    <row r="21978" spans="84:91" s="51" customFormat="1">
      <c r="CF21978" s="239"/>
      <c r="CM21978" s="336"/>
    </row>
    <row r="21979" spans="84:91" s="51" customFormat="1">
      <c r="CF21979" s="239"/>
      <c r="CM21979" s="336"/>
    </row>
    <row r="21980" spans="84:91" s="51" customFormat="1">
      <c r="CF21980" s="239"/>
      <c r="CM21980" s="336"/>
    </row>
    <row r="21981" spans="84:91" s="51" customFormat="1">
      <c r="CF21981" s="239"/>
      <c r="CM21981" s="336"/>
    </row>
    <row r="21982" spans="84:91" s="51" customFormat="1">
      <c r="CF21982" s="239"/>
      <c r="CM21982" s="336"/>
    </row>
    <row r="21983" spans="84:91" s="51" customFormat="1">
      <c r="CF21983" s="239"/>
      <c r="CM21983" s="336"/>
    </row>
    <row r="21984" spans="84:91" s="51" customFormat="1">
      <c r="CF21984" s="239"/>
      <c r="CM21984" s="336"/>
    </row>
    <row r="21985" spans="84:91" s="51" customFormat="1">
      <c r="CF21985" s="239"/>
      <c r="CM21985" s="336"/>
    </row>
    <row r="21986" spans="84:91" s="51" customFormat="1">
      <c r="CF21986" s="239"/>
      <c r="CM21986" s="336"/>
    </row>
    <row r="21987" spans="84:91" s="51" customFormat="1">
      <c r="CF21987" s="239"/>
      <c r="CM21987" s="336"/>
    </row>
    <row r="21988" spans="84:91" s="51" customFormat="1">
      <c r="CF21988" s="239"/>
      <c r="CM21988" s="336"/>
    </row>
    <row r="21989" spans="84:91" s="51" customFormat="1">
      <c r="CF21989" s="239"/>
      <c r="CM21989" s="336"/>
    </row>
    <row r="21990" spans="84:91" s="51" customFormat="1">
      <c r="CF21990" s="239"/>
      <c r="CM21990" s="336"/>
    </row>
    <row r="21991" spans="84:91" s="51" customFormat="1">
      <c r="CF21991" s="239"/>
      <c r="CM21991" s="336"/>
    </row>
    <row r="21992" spans="84:91" s="51" customFormat="1">
      <c r="CF21992" s="239"/>
      <c r="CM21992" s="336"/>
    </row>
    <row r="21993" spans="84:91" s="51" customFormat="1">
      <c r="CF21993" s="239"/>
      <c r="CM21993" s="336"/>
    </row>
    <row r="21994" spans="84:91" s="51" customFormat="1">
      <c r="CF21994" s="239"/>
      <c r="CM21994" s="336"/>
    </row>
    <row r="21995" spans="84:91" s="51" customFormat="1">
      <c r="CF21995" s="239"/>
      <c r="CM21995" s="336"/>
    </row>
    <row r="21996" spans="84:91" s="51" customFormat="1">
      <c r="CF21996" s="239"/>
      <c r="CM21996" s="336"/>
    </row>
    <row r="21997" spans="84:91" s="51" customFormat="1">
      <c r="CF21997" s="239"/>
      <c r="CM21997" s="336"/>
    </row>
    <row r="21998" spans="84:91" s="51" customFormat="1">
      <c r="CF21998" s="239"/>
      <c r="CM21998" s="336"/>
    </row>
    <row r="21999" spans="84:91" s="51" customFormat="1">
      <c r="CF21999" s="239"/>
      <c r="CM21999" s="336"/>
    </row>
    <row r="22000" spans="84:91" s="51" customFormat="1">
      <c r="CF22000" s="239"/>
      <c r="CM22000" s="336"/>
    </row>
    <row r="22001" spans="84:91" s="51" customFormat="1">
      <c r="CF22001" s="239"/>
      <c r="CM22001" s="336"/>
    </row>
    <row r="22002" spans="84:91" s="51" customFormat="1">
      <c r="CF22002" s="239"/>
      <c r="CM22002" s="336"/>
    </row>
    <row r="22003" spans="84:91" s="51" customFormat="1">
      <c r="CF22003" s="239"/>
      <c r="CM22003" s="336"/>
    </row>
    <row r="22004" spans="84:91" s="51" customFormat="1">
      <c r="CF22004" s="239"/>
      <c r="CM22004" s="336"/>
    </row>
    <row r="22005" spans="84:91" s="51" customFormat="1">
      <c r="CF22005" s="239"/>
      <c r="CM22005" s="336"/>
    </row>
    <row r="22006" spans="84:91" s="51" customFormat="1">
      <c r="CF22006" s="239"/>
      <c r="CM22006" s="336"/>
    </row>
    <row r="22007" spans="84:91" s="51" customFormat="1">
      <c r="CF22007" s="239"/>
      <c r="CM22007" s="336"/>
    </row>
    <row r="22008" spans="84:91" s="51" customFormat="1">
      <c r="CF22008" s="239"/>
      <c r="CM22008" s="336"/>
    </row>
    <row r="22009" spans="84:91" s="51" customFormat="1">
      <c r="CF22009" s="239"/>
      <c r="CM22009" s="336"/>
    </row>
    <row r="22010" spans="84:91" s="51" customFormat="1">
      <c r="CF22010" s="239"/>
      <c r="CM22010" s="336"/>
    </row>
    <row r="22011" spans="84:91" s="51" customFormat="1">
      <c r="CF22011" s="239"/>
      <c r="CM22011" s="336"/>
    </row>
    <row r="22012" spans="84:91" s="51" customFormat="1">
      <c r="CF22012" s="239"/>
      <c r="CM22012" s="336"/>
    </row>
    <row r="22013" spans="84:91" s="51" customFormat="1">
      <c r="CF22013" s="239"/>
      <c r="CM22013" s="336"/>
    </row>
    <row r="22014" spans="84:91" s="51" customFormat="1">
      <c r="CF22014" s="239"/>
      <c r="CM22014" s="336"/>
    </row>
    <row r="22015" spans="84:91" s="51" customFormat="1">
      <c r="CF22015" s="239"/>
      <c r="CM22015" s="336"/>
    </row>
    <row r="22016" spans="84:91" s="51" customFormat="1">
      <c r="CF22016" s="239"/>
      <c r="CM22016" s="336"/>
    </row>
    <row r="22017" spans="84:91" s="51" customFormat="1">
      <c r="CF22017" s="239"/>
      <c r="CM22017" s="336"/>
    </row>
    <row r="22018" spans="84:91" s="51" customFormat="1">
      <c r="CF22018" s="239"/>
      <c r="CM22018" s="336"/>
    </row>
    <row r="22019" spans="84:91" s="51" customFormat="1">
      <c r="CF22019" s="239"/>
      <c r="CM22019" s="336"/>
    </row>
    <row r="22020" spans="84:91" s="51" customFormat="1">
      <c r="CF22020" s="239"/>
      <c r="CM22020" s="336"/>
    </row>
    <row r="22021" spans="84:91" s="51" customFormat="1">
      <c r="CF22021" s="239"/>
      <c r="CM22021" s="336"/>
    </row>
    <row r="22022" spans="84:91" s="51" customFormat="1">
      <c r="CF22022" s="239"/>
      <c r="CM22022" s="336"/>
    </row>
    <row r="22023" spans="84:91" s="51" customFormat="1">
      <c r="CF22023" s="239"/>
      <c r="CM22023" s="336"/>
    </row>
    <row r="22024" spans="84:91" s="51" customFormat="1">
      <c r="CF22024" s="239"/>
      <c r="CM22024" s="336"/>
    </row>
    <row r="22025" spans="84:91" s="51" customFormat="1">
      <c r="CF22025" s="239"/>
      <c r="CM22025" s="336"/>
    </row>
    <row r="22026" spans="84:91" s="51" customFormat="1">
      <c r="CF22026" s="239"/>
      <c r="CM22026" s="336"/>
    </row>
    <row r="22027" spans="84:91" s="51" customFormat="1">
      <c r="CF22027" s="239"/>
      <c r="CM22027" s="336"/>
    </row>
    <row r="22028" spans="84:91" s="51" customFormat="1">
      <c r="CF22028" s="239"/>
      <c r="CM22028" s="336"/>
    </row>
    <row r="22029" spans="84:91" s="51" customFormat="1">
      <c r="CF22029" s="239"/>
      <c r="CM22029" s="336"/>
    </row>
    <row r="22030" spans="84:91" s="51" customFormat="1">
      <c r="CF22030" s="239"/>
      <c r="CM22030" s="336"/>
    </row>
    <row r="22031" spans="84:91" s="51" customFormat="1">
      <c r="CF22031" s="239"/>
      <c r="CM22031" s="336"/>
    </row>
    <row r="22032" spans="84:91" s="51" customFormat="1">
      <c r="CF22032" s="239"/>
      <c r="CM22032" s="336"/>
    </row>
    <row r="22033" spans="84:91" s="51" customFormat="1">
      <c r="CF22033" s="239"/>
      <c r="CM22033" s="336"/>
    </row>
    <row r="22034" spans="84:91" s="51" customFormat="1">
      <c r="CF22034" s="239"/>
      <c r="CM22034" s="336"/>
    </row>
    <row r="22035" spans="84:91" s="51" customFormat="1">
      <c r="CF22035" s="239"/>
      <c r="CM22035" s="336"/>
    </row>
    <row r="22036" spans="84:91" s="51" customFormat="1">
      <c r="CF22036" s="239"/>
      <c r="CM22036" s="336"/>
    </row>
    <row r="22037" spans="84:91" s="51" customFormat="1">
      <c r="CF22037" s="239"/>
      <c r="CM22037" s="336"/>
    </row>
    <row r="22038" spans="84:91" s="51" customFormat="1">
      <c r="CF22038" s="239"/>
      <c r="CM22038" s="336"/>
    </row>
    <row r="22039" spans="84:91" s="51" customFormat="1">
      <c r="CF22039" s="239"/>
      <c r="CM22039" s="336"/>
    </row>
    <row r="22040" spans="84:91" s="51" customFormat="1">
      <c r="CF22040" s="239"/>
      <c r="CM22040" s="336"/>
    </row>
    <row r="22041" spans="84:91" s="51" customFormat="1">
      <c r="CF22041" s="239"/>
      <c r="CM22041" s="336"/>
    </row>
    <row r="22042" spans="84:91" s="51" customFormat="1">
      <c r="CF22042" s="239"/>
      <c r="CM22042" s="336"/>
    </row>
    <row r="22043" spans="84:91" s="51" customFormat="1">
      <c r="CF22043" s="239"/>
      <c r="CM22043" s="336"/>
    </row>
    <row r="22044" spans="84:91" s="51" customFormat="1">
      <c r="CF22044" s="239"/>
      <c r="CM22044" s="336"/>
    </row>
    <row r="22045" spans="84:91" s="51" customFormat="1">
      <c r="CF22045" s="239"/>
      <c r="CM22045" s="336"/>
    </row>
    <row r="22046" spans="84:91" s="51" customFormat="1">
      <c r="CF22046" s="239"/>
      <c r="CM22046" s="336"/>
    </row>
    <row r="22047" spans="84:91" s="51" customFormat="1">
      <c r="CF22047" s="239"/>
      <c r="CM22047" s="336"/>
    </row>
    <row r="22048" spans="84:91" s="51" customFormat="1">
      <c r="CF22048" s="239"/>
      <c r="CM22048" s="336"/>
    </row>
    <row r="22049" spans="84:91" s="51" customFormat="1">
      <c r="CF22049" s="239"/>
      <c r="CM22049" s="336"/>
    </row>
    <row r="22050" spans="84:91" s="51" customFormat="1">
      <c r="CF22050" s="239"/>
      <c r="CM22050" s="336"/>
    </row>
    <row r="22051" spans="84:91" s="51" customFormat="1">
      <c r="CF22051" s="239"/>
      <c r="CM22051" s="336"/>
    </row>
    <row r="22052" spans="84:91" s="51" customFormat="1">
      <c r="CF22052" s="239"/>
      <c r="CM22052" s="336"/>
    </row>
    <row r="22053" spans="84:91" s="51" customFormat="1">
      <c r="CF22053" s="239"/>
      <c r="CM22053" s="336"/>
    </row>
    <row r="22054" spans="84:91" s="51" customFormat="1">
      <c r="CF22054" s="239"/>
      <c r="CM22054" s="336"/>
    </row>
    <row r="22055" spans="84:91" s="51" customFormat="1">
      <c r="CF22055" s="239"/>
      <c r="CM22055" s="336"/>
    </row>
    <row r="22056" spans="84:91" s="51" customFormat="1">
      <c r="CF22056" s="239"/>
      <c r="CM22056" s="336"/>
    </row>
    <row r="22057" spans="84:91" s="51" customFormat="1">
      <c r="CF22057" s="239"/>
      <c r="CM22057" s="336"/>
    </row>
    <row r="22058" spans="84:91" s="51" customFormat="1">
      <c r="CF22058" s="239"/>
      <c r="CM22058" s="336"/>
    </row>
    <row r="22059" spans="84:91" s="51" customFormat="1">
      <c r="CF22059" s="239"/>
      <c r="CM22059" s="336"/>
    </row>
    <row r="22060" spans="84:91" s="51" customFormat="1">
      <c r="CF22060" s="239"/>
      <c r="CM22060" s="336"/>
    </row>
    <row r="22061" spans="84:91" s="51" customFormat="1">
      <c r="CF22061" s="239"/>
      <c r="CM22061" s="336"/>
    </row>
    <row r="22062" spans="84:91" s="51" customFormat="1">
      <c r="CF22062" s="239"/>
      <c r="CM22062" s="336"/>
    </row>
    <row r="22063" spans="84:91" s="51" customFormat="1">
      <c r="CF22063" s="239"/>
      <c r="CM22063" s="336"/>
    </row>
    <row r="22064" spans="84:91" s="51" customFormat="1">
      <c r="CF22064" s="239"/>
      <c r="CM22064" s="336"/>
    </row>
    <row r="22065" spans="84:91" s="51" customFormat="1">
      <c r="CF22065" s="239"/>
      <c r="CM22065" s="336"/>
    </row>
    <row r="22066" spans="84:91" s="51" customFormat="1">
      <c r="CF22066" s="239"/>
      <c r="CM22066" s="336"/>
    </row>
    <row r="22067" spans="84:91" s="51" customFormat="1">
      <c r="CF22067" s="239"/>
      <c r="CM22067" s="336"/>
    </row>
    <row r="22068" spans="84:91" s="51" customFormat="1">
      <c r="CF22068" s="239"/>
      <c r="CM22068" s="336"/>
    </row>
    <row r="22069" spans="84:91" s="51" customFormat="1">
      <c r="CF22069" s="239"/>
      <c r="CM22069" s="336"/>
    </row>
    <row r="22070" spans="84:91" s="51" customFormat="1">
      <c r="CF22070" s="239"/>
      <c r="CM22070" s="336"/>
    </row>
    <row r="22071" spans="84:91" s="51" customFormat="1">
      <c r="CF22071" s="239"/>
      <c r="CM22071" s="336"/>
    </row>
    <row r="22072" spans="84:91" s="51" customFormat="1">
      <c r="CF22072" s="239"/>
      <c r="CM22072" s="336"/>
    </row>
    <row r="22073" spans="84:91" s="51" customFormat="1">
      <c r="CF22073" s="239"/>
      <c r="CM22073" s="336"/>
    </row>
    <row r="22074" spans="84:91" s="51" customFormat="1">
      <c r="CF22074" s="239"/>
      <c r="CM22074" s="336"/>
    </row>
    <row r="22075" spans="84:91" s="51" customFormat="1">
      <c r="CF22075" s="239"/>
      <c r="CM22075" s="336"/>
    </row>
    <row r="22076" spans="84:91" s="51" customFormat="1">
      <c r="CF22076" s="239"/>
      <c r="CM22076" s="336"/>
    </row>
    <row r="22077" spans="84:91" s="51" customFormat="1">
      <c r="CF22077" s="239"/>
      <c r="CM22077" s="336"/>
    </row>
    <row r="22078" spans="84:91" s="51" customFormat="1">
      <c r="CF22078" s="239"/>
      <c r="CM22078" s="336"/>
    </row>
    <row r="22079" spans="84:91" s="51" customFormat="1">
      <c r="CF22079" s="239"/>
      <c r="CM22079" s="336"/>
    </row>
    <row r="22080" spans="84:91" s="51" customFormat="1">
      <c r="CF22080" s="239"/>
      <c r="CM22080" s="336"/>
    </row>
    <row r="22081" spans="84:91" s="51" customFormat="1">
      <c r="CF22081" s="239"/>
      <c r="CM22081" s="336"/>
    </row>
    <row r="22082" spans="84:91" s="51" customFormat="1">
      <c r="CF22082" s="239"/>
      <c r="CM22082" s="336"/>
    </row>
    <row r="22083" spans="84:91" s="51" customFormat="1">
      <c r="CF22083" s="239"/>
      <c r="CM22083" s="336"/>
    </row>
    <row r="22084" spans="84:91" s="51" customFormat="1">
      <c r="CF22084" s="239"/>
      <c r="CM22084" s="336"/>
    </row>
    <row r="22085" spans="84:91" s="51" customFormat="1">
      <c r="CF22085" s="239"/>
      <c r="CM22085" s="336"/>
    </row>
    <row r="22086" spans="84:91" s="51" customFormat="1">
      <c r="CF22086" s="239"/>
      <c r="CM22086" s="336"/>
    </row>
    <row r="22087" spans="84:91" s="51" customFormat="1">
      <c r="CF22087" s="239"/>
      <c r="CM22087" s="336"/>
    </row>
    <row r="22088" spans="84:91" s="51" customFormat="1">
      <c r="CF22088" s="239"/>
      <c r="CM22088" s="336"/>
    </row>
    <row r="22089" spans="84:91" s="51" customFormat="1">
      <c r="CF22089" s="239"/>
      <c r="CM22089" s="336"/>
    </row>
    <row r="22090" spans="84:91" s="51" customFormat="1">
      <c r="CF22090" s="239"/>
      <c r="CM22090" s="336"/>
    </row>
    <row r="22091" spans="84:91" s="51" customFormat="1">
      <c r="CF22091" s="239"/>
      <c r="CM22091" s="336"/>
    </row>
    <row r="22092" spans="84:91" s="51" customFormat="1">
      <c r="CF22092" s="239"/>
      <c r="CM22092" s="336"/>
    </row>
    <row r="22093" spans="84:91" s="51" customFormat="1">
      <c r="CF22093" s="239"/>
      <c r="CM22093" s="336"/>
    </row>
    <row r="22094" spans="84:91" s="51" customFormat="1">
      <c r="CF22094" s="239"/>
      <c r="CM22094" s="336"/>
    </row>
    <row r="22095" spans="84:91" s="51" customFormat="1">
      <c r="CF22095" s="239"/>
      <c r="CM22095" s="336"/>
    </row>
    <row r="22096" spans="84:91" s="51" customFormat="1">
      <c r="CF22096" s="239"/>
      <c r="CM22096" s="336"/>
    </row>
    <row r="22097" spans="84:91" s="51" customFormat="1">
      <c r="CF22097" s="239"/>
      <c r="CM22097" s="336"/>
    </row>
    <row r="22098" spans="84:91" s="51" customFormat="1">
      <c r="CF22098" s="239"/>
      <c r="CM22098" s="336"/>
    </row>
    <row r="22099" spans="84:91" s="51" customFormat="1">
      <c r="CF22099" s="239"/>
      <c r="CM22099" s="336"/>
    </row>
    <row r="22100" spans="84:91" s="51" customFormat="1">
      <c r="CF22100" s="239"/>
      <c r="CM22100" s="336"/>
    </row>
    <row r="22101" spans="84:91" s="51" customFormat="1">
      <c r="CF22101" s="239"/>
      <c r="CM22101" s="336"/>
    </row>
    <row r="22102" spans="84:91" s="51" customFormat="1">
      <c r="CF22102" s="239"/>
      <c r="CM22102" s="336"/>
    </row>
    <row r="22103" spans="84:91" s="51" customFormat="1">
      <c r="CF22103" s="239"/>
      <c r="CM22103" s="336"/>
    </row>
    <row r="22104" spans="84:91" s="51" customFormat="1">
      <c r="CF22104" s="239"/>
      <c r="CM22104" s="336"/>
    </row>
    <row r="22105" spans="84:91" s="51" customFormat="1">
      <c r="CF22105" s="239"/>
      <c r="CM22105" s="336"/>
    </row>
    <row r="22106" spans="84:91" s="51" customFormat="1">
      <c r="CF22106" s="239"/>
      <c r="CM22106" s="336"/>
    </row>
    <row r="22107" spans="84:91" s="51" customFormat="1">
      <c r="CF22107" s="239"/>
      <c r="CM22107" s="336"/>
    </row>
    <row r="22108" spans="84:91" s="51" customFormat="1">
      <c r="CF22108" s="239"/>
      <c r="CM22108" s="336"/>
    </row>
    <row r="22109" spans="84:91" s="51" customFormat="1">
      <c r="CF22109" s="239"/>
      <c r="CM22109" s="336"/>
    </row>
    <row r="22110" spans="84:91" s="51" customFormat="1">
      <c r="CF22110" s="239"/>
      <c r="CM22110" s="336"/>
    </row>
    <row r="22111" spans="84:91" s="51" customFormat="1">
      <c r="CF22111" s="239"/>
      <c r="CM22111" s="336"/>
    </row>
    <row r="22112" spans="84:91" s="51" customFormat="1">
      <c r="CF22112" s="239"/>
      <c r="CM22112" s="336"/>
    </row>
    <row r="22113" spans="84:91" s="51" customFormat="1">
      <c r="CF22113" s="239"/>
      <c r="CM22113" s="336"/>
    </row>
    <row r="22114" spans="84:91" s="51" customFormat="1">
      <c r="CF22114" s="239"/>
      <c r="CM22114" s="336"/>
    </row>
    <row r="22115" spans="84:91" s="51" customFormat="1">
      <c r="CF22115" s="239"/>
      <c r="CM22115" s="336"/>
    </row>
    <row r="22116" spans="84:91" s="51" customFormat="1">
      <c r="CF22116" s="239"/>
      <c r="CM22116" s="336"/>
    </row>
    <row r="22117" spans="84:91" s="51" customFormat="1">
      <c r="CF22117" s="239"/>
      <c r="CM22117" s="336"/>
    </row>
    <row r="22118" spans="84:91" s="51" customFormat="1">
      <c r="CF22118" s="239"/>
      <c r="CM22118" s="336"/>
    </row>
    <row r="22119" spans="84:91" s="51" customFormat="1">
      <c r="CF22119" s="239"/>
      <c r="CM22119" s="336"/>
    </row>
    <row r="22120" spans="84:91" s="51" customFormat="1">
      <c r="CF22120" s="239"/>
      <c r="CM22120" s="336"/>
    </row>
    <row r="22121" spans="84:91" s="51" customFormat="1">
      <c r="CF22121" s="239"/>
      <c r="CM22121" s="336"/>
    </row>
    <row r="22122" spans="84:91" s="51" customFormat="1">
      <c r="CF22122" s="239"/>
      <c r="CM22122" s="336"/>
    </row>
    <row r="22123" spans="84:91" s="51" customFormat="1">
      <c r="CF22123" s="239"/>
      <c r="CM22123" s="336"/>
    </row>
    <row r="22124" spans="84:91" s="51" customFormat="1">
      <c r="CF22124" s="239"/>
      <c r="CM22124" s="336"/>
    </row>
    <row r="22125" spans="84:91" s="51" customFormat="1">
      <c r="CF22125" s="239"/>
      <c r="CM22125" s="336"/>
    </row>
    <row r="22126" spans="84:91" s="51" customFormat="1">
      <c r="CF22126" s="239"/>
      <c r="CM22126" s="336"/>
    </row>
    <row r="22127" spans="84:91" s="51" customFormat="1">
      <c r="CF22127" s="239"/>
      <c r="CM22127" s="336"/>
    </row>
    <row r="22128" spans="84:91" s="51" customFormat="1">
      <c r="CF22128" s="239"/>
      <c r="CM22128" s="336"/>
    </row>
    <row r="22129" spans="84:91" s="51" customFormat="1">
      <c r="CF22129" s="239"/>
      <c r="CM22129" s="336"/>
    </row>
    <row r="22130" spans="84:91" s="51" customFormat="1">
      <c r="CF22130" s="239"/>
      <c r="CM22130" s="336"/>
    </row>
    <row r="22131" spans="84:91" s="51" customFormat="1">
      <c r="CF22131" s="239"/>
      <c r="CM22131" s="336"/>
    </row>
    <row r="22132" spans="84:91" s="51" customFormat="1">
      <c r="CF22132" s="239"/>
      <c r="CM22132" s="336"/>
    </row>
    <row r="22133" spans="84:91" s="51" customFormat="1">
      <c r="CF22133" s="239"/>
      <c r="CM22133" s="336"/>
    </row>
    <row r="22134" spans="84:91" s="51" customFormat="1">
      <c r="CF22134" s="239"/>
      <c r="CM22134" s="336"/>
    </row>
    <row r="22135" spans="84:91" s="51" customFormat="1">
      <c r="CF22135" s="239"/>
      <c r="CM22135" s="336"/>
    </row>
    <row r="22136" spans="84:91" s="51" customFormat="1">
      <c r="CF22136" s="239"/>
      <c r="CM22136" s="336"/>
    </row>
    <row r="22137" spans="84:91" s="51" customFormat="1">
      <c r="CF22137" s="239"/>
      <c r="CM22137" s="336"/>
    </row>
    <row r="22138" spans="84:91" s="51" customFormat="1">
      <c r="CF22138" s="239"/>
      <c r="CM22138" s="336"/>
    </row>
    <row r="22139" spans="84:91" s="51" customFormat="1">
      <c r="CF22139" s="239"/>
      <c r="CM22139" s="336"/>
    </row>
    <row r="22140" spans="84:91" s="51" customFormat="1">
      <c r="CF22140" s="239"/>
      <c r="CM22140" s="336"/>
    </row>
    <row r="22141" spans="84:91" s="51" customFormat="1">
      <c r="CF22141" s="239"/>
      <c r="CM22141" s="336"/>
    </row>
    <row r="22142" spans="84:91" s="51" customFormat="1">
      <c r="CF22142" s="239"/>
      <c r="CM22142" s="336"/>
    </row>
    <row r="22143" spans="84:91" s="51" customFormat="1">
      <c r="CF22143" s="239"/>
      <c r="CM22143" s="336"/>
    </row>
    <row r="22144" spans="84:91" s="51" customFormat="1">
      <c r="CF22144" s="239"/>
      <c r="CM22144" s="336"/>
    </row>
    <row r="22145" spans="84:91" s="51" customFormat="1">
      <c r="CF22145" s="239"/>
      <c r="CM22145" s="336"/>
    </row>
    <row r="22146" spans="84:91" s="51" customFormat="1">
      <c r="CF22146" s="239"/>
      <c r="CM22146" s="336"/>
    </row>
    <row r="22147" spans="84:91" s="51" customFormat="1">
      <c r="CF22147" s="239"/>
      <c r="CM22147" s="336"/>
    </row>
    <row r="22148" spans="84:91" s="51" customFormat="1">
      <c r="CF22148" s="239"/>
      <c r="CM22148" s="336"/>
    </row>
    <row r="22149" spans="84:91" s="51" customFormat="1">
      <c r="CF22149" s="239"/>
      <c r="CM22149" s="336"/>
    </row>
    <row r="22150" spans="84:91" s="51" customFormat="1">
      <c r="CF22150" s="239"/>
      <c r="CM22150" s="336"/>
    </row>
    <row r="22151" spans="84:91" s="51" customFormat="1">
      <c r="CF22151" s="239"/>
      <c r="CM22151" s="336"/>
    </row>
    <row r="22152" spans="84:91" s="51" customFormat="1">
      <c r="CF22152" s="239"/>
      <c r="CM22152" s="336"/>
    </row>
    <row r="22153" spans="84:91" s="51" customFormat="1">
      <c r="CF22153" s="239"/>
      <c r="CM22153" s="336"/>
    </row>
    <row r="22154" spans="84:91" s="51" customFormat="1">
      <c r="CF22154" s="239"/>
      <c r="CM22154" s="336"/>
    </row>
    <row r="22155" spans="84:91" s="51" customFormat="1">
      <c r="CF22155" s="239"/>
      <c r="CM22155" s="336"/>
    </row>
    <row r="22156" spans="84:91" s="51" customFormat="1">
      <c r="CF22156" s="239"/>
      <c r="CM22156" s="336"/>
    </row>
    <row r="22157" spans="84:91" s="51" customFormat="1">
      <c r="CF22157" s="239"/>
      <c r="CM22157" s="336"/>
    </row>
    <row r="22158" spans="84:91" s="51" customFormat="1">
      <c r="CF22158" s="239"/>
      <c r="CM22158" s="336"/>
    </row>
    <row r="22159" spans="84:91" s="51" customFormat="1">
      <c r="CF22159" s="239"/>
      <c r="CM22159" s="336"/>
    </row>
    <row r="22160" spans="84:91" s="51" customFormat="1">
      <c r="CF22160" s="239"/>
      <c r="CM22160" s="336"/>
    </row>
    <row r="22161" spans="84:91" s="51" customFormat="1">
      <c r="CF22161" s="239"/>
      <c r="CM22161" s="336"/>
    </row>
    <row r="22162" spans="84:91" s="51" customFormat="1">
      <c r="CF22162" s="239"/>
      <c r="CM22162" s="336"/>
    </row>
    <row r="22163" spans="84:91" s="51" customFormat="1">
      <c r="CF22163" s="239"/>
      <c r="CM22163" s="336"/>
    </row>
    <row r="22164" spans="84:91" s="51" customFormat="1">
      <c r="CF22164" s="239"/>
      <c r="CM22164" s="336"/>
    </row>
    <row r="22165" spans="84:91" s="51" customFormat="1">
      <c r="CF22165" s="239"/>
      <c r="CM22165" s="336"/>
    </row>
    <row r="22166" spans="84:91" s="51" customFormat="1">
      <c r="CF22166" s="239"/>
      <c r="CM22166" s="336"/>
    </row>
    <row r="22167" spans="84:91" s="51" customFormat="1">
      <c r="CF22167" s="239"/>
      <c r="CM22167" s="336"/>
    </row>
    <row r="22168" spans="84:91" s="51" customFormat="1">
      <c r="CF22168" s="239"/>
      <c r="CM22168" s="336"/>
    </row>
    <row r="22169" spans="84:91" s="51" customFormat="1">
      <c r="CF22169" s="239"/>
      <c r="CM22169" s="336"/>
    </row>
    <row r="22170" spans="84:91" s="51" customFormat="1">
      <c r="CF22170" s="239"/>
      <c r="CM22170" s="336"/>
    </row>
    <row r="22171" spans="84:91" s="51" customFormat="1">
      <c r="CF22171" s="239"/>
      <c r="CM22171" s="336"/>
    </row>
    <row r="22172" spans="84:91" s="51" customFormat="1">
      <c r="CF22172" s="239"/>
      <c r="CM22172" s="336"/>
    </row>
    <row r="22173" spans="84:91" s="51" customFormat="1">
      <c r="CF22173" s="239"/>
      <c r="CM22173" s="336"/>
    </row>
    <row r="22174" spans="84:91" s="51" customFormat="1">
      <c r="CF22174" s="239"/>
      <c r="CM22174" s="336"/>
    </row>
    <row r="22175" spans="84:91" s="51" customFormat="1">
      <c r="CF22175" s="239"/>
      <c r="CM22175" s="336"/>
    </row>
    <row r="22176" spans="84:91" s="51" customFormat="1">
      <c r="CF22176" s="239"/>
      <c r="CM22176" s="336"/>
    </row>
    <row r="22177" spans="84:91" s="51" customFormat="1">
      <c r="CF22177" s="239"/>
      <c r="CM22177" s="336"/>
    </row>
    <row r="22178" spans="84:91" s="51" customFormat="1">
      <c r="CF22178" s="239"/>
      <c r="CM22178" s="336"/>
    </row>
    <row r="22179" spans="84:91" s="51" customFormat="1">
      <c r="CF22179" s="239"/>
      <c r="CM22179" s="336"/>
    </row>
    <row r="22180" spans="84:91" s="51" customFormat="1">
      <c r="CF22180" s="239"/>
      <c r="CM22180" s="336"/>
    </row>
    <row r="22181" spans="84:91" s="51" customFormat="1">
      <c r="CF22181" s="239"/>
      <c r="CM22181" s="336"/>
    </row>
    <row r="22182" spans="84:91" s="51" customFormat="1">
      <c r="CF22182" s="239"/>
      <c r="CM22182" s="336"/>
    </row>
    <row r="22183" spans="84:91" s="51" customFormat="1">
      <c r="CF22183" s="239"/>
      <c r="CM22183" s="336"/>
    </row>
    <row r="22184" spans="84:91" s="51" customFormat="1">
      <c r="CF22184" s="239"/>
      <c r="CM22184" s="336"/>
    </row>
    <row r="22185" spans="84:91" s="51" customFormat="1">
      <c r="CF22185" s="239"/>
      <c r="CM22185" s="336"/>
    </row>
    <row r="22186" spans="84:91" s="51" customFormat="1">
      <c r="CF22186" s="239"/>
      <c r="CM22186" s="336"/>
    </row>
    <row r="22187" spans="84:91" s="51" customFormat="1">
      <c r="CF22187" s="239"/>
      <c r="CM22187" s="336"/>
    </row>
    <row r="22188" spans="84:91" s="51" customFormat="1">
      <c r="CF22188" s="239"/>
      <c r="CM22188" s="336"/>
    </row>
    <row r="22189" spans="84:91" s="51" customFormat="1">
      <c r="CF22189" s="239"/>
      <c r="CM22189" s="336"/>
    </row>
    <row r="22190" spans="84:91" s="51" customFormat="1">
      <c r="CF22190" s="239"/>
      <c r="CM22190" s="336"/>
    </row>
    <row r="22191" spans="84:91" s="51" customFormat="1">
      <c r="CF22191" s="239"/>
      <c r="CM22191" s="336"/>
    </row>
    <row r="22192" spans="84:91" s="51" customFormat="1">
      <c r="CF22192" s="239"/>
      <c r="CM22192" s="336"/>
    </row>
    <row r="22193" spans="84:91" s="51" customFormat="1">
      <c r="CF22193" s="239"/>
      <c r="CM22193" s="336"/>
    </row>
    <row r="22194" spans="84:91" s="51" customFormat="1">
      <c r="CF22194" s="239"/>
      <c r="CM22194" s="336"/>
    </row>
    <row r="22195" spans="84:91" s="51" customFormat="1">
      <c r="CF22195" s="239"/>
      <c r="CM22195" s="336"/>
    </row>
    <row r="22196" spans="84:91" s="51" customFormat="1">
      <c r="CF22196" s="239"/>
      <c r="CM22196" s="336"/>
    </row>
    <row r="22197" spans="84:91" s="51" customFormat="1">
      <c r="CF22197" s="239"/>
      <c r="CM22197" s="336"/>
    </row>
    <row r="22198" spans="84:91" s="51" customFormat="1">
      <c r="CF22198" s="239"/>
      <c r="CM22198" s="336"/>
    </row>
    <row r="22199" spans="84:91" s="51" customFormat="1">
      <c r="CF22199" s="239"/>
      <c r="CM22199" s="336"/>
    </row>
    <row r="22200" spans="84:91" s="51" customFormat="1">
      <c r="CF22200" s="239"/>
      <c r="CM22200" s="336"/>
    </row>
    <row r="22201" spans="84:91" s="51" customFormat="1">
      <c r="CF22201" s="239"/>
      <c r="CM22201" s="336"/>
    </row>
    <row r="22202" spans="84:91" s="51" customFormat="1">
      <c r="CF22202" s="239"/>
      <c r="CM22202" s="336"/>
    </row>
    <row r="22203" spans="84:91" s="51" customFormat="1">
      <c r="CF22203" s="239"/>
      <c r="CM22203" s="336"/>
    </row>
    <row r="22204" spans="84:91" s="51" customFormat="1">
      <c r="CF22204" s="239"/>
      <c r="CM22204" s="336"/>
    </row>
    <row r="22205" spans="84:91" s="51" customFormat="1">
      <c r="CF22205" s="239"/>
      <c r="CM22205" s="336"/>
    </row>
    <row r="22206" spans="84:91" s="51" customFormat="1">
      <c r="CF22206" s="239"/>
      <c r="CM22206" s="336"/>
    </row>
    <row r="22207" spans="84:91" s="51" customFormat="1">
      <c r="CF22207" s="239"/>
      <c r="CM22207" s="336"/>
    </row>
    <row r="22208" spans="84:91" s="51" customFormat="1">
      <c r="CF22208" s="239"/>
      <c r="CM22208" s="336"/>
    </row>
    <row r="22209" spans="84:91" s="51" customFormat="1">
      <c r="CF22209" s="239"/>
      <c r="CM22209" s="336"/>
    </row>
    <row r="22210" spans="84:91" s="51" customFormat="1">
      <c r="CF22210" s="239"/>
      <c r="CM22210" s="336"/>
    </row>
    <row r="22211" spans="84:91" s="51" customFormat="1">
      <c r="CF22211" s="239"/>
      <c r="CM22211" s="336"/>
    </row>
    <row r="22212" spans="84:91" s="51" customFormat="1">
      <c r="CF22212" s="239"/>
      <c r="CM22212" s="336"/>
    </row>
    <row r="22213" spans="84:91" s="51" customFormat="1">
      <c r="CF22213" s="239"/>
      <c r="CM22213" s="336"/>
    </row>
    <row r="22214" spans="84:91" s="51" customFormat="1">
      <c r="CF22214" s="239"/>
      <c r="CM22214" s="336"/>
    </row>
    <row r="22215" spans="84:91" s="51" customFormat="1">
      <c r="CF22215" s="239"/>
      <c r="CM22215" s="336"/>
    </row>
    <row r="22216" spans="84:91" s="51" customFormat="1">
      <c r="CF22216" s="239"/>
      <c r="CM22216" s="336"/>
    </row>
    <row r="22217" spans="84:91" s="51" customFormat="1">
      <c r="CF22217" s="239"/>
      <c r="CM22217" s="336"/>
    </row>
    <row r="22218" spans="84:91" s="51" customFormat="1">
      <c r="CF22218" s="239"/>
      <c r="CM22218" s="336"/>
    </row>
    <row r="22219" spans="84:91" s="51" customFormat="1">
      <c r="CF22219" s="239"/>
      <c r="CM22219" s="336"/>
    </row>
    <row r="22220" spans="84:91" s="51" customFormat="1">
      <c r="CF22220" s="239"/>
      <c r="CM22220" s="336"/>
    </row>
    <row r="22221" spans="84:91" s="51" customFormat="1">
      <c r="CF22221" s="239"/>
      <c r="CM22221" s="336"/>
    </row>
    <row r="22222" spans="84:91" s="51" customFormat="1">
      <c r="CF22222" s="239"/>
      <c r="CM22222" s="336"/>
    </row>
    <row r="22223" spans="84:91" s="51" customFormat="1">
      <c r="CF22223" s="239"/>
      <c r="CM22223" s="336"/>
    </row>
    <row r="22224" spans="84:91" s="51" customFormat="1">
      <c r="CF22224" s="239"/>
      <c r="CM22224" s="336"/>
    </row>
    <row r="22225" spans="84:91" s="51" customFormat="1">
      <c r="CF22225" s="239"/>
      <c r="CM22225" s="336"/>
    </row>
    <row r="22226" spans="84:91" s="51" customFormat="1">
      <c r="CF22226" s="239"/>
      <c r="CM22226" s="336"/>
    </row>
    <row r="22227" spans="84:91" s="51" customFormat="1">
      <c r="CF22227" s="239"/>
      <c r="CM22227" s="336"/>
    </row>
    <row r="22228" spans="84:91" s="51" customFormat="1">
      <c r="CF22228" s="239"/>
      <c r="CM22228" s="336"/>
    </row>
    <row r="22229" spans="84:91" s="51" customFormat="1">
      <c r="CF22229" s="239"/>
      <c r="CM22229" s="336"/>
    </row>
    <row r="22230" spans="84:91" s="51" customFormat="1">
      <c r="CF22230" s="239"/>
      <c r="CM22230" s="336"/>
    </row>
    <row r="22231" spans="84:91" s="51" customFormat="1">
      <c r="CF22231" s="239"/>
      <c r="CM22231" s="336"/>
    </row>
    <row r="22232" spans="84:91" s="51" customFormat="1">
      <c r="CF22232" s="239"/>
      <c r="CM22232" s="336"/>
    </row>
    <row r="22233" spans="84:91" s="51" customFormat="1">
      <c r="CF22233" s="239"/>
      <c r="CM22233" s="336"/>
    </row>
    <row r="22234" spans="84:91" s="51" customFormat="1">
      <c r="CF22234" s="239"/>
      <c r="CM22234" s="336"/>
    </row>
    <row r="22235" spans="84:91" s="51" customFormat="1">
      <c r="CF22235" s="239"/>
      <c r="CM22235" s="336"/>
    </row>
    <row r="22236" spans="84:91" s="51" customFormat="1">
      <c r="CF22236" s="239"/>
      <c r="CM22236" s="336"/>
    </row>
    <row r="22237" spans="84:91" s="51" customFormat="1">
      <c r="CF22237" s="239"/>
      <c r="CM22237" s="336"/>
    </row>
    <row r="22238" spans="84:91" s="51" customFormat="1">
      <c r="CF22238" s="239"/>
      <c r="CM22238" s="336"/>
    </row>
    <row r="22239" spans="84:91" s="51" customFormat="1">
      <c r="CF22239" s="239"/>
      <c r="CM22239" s="336"/>
    </row>
    <row r="22240" spans="84:91" s="51" customFormat="1">
      <c r="CF22240" s="239"/>
      <c r="CM22240" s="336"/>
    </row>
    <row r="22241" spans="84:91" s="51" customFormat="1">
      <c r="CF22241" s="239"/>
      <c r="CM22241" s="336"/>
    </row>
    <row r="22242" spans="84:91" s="51" customFormat="1">
      <c r="CF22242" s="239"/>
      <c r="CM22242" s="336"/>
    </row>
    <row r="22243" spans="84:91" s="51" customFormat="1">
      <c r="CF22243" s="239"/>
      <c r="CM22243" s="336"/>
    </row>
    <row r="22244" spans="84:91" s="51" customFormat="1">
      <c r="CF22244" s="239"/>
      <c r="CM22244" s="336"/>
    </row>
    <row r="22245" spans="84:91" s="51" customFormat="1">
      <c r="CF22245" s="239"/>
      <c r="CM22245" s="336"/>
    </row>
    <row r="22246" spans="84:91" s="51" customFormat="1">
      <c r="CF22246" s="239"/>
      <c r="CM22246" s="336"/>
    </row>
    <row r="22247" spans="84:91" s="51" customFormat="1">
      <c r="CF22247" s="239"/>
      <c r="CM22247" s="336"/>
    </row>
    <row r="22248" spans="84:91" s="51" customFormat="1">
      <c r="CF22248" s="239"/>
      <c r="CM22248" s="336"/>
    </row>
    <row r="22249" spans="84:91" s="51" customFormat="1">
      <c r="CF22249" s="239"/>
      <c r="CM22249" s="336"/>
    </row>
    <row r="22250" spans="84:91" s="51" customFormat="1">
      <c r="CF22250" s="239"/>
      <c r="CM22250" s="336"/>
    </row>
    <row r="22251" spans="84:91" s="51" customFormat="1">
      <c r="CF22251" s="239"/>
      <c r="CM22251" s="336"/>
    </row>
    <row r="22252" spans="84:91" s="51" customFormat="1">
      <c r="CF22252" s="239"/>
      <c r="CM22252" s="336"/>
    </row>
    <row r="22253" spans="84:91" s="51" customFormat="1">
      <c r="CF22253" s="239"/>
      <c r="CM22253" s="336"/>
    </row>
    <row r="22254" spans="84:91" s="51" customFormat="1">
      <c r="CF22254" s="239"/>
      <c r="CM22254" s="336"/>
    </row>
    <row r="22255" spans="84:91" s="51" customFormat="1">
      <c r="CF22255" s="239"/>
      <c r="CM22255" s="336"/>
    </row>
    <row r="22256" spans="84:91" s="51" customFormat="1">
      <c r="CF22256" s="239"/>
      <c r="CM22256" s="336"/>
    </row>
    <row r="22257" spans="84:91" s="51" customFormat="1">
      <c r="CF22257" s="239"/>
      <c r="CM22257" s="336"/>
    </row>
    <row r="22258" spans="84:91" s="51" customFormat="1">
      <c r="CF22258" s="239"/>
      <c r="CM22258" s="336"/>
    </row>
    <row r="22259" spans="84:91" s="51" customFormat="1">
      <c r="CF22259" s="239"/>
      <c r="CM22259" s="336"/>
    </row>
    <row r="22260" spans="84:91" s="51" customFormat="1">
      <c r="CF22260" s="239"/>
      <c r="CM22260" s="336"/>
    </row>
    <row r="22261" spans="84:91" s="51" customFormat="1">
      <c r="CF22261" s="239"/>
      <c r="CM22261" s="336"/>
    </row>
    <row r="22262" spans="84:91" s="51" customFormat="1">
      <c r="CF22262" s="239"/>
      <c r="CM22262" s="336"/>
    </row>
    <row r="22263" spans="84:91" s="51" customFormat="1">
      <c r="CF22263" s="239"/>
      <c r="CM22263" s="336"/>
    </row>
    <row r="22264" spans="84:91" s="51" customFormat="1">
      <c r="CF22264" s="239"/>
      <c r="CM22264" s="336"/>
    </row>
    <row r="22265" spans="84:91" s="51" customFormat="1">
      <c r="CF22265" s="239"/>
      <c r="CM22265" s="336"/>
    </row>
    <row r="22266" spans="84:91" s="51" customFormat="1">
      <c r="CF22266" s="239"/>
      <c r="CM22266" s="336"/>
    </row>
    <row r="22267" spans="84:91" s="51" customFormat="1">
      <c r="CF22267" s="239"/>
      <c r="CM22267" s="336"/>
    </row>
    <row r="22268" spans="84:91" s="51" customFormat="1">
      <c r="CF22268" s="239"/>
      <c r="CM22268" s="336"/>
    </row>
    <row r="22269" spans="84:91" s="51" customFormat="1">
      <c r="CF22269" s="239"/>
      <c r="CM22269" s="336"/>
    </row>
    <row r="22270" spans="84:91" s="51" customFormat="1">
      <c r="CF22270" s="239"/>
      <c r="CM22270" s="336"/>
    </row>
    <row r="22271" spans="84:91" s="51" customFormat="1">
      <c r="CF22271" s="239"/>
      <c r="CM22271" s="336"/>
    </row>
    <row r="22272" spans="84:91" s="51" customFormat="1">
      <c r="CF22272" s="239"/>
      <c r="CM22272" s="336"/>
    </row>
    <row r="22273" spans="84:91" s="51" customFormat="1">
      <c r="CF22273" s="239"/>
      <c r="CM22273" s="336"/>
    </row>
    <row r="22274" spans="84:91" s="51" customFormat="1">
      <c r="CF22274" s="239"/>
      <c r="CM22274" s="336"/>
    </row>
    <row r="22275" spans="84:91" s="51" customFormat="1">
      <c r="CF22275" s="239"/>
      <c r="CM22275" s="336"/>
    </row>
    <row r="22276" spans="84:91" s="51" customFormat="1">
      <c r="CF22276" s="239"/>
      <c r="CM22276" s="336"/>
    </row>
    <row r="22277" spans="84:91" s="51" customFormat="1">
      <c r="CF22277" s="239"/>
      <c r="CM22277" s="336"/>
    </row>
    <row r="22278" spans="84:91" s="51" customFormat="1">
      <c r="CF22278" s="239"/>
      <c r="CM22278" s="336"/>
    </row>
    <row r="22279" spans="84:91" s="51" customFormat="1">
      <c r="CF22279" s="239"/>
      <c r="CM22279" s="336"/>
    </row>
    <row r="22280" spans="84:91" s="51" customFormat="1">
      <c r="CF22280" s="239"/>
      <c r="CM22280" s="336"/>
    </row>
    <row r="22281" spans="84:91" s="51" customFormat="1">
      <c r="CF22281" s="239"/>
      <c r="CM22281" s="336"/>
    </row>
    <row r="22282" spans="84:91" s="51" customFormat="1">
      <c r="CF22282" s="239"/>
      <c r="CM22282" s="336"/>
    </row>
    <row r="22283" spans="84:91" s="51" customFormat="1">
      <c r="CF22283" s="239"/>
      <c r="CM22283" s="336"/>
    </row>
    <row r="22284" spans="84:91" s="51" customFormat="1">
      <c r="CF22284" s="239"/>
      <c r="CM22284" s="336"/>
    </row>
    <row r="22285" spans="84:91" s="51" customFormat="1">
      <c r="CF22285" s="239"/>
      <c r="CM22285" s="336"/>
    </row>
    <row r="22286" spans="84:91" s="51" customFormat="1">
      <c r="CF22286" s="239"/>
      <c r="CM22286" s="336"/>
    </row>
    <row r="22287" spans="84:91" s="51" customFormat="1">
      <c r="CF22287" s="239"/>
      <c r="CM22287" s="336"/>
    </row>
    <row r="22288" spans="84:91" s="51" customFormat="1">
      <c r="CF22288" s="239"/>
      <c r="CM22288" s="336"/>
    </row>
    <row r="22289" spans="84:91" s="51" customFormat="1">
      <c r="CF22289" s="239"/>
      <c r="CM22289" s="336"/>
    </row>
    <row r="22290" spans="84:91" s="51" customFormat="1">
      <c r="CF22290" s="239"/>
      <c r="CM22290" s="336"/>
    </row>
    <row r="22291" spans="84:91" s="51" customFormat="1">
      <c r="CF22291" s="239"/>
      <c r="CM22291" s="336"/>
    </row>
    <row r="22292" spans="84:91" s="51" customFormat="1">
      <c r="CF22292" s="239"/>
      <c r="CM22292" s="336"/>
    </row>
    <row r="22293" spans="84:91" s="51" customFormat="1">
      <c r="CF22293" s="239"/>
      <c r="CM22293" s="336"/>
    </row>
    <row r="22294" spans="84:91" s="51" customFormat="1">
      <c r="CF22294" s="239"/>
      <c r="CM22294" s="336"/>
    </row>
    <row r="22295" spans="84:91" s="51" customFormat="1">
      <c r="CF22295" s="239"/>
      <c r="CM22295" s="336"/>
    </row>
    <row r="22296" spans="84:91" s="51" customFormat="1">
      <c r="CF22296" s="239"/>
      <c r="CM22296" s="336"/>
    </row>
    <row r="22297" spans="84:91" s="51" customFormat="1">
      <c r="CF22297" s="239"/>
      <c r="CM22297" s="336"/>
    </row>
    <row r="22298" spans="84:91" s="51" customFormat="1">
      <c r="CF22298" s="239"/>
      <c r="CM22298" s="336"/>
    </row>
    <row r="22299" spans="84:91" s="51" customFormat="1">
      <c r="CF22299" s="239"/>
      <c r="CM22299" s="336"/>
    </row>
    <row r="22300" spans="84:91" s="51" customFormat="1">
      <c r="CF22300" s="239"/>
      <c r="CM22300" s="336"/>
    </row>
    <row r="22301" spans="84:91" s="51" customFormat="1">
      <c r="CF22301" s="239"/>
      <c r="CM22301" s="336"/>
    </row>
    <row r="22302" spans="84:91" s="51" customFormat="1">
      <c r="CF22302" s="239"/>
      <c r="CM22302" s="336"/>
    </row>
    <row r="22303" spans="84:91" s="51" customFormat="1">
      <c r="CF22303" s="239"/>
      <c r="CM22303" s="336"/>
    </row>
    <row r="22304" spans="84:91" s="51" customFormat="1">
      <c r="CF22304" s="239"/>
      <c r="CM22304" s="336"/>
    </row>
    <row r="22305" spans="84:91" s="51" customFormat="1">
      <c r="CF22305" s="239"/>
      <c r="CM22305" s="336"/>
    </row>
    <row r="22306" spans="84:91" s="51" customFormat="1">
      <c r="CF22306" s="239"/>
      <c r="CM22306" s="336"/>
    </row>
    <row r="22307" spans="84:91" s="51" customFormat="1">
      <c r="CF22307" s="239"/>
      <c r="CM22307" s="336"/>
    </row>
    <row r="22308" spans="84:91" s="51" customFormat="1">
      <c r="CF22308" s="239"/>
      <c r="CM22308" s="336"/>
    </row>
    <row r="22309" spans="84:91" s="51" customFormat="1">
      <c r="CF22309" s="239"/>
      <c r="CM22309" s="336"/>
    </row>
    <row r="22310" spans="84:91" s="51" customFormat="1">
      <c r="CF22310" s="239"/>
      <c r="CM22310" s="336"/>
    </row>
    <row r="22311" spans="84:91" s="51" customFormat="1">
      <c r="CF22311" s="239"/>
      <c r="CM22311" s="336"/>
    </row>
    <row r="22312" spans="84:91" s="51" customFormat="1">
      <c r="CF22312" s="239"/>
      <c r="CM22312" s="336"/>
    </row>
    <row r="22313" spans="84:91" s="51" customFormat="1">
      <c r="CF22313" s="239"/>
      <c r="CM22313" s="336"/>
    </row>
    <row r="22314" spans="84:91" s="51" customFormat="1">
      <c r="CF22314" s="239"/>
      <c r="CM22314" s="336"/>
    </row>
    <row r="22315" spans="84:91" s="51" customFormat="1">
      <c r="CF22315" s="239"/>
      <c r="CM22315" s="336"/>
    </row>
    <row r="22316" spans="84:91" s="51" customFormat="1">
      <c r="CF22316" s="239"/>
      <c r="CM22316" s="336"/>
    </row>
    <row r="22317" spans="84:91" s="51" customFormat="1">
      <c r="CF22317" s="239"/>
      <c r="CM22317" s="336"/>
    </row>
    <row r="22318" spans="84:91" s="51" customFormat="1">
      <c r="CF22318" s="239"/>
      <c r="CM22318" s="336"/>
    </row>
    <row r="22319" spans="84:91" s="51" customFormat="1">
      <c r="CF22319" s="239"/>
      <c r="CM22319" s="336"/>
    </row>
    <row r="22320" spans="84:91" s="51" customFormat="1">
      <c r="CF22320" s="239"/>
      <c r="CM22320" s="336"/>
    </row>
    <row r="22321" spans="84:91" s="51" customFormat="1">
      <c r="CF22321" s="239"/>
      <c r="CM22321" s="336"/>
    </row>
    <row r="22322" spans="84:91" s="51" customFormat="1">
      <c r="CF22322" s="239"/>
      <c r="CM22322" s="336"/>
    </row>
    <row r="22323" spans="84:91" s="51" customFormat="1">
      <c r="CF22323" s="239"/>
      <c r="CM22323" s="336"/>
    </row>
    <row r="22324" spans="84:91" s="51" customFormat="1">
      <c r="CF22324" s="239"/>
      <c r="CM22324" s="336"/>
    </row>
    <row r="22325" spans="84:91" s="51" customFormat="1">
      <c r="CF22325" s="239"/>
      <c r="CM22325" s="336"/>
    </row>
    <row r="22326" spans="84:91" s="51" customFormat="1">
      <c r="CF22326" s="239"/>
      <c r="CM22326" s="336"/>
    </row>
    <row r="22327" spans="84:91" s="51" customFormat="1">
      <c r="CF22327" s="239"/>
      <c r="CM22327" s="336"/>
    </row>
    <row r="22328" spans="84:91" s="51" customFormat="1">
      <c r="CF22328" s="239"/>
      <c r="CM22328" s="336"/>
    </row>
    <row r="22329" spans="84:91" s="51" customFormat="1">
      <c r="CF22329" s="239"/>
      <c r="CM22329" s="336"/>
    </row>
    <row r="22330" spans="84:91" s="51" customFormat="1">
      <c r="CF22330" s="239"/>
      <c r="CM22330" s="336"/>
    </row>
    <row r="22331" spans="84:91" s="51" customFormat="1">
      <c r="CF22331" s="239"/>
      <c r="CM22331" s="336"/>
    </row>
    <row r="22332" spans="84:91" s="51" customFormat="1">
      <c r="CF22332" s="239"/>
      <c r="CM22332" s="336"/>
    </row>
    <row r="22333" spans="84:91" s="51" customFormat="1">
      <c r="CF22333" s="239"/>
      <c r="CM22333" s="336"/>
    </row>
    <row r="22334" spans="84:91" s="51" customFormat="1">
      <c r="CF22334" s="239"/>
      <c r="CM22334" s="336"/>
    </row>
    <row r="22335" spans="84:91" s="51" customFormat="1">
      <c r="CF22335" s="239"/>
      <c r="CM22335" s="336"/>
    </row>
    <row r="22336" spans="84:91" s="51" customFormat="1">
      <c r="CF22336" s="239"/>
      <c r="CM22336" s="336"/>
    </row>
    <row r="22337" spans="84:91" s="51" customFormat="1">
      <c r="CF22337" s="239"/>
      <c r="CM22337" s="336"/>
    </row>
    <row r="22338" spans="84:91" s="51" customFormat="1">
      <c r="CF22338" s="239"/>
      <c r="CM22338" s="336"/>
    </row>
    <row r="22339" spans="84:91" s="51" customFormat="1">
      <c r="CF22339" s="239"/>
      <c r="CM22339" s="336"/>
    </row>
    <row r="22340" spans="84:91" s="51" customFormat="1">
      <c r="CF22340" s="239"/>
      <c r="CM22340" s="336"/>
    </row>
    <row r="22341" spans="84:91" s="51" customFormat="1">
      <c r="CF22341" s="239"/>
      <c r="CM22341" s="336"/>
    </row>
    <row r="22342" spans="84:91" s="51" customFormat="1">
      <c r="CF22342" s="239"/>
      <c r="CM22342" s="336"/>
    </row>
    <row r="22343" spans="84:91" s="51" customFormat="1">
      <c r="CF22343" s="239"/>
      <c r="CM22343" s="336"/>
    </row>
    <row r="22344" spans="84:91" s="51" customFormat="1">
      <c r="CF22344" s="239"/>
      <c r="CM22344" s="336"/>
    </row>
    <row r="22345" spans="84:91" s="51" customFormat="1">
      <c r="CF22345" s="239"/>
      <c r="CM22345" s="336"/>
    </row>
    <row r="22346" spans="84:91" s="51" customFormat="1">
      <c r="CF22346" s="239"/>
      <c r="CM22346" s="336"/>
    </row>
    <row r="22347" spans="84:91" s="51" customFormat="1">
      <c r="CF22347" s="239"/>
      <c r="CM22347" s="336"/>
    </row>
    <row r="22348" spans="84:91" s="51" customFormat="1">
      <c r="CF22348" s="239"/>
      <c r="CM22348" s="336"/>
    </row>
    <row r="22349" spans="84:91" s="51" customFormat="1">
      <c r="CF22349" s="239"/>
      <c r="CM22349" s="336"/>
    </row>
    <row r="22350" spans="84:91" s="51" customFormat="1">
      <c r="CF22350" s="239"/>
      <c r="CM22350" s="336"/>
    </row>
    <row r="22351" spans="84:91" s="51" customFormat="1">
      <c r="CF22351" s="239"/>
      <c r="CM22351" s="336"/>
    </row>
    <row r="22352" spans="84:91" s="51" customFormat="1">
      <c r="CF22352" s="239"/>
      <c r="CM22352" s="336"/>
    </row>
    <row r="22353" spans="84:91" s="51" customFormat="1">
      <c r="CF22353" s="239"/>
      <c r="CM22353" s="336"/>
    </row>
    <row r="22354" spans="84:91" s="51" customFormat="1">
      <c r="CF22354" s="239"/>
      <c r="CM22354" s="336"/>
    </row>
    <row r="22355" spans="84:91" s="51" customFormat="1">
      <c r="CF22355" s="239"/>
      <c r="CM22355" s="336"/>
    </row>
    <row r="22356" spans="84:91" s="51" customFormat="1">
      <c r="CF22356" s="239"/>
      <c r="CM22356" s="336"/>
    </row>
    <row r="22357" spans="84:91" s="51" customFormat="1">
      <c r="CF22357" s="239"/>
      <c r="CM22357" s="336"/>
    </row>
    <row r="22358" spans="84:91" s="51" customFormat="1">
      <c r="CF22358" s="239"/>
      <c r="CM22358" s="336"/>
    </row>
    <row r="22359" spans="84:91" s="51" customFormat="1">
      <c r="CF22359" s="239"/>
      <c r="CM22359" s="336"/>
    </row>
    <row r="22360" spans="84:91" s="51" customFormat="1">
      <c r="CF22360" s="239"/>
      <c r="CM22360" s="336"/>
    </row>
    <row r="22361" spans="84:91" s="51" customFormat="1">
      <c r="CF22361" s="239"/>
      <c r="CM22361" s="336"/>
    </row>
    <row r="22362" spans="84:91" s="51" customFormat="1">
      <c r="CF22362" s="239"/>
      <c r="CM22362" s="336"/>
    </row>
    <row r="22363" spans="84:91" s="51" customFormat="1">
      <c r="CF22363" s="239"/>
      <c r="CM22363" s="336"/>
    </row>
    <row r="22364" spans="84:91" s="51" customFormat="1">
      <c r="CF22364" s="239"/>
      <c r="CM22364" s="336"/>
    </row>
    <row r="22365" spans="84:91" s="51" customFormat="1">
      <c r="CF22365" s="239"/>
      <c r="CM22365" s="336"/>
    </row>
    <row r="22366" spans="84:91" s="51" customFormat="1">
      <c r="CF22366" s="239"/>
      <c r="CM22366" s="336"/>
    </row>
    <row r="22367" spans="84:91" s="51" customFormat="1">
      <c r="CF22367" s="239"/>
      <c r="CM22367" s="336"/>
    </row>
    <row r="22368" spans="84:91" s="51" customFormat="1">
      <c r="CF22368" s="239"/>
      <c r="CM22368" s="336"/>
    </row>
    <row r="22369" spans="84:91" s="51" customFormat="1">
      <c r="CF22369" s="239"/>
      <c r="CM22369" s="336"/>
    </row>
    <row r="22370" spans="84:91" s="51" customFormat="1">
      <c r="CF22370" s="239"/>
      <c r="CM22370" s="336"/>
    </row>
    <row r="22371" spans="84:91" s="51" customFormat="1">
      <c r="CF22371" s="239"/>
      <c r="CM22371" s="336"/>
    </row>
    <row r="22372" spans="84:91" s="51" customFormat="1">
      <c r="CF22372" s="239"/>
      <c r="CM22372" s="336"/>
    </row>
    <row r="22373" spans="84:91" s="51" customFormat="1">
      <c r="CF22373" s="239"/>
      <c r="CM22373" s="336"/>
    </row>
    <row r="22374" spans="84:91" s="51" customFormat="1">
      <c r="CF22374" s="239"/>
      <c r="CM22374" s="336"/>
    </row>
    <row r="22375" spans="84:91" s="51" customFormat="1">
      <c r="CF22375" s="239"/>
      <c r="CM22375" s="336"/>
    </row>
    <row r="22376" spans="84:91" s="51" customFormat="1">
      <c r="CF22376" s="239"/>
      <c r="CM22376" s="336"/>
    </row>
    <row r="22377" spans="84:91" s="51" customFormat="1">
      <c r="CF22377" s="239"/>
      <c r="CM22377" s="336"/>
    </row>
    <row r="22378" spans="84:91" s="51" customFormat="1">
      <c r="CF22378" s="239"/>
      <c r="CM22378" s="336"/>
    </row>
    <row r="22379" spans="84:91" s="51" customFormat="1">
      <c r="CF22379" s="239"/>
      <c r="CM22379" s="336"/>
    </row>
    <row r="22380" spans="84:91" s="51" customFormat="1">
      <c r="CF22380" s="239"/>
      <c r="CM22380" s="336"/>
    </row>
    <row r="22381" spans="84:91" s="51" customFormat="1">
      <c r="CF22381" s="239"/>
      <c r="CM22381" s="336"/>
    </row>
    <row r="22382" spans="84:91" s="51" customFormat="1">
      <c r="CF22382" s="239"/>
      <c r="CM22382" s="336"/>
    </row>
    <row r="22383" spans="84:91" s="51" customFormat="1">
      <c r="CF22383" s="239"/>
      <c r="CM22383" s="336"/>
    </row>
    <row r="22384" spans="84:91" s="51" customFormat="1">
      <c r="CF22384" s="239"/>
      <c r="CM22384" s="336"/>
    </row>
    <row r="22385" spans="84:91" s="51" customFormat="1">
      <c r="CF22385" s="239"/>
      <c r="CM22385" s="336"/>
    </row>
    <row r="22386" spans="84:91" s="51" customFormat="1">
      <c r="CF22386" s="239"/>
      <c r="CM22386" s="336"/>
    </row>
    <row r="22387" spans="84:91" s="51" customFormat="1">
      <c r="CF22387" s="239"/>
      <c r="CM22387" s="336"/>
    </row>
    <row r="22388" spans="84:91" s="51" customFormat="1">
      <c r="CF22388" s="239"/>
      <c r="CM22388" s="336"/>
    </row>
    <row r="22389" spans="84:91" s="51" customFormat="1">
      <c r="CF22389" s="239"/>
      <c r="CM22389" s="336"/>
    </row>
    <row r="22390" spans="84:91" s="51" customFormat="1">
      <c r="CF22390" s="239"/>
      <c r="CM22390" s="336"/>
    </row>
    <row r="22391" spans="84:91" s="51" customFormat="1">
      <c r="CF22391" s="239"/>
      <c r="CM22391" s="336"/>
    </row>
    <row r="22392" spans="84:91" s="51" customFormat="1">
      <c r="CF22392" s="239"/>
      <c r="CM22392" s="336"/>
    </row>
    <row r="22393" spans="84:91" s="51" customFormat="1">
      <c r="CF22393" s="239"/>
      <c r="CM22393" s="336"/>
    </row>
    <row r="22394" spans="84:91" s="51" customFormat="1">
      <c r="CF22394" s="239"/>
      <c r="CM22394" s="336"/>
    </row>
    <row r="22395" spans="84:91" s="51" customFormat="1">
      <c r="CF22395" s="239"/>
      <c r="CM22395" s="336"/>
    </row>
    <row r="22396" spans="84:91" s="51" customFormat="1">
      <c r="CF22396" s="239"/>
      <c r="CM22396" s="336"/>
    </row>
    <row r="22397" spans="84:91" s="51" customFormat="1">
      <c r="CF22397" s="239"/>
      <c r="CM22397" s="336"/>
    </row>
    <row r="22398" spans="84:91" s="51" customFormat="1">
      <c r="CF22398" s="239"/>
      <c r="CM22398" s="336"/>
    </row>
    <row r="22399" spans="84:91" s="51" customFormat="1">
      <c r="CF22399" s="239"/>
      <c r="CM22399" s="336"/>
    </row>
    <row r="22400" spans="84:91" s="51" customFormat="1">
      <c r="CF22400" s="239"/>
      <c r="CM22400" s="336"/>
    </row>
    <row r="22401" spans="84:91" s="51" customFormat="1">
      <c r="CF22401" s="239"/>
      <c r="CM22401" s="336"/>
    </row>
    <row r="22402" spans="84:91" s="51" customFormat="1">
      <c r="CF22402" s="239"/>
      <c r="CM22402" s="336"/>
    </row>
    <row r="22403" spans="84:91" s="51" customFormat="1">
      <c r="CF22403" s="239"/>
      <c r="CM22403" s="336"/>
    </row>
    <row r="22404" spans="84:91" s="51" customFormat="1">
      <c r="CF22404" s="239"/>
      <c r="CM22404" s="336"/>
    </row>
    <row r="22405" spans="84:91" s="51" customFormat="1">
      <c r="CF22405" s="239"/>
      <c r="CM22405" s="336"/>
    </row>
    <row r="22406" spans="84:91" s="51" customFormat="1">
      <c r="CF22406" s="239"/>
      <c r="CM22406" s="336"/>
    </row>
    <row r="22407" spans="84:91" s="51" customFormat="1">
      <c r="CF22407" s="239"/>
      <c r="CM22407" s="336"/>
    </row>
    <row r="22408" spans="84:91" s="51" customFormat="1">
      <c r="CF22408" s="239"/>
      <c r="CM22408" s="336"/>
    </row>
    <row r="22409" spans="84:91" s="51" customFormat="1">
      <c r="CF22409" s="239"/>
      <c r="CM22409" s="336"/>
    </row>
    <row r="22410" spans="84:91" s="51" customFormat="1">
      <c r="CF22410" s="239"/>
      <c r="CM22410" s="336"/>
    </row>
    <row r="22411" spans="84:91" s="51" customFormat="1">
      <c r="CF22411" s="239"/>
      <c r="CM22411" s="336"/>
    </row>
    <row r="22412" spans="84:91" s="51" customFormat="1">
      <c r="CF22412" s="239"/>
      <c r="CM22412" s="336"/>
    </row>
    <row r="22413" spans="84:91" s="51" customFormat="1">
      <c r="CF22413" s="239"/>
      <c r="CM22413" s="336"/>
    </row>
    <row r="22414" spans="84:91" s="51" customFormat="1">
      <c r="CF22414" s="239"/>
      <c r="CM22414" s="336"/>
    </row>
    <row r="22415" spans="84:91" s="51" customFormat="1">
      <c r="CF22415" s="239"/>
      <c r="CM22415" s="336"/>
    </row>
    <row r="22416" spans="84:91" s="51" customFormat="1">
      <c r="CF22416" s="239"/>
      <c r="CM22416" s="336"/>
    </row>
    <row r="22417" spans="84:91" s="51" customFormat="1">
      <c r="CF22417" s="239"/>
      <c r="CM22417" s="336"/>
    </row>
    <row r="22418" spans="84:91" s="51" customFormat="1">
      <c r="CF22418" s="239"/>
      <c r="CM22418" s="336"/>
    </row>
    <row r="22419" spans="84:91" s="51" customFormat="1">
      <c r="CF22419" s="239"/>
      <c r="CM22419" s="336"/>
    </row>
    <row r="22420" spans="84:91" s="51" customFormat="1">
      <c r="CF22420" s="239"/>
      <c r="CM22420" s="336"/>
    </row>
    <row r="22421" spans="84:91" s="51" customFormat="1">
      <c r="CF22421" s="239"/>
      <c r="CM22421" s="336"/>
    </row>
    <row r="22422" spans="84:91" s="51" customFormat="1">
      <c r="CF22422" s="239"/>
      <c r="CM22422" s="336"/>
    </row>
    <row r="22423" spans="84:91" s="51" customFormat="1">
      <c r="CF22423" s="239"/>
      <c r="CM22423" s="336"/>
    </row>
    <row r="22424" spans="84:91" s="51" customFormat="1">
      <c r="CF22424" s="239"/>
      <c r="CM22424" s="336"/>
    </row>
    <row r="22425" spans="84:91" s="51" customFormat="1">
      <c r="CF22425" s="239"/>
      <c r="CM22425" s="336"/>
    </row>
    <row r="22426" spans="84:91" s="51" customFormat="1">
      <c r="CF22426" s="239"/>
      <c r="CM22426" s="336"/>
    </row>
    <row r="22427" spans="84:91" s="51" customFormat="1">
      <c r="CF22427" s="239"/>
      <c r="CM22427" s="336"/>
    </row>
    <row r="22428" spans="84:91" s="51" customFormat="1">
      <c r="CF22428" s="239"/>
      <c r="CM22428" s="336"/>
    </row>
    <row r="22429" spans="84:91" s="51" customFormat="1">
      <c r="CF22429" s="239"/>
      <c r="CM22429" s="336"/>
    </row>
    <row r="22430" spans="84:91" s="51" customFormat="1">
      <c r="CF22430" s="239"/>
      <c r="CM22430" s="336"/>
    </row>
    <row r="22431" spans="84:91" s="51" customFormat="1">
      <c r="CF22431" s="239"/>
      <c r="CM22431" s="336"/>
    </row>
    <row r="22432" spans="84:91" s="51" customFormat="1">
      <c r="CF22432" s="239"/>
      <c r="CM22432" s="336"/>
    </row>
    <row r="22433" spans="84:91" s="51" customFormat="1">
      <c r="CF22433" s="239"/>
      <c r="CM22433" s="336"/>
    </row>
    <row r="22434" spans="84:91" s="51" customFormat="1">
      <c r="CF22434" s="239"/>
      <c r="CM22434" s="336"/>
    </row>
    <row r="22435" spans="84:91" s="51" customFormat="1">
      <c r="CF22435" s="239"/>
      <c r="CM22435" s="336"/>
    </row>
    <row r="22436" spans="84:91" s="51" customFormat="1">
      <c r="CF22436" s="239"/>
      <c r="CM22436" s="336"/>
    </row>
    <row r="22437" spans="84:91" s="51" customFormat="1">
      <c r="CF22437" s="239"/>
      <c r="CM22437" s="336"/>
    </row>
    <row r="22438" spans="84:91" s="51" customFormat="1">
      <c r="CF22438" s="239"/>
      <c r="CM22438" s="336"/>
    </row>
    <row r="22439" spans="84:91" s="51" customFormat="1">
      <c r="CF22439" s="239"/>
      <c r="CM22439" s="336"/>
    </row>
    <row r="22440" spans="84:91" s="51" customFormat="1">
      <c r="CF22440" s="239"/>
      <c r="CM22440" s="336"/>
    </row>
    <row r="22441" spans="84:91" s="51" customFormat="1">
      <c r="CF22441" s="239"/>
      <c r="CM22441" s="336"/>
    </row>
    <row r="22442" spans="84:91" s="51" customFormat="1">
      <c r="CF22442" s="239"/>
      <c r="CM22442" s="336"/>
    </row>
    <row r="22443" spans="84:91" s="51" customFormat="1">
      <c r="CF22443" s="239"/>
      <c r="CM22443" s="336"/>
    </row>
    <row r="22444" spans="84:91" s="51" customFormat="1">
      <c r="CF22444" s="239"/>
      <c r="CM22444" s="336"/>
    </row>
    <row r="22445" spans="84:91" s="51" customFormat="1">
      <c r="CF22445" s="239"/>
      <c r="CM22445" s="336"/>
    </row>
    <row r="22446" spans="84:91" s="51" customFormat="1">
      <c r="CF22446" s="239"/>
      <c r="CM22446" s="336"/>
    </row>
    <row r="22447" spans="84:91" s="51" customFormat="1">
      <c r="CF22447" s="239"/>
      <c r="CM22447" s="336"/>
    </row>
    <row r="22448" spans="84:91" s="51" customFormat="1">
      <c r="CF22448" s="239"/>
      <c r="CM22448" s="336"/>
    </row>
    <row r="22449" spans="84:91" s="51" customFormat="1">
      <c r="CF22449" s="239"/>
      <c r="CM22449" s="336"/>
    </row>
    <row r="22450" spans="84:91" s="51" customFormat="1">
      <c r="CF22450" s="239"/>
      <c r="CM22450" s="336"/>
    </row>
    <row r="22451" spans="84:91" s="51" customFormat="1">
      <c r="CF22451" s="239"/>
      <c r="CM22451" s="336"/>
    </row>
    <row r="22452" spans="84:91" s="51" customFormat="1">
      <c r="CF22452" s="239"/>
      <c r="CM22452" s="336"/>
    </row>
    <row r="22453" spans="84:91" s="51" customFormat="1">
      <c r="CF22453" s="239"/>
      <c r="CM22453" s="336"/>
    </row>
    <row r="22454" spans="84:91" s="51" customFormat="1">
      <c r="CF22454" s="239"/>
      <c r="CM22454" s="336"/>
    </row>
    <row r="22455" spans="84:91" s="51" customFormat="1">
      <c r="CF22455" s="239"/>
      <c r="CM22455" s="336"/>
    </row>
    <row r="22456" spans="84:91" s="51" customFormat="1">
      <c r="CF22456" s="239"/>
      <c r="CM22456" s="336"/>
    </row>
    <row r="22457" spans="84:91" s="51" customFormat="1">
      <c r="CF22457" s="239"/>
      <c r="CM22457" s="336"/>
    </row>
    <row r="22458" spans="84:91" s="51" customFormat="1">
      <c r="CF22458" s="239"/>
      <c r="CM22458" s="336"/>
    </row>
    <row r="22459" spans="84:91" s="51" customFormat="1">
      <c r="CF22459" s="239"/>
      <c r="CM22459" s="336"/>
    </row>
    <row r="22460" spans="84:91" s="51" customFormat="1">
      <c r="CF22460" s="239"/>
      <c r="CM22460" s="336"/>
    </row>
    <row r="22461" spans="84:91" s="51" customFormat="1">
      <c r="CF22461" s="239"/>
      <c r="CM22461" s="336"/>
    </row>
    <row r="22462" spans="84:91" s="51" customFormat="1">
      <c r="CF22462" s="239"/>
      <c r="CM22462" s="336"/>
    </row>
    <row r="22463" spans="84:91" s="51" customFormat="1">
      <c r="CF22463" s="239"/>
      <c r="CM22463" s="336"/>
    </row>
    <row r="22464" spans="84:91" s="51" customFormat="1">
      <c r="CF22464" s="239"/>
      <c r="CM22464" s="336"/>
    </row>
    <row r="22465" spans="84:91" s="51" customFormat="1">
      <c r="CF22465" s="239"/>
      <c r="CM22465" s="336"/>
    </row>
    <row r="22466" spans="84:91" s="51" customFormat="1">
      <c r="CF22466" s="239"/>
      <c r="CM22466" s="336"/>
    </row>
    <row r="22467" spans="84:91" s="51" customFormat="1">
      <c r="CF22467" s="239"/>
      <c r="CM22467" s="336"/>
    </row>
    <row r="22468" spans="84:91" s="51" customFormat="1">
      <c r="CF22468" s="239"/>
      <c r="CM22468" s="336"/>
    </row>
    <row r="22469" spans="84:91" s="51" customFormat="1">
      <c r="CF22469" s="239"/>
      <c r="CM22469" s="336"/>
    </row>
    <row r="22470" spans="84:91" s="51" customFormat="1">
      <c r="CF22470" s="239"/>
      <c r="CM22470" s="336"/>
    </row>
    <row r="22471" spans="84:91" s="51" customFormat="1">
      <c r="CF22471" s="239"/>
      <c r="CM22471" s="336"/>
    </row>
    <row r="22472" spans="84:91" s="51" customFormat="1">
      <c r="CF22472" s="239"/>
      <c r="CM22472" s="336"/>
    </row>
    <row r="22473" spans="84:91" s="51" customFormat="1">
      <c r="CF22473" s="239"/>
      <c r="CM22473" s="336"/>
    </row>
    <row r="22474" spans="84:91" s="51" customFormat="1">
      <c r="CF22474" s="239"/>
      <c r="CM22474" s="336"/>
    </row>
    <row r="22475" spans="84:91" s="51" customFormat="1">
      <c r="CF22475" s="239"/>
      <c r="CM22475" s="336"/>
    </row>
    <row r="22476" spans="84:91" s="51" customFormat="1">
      <c r="CF22476" s="239"/>
      <c r="CM22476" s="336"/>
    </row>
    <row r="22477" spans="84:91" s="51" customFormat="1">
      <c r="CF22477" s="239"/>
      <c r="CM22477" s="336"/>
    </row>
    <row r="22478" spans="84:91" s="51" customFormat="1">
      <c r="CF22478" s="239"/>
      <c r="CM22478" s="336"/>
    </row>
    <row r="22479" spans="84:91" s="51" customFormat="1">
      <c r="CF22479" s="239"/>
      <c r="CM22479" s="336"/>
    </row>
    <row r="22480" spans="84:91" s="51" customFormat="1">
      <c r="CF22480" s="239"/>
      <c r="CM22480" s="336"/>
    </row>
    <row r="22481" spans="84:91" s="51" customFormat="1">
      <c r="CF22481" s="239"/>
      <c r="CM22481" s="336"/>
    </row>
    <row r="22482" spans="84:91" s="51" customFormat="1">
      <c r="CF22482" s="239"/>
      <c r="CM22482" s="336"/>
    </row>
    <row r="22483" spans="84:91" s="51" customFormat="1">
      <c r="CF22483" s="239"/>
      <c r="CM22483" s="336"/>
    </row>
    <row r="22484" spans="84:91" s="51" customFormat="1">
      <c r="CF22484" s="239"/>
      <c r="CM22484" s="336"/>
    </row>
    <row r="22485" spans="84:91" s="51" customFormat="1">
      <c r="CF22485" s="239"/>
      <c r="CM22485" s="336"/>
    </row>
    <row r="22486" spans="84:91" s="51" customFormat="1">
      <c r="CF22486" s="239"/>
      <c r="CM22486" s="336"/>
    </row>
    <row r="22487" spans="84:91" s="51" customFormat="1">
      <c r="CF22487" s="239"/>
      <c r="CM22487" s="336"/>
    </row>
    <row r="22488" spans="84:91" s="51" customFormat="1">
      <c r="CF22488" s="239"/>
      <c r="CM22488" s="336"/>
    </row>
    <row r="22489" spans="84:91" s="51" customFormat="1">
      <c r="CF22489" s="239"/>
      <c r="CM22489" s="336"/>
    </row>
    <row r="22490" spans="84:91" s="51" customFormat="1">
      <c r="CF22490" s="239"/>
      <c r="CM22490" s="336"/>
    </row>
    <row r="22491" spans="84:91" s="51" customFormat="1">
      <c r="CF22491" s="239"/>
      <c r="CM22491" s="336"/>
    </row>
    <row r="22492" spans="84:91" s="51" customFormat="1">
      <c r="CF22492" s="239"/>
      <c r="CM22492" s="336"/>
    </row>
    <row r="22493" spans="84:91" s="51" customFormat="1">
      <c r="CF22493" s="239"/>
      <c r="CM22493" s="336"/>
    </row>
    <row r="22494" spans="84:91" s="51" customFormat="1">
      <c r="CF22494" s="239"/>
      <c r="CM22494" s="336"/>
    </row>
    <row r="22495" spans="84:91" s="51" customFormat="1">
      <c r="CF22495" s="239"/>
      <c r="CM22495" s="336"/>
    </row>
    <row r="22496" spans="84:91" s="51" customFormat="1">
      <c r="CF22496" s="239"/>
      <c r="CM22496" s="336"/>
    </row>
    <row r="22497" spans="84:91" s="51" customFormat="1">
      <c r="CF22497" s="239"/>
      <c r="CM22497" s="336"/>
    </row>
    <row r="22498" spans="84:91" s="51" customFormat="1">
      <c r="CF22498" s="239"/>
      <c r="CM22498" s="336"/>
    </row>
    <row r="22499" spans="84:91" s="51" customFormat="1">
      <c r="CF22499" s="239"/>
      <c r="CM22499" s="336"/>
    </row>
    <row r="22500" spans="84:91" s="51" customFormat="1">
      <c r="CF22500" s="239"/>
      <c r="CM22500" s="336"/>
    </row>
    <row r="22501" spans="84:91" s="51" customFormat="1">
      <c r="CF22501" s="239"/>
      <c r="CM22501" s="336"/>
    </row>
    <row r="22502" spans="84:91" s="51" customFormat="1">
      <c r="CF22502" s="239"/>
      <c r="CM22502" s="336"/>
    </row>
    <row r="22503" spans="84:91" s="51" customFormat="1">
      <c r="CF22503" s="239"/>
      <c r="CM22503" s="336"/>
    </row>
    <row r="22504" spans="84:91" s="51" customFormat="1">
      <c r="CF22504" s="239"/>
      <c r="CM22504" s="336"/>
    </row>
    <row r="22505" spans="84:91" s="51" customFormat="1">
      <c r="CF22505" s="239"/>
      <c r="CM22505" s="336"/>
    </row>
    <row r="22506" spans="84:91" s="51" customFormat="1">
      <c r="CF22506" s="239"/>
      <c r="CM22506" s="336"/>
    </row>
    <row r="22507" spans="84:91" s="51" customFormat="1">
      <c r="CF22507" s="239"/>
      <c r="CM22507" s="336"/>
    </row>
    <row r="22508" spans="84:91" s="51" customFormat="1">
      <c r="CF22508" s="239"/>
      <c r="CM22508" s="336"/>
    </row>
    <row r="22509" spans="84:91" s="51" customFormat="1">
      <c r="CF22509" s="239"/>
      <c r="CM22509" s="336"/>
    </row>
    <row r="22510" spans="84:91" s="51" customFormat="1">
      <c r="CF22510" s="239"/>
      <c r="CM22510" s="336"/>
    </row>
    <row r="22511" spans="84:91" s="51" customFormat="1">
      <c r="CF22511" s="239"/>
      <c r="CM22511" s="336"/>
    </row>
    <row r="22512" spans="84:91" s="51" customFormat="1">
      <c r="CF22512" s="239"/>
      <c r="CM22512" s="336"/>
    </row>
    <row r="22513" spans="84:91" s="51" customFormat="1">
      <c r="CF22513" s="239"/>
      <c r="CM22513" s="336"/>
    </row>
    <row r="22514" spans="84:91" s="51" customFormat="1">
      <c r="CF22514" s="239"/>
      <c r="CM22514" s="336"/>
    </row>
    <row r="22515" spans="84:91" s="51" customFormat="1">
      <c r="CF22515" s="239"/>
      <c r="CM22515" s="336"/>
    </row>
    <row r="22516" spans="84:91" s="51" customFormat="1">
      <c r="CF22516" s="239"/>
      <c r="CM22516" s="336"/>
    </row>
    <row r="22517" spans="84:91" s="51" customFormat="1">
      <c r="CF22517" s="239"/>
      <c r="CM22517" s="336"/>
    </row>
    <row r="22518" spans="84:91" s="51" customFormat="1">
      <c r="CF22518" s="239"/>
      <c r="CM22518" s="336"/>
    </row>
    <row r="22519" spans="84:91" s="51" customFormat="1">
      <c r="CF22519" s="239"/>
      <c r="CM22519" s="336"/>
    </row>
    <row r="22520" spans="84:91" s="51" customFormat="1">
      <c r="CF22520" s="239"/>
      <c r="CM22520" s="336"/>
    </row>
    <row r="22521" spans="84:91" s="51" customFormat="1">
      <c r="CF22521" s="239"/>
      <c r="CM22521" s="336"/>
    </row>
    <row r="22522" spans="84:91" s="51" customFormat="1">
      <c r="CF22522" s="239"/>
      <c r="CM22522" s="336"/>
    </row>
    <row r="22523" spans="84:91" s="51" customFormat="1">
      <c r="CF22523" s="239"/>
      <c r="CM22523" s="336"/>
    </row>
    <row r="22524" spans="84:91" s="51" customFormat="1">
      <c r="CF22524" s="239"/>
      <c r="CM22524" s="336"/>
    </row>
    <row r="22525" spans="84:91" s="51" customFormat="1">
      <c r="CF22525" s="239"/>
      <c r="CM22525" s="336"/>
    </row>
    <row r="22526" spans="84:91" s="51" customFormat="1">
      <c r="CF22526" s="239"/>
      <c r="CM22526" s="336"/>
    </row>
    <row r="22527" spans="84:91" s="51" customFormat="1">
      <c r="CF22527" s="239"/>
      <c r="CM22527" s="336"/>
    </row>
    <row r="22528" spans="84:91" s="51" customFormat="1">
      <c r="CF22528" s="239"/>
      <c r="CM22528" s="336"/>
    </row>
    <row r="22529" spans="84:91" s="51" customFormat="1">
      <c r="CF22529" s="239"/>
      <c r="CM22529" s="336"/>
    </row>
    <row r="22530" spans="84:91" s="51" customFormat="1">
      <c r="CF22530" s="239"/>
      <c r="CM22530" s="336"/>
    </row>
    <row r="22531" spans="84:91" s="51" customFormat="1">
      <c r="CF22531" s="239"/>
      <c r="CM22531" s="336"/>
    </row>
    <row r="22532" spans="84:91" s="51" customFormat="1">
      <c r="CF22532" s="239"/>
      <c r="CM22532" s="336"/>
    </row>
    <row r="22533" spans="84:91" s="51" customFormat="1">
      <c r="CF22533" s="239"/>
      <c r="CM22533" s="336"/>
    </row>
    <row r="22534" spans="84:91" s="51" customFormat="1">
      <c r="CF22534" s="239"/>
      <c r="CM22534" s="336"/>
    </row>
    <row r="22535" spans="84:91" s="51" customFormat="1">
      <c r="CF22535" s="239"/>
      <c r="CM22535" s="336"/>
    </row>
    <row r="22536" spans="84:91" s="51" customFormat="1">
      <c r="CF22536" s="239"/>
      <c r="CM22536" s="336"/>
    </row>
    <row r="22537" spans="84:91" s="51" customFormat="1">
      <c r="CF22537" s="239"/>
      <c r="CM22537" s="336"/>
    </row>
    <row r="22538" spans="84:91" s="51" customFormat="1">
      <c r="CF22538" s="239"/>
      <c r="CM22538" s="336"/>
    </row>
    <row r="22539" spans="84:91" s="51" customFormat="1">
      <c r="CF22539" s="239"/>
      <c r="CM22539" s="336"/>
    </row>
    <row r="22540" spans="84:91" s="51" customFormat="1">
      <c r="CF22540" s="239"/>
      <c r="CM22540" s="336"/>
    </row>
    <row r="22541" spans="84:91" s="51" customFormat="1">
      <c r="CF22541" s="239"/>
      <c r="CM22541" s="336"/>
    </row>
    <row r="22542" spans="84:91" s="51" customFormat="1">
      <c r="CF22542" s="239"/>
      <c r="CM22542" s="336"/>
    </row>
    <row r="22543" spans="84:91" s="51" customFormat="1">
      <c r="CF22543" s="239"/>
      <c r="CM22543" s="336"/>
    </row>
    <row r="22544" spans="84:91" s="51" customFormat="1">
      <c r="CF22544" s="239"/>
      <c r="CM22544" s="336"/>
    </row>
    <row r="22545" spans="84:91" s="51" customFormat="1">
      <c r="CF22545" s="239"/>
      <c r="CM22545" s="336"/>
    </row>
    <row r="22546" spans="84:91" s="51" customFormat="1">
      <c r="CF22546" s="239"/>
      <c r="CM22546" s="336"/>
    </row>
    <row r="22547" spans="84:91" s="51" customFormat="1">
      <c r="CF22547" s="239"/>
      <c r="CM22547" s="336"/>
    </row>
    <row r="22548" spans="84:91" s="51" customFormat="1">
      <c r="CF22548" s="239"/>
      <c r="CM22548" s="336"/>
    </row>
    <row r="22549" spans="84:91" s="51" customFormat="1">
      <c r="CF22549" s="239"/>
      <c r="CM22549" s="336"/>
    </row>
    <row r="22550" spans="84:91" s="51" customFormat="1">
      <c r="CF22550" s="239"/>
      <c r="CM22550" s="336"/>
    </row>
    <row r="22551" spans="84:91" s="51" customFormat="1">
      <c r="CF22551" s="239"/>
      <c r="CM22551" s="336"/>
    </row>
    <row r="22552" spans="84:91" s="51" customFormat="1">
      <c r="CF22552" s="239"/>
      <c r="CM22552" s="336"/>
    </row>
    <row r="22553" spans="84:91" s="51" customFormat="1">
      <c r="CF22553" s="239"/>
      <c r="CM22553" s="336"/>
    </row>
    <row r="22554" spans="84:91" s="51" customFormat="1">
      <c r="CF22554" s="239"/>
      <c r="CM22554" s="336"/>
    </row>
    <row r="22555" spans="84:91" s="51" customFormat="1">
      <c r="CF22555" s="239"/>
      <c r="CM22555" s="336"/>
    </row>
    <row r="22556" spans="84:91" s="51" customFormat="1">
      <c r="CF22556" s="239"/>
      <c r="CM22556" s="336"/>
    </row>
    <row r="22557" spans="84:91" s="51" customFormat="1">
      <c r="CF22557" s="239"/>
      <c r="CM22557" s="336"/>
    </row>
    <row r="22558" spans="84:91" s="51" customFormat="1">
      <c r="CF22558" s="239"/>
      <c r="CM22558" s="336"/>
    </row>
    <row r="22559" spans="84:91" s="51" customFormat="1">
      <c r="CF22559" s="239"/>
      <c r="CM22559" s="336"/>
    </row>
    <row r="22560" spans="84:91" s="51" customFormat="1">
      <c r="CF22560" s="239"/>
      <c r="CM22560" s="336"/>
    </row>
    <row r="22561" spans="84:91" s="51" customFormat="1">
      <c r="CF22561" s="239"/>
      <c r="CM22561" s="336"/>
    </row>
    <row r="22562" spans="84:91" s="51" customFormat="1">
      <c r="CF22562" s="239"/>
      <c r="CM22562" s="336"/>
    </row>
    <row r="22563" spans="84:91" s="51" customFormat="1">
      <c r="CF22563" s="239"/>
      <c r="CM22563" s="336"/>
    </row>
    <row r="22564" spans="84:91" s="51" customFormat="1">
      <c r="CF22564" s="239"/>
      <c r="CM22564" s="336"/>
    </row>
    <row r="22565" spans="84:91" s="51" customFormat="1">
      <c r="CF22565" s="239"/>
      <c r="CM22565" s="336"/>
    </row>
    <row r="22566" spans="84:91" s="51" customFormat="1">
      <c r="CF22566" s="239"/>
      <c r="CM22566" s="336"/>
    </row>
    <row r="22567" spans="84:91" s="51" customFormat="1">
      <c r="CF22567" s="239"/>
      <c r="CM22567" s="336"/>
    </row>
    <row r="22568" spans="84:91" s="51" customFormat="1">
      <c r="CF22568" s="239"/>
      <c r="CM22568" s="336"/>
    </row>
    <row r="22569" spans="84:91" s="51" customFormat="1">
      <c r="CF22569" s="239"/>
      <c r="CM22569" s="336"/>
    </row>
    <row r="22570" spans="84:91" s="51" customFormat="1">
      <c r="CF22570" s="239"/>
      <c r="CM22570" s="336"/>
    </row>
    <row r="22571" spans="84:91" s="51" customFormat="1">
      <c r="CF22571" s="239"/>
      <c r="CM22571" s="336"/>
    </row>
    <row r="22572" spans="84:91" s="51" customFormat="1">
      <c r="CF22572" s="239"/>
      <c r="CM22572" s="336"/>
    </row>
    <row r="22573" spans="84:91" s="51" customFormat="1">
      <c r="CF22573" s="239"/>
      <c r="CM22573" s="336"/>
    </row>
    <row r="22574" spans="84:91" s="51" customFormat="1">
      <c r="CF22574" s="239"/>
      <c r="CM22574" s="336"/>
    </row>
    <row r="22575" spans="84:91" s="51" customFormat="1">
      <c r="CF22575" s="239"/>
      <c r="CM22575" s="336"/>
    </row>
    <row r="22576" spans="84:91" s="51" customFormat="1">
      <c r="CF22576" s="239"/>
      <c r="CM22576" s="336"/>
    </row>
    <row r="22577" spans="84:91" s="51" customFormat="1">
      <c r="CF22577" s="239"/>
      <c r="CM22577" s="336"/>
    </row>
    <row r="22578" spans="84:91" s="51" customFormat="1">
      <c r="CF22578" s="239"/>
      <c r="CM22578" s="336"/>
    </row>
    <row r="22579" spans="84:91" s="51" customFormat="1">
      <c r="CF22579" s="239"/>
      <c r="CM22579" s="336"/>
    </row>
    <row r="22580" spans="84:91" s="51" customFormat="1">
      <c r="CF22580" s="239"/>
      <c r="CM22580" s="336"/>
    </row>
    <row r="22581" spans="84:91" s="51" customFormat="1">
      <c r="CF22581" s="239"/>
      <c r="CM22581" s="336"/>
    </row>
    <row r="22582" spans="84:91" s="51" customFormat="1">
      <c r="CF22582" s="239"/>
      <c r="CM22582" s="336"/>
    </row>
    <row r="22583" spans="84:91" s="51" customFormat="1">
      <c r="CF22583" s="239"/>
      <c r="CM22583" s="336"/>
    </row>
    <row r="22584" spans="84:91" s="51" customFormat="1">
      <c r="CF22584" s="239"/>
      <c r="CM22584" s="336"/>
    </row>
    <row r="22585" spans="84:91" s="51" customFormat="1">
      <c r="CF22585" s="239"/>
      <c r="CM22585" s="336"/>
    </row>
    <row r="22586" spans="84:91" s="51" customFormat="1">
      <c r="CF22586" s="239"/>
      <c r="CM22586" s="336"/>
    </row>
    <row r="22587" spans="84:91" s="51" customFormat="1">
      <c r="CF22587" s="239"/>
      <c r="CM22587" s="336"/>
    </row>
    <row r="22588" spans="84:91" s="51" customFormat="1">
      <c r="CF22588" s="239"/>
      <c r="CM22588" s="336"/>
    </row>
    <row r="22589" spans="84:91" s="51" customFormat="1">
      <c r="CF22589" s="239"/>
      <c r="CM22589" s="336"/>
    </row>
    <row r="22590" spans="84:91" s="51" customFormat="1">
      <c r="CF22590" s="239"/>
      <c r="CM22590" s="336"/>
    </row>
    <row r="22591" spans="84:91" s="51" customFormat="1">
      <c r="CF22591" s="239"/>
      <c r="CM22591" s="336"/>
    </row>
    <row r="22592" spans="84:91" s="51" customFormat="1">
      <c r="CF22592" s="239"/>
      <c r="CM22592" s="336"/>
    </row>
    <row r="22593" spans="84:91" s="51" customFormat="1">
      <c r="CF22593" s="239"/>
      <c r="CM22593" s="336"/>
    </row>
    <row r="22594" spans="84:91" s="51" customFormat="1">
      <c r="CF22594" s="239"/>
      <c r="CM22594" s="336"/>
    </row>
    <row r="22595" spans="84:91" s="51" customFormat="1">
      <c r="CF22595" s="239"/>
      <c r="CM22595" s="336"/>
    </row>
    <row r="22596" spans="84:91" s="51" customFormat="1">
      <c r="CF22596" s="239"/>
      <c r="CM22596" s="336"/>
    </row>
    <row r="22597" spans="84:91" s="51" customFormat="1">
      <c r="CF22597" s="239"/>
      <c r="CM22597" s="336"/>
    </row>
    <row r="22598" spans="84:91" s="51" customFormat="1">
      <c r="CF22598" s="239"/>
      <c r="CM22598" s="336"/>
    </row>
    <row r="22599" spans="84:91" s="51" customFormat="1">
      <c r="CF22599" s="239"/>
      <c r="CM22599" s="336"/>
    </row>
    <row r="22600" spans="84:91" s="51" customFormat="1">
      <c r="CF22600" s="239"/>
      <c r="CM22600" s="336"/>
    </row>
    <row r="22601" spans="84:91" s="51" customFormat="1">
      <c r="CF22601" s="239"/>
      <c r="CM22601" s="336"/>
    </row>
    <row r="22602" spans="84:91" s="51" customFormat="1">
      <c r="CF22602" s="239"/>
      <c r="CM22602" s="336"/>
    </row>
    <row r="22603" spans="84:91" s="51" customFormat="1">
      <c r="CF22603" s="239"/>
      <c r="CM22603" s="336"/>
    </row>
    <row r="22604" spans="84:91" s="51" customFormat="1">
      <c r="CF22604" s="239"/>
      <c r="CM22604" s="336"/>
    </row>
    <row r="22605" spans="84:91" s="51" customFormat="1">
      <c r="CF22605" s="239"/>
      <c r="CM22605" s="336"/>
    </row>
    <row r="22606" spans="84:91" s="51" customFormat="1">
      <c r="CF22606" s="239"/>
      <c r="CM22606" s="336"/>
    </row>
    <row r="22607" spans="84:91" s="51" customFormat="1">
      <c r="CF22607" s="239"/>
      <c r="CM22607" s="336"/>
    </row>
    <row r="22608" spans="84:91" s="51" customFormat="1">
      <c r="CF22608" s="239"/>
      <c r="CM22608" s="336"/>
    </row>
    <row r="22609" spans="84:91" s="51" customFormat="1">
      <c r="CF22609" s="239"/>
      <c r="CM22609" s="336"/>
    </row>
    <row r="22610" spans="84:91" s="51" customFormat="1">
      <c r="CF22610" s="239"/>
      <c r="CM22610" s="336"/>
    </row>
    <row r="22611" spans="84:91" s="51" customFormat="1">
      <c r="CF22611" s="239"/>
      <c r="CM22611" s="336"/>
    </row>
    <row r="22612" spans="84:91" s="51" customFormat="1">
      <c r="CF22612" s="239"/>
      <c r="CM22612" s="336"/>
    </row>
    <row r="22613" spans="84:91" s="51" customFormat="1">
      <c r="CF22613" s="239"/>
      <c r="CM22613" s="336"/>
    </row>
    <row r="22614" spans="84:91" s="51" customFormat="1">
      <c r="CF22614" s="239"/>
      <c r="CM22614" s="336"/>
    </row>
    <row r="22615" spans="84:91" s="51" customFormat="1">
      <c r="CF22615" s="239"/>
      <c r="CM22615" s="336"/>
    </row>
    <row r="22616" spans="84:91" s="51" customFormat="1">
      <c r="CF22616" s="239"/>
      <c r="CM22616" s="336"/>
    </row>
    <row r="22617" spans="84:91" s="51" customFormat="1">
      <c r="CF22617" s="239"/>
      <c r="CM22617" s="336"/>
    </row>
    <row r="22618" spans="84:91" s="51" customFormat="1">
      <c r="CF22618" s="239"/>
      <c r="CM22618" s="336"/>
    </row>
    <row r="22619" spans="84:91" s="51" customFormat="1">
      <c r="CF22619" s="239"/>
      <c r="CM22619" s="336"/>
    </row>
    <row r="22620" spans="84:91" s="51" customFormat="1">
      <c r="CF22620" s="239"/>
      <c r="CM22620" s="336"/>
    </row>
    <row r="22621" spans="84:91" s="51" customFormat="1">
      <c r="CF22621" s="239"/>
      <c r="CM22621" s="336"/>
    </row>
    <row r="22622" spans="84:91" s="51" customFormat="1">
      <c r="CF22622" s="239"/>
      <c r="CM22622" s="336"/>
    </row>
    <row r="22623" spans="84:91" s="51" customFormat="1">
      <c r="CF22623" s="239"/>
      <c r="CM22623" s="336"/>
    </row>
    <row r="22624" spans="84:91" s="51" customFormat="1">
      <c r="CF22624" s="239"/>
      <c r="CM22624" s="336"/>
    </row>
    <row r="22625" spans="84:91" s="51" customFormat="1">
      <c r="CF22625" s="239"/>
      <c r="CM22625" s="336"/>
    </row>
    <row r="22626" spans="84:91" s="51" customFormat="1">
      <c r="CF22626" s="239"/>
      <c r="CM22626" s="336"/>
    </row>
    <row r="22627" spans="84:91" s="51" customFormat="1">
      <c r="CF22627" s="239"/>
      <c r="CM22627" s="336"/>
    </row>
    <row r="22628" spans="84:91" s="51" customFormat="1">
      <c r="CF22628" s="239"/>
      <c r="CM22628" s="336"/>
    </row>
    <row r="22629" spans="84:91" s="51" customFormat="1">
      <c r="CF22629" s="239"/>
      <c r="CM22629" s="336"/>
    </row>
    <row r="22630" spans="84:91" s="51" customFormat="1">
      <c r="CF22630" s="239"/>
      <c r="CM22630" s="336"/>
    </row>
    <row r="22631" spans="84:91" s="51" customFormat="1">
      <c r="CF22631" s="239"/>
      <c r="CM22631" s="336"/>
    </row>
    <row r="22632" spans="84:91" s="51" customFormat="1">
      <c r="CF22632" s="239"/>
      <c r="CM22632" s="336"/>
    </row>
    <row r="22633" spans="84:91" s="51" customFormat="1">
      <c r="CF22633" s="239"/>
      <c r="CM22633" s="336"/>
    </row>
    <row r="22634" spans="84:91" s="51" customFormat="1">
      <c r="CF22634" s="239"/>
      <c r="CM22634" s="336"/>
    </row>
    <row r="22635" spans="84:91" s="51" customFormat="1">
      <c r="CF22635" s="239"/>
      <c r="CM22635" s="336"/>
    </row>
    <row r="22636" spans="84:91" s="51" customFormat="1">
      <c r="CF22636" s="239"/>
      <c r="CM22636" s="336"/>
    </row>
    <row r="22637" spans="84:91" s="51" customFormat="1">
      <c r="CF22637" s="239"/>
      <c r="CM22637" s="336"/>
    </row>
    <row r="22638" spans="84:91" s="51" customFormat="1">
      <c r="CF22638" s="239"/>
      <c r="CM22638" s="336"/>
    </row>
    <row r="22639" spans="84:91" s="51" customFormat="1">
      <c r="CF22639" s="239"/>
      <c r="CM22639" s="336"/>
    </row>
    <row r="22640" spans="84:91" s="51" customFormat="1">
      <c r="CF22640" s="239"/>
      <c r="CM22640" s="336"/>
    </row>
    <row r="22641" spans="84:91" s="51" customFormat="1">
      <c r="CF22641" s="239"/>
      <c r="CM22641" s="336"/>
    </row>
    <row r="22642" spans="84:91" s="51" customFormat="1">
      <c r="CF22642" s="239"/>
      <c r="CM22642" s="336"/>
    </row>
    <row r="22643" spans="84:91" s="51" customFormat="1">
      <c r="CF22643" s="239"/>
      <c r="CM22643" s="336"/>
    </row>
    <row r="22644" spans="84:91" s="51" customFormat="1">
      <c r="CF22644" s="239"/>
      <c r="CM22644" s="336"/>
    </row>
    <row r="22645" spans="84:91" s="51" customFormat="1">
      <c r="CF22645" s="239"/>
      <c r="CM22645" s="336"/>
    </row>
    <row r="22646" spans="84:91" s="51" customFormat="1">
      <c r="CF22646" s="239"/>
      <c r="CM22646" s="336"/>
    </row>
    <row r="22647" spans="84:91" s="51" customFormat="1">
      <c r="CF22647" s="239"/>
      <c r="CM22647" s="336"/>
    </row>
    <row r="22648" spans="84:91" s="51" customFormat="1">
      <c r="CF22648" s="239"/>
      <c r="CM22648" s="336"/>
    </row>
    <row r="22649" spans="84:91" s="51" customFormat="1">
      <c r="CF22649" s="239"/>
      <c r="CM22649" s="336"/>
    </row>
    <row r="22650" spans="84:91" s="51" customFormat="1">
      <c r="CF22650" s="239"/>
      <c r="CM22650" s="336"/>
    </row>
    <row r="22651" spans="84:91" s="51" customFormat="1">
      <c r="CF22651" s="239"/>
      <c r="CM22651" s="336"/>
    </row>
    <row r="22652" spans="84:91" s="51" customFormat="1">
      <c r="CF22652" s="239"/>
      <c r="CM22652" s="336"/>
    </row>
    <row r="22653" spans="84:91" s="51" customFormat="1">
      <c r="CF22653" s="239"/>
      <c r="CM22653" s="336"/>
    </row>
    <row r="22654" spans="84:91" s="51" customFormat="1">
      <c r="CF22654" s="239"/>
      <c r="CM22654" s="336"/>
    </row>
    <row r="22655" spans="84:91" s="51" customFormat="1">
      <c r="CF22655" s="239"/>
      <c r="CM22655" s="336"/>
    </row>
    <row r="22656" spans="84:91" s="51" customFormat="1">
      <c r="CF22656" s="239"/>
      <c r="CM22656" s="336"/>
    </row>
    <row r="22657" spans="84:91" s="51" customFormat="1">
      <c r="CF22657" s="239"/>
      <c r="CM22657" s="336"/>
    </row>
    <row r="22658" spans="84:91" s="51" customFormat="1">
      <c r="CF22658" s="239"/>
      <c r="CM22658" s="336"/>
    </row>
    <row r="22659" spans="84:91" s="51" customFormat="1">
      <c r="CF22659" s="239"/>
      <c r="CM22659" s="336"/>
    </row>
    <row r="22660" spans="84:91" s="51" customFormat="1">
      <c r="CF22660" s="239"/>
      <c r="CM22660" s="336"/>
    </row>
    <row r="22661" spans="84:91" s="51" customFormat="1">
      <c r="CF22661" s="239"/>
      <c r="CM22661" s="336"/>
    </row>
    <row r="22662" spans="84:91" s="51" customFormat="1">
      <c r="CF22662" s="239"/>
      <c r="CM22662" s="336"/>
    </row>
    <row r="22663" spans="84:91" s="51" customFormat="1">
      <c r="CF22663" s="239"/>
      <c r="CM22663" s="336"/>
    </row>
    <row r="22664" spans="84:91" s="51" customFormat="1">
      <c r="CF22664" s="239"/>
      <c r="CM22664" s="336"/>
    </row>
    <row r="22665" spans="84:91" s="51" customFormat="1">
      <c r="CF22665" s="239"/>
      <c r="CM22665" s="336"/>
    </row>
    <row r="22666" spans="84:91" s="51" customFormat="1">
      <c r="CF22666" s="239"/>
      <c r="CM22666" s="336"/>
    </row>
    <row r="22667" spans="84:91" s="51" customFormat="1">
      <c r="CF22667" s="239"/>
      <c r="CM22667" s="336"/>
    </row>
    <row r="22668" spans="84:91" s="51" customFormat="1">
      <c r="CF22668" s="239"/>
      <c r="CM22668" s="336"/>
    </row>
    <row r="22669" spans="84:91" s="51" customFormat="1">
      <c r="CF22669" s="239"/>
      <c r="CM22669" s="336"/>
    </row>
    <row r="22670" spans="84:91" s="51" customFormat="1">
      <c r="CF22670" s="239"/>
      <c r="CM22670" s="336"/>
    </row>
    <row r="22671" spans="84:91" s="51" customFormat="1">
      <c r="CF22671" s="239"/>
      <c r="CM22671" s="336"/>
    </row>
    <row r="22672" spans="84:91" s="51" customFormat="1">
      <c r="CF22672" s="239"/>
      <c r="CM22672" s="336"/>
    </row>
    <row r="22673" spans="84:91" s="51" customFormat="1">
      <c r="CF22673" s="239"/>
      <c r="CM22673" s="336"/>
    </row>
    <row r="22674" spans="84:91" s="51" customFormat="1">
      <c r="CF22674" s="239"/>
      <c r="CM22674" s="336"/>
    </row>
    <row r="22675" spans="84:91" s="51" customFormat="1">
      <c r="CF22675" s="239"/>
      <c r="CM22675" s="336"/>
    </row>
    <row r="22676" spans="84:91" s="51" customFormat="1">
      <c r="CF22676" s="239"/>
      <c r="CM22676" s="336"/>
    </row>
    <row r="22677" spans="84:91" s="51" customFormat="1">
      <c r="CF22677" s="239"/>
      <c r="CM22677" s="336"/>
    </row>
    <row r="22678" spans="84:91" s="51" customFormat="1">
      <c r="CF22678" s="239"/>
      <c r="CM22678" s="336"/>
    </row>
    <row r="22679" spans="84:91" s="51" customFormat="1">
      <c r="CF22679" s="239"/>
      <c r="CM22679" s="336"/>
    </row>
    <row r="22680" spans="84:91" s="51" customFormat="1">
      <c r="CF22680" s="239"/>
      <c r="CM22680" s="336"/>
    </row>
    <row r="22681" spans="84:91" s="51" customFormat="1">
      <c r="CF22681" s="239"/>
      <c r="CM22681" s="336"/>
    </row>
    <row r="22682" spans="84:91" s="51" customFormat="1">
      <c r="CF22682" s="239"/>
      <c r="CM22682" s="336"/>
    </row>
    <row r="22683" spans="84:91" s="51" customFormat="1">
      <c r="CF22683" s="239"/>
      <c r="CM22683" s="336"/>
    </row>
    <row r="22684" spans="84:91" s="51" customFormat="1">
      <c r="CF22684" s="239"/>
      <c r="CM22684" s="336"/>
    </row>
    <row r="22685" spans="84:91" s="51" customFormat="1">
      <c r="CF22685" s="239"/>
      <c r="CM22685" s="336"/>
    </row>
    <row r="22686" spans="84:91" s="51" customFormat="1">
      <c r="CF22686" s="239"/>
      <c r="CM22686" s="336"/>
    </row>
    <row r="22687" spans="84:91" s="51" customFormat="1">
      <c r="CF22687" s="239"/>
      <c r="CM22687" s="336"/>
    </row>
    <row r="22688" spans="84:91" s="51" customFormat="1">
      <c r="CF22688" s="239"/>
      <c r="CM22688" s="336"/>
    </row>
    <row r="22689" spans="84:91" s="51" customFormat="1">
      <c r="CF22689" s="239"/>
      <c r="CM22689" s="336"/>
    </row>
    <row r="22690" spans="84:91" s="51" customFormat="1">
      <c r="CF22690" s="239"/>
      <c r="CM22690" s="336"/>
    </row>
    <row r="22691" spans="84:91" s="51" customFormat="1">
      <c r="CF22691" s="239"/>
      <c r="CM22691" s="336"/>
    </row>
    <row r="22692" spans="84:91" s="51" customFormat="1">
      <c r="CF22692" s="239"/>
      <c r="CM22692" s="336"/>
    </row>
    <row r="22693" spans="84:91" s="51" customFormat="1">
      <c r="CF22693" s="239"/>
      <c r="CM22693" s="336"/>
    </row>
    <row r="22694" spans="84:91" s="51" customFormat="1">
      <c r="CF22694" s="239"/>
      <c r="CM22694" s="336"/>
    </row>
    <row r="22695" spans="84:91" s="51" customFormat="1">
      <c r="CF22695" s="239"/>
      <c r="CM22695" s="336"/>
    </row>
    <row r="22696" spans="84:91" s="51" customFormat="1">
      <c r="CF22696" s="239"/>
      <c r="CM22696" s="336"/>
    </row>
    <row r="22697" spans="84:91" s="51" customFormat="1">
      <c r="CF22697" s="239"/>
      <c r="CM22697" s="336"/>
    </row>
    <row r="22698" spans="84:91" s="51" customFormat="1">
      <c r="CF22698" s="239"/>
      <c r="CM22698" s="336"/>
    </row>
    <row r="22699" spans="84:91" s="51" customFormat="1">
      <c r="CF22699" s="239"/>
      <c r="CM22699" s="336"/>
    </row>
    <row r="22700" spans="84:91" s="51" customFormat="1">
      <c r="CF22700" s="239"/>
      <c r="CM22700" s="336"/>
    </row>
    <row r="22701" spans="84:91" s="51" customFormat="1">
      <c r="CF22701" s="239"/>
      <c r="CM22701" s="336"/>
    </row>
    <row r="22702" spans="84:91" s="51" customFormat="1">
      <c r="CF22702" s="239"/>
      <c r="CM22702" s="336"/>
    </row>
    <row r="22703" spans="84:91" s="51" customFormat="1">
      <c r="CF22703" s="239"/>
      <c r="CM22703" s="336"/>
    </row>
    <row r="22704" spans="84:91" s="51" customFormat="1">
      <c r="CF22704" s="239"/>
      <c r="CM22704" s="336"/>
    </row>
    <row r="22705" spans="84:91" s="51" customFormat="1">
      <c r="CF22705" s="239"/>
      <c r="CM22705" s="336"/>
    </row>
    <row r="22706" spans="84:91" s="51" customFormat="1">
      <c r="CF22706" s="239"/>
      <c r="CM22706" s="336"/>
    </row>
    <row r="22707" spans="84:91" s="51" customFormat="1">
      <c r="CF22707" s="239"/>
      <c r="CM22707" s="336"/>
    </row>
    <row r="22708" spans="84:91" s="51" customFormat="1">
      <c r="CF22708" s="239"/>
      <c r="CM22708" s="336"/>
    </row>
    <row r="22709" spans="84:91" s="51" customFormat="1">
      <c r="CF22709" s="239"/>
      <c r="CM22709" s="336"/>
    </row>
    <row r="22710" spans="84:91" s="51" customFormat="1">
      <c r="CF22710" s="239"/>
      <c r="CM22710" s="336"/>
    </row>
    <row r="22711" spans="84:91" s="51" customFormat="1">
      <c r="CF22711" s="239"/>
      <c r="CM22711" s="336"/>
    </row>
    <row r="22712" spans="84:91" s="51" customFormat="1">
      <c r="CF22712" s="239"/>
      <c r="CM22712" s="336"/>
    </row>
    <row r="22713" spans="84:91" s="51" customFormat="1">
      <c r="CF22713" s="239"/>
      <c r="CM22713" s="336"/>
    </row>
    <row r="22714" spans="84:91" s="51" customFormat="1">
      <c r="CF22714" s="239"/>
      <c r="CM22714" s="336"/>
    </row>
    <row r="22715" spans="84:91" s="51" customFormat="1">
      <c r="CF22715" s="239"/>
      <c r="CM22715" s="336"/>
    </row>
    <row r="22716" spans="84:91" s="51" customFormat="1">
      <c r="CF22716" s="239"/>
      <c r="CM22716" s="336"/>
    </row>
    <row r="22717" spans="84:91" s="51" customFormat="1">
      <c r="CF22717" s="239"/>
      <c r="CM22717" s="336"/>
    </row>
    <row r="22718" spans="84:91" s="51" customFormat="1">
      <c r="CF22718" s="239"/>
      <c r="CM22718" s="336"/>
    </row>
    <row r="22719" spans="84:91" s="51" customFormat="1">
      <c r="CF22719" s="239"/>
      <c r="CM22719" s="336"/>
    </row>
    <row r="22720" spans="84:91" s="51" customFormat="1">
      <c r="CF22720" s="239"/>
      <c r="CM22720" s="336"/>
    </row>
    <row r="22721" spans="84:91" s="51" customFormat="1">
      <c r="CF22721" s="239"/>
      <c r="CM22721" s="336"/>
    </row>
    <row r="22722" spans="84:91" s="51" customFormat="1">
      <c r="CF22722" s="239"/>
      <c r="CM22722" s="336"/>
    </row>
    <row r="22723" spans="84:91" s="51" customFormat="1">
      <c r="CF22723" s="239"/>
      <c r="CM22723" s="336"/>
    </row>
    <row r="22724" spans="84:91" s="51" customFormat="1">
      <c r="CF22724" s="239"/>
      <c r="CM22724" s="336"/>
    </row>
    <row r="22725" spans="84:91" s="51" customFormat="1">
      <c r="CF22725" s="239"/>
      <c r="CM22725" s="336"/>
    </row>
    <row r="22726" spans="84:91" s="51" customFormat="1">
      <c r="CF22726" s="239"/>
      <c r="CM22726" s="336"/>
    </row>
    <row r="22727" spans="84:91" s="51" customFormat="1">
      <c r="CF22727" s="239"/>
      <c r="CM22727" s="336"/>
    </row>
    <row r="22728" spans="84:91" s="51" customFormat="1">
      <c r="CF22728" s="239"/>
      <c r="CM22728" s="336"/>
    </row>
    <row r="22729" spans="84:91" s="51" customFormat="1">
      <c r="CF22729" s="239"/>
      <c r="CM22729" s="336"/>
    </row>
    <row r="22730" spans="84:91" s="51" customFormat="1">
      <c r="CF22730" s="239"/>
      <c r="CM22730" s="336"/>
    </row>
    <row r="22731" spans="84:91" s="51" customFormat="1">
      <c r="CF22731" s="239"/>
      <c r="CM22731" s="336"/>
    </row>
    <row r="22732" spans="84:91" s="51" customFormat="1">
      <c r="CF22732" s="239"/>
      <c r="CM22732" s="336"/>
    </row>
    <row r="22733" spans="84:91" s="51" customFormat="1">
      <c r="CF22733" s="239"/>
      <c r="CM22733" s="336"/>
    </row>
    <row r="22734" spans="84:91" s="51" customFormat="1">
      <c r="CF22734" s="239"/>
      <c r="CM22734" s="336"/>
    </row>
    <row r="22735" spans="84:91" s="51" customFormat="1">
      <c r="CF22735" s="239"/>
      <c r="CM22735" s="336"/>
    </row>
    <row r="22736" spans="84:91" s="51" customFormat="1">
      <c r="CF22736" s="239"/>
      <c r="CM22736" s="336"/>
    </row>
    <row r="22737" spans="84:91" s="51" customFormat="1">
      <c r="CF22737" s="239"/>
      <c r="CM22737" s="336"/>
    </row>
    <row r="22738" spans="84:91" s="51" customFormat="1">
      <c r="CF22738" s="239"/>
      <c r="CM22738" s="336"/>
    </row>
    <row r="22739" spans="84:91" s="51" customFormat="1">
      <c r="CF22739" s="239"/>
      <c r="CM22739" s="336"/>
    </row>
    <row r="22740" spans="84:91" s="51" customFormat="1">
      <c r="CF22740" s="239"/>
      <c r="CM22740" s="336"/>
    </row>
    <row r="22741" spans="84:91" s="51" customFormat="1">
      <c r="CF22741" s="239"/>
      <c r="CM22741" s="336"/>
    </row>
    <row r="22742" spans="84:91" s="51" customFormat="1">
      <c r="CF22742" s="239"/>
      <c r="CM22742" s="336"/>
    </row>
    <row r="22743" spans="84:91" s="51" customFormat="1">
      <c r="CF22743" s="239"/>
      <c r="CM22743" s="336"/>
    </row>
    <row r="22744" spans="84:91" s="51" customFormat="1">
      <c r="CF22744" s="239"/>
      <c r="CM22744" s="336"/>
    </row>
    <row r="22745" spans="84:91" s="51" customFormat="1">
      <c r="CF22745" s="239"/>
      <c r="CM22745" s="336"/>
    </row>
    <row r="22746" spans="84:91" s="51" customFormat="1">
      <c r="CF22746" s="239"/>
      <c r="CM22746" s="336"/>
    </row>
    <row r="22747" spans="84:91" s="51" customFormat="1">
      <c r="CF22747" s="239"/>
      <c r="CM22747" s="336"/>
    </row>
    <row r="22748" spans="84:91" s="51" customFormat="1">
      <c r="CF22748" s="239"/>
      <c r="CM22748" s="336"/>
    </row>
    <row r="22749" spans="84:91" s="51" customFormat="1">
      <c r="CF22749" s="239"/>
      <c r="CM22749" s="336"/>
    </row>
    <row r="22750" spans="84:91" s="51" customFormat="1">
      <c r="CF22750" s="239"/>
      <c r="CM22750" s="336"/>
    </row>
    <row r="22751" spans="84:91" s="51" customFormat="1">
      <c r="CF22751" s="239"/>
      <c r="CM22751" s="336"/>
    </row>
    <row r="22752" spans="84:91" s="51" customFormat="1">
      <c r="CF22752" s="239"/>
      <c r="CM22752" s="336"/>
    </row>
    <row r="22753" spans="84:91" s="51" customFormat="1">
      <c r="CF22753" s="239"/>
      <c r="CM22753" s="336"/>
    </row>
    <row r="22754" spans="84:91" s="51" customFormat="1">
      <c r="CF22754" s="239"/>
      <c r="CM22754" s="336"/>
    </row>
    <row r="22755" spans="84:91" s="51" customFormat="1">
      <c r="CF22755" s="239"/>
      <c r="CM22755" s="336"/>
    </row>
    <row r="22756" spans="84:91" s="51" customFormat="1">
      <c r="CF22756" s="239"/>
      <c r="CM22756" s="336"/>
    </row>
    <row r="22757" spans="84:91" s="51" customFormat="1">
      <c r="CF22757" s="239"/>
      <c r="CM22757" s="336"/>
    </row>
    <row r="22758" spans="84:91" s="51" customFormat="1">
      <c r="CF22758" s="239"/>
      <c r="CM22758" s="336"/>
    </row>
    <row r="22759" spans="84:91" s="51" customFormat="1">
      <c r="CF22759" s="239"/>
      <c r="CM22759" s="336"/>
    </row>
    <row r="22760" spans="84:91" s="51" customFormat="1">
      <c r="CF22760" s="239"/>
      <c r="CM22760" s="336"/>
    </row>
    <row r="22761" spans="84:91" s="51" customFormat="1">
      <c r="CF22761" s="239"/>
      <c r="CM22761" s="336"/>
    </row>
    <row r="22762" spans="84:91" s="51" customFormat="1">
      <c r="CF22762" s="239"/>
      <c r="CM22762" s="336"/>
    </row>
    <row r="22763" spans="84:91" s="51" customFormat="1">
      <c r="CF22763" s="239"/>
      <c r="CM22763" s="336"/>
    </row>
    <row r="22764" spans="84:91" s="51" customFormat="1">
      <c r="CF22764" s="239"/>
      <c r="CM22764" s="336"/>
    </row>
    <row r="22765" spans="84:91" s="51" customFormat="1">
      <c r="CF22765" s="239"/>
      <c r="CM22765" s="336"/>
    </row>
    <row r="22766" spans="84:91" s="51" customFormat="1">
      <c r="CF22766" s="239"/>
      <c r="CM22766" s="336"/>
    </row>
    <row r="22767" spans="84:91" s="51" customFormat="1">
      <c r="CF22767" s="239"/>
      <c r="CM22767" s="336"/>
    </row>
    <row r="22768" spans="84:91" s="51" customFormat="1">
      <c r="CF22768" s="239"/>
      <c r="CM22768" s="336"/>
    </row>
    <row r="22769" spans="84:91" s="51" customFormat="1">
      <c r="CF22769" s="239"/>
      <c r="CM22769" s="336"/>
    </row>
    <row r="22770" spans="84:91" s="51" customFormat="1">
      <c r="CF22770" s="239"/>
      <c r="CM22770" s="336"/>
    </row>
    <row r="22771" spans="84:91" s="51" customFormat="1">
      <c r="CF22771" s="239"/>
      <c r="CM22771" s="336"/>
    </row>
    <row r="22772" spans="84:91" s="51" customFormat="1">
      <c r="CF22772" s="239"/>
      <c r="CM22772" s="336"/>
    </row>
    <row r="22773" spans="84:91" s="51" customFormat="1">
      <c r="CF22773" s="239"/>
      <c r="CM22773" s="336"/>
    </row>
    <row r="22774" spans="84:91" s="51" customFormat="1">
      <c r="CF22774" s="239"/>
      <c r="CM22774" s="336"/>
    </row>
    <row r="22775" spans="84:91" s="51" customFormat="1">
      <c r="CF22775" s="239"/>
      <c r="CM22775" s="336"/>
    </row>
    <row r="22776" spans="84:91" s="51" customFormat="1">
      <c r="CF22776" s="239"/>
      <c r="CM22776" s="336"/>
    </row>
    <row r="22777" spans="84:91" s="51" customFormat="1">
      <c r="CF22777" s="239"/>
      <c r="CM22777" s="336"/>
    </row>
    <row r="22778" spans="84:91" s="51" customFormat="1">
      <c r="CF22778" s="239"/>
      <c r="CM22778" s="336"/>
    </row>
    <row r="22779" spans="84:91" s="51" customFormat="1">
      <c r="CF22779" s="239"/>
      <c r="CM22779" s="336"/>
    </row>
    <row r="22780" spans="84:91" s="51" customFormat="1">
      <c r="CF22780" s="239"/>
      <c r="CM22780" s="336"/>
    </row>
    <row r="22781" spans="84:91" s="51" customFormat="1">
      <c r="CF22781" s="239"/>
      <c r="CM22781" s="336"/>
    </row>
    <row r="22782" spans="84:91" s="51" customFormat="1">
      <c r="CF22782" s="239"/>
      <c r="CM22782" s="336"/>
    </row>
    <row r="22783" spans="84:91" s="51" customFormat="1">
      <c r="CF22783" s="239"/>
      <c r="CM22783" s="336"/>
    </row>
    <row r="22784" spans="84:91" s="51" customFormat="1">
      <c r="CF22784" s="239"/>
      <c r="CM22784" s="336"/>
    </row>
    <row r="22785" spans="84:91" s="51" customFormat="1">
      <c r="CF22785" s="239"/>
      <c r="CM22785" s="336"/>
    </row>
    <row r="22786" spans="84:91" s="51" customFormat="1">
      <c r="CF22786" s="239"/>
      <c r="CM22786" s="336"/>
    </row>
    <row r="22787" spans="84:91" s="51" customFormat="1">
      <c r="CF22787" s="239"/>
      <c r="CM22787" s="336"/>
    </row>
    <row r="22788" spans="84:91" s="51" customFormat="1">
      <c r="CF22788" s="239"/>
      <c r="CM22788" s="336"/>
    </row>
    <row r="22789" spans="84:91" s="51" customFormat="1">
      <c r="CF22789" s="239"/>
      <c r="CM22789" s="336"/>
    </row>
    <row r="22790" spans="84:91" s="51" customFormat="1">
      <c r="CF22790" s="239"/>
      <c r="CM22790" s="336"/>
    </row>
    <row r="22791" spans="84:91" s="51" customFormat="1">
      <c r="CF22791" s="239"/>
      <c r="CM22791" s="336"/>
    </row>
    <row r="22792" spans="84:91" s="51" customFormat="1">
      <c r="CF22792" s="239"/>
      <c r="CM22792" s="336"/>
    </row>
    <row r="22793" spans="84:91" s="51" customFormat="1">
      <c r="CF22793" s="239"/>
      <c r="CM22793" s="336"/>
    </row>
    <row r="22794" spans="84:91" s="51" customFormat="1">
      <c r="CF22794" s="239"/>
      <c r="CM22794" s="336"/>
    </row>
    <row r="22795" spans="84:91" s="51" customFormat="1">
      <c r="CF22795" s="239"/>
      <c r="CM22795" s="336"/>
    </row>
    <row r="22796" spans="84:91" s="51" customFormat="1">
      <c r="CF22796" s="239"/>
      <c r="CM22796" s="336"/>
    </row>
    <row r="22797" spans="84:91" s="51" customFormat="1">
      <c r="CF22797" s="239"/>
      <c r="CM22797" s="336"/>
    </row>
    <row r="22798" spans="84:91" s="51" customFormat="1">
      <c r="CF22798" s="239"/>
      <c r="CM22798" s="336"/>
    </row>
    <row r="22799" spans="84:91" s="51" customFormat="1">
      <c r="CF22799" s="239"/>
      <c r="CM22799" s="336"/>
    </row>
    <row r="22800" spans="84:91" s="51" customFormat="1">
      <c r="CF22800" s="239"/>
      <c r="CM22800" s="336"/>
    </row>
    <row r="22801" spans="84:91" s="51" customFormat="1">
      <c r="CF22801" s="239"/>
      <c r="CM22801" s="336"/>
    </row>
    <row r="22802" spans="84:91" s="51" customFormat="1">
      <c r="CF22802" s="239"/>
      <c r="CM22802" s="336"/>
    </row>
    <row r="22803" spans="84:91" s="51" customFormat="1">
      <c r="CF22803" s="239"/>
      <c r="CM22803" s="336"/>
    </row>
    <row r="22804" spans="84:91" s="51" customFormat="1">
      <c r="CF22804" s="239"/>
      <c r="CM22804" s="336"/>
    </row>
    <row r="22805" spans="84:91" s="51" customFormat="1">
      <c r="CF22805" s="239"/>
      <c r="CM22805" s="336"/>
    </row>
    <row r="22806" spans="84:91" s="51" customFormat="1">
      <c r="CF22806" s="239"/>
      <c r="CM22806" s="336"/>
    </row>
    <row r="22807" spans="84:91" s="51" customFormat="1">
      <c r="CF22807" s="239"/>
      <c r="CM22807" s="336"/>
    </row>
    <row r="22808" spans="84:91" s="51" customFormat="1">
      <c r="CF22808" s="239"/>
      <c r="CM22808" s="336"/>
    </row>
    <row r="22809" spans="84:91" s="51" customFormat="1">
      <c r="CF22809" s="239"/>
      <c r="CM22809" s="336"/>
    </row>
    <row r="22810" spans="84:91" s="51" customFormat="1">
      <c r="CF22810" s="239"/>
      <c r="CM22810" s="336"/>
    </row>
    <row r="22811" spans="84:91" s="51" customFormat="1">
      <c r="CF22811" s="239"/>
      <c r="CM22811" s="336"/>
    </row>
    <row r="22812" spans="84:91" s="51" customFormat="1">
      <c r="CF22812" s="239"/>
      <c r="CM22812" s="336"/>
    </row>
    <row r="22813" spans="84:91" s="51" customFormat="1">
      <c r="CF22813" s="239"/>
      <c r="CM22813" s="336"/>
    </row>
    <row r="22814" spans="84:91" s="51" customFormat="1">
      <c r="CF22814" s="239"/>
      <c r="CM22814" s="336"/>
    </row>
    <row r="22815" spans="84:91" s="51" customFormat="1">
      <c r="CF22815" s="239"/>
      <c r="CM22815" s="336"/>
    </row>
    <row r="22816" spans="84:91" s="51" customFormat="1">
      <c r="CF22816" s="239"/>
      <c r="CM22816" s="336"/>
    </row>
    <row r="22817" spans="84:91" s="51" customFormat="1">
      <c r="CF22817" s="239"/>
      <c r="CM22817" s="336"/>
    </row>
    <row r="22818" spans="84:91" s="51" customFormat="1">
      <c r="CF22818" s="239"/>
      <c r="CM22818" s="336"/>
    </row>
    <row r="22819" spans="84:91" s="51" customFormat="1">
      <c r="CF22819" s="239"/>
      <c r="CM22819" s="336"/>
    </row>
    <row r="22820" spans="84:91" s="51" customFormat="1">
      <c r="CF22820" s="239"/>
      <c r="CM22820" s="336"/>
    </row>
    <row r="22821" spans="84:91" s="51" customFormat="1">
      <c r="CF22821" s="239"/>
      <c r="CM22821" s="336"/>
    </row>
    <row r="22822" spans="84:91" s="51" customFormat="1">
      <c r="CF22822" s="239"/>
      <c r="CM22822" s="336"/>
    </row>
    <row r="22823" spans="84:91" s="51" customFormat="1">
      <c r="CF22823" s="239"/>
      <c r="CM22823" s="336"/>
    </row>
    <row r="22824" spans="84:91" s="51" customFormat="1">
      <c r="CF22824" s="239"/>
      <c r="CM22824" s="336"/>
    </row>
    <row r="22825" spans="84:91" s="51" customFormat="1">
      <c r="CF22825" s="239"/>
      <c r="CM22825" s="336"/>
    </row>
    <row r="22826" spans="84:91" s="51" customFormat="1">
      <c r="CF22826" s="239"/>
      <c r="CM22826" s="336"/>
    </row>
    <row r="22827" spans="84:91" s="51" customFormat="1">
      <c r="CF22827" s="239"/>
      <c r="CM22827" s="336"/>
    </row>
    <row r="22828" spans="84:91" s="51" customFormat="1">
      <c r="CF22828" s="239"/>
      <c r="CM22828" s="336"/>
    </row>
    <row r="22829" spans="84:91" s="51" customFormat="1">
      <c r="CF22829" s="239"/>
      <c r="CM22829" s="336"/>
    </row>
    <row r="22830" spans="84:91" s="51" customFormat="1">
      <c r="CF22830" s="239"/>
      <c r="CM22830" s="336"/>
    </row>
    <row r="22831" spans="84:91" s="51" customFormat="1">
      <c r="CF22831" s="239"/>
      <c r="CM22831" s="336"/>
    </row>
    <row r="22832" spans="84:91" s="51" customFormat="1">
      <c r="CF22832" s="239"/>
      <c r="CM22832" s="336"/>
    </row>
    <row r="22833" spans="84:91" s="51" customFormat="1">
      <c r="CF22833" s="239"/>
      <c r="CM22833" s="336"/>
    </row>
    <row r="22834" spans="84:91" s="51" customFormat="1">
      <c r="CF22834" s="239"/>
      <c r="CM22834" s="336"/>
    </row>
    <row r="22835" spans="84:91" s="51" customFormat="1">
      <c r="CF22835" s="239"/>
      <c r="CM22835" s="336"/>
    </row>
    <row r="22836" spans="84:91" s="51" customFormat="1">
      <c r="CF22836" s="239"/>
      <c r="CM22836" s="336"/>
    </row>
    <row r="22837" spans="84:91" s="51" customFormat="1">
      <c r="CF22837" s="239"/>
      <c r="CM22837" s="336"/>
    </row>
    <row r="22838" spans="84:91" s="51" customFormat="1">
      <c r="CF22838" s="239"/>
      <c r="CM22838" s="336"/>
    </row>
    <row r="22839" spans="84:91" s="51" customFormat="1">
      <c r="CF22839" s="239"/>
      <c r="CM22839" s="336"/>
    </row>
    <row r="22840" spans="84:91" s="51" customFormat="1">
      <c r="CF22840" s="239"/>
      <c r="CM22840" s="336"/>
    </row>
    <row r="22841" spans="84:91" s="51" customFormat="1">
      <c r="CF22841" s="239"/>
      <c r="CM22841" s="336"/>
    </row>
    <row r="22842" spans="84:91" s="51" customFormat="1">
      <c r="CF22842" s="239"/>
      <c r="CM22842" s="336"/>
    </row>
    <row r="22843" spans="84:91" s="51" customFormat="1">
      <c r="CF22843" s="239"/>
      <c r="CM22843" s="336"/>
    </row>
    <row r="22844" spans="84:91" s="51" customFormat="1">
      <c r="CF22844" s="239"/>
      <c r="CM22844" s="336"/>
    </row>
    <row r="22845" spans="84:91" s="51" customFormat="1">
      <c r="CF22845" s="239"/>
      <c r="CM22845" s="336"/>
    </row>
    <row r="22846" spans="84:91" s="51" customFormat="1">
      <c r="CF22846" s="239"/>
      <c r="CM22846" s="336"/>
    </row>
    <row r="22847" spans="84:91" s="51" customFormat="1">
      <c r="CF22847" s="239"/>
      <c r="CM22847" s="336"/>
    </row>
    <row r="22848" spans="84:91" s="51" customFormat="1">
      <c r="CF22848" s="239"/>
      <c r="CM22848" s="336"/>
    </row>
    <row r="22849" spans="84:91" s="51" customFormat="1">
      <c r="CF22849" s="239"/>
      <c r="CM22849" s="336"/>
    </row>
    <row r="22850" spans="84:91" s="51" customFormat="1">
      <c r="CF22850" s="239"/>
      <c r="CM22850" s="336"/>
    </row>
    <row r="22851" spans="84:91" s="51" customFormat="1">
      <c r="CF22851" s="239"/>
      <c r="CM22851" s="336"/>
    </row>
    <row r="22852" spans="84:91" s="51" customFormat="1">
      <c r="CF22852" s="239"/>
      <c r="CM22852" s="336"/>
    </row>
    <row r="22853" spans="84:91" s="51" customFormat="1">
      <c r="CF22853" s="239"/>
      <c r="CM22853" s="336"/>
    </row>
    <row r="22854" spans="84:91" s="51" customFormat="1">
      <c r="CF22854" s="239"/>
      <c r="CM22854" s="336"/>
    </row>
    <row r="22855" spans="84:91" s="51" customFormat="1">
      <c r="CF22855" s="239"/>
      <c r="CM22855" s="336"/>
    </row>
    <row r="22856" spans="84:91" s="51" customFormat="1">
      <c r="CF22856" s="239"/>
      <c r="CM22856" s="336"/>
    </row>
    <row r="22857" spans="84:91" s="51" customFormat="1">
      <c r="CF22857" s="239"/>
      <c r="CM22857" s="336"/>
    </row>
    <row r="22858" spans="84:91" s="51" customFormat="1">
      <c r="CF22858" s="239"/>
      <c r="CM22858" s="336"/>
    </row>
    <row r="22859" spans="84:91" s="51" customFormat="1">
      <c r="CF22859" s="239"/>
      <c r="CM22859" s="336"/>
    </row>
    <row r="22860" spans="84:91" s="51" customFormat="1">
      <c r="CF22860" s="239"/>
      <c r="CM22860" s="336"/>
    </row>
    <row r="22861" spans="84:91" s="51" customFormat="1">
      <c r="CF22861" s="239"/>
      <c r="CM22861" s="336"/>
    </row>
    <row r="22862" spans="84:91" s="51" customFormat="1">
      <c r="CF22862" s="239"/>
      <c r="CM22862" s="336"/>
    </row>
    <row r="22863" spans="84:91" s="51" customFormat="1">
      <c r="CF22863" s="239"/>
      <c r="CM22863" s="336"/>
    </row>
    <row r="22864" spans="84:91" s="51" customFormat="1">
      <c r="CF22864" s="239"/>
      <c r="CM22864" s="336"/>
    </row>
    <row r="22865" spans="84:91" s="51" customFormat="1">
      <c r="CF22865" s="239"/>
      <c r="CM22865" s="336"/>
    </row>
    <row r="22866" spans="84:91" s="51" customFormat="1">
      <c r="CF22866" s="239"/>
      <c r="CM22866" s="336"/>
    </row>
    <row r="22867" spans="84:91" s="51" customFormat="1">
      <c r="CF22867" s="239"/>
      <c r="CM22867" s="336"/>
    </row>
    <row r="22868" spans="84:91" s="51" customFormat="1">
      <c r="CF22868" s="239"/>
      <c r="CM22868" s="336"/>
    </row>
    <row r="22869" spans="84:91" s="51" customFormat="1">
      <c r="CF22869" s="239"/>
      <c r="CM22869" s="336"/>
    </row>
    <row r="22870" spans="84:91" s="51" customFormat="1">
      <c r="CF22870" s="239"/>
      <c r="CM22870" s="336"/>
    </row>
    <row r="22871" spans="84:91" s="51" customFormat="1">
      <c r="CF22871" s="239"/>
      <c r="CM22871" s="336"/>
    </row>
    <row r="22872" spans="84:91" s="51" customFormat="1">
      <c r="CF22872" s="239"/>
      <c r="CM22872" s="336"/>
    </row>
    <row r="22873" spans="84:91" s="51" customFormat="1">
      <c r="CF22873" s="239"/>
      <c r="CM22873" s="336"/>
    </row>
    <row r="22874" spans="84:91" s="51" customFormat="1">
      <c r="CF22874" s="239"/>
      <c r="CM22874" s="336"/>
    </row>
    <row r="22875" spans="84:91" s="51" customFormat="1">
      <c r="CF22875" s="239"/>
      <c r="CM22875" s="336"/>
    </row>
    <row r="22876" spans="84:91" s="51" customFormat="1">
      <c r="CF22876" s="239"/>
      <c r="CM22876" s="336"/>
    </row>
    <row r="22877" spans="84:91" s="51" customFormat="1">
      <c r="CF22877" s="239"/>
      <c r="CM22877" s="336"/>
    </row>
    <row r="22878" spans="84:91" s="51" customFormat="1">
      <c r="CF22878" s="239"/>
      <c r="CM22878" s="336"/>
    </row>
    <row r="22879" spans="84:91" s="51" customFormat="1">
      <c r="CF22879" s="239"/>
      <c r="CM22879" s="336"/>
    </row>
    <row r="22880" spans="84:91" s="51" customFormat="1">
      <c r="CF22880" s="239"/>
      <c r="CM22880" s="336"/>
    </row>
    <row r="22881" spans="84:91" s="51" customFormat="1">
      <c r="CF22881" s="239"/>
      <c r="CM22881" s="336"/>
    </row>
    <row r="22882" spans="84:91" s="51" customFormat="1">
      <c r="CF22882" s="239"/>
      <c r="CM22882" s="336"/>
    </row>
    <row r="22883" spans="84:91" s="51" customFormat="1">
      <c r="CF22883" s="239"/>
      <c r="CM22883" s="336"/>
    </row>
    <row r="22884" spans="84:91" s="51" customFormat="1">
      <c r="CF22884" s="239"/>
      <c r="CM22884" s="336"/>
    </row>
    <row r="22885" spans="84:91" s="51" customFormat="1">
      <c r="CF22885" s="239"/>
      <c r="CM22885" s="336"/>
    </row>
    <row r="22886" spans="84:91" s="51" customFormat="1">
      <c r="CF22886" s="239"/>
      <c r="CM22886" s="336"/>
    </row>
    <row r="22887" spans="84:91" s="51" customFormat="1">
      <c r="CF22887" s="239"/>
      <c r="CM22887" s="336"/>
    </row>
    <row r="22888" spans="84:91" s="51" customFormat="1">
      <c r="CF22888" s="239"/>
      <c r="CM22888" s="336"/>
    </row>
    <row r="22889" spans="84:91" s="51" customFormat="1">
      <c r="CF22889" s="239"/>
      <c r="CM22889" s="336"/>
    </row>
    <row r="22890" spans="84:91" s="51" customFormat="1">
      <c r="CF22890" s="239"/>
      <c r="CM22890" s="336"/>
    </row>
    <row r="22891" spans="84:91" s="51" customFormat="1">
      <c r="CF22891" s="239"/>
      <c r="CM22891" s="336"/>
    </row>
    <row r="22892" spans="84:91" s="51" customFormat="1">
      <c r="CF22892" s="239"/>
      <c r="CM22892" s="336"/>
    </row>
    <row r="22893" spans="84:91" s="51" customFormat="1">
      <c r="CF22893" s="239"/>
      <c r="CM22893" s="336"/>
    </row>
    <row r="22894" spans="84:91" s="51" customFormat="1">
      <c r="CF22894" s="239"/>
      <c r="CM22894" s="336"/>
    </row>
    <row r="22895" spans="84:91" s="51" customFormat="1">
      <c r="CF22895" s="239"/>
      <c r="CM22895" s="336"/>
    </row>
    <row r="22896" spans="84:91" s="51" customFormat="1">
      <c r="CF22896" s="239"/>
      <c r="CM22896" s="336"/>
    </row>
    <row r="22897" spans="84:91" s="51" customFormat="1">
      <c r="CF22897" s="239"/>
      <c r="CM22897" s="336"/>
    </row>
    <row r="22898" spans="84:91" s="51" customFormat="1">
      <c r="CF22898" s="239"/>
      <c r="CM22898" s="336"/>
    </row>
    <row r="22899" spans="84:91" s="51" customFormat="1">
      <c r="CF22899" s="239"/>
      <c r="CM22899" s="336"/>
    </row>
    <row r="22900" spans="84:91" s="51" customFormat="1">
      <c r="CF22900" s="239"/>
      <c r="CM22900" s="336"/>
    </row>
    <row r="22901" spans="84:91" s="51" customFormat="1">
      <c r="CF22901" s="239"/>
      <c r="CM22901" s="336"/>
    </row>
    <row r="22902" spans="84:91" s="51" customFormat="1">
      <c r="CF22902" s="239"/>
      <c r="CM22902" s="336"/>
    </row>
    <row r="22903" spans="84:91" s="51" customFormat="1">
      <c r="CF22903" s="239"/>
      <c r="CM22903" s="336"/>
    </row>
    <row r="22904" spans="84:91" s="51" customFormat="1">
      <c r="CF22904" s="239"/>
      <c r="CM22904" s="336"/>
    </row>
    <row r="22905" spans="84:91" s="51" customFormat="1">
      <c r="CF22905" s="239"/>
      <c r="CM22905" s="336"/>
    </row>
    <row r="22906" spans="84:91" s="51" customFormat="1">
      <c r="CF22906" s="239"/>
      <c r="CM22906" s="336"/>
    </row>
    <row r="22907" spans="84:91" s="51" customFormat="1">
      <c r="CF22907" s="239"/>
      <c r="CM22907" s="336"/>
    </row>
    <row r="22908" spans="84:91" s="51" customFormat="1">
      <c r="CF22908" s="239"/>
      <c r="CM22908" s="336"/>
    </row>
    <row r="22909" spans="84:91" s="51" customFormat="1">
      <c r="CF22909" s="239"/>
      <c r="CM22909" s="336"/>
    </row>
    <row r="22910" spans="84:91" s="51" customFormat="1">
      <c r="CF22910" s="239"/>
      <c r="CM22910" s="336"/>
    </row>
    <row r="22911" spans="84:91" s="51" customFormat="1">
      <c r="CF22911" s="239"/>
      <c r="CM22911" s="336"/>
    </row>
    <row r="22912" spans="84:91" s="51" customFormat="1">
      <c r="CF22912" s="239"/>
      <c r="CM22912" s="336"/>
    </row>
    <row r="22913" spans="84:91" s="51" customFormat="1">
      <c r="CF22913" s="239"/>
      <c r="CM22913" s="336"/>
    </row>
    <row r="22914" spans="84:91" s="51" customFormat="1">
      <c r="CF22914" s="239"/>
      <c r="CM22914" s="336"/>
    </row>
    <row r="22915" spans="84:91" s="51" customFormat="1">
      <c r="CF22915" s="239"/>
      <c r="CM22915" s="336"/>
    </row>
    <row r="22916" spans="84:91" s="51" customFormat="1">
      <c r="CF22916" s="239"/>
      <c r="CM22916" s="336"/>
    </row>
    <row r="22917" spans="84:91" s="51" customFormat="1">
      <c r="CF22917" s="239"/>
      <c r="CM22917" s="336"/>
    </row>
    <row r="22918" spans="84:91" s="51" customFormat="1">
      <c r="CF22918" s="239"/>
      <c r="CM22918" s="336"/>
    </row>
    <row r="22919" spans="84:91" s="51" customFormat="1">
      <c r="CF22919" s="239"/>
      <c r="CM22919" s="336"/>
    </row>
    <row r="22920" spans="84:91" s="51" customFormat="1">
      <c r="CF22920" s="239"/>
      <c r="CM22920" s="336"/>
    </row>
    <row r="22921" spans="84:91" s="51" customFormat="1">
      <c r="CF22921" s="239"/>
      <c r="CM22921" s="336"/>
    </row>
    <row r="22922" spans="84:91" s="51" customFormat="1">
      <c r="CF22922" s="239"/>
      <c r="CM22922" s="336"/>
    </row>
    <row r="22923" spans="84:91" s="51" customFormat="1">
      <c r="CF22923" s="239"/>
      <c r="CM22923" s="336"/>
    </row>
    <row r="22924" spans="84:91" s="51" customFormat="1">
      <c r="CF22924" s="239"/>
      <c r="CM22924" s="336"/>
    </row>
    <row r="22925" spans="84:91" s="51" customFormat="1">
      <c r="CF22925" s="239"/>
      <c r="CM22925" s="336"/>
    </row>
    <row r="22926" spans="84:91" s="51" customFormat="1">
      <c r="CF22926" s="239"/>
      <c r="CM22926" s="336"/>
    </row>
    <row r="22927" spans="84:91" s="51" customFormat="1">
      <c r="CF22927" s="239"/>
      <c r="CM22927" s="336"/>
    </row>
    <row r="22928" spans="84:91" s="51" customFormat="1">
      <c r="CF22928" s="239"/>
      <c r="CM22928" s="336"/>
    </row>
    <row r="22929" spans="84:91" s="51" customFormat="1">
      <c r="CF22929" s="239"/>
      <c r="CM22929" s="336"/>
    </row>
    <row r="22930" spans="84:91" s="51" customFormat="1">
      <c r="CF22930" s="239"/>
      <c r="CM22930" s="336"/>
    </row>
    <row r="22931" spans="84:91" s="51" customFormat="1">
      <c r="CF22931" s="239"/>
      <c r="CM22931" s="336"/>
    </row>
    <row r="22932" spans="84:91" s="51" customFormat="1">
      <c r="CF22932" s="239"/>
      <c r="CM22932" s="336"/>
    </row>
    <row r="22933" spans="84:91" s="51" customFormat="1">
      <c r="CF22933" s="239"/>
      <c r="CM22933" s="336"/>
    </row>
    <row r="22934" spans="84:91" s="51" customFormat="1">
      <c r="CF22934" s="239"/>
      <c r="CM22934" s="336"/>
    </row>
    <row r="22935" spans="84:91" s="51" customFormat="1">
      <c r="CF22935" s="239"/>
      <c r="CM22935" s="336"/>
    </row>
    <row r="22936" spans="84:91" s="51" customFormat="1">
      <c r="CF22936" s="239"/>
      <c r="CM22936" s="336"/>
    </row>
    <row r="22937" spans="84:91" s="51" customFormat="1">
      <c r="CF22937" s="239"/>
      <c r="CM22937" s="336"/>
    </row>
    <row r="22938" spans="84:91" s="51" customFormat="1">
      <c r="CF22938" s="239"/>
      <c r="CM22938" s="336"/>
    </row>
    <row r="22939" spans="84:91" s="51" customFormat="1">
      <c r="CF22939" s="239"/>
      <c r="CM22939" s="336"/>
    </row>
    <row r="22940" spans="84:91" s="51" customFormat="1">
      <c r="CF22940" s="239"/>
      <c r="CM22940" s="336"/>
    </row>
    <row r="22941" spans="84:91" s="51" customFormat="1">
      <c r="CF22941" s="239"/>
      <c r="CM22941" s="336"/>
    </row>
    <row r="22942" spans="84:91" s="51" customFormat="1">
      <c r="CF22942" s="239"/>
      <c r="CM22942" s="336"/>
    </row>
    <row r="22943" spans="84:91" s="51" customFormat="1">
      <c r="CF22943" s="239"/>
      <c r="CM22943" s="336"/>
    </row>
    <row r="22944" spans="84:91" s="51" customFormat="1">
      <c r="CF22944" s="239"/>
      <c r="CM22944" s="336"/>
    </row>
    <row r="22945" spans="84:91" s="51" customFormat="1">
      <c r="CF22945" s="239"/>
      <c r="CM22945" s="336"/>
    </row>
    <row r="22946" spans="84:91" s="51" customFormat="1">
      <c r="CF22946" s="239"/>
      <c r="CM22946" s="336"/>
    </row>
    <row r="22947" spans="84:91" s="51" customFormat="1">
      <c r="CF22947" s="239"/>
      <c r="CM22947" s="336"/>
    </row>
    <row r="22948" spans="84:91" s="51" customFormat="1">
      <c r="CF22948" s="239"/>
      <c r="CM22948" s="336"/>
    </row>
    <row r="22949" spans="84:91" s="51" customFormat="1">
      <c r="CF22949" s="239"/>
      <c r="CM22949" s="336"/>
    </row>
    <row r="22950" spans="84:91" s="51" customFormat="1">
      <c r="CF22950" s="239"/>
      <c r="CM22950" s="336"/>
    </row>
    <row r="22951" spans="84:91" s="51" customFormat="1">
      <c r="CF22951" s="239"/>
      <c r="CM22951" s="336"/>
    </row>
    <row r="22952" spans="84:91" s="51" customFormat="1">
      <c r="CF22952" s="239"/>
      <c r="CM22952" s="336"/>
    </row>
    <row r="22953" spans="84:91" s="51" customFormat="1">
      <c r="CF22953" s="239"/>
      <c r="CM22953" s="336"/>
    </row>
    <row r="22954" spans="84:91" s="51" customFormat="1">
      <c r="CF22954" s="239"/>
      <c r="CM22954" s="336"/>
    </row>
    <row r="22955" spans="84:91" s="51" customFormat="1">
      <c r="CF22955" s="239"/>
      <c r="CM22955" s="336"/>
    </row>
    <row r="22956" spans="84:91" s="51" customFormat="1">
      <c r="CF22956" s="239"/>
      <c r="CM22956" s="336"/>
    </row>
    <row r="22957" spans="84:91" s="51" customFormat="1">
      <c r="CF22957" s="239"/>
      <c r="CM22957" s="336"/>
    </row>
    <row r="22958" spans="84:91" s="51" customFormat="1">
      <c r="CF22958" s="239"/>
      <c r="CM22958" s="336"/>
    </row>
    <row r="22959" spans="84:91" s="51" customFormat="1">
      <c r="CF22959" s="239"/>
      <c r="CM22959" s="336"/>
    </row>
    <row r="22960" spans="84:91" s="51" customFormat="1">
      <c r="CF22960" s="239"/>
      <c r="CM22960" s="336"/>
    </row>
    <row r="22961" spans="84:91" s="51" customFormat="1">
      <c r="CF22961" s="239"/>
      <c r="CM22961" s="336"/>
    </row>
    <row r="22962" spans="84:91" s="51" customFormat="1">
      <c r="CF22962" s="239"/>
      <c r="CM22962" s="336"/>
    </row>
    <row r="22963" spans="84:91" s="51" customFormat="1">
      <c r="CF22963" s="239"/>
      <c r="CM22963" s="336"/>
    </row>
    <row r="22964" spans="84:91" s="51" customFormat="1">
      <c r="CF22964" s="239"/>
      <c r="CM22964" s="336"/>
    </row>
    <row r="22965" spans="84:91" s="51" customFormat="1">
      <c r="CF22965" s="239"/>
      <c r="CM22965" s="336"/>
    </row>
    <row r="22966" spans="84:91" s="51" customFormat="1">
      <c r="CF22966" s="239"/>
      <c r="CM22966" s="336"/>
    </row>
    <row r="22967" spans="84:91" s="51" customFormat="1">
      <c r="CF22967" s="239"/>
      <c r="CM22967" s="336"/>
    </row>
    <row r="22968" spans="84:91" s="51" customFormat="1">
      <c r="CF22968" s="239"/>
      <c r="CM22968" s="336"/>
    </row>
    <row r="22969" spans="84:91" s="51" customFormat="1">
      <c r="CF22969" s="239"/>
      <c r="CM22969" s="336"/>
    </row>
    <row r="22970" spans="84:91" s="51" customFormat="1">
      <c r="CF22970" s="239"/>
      <c r="CM22970" s="336"/>
    </row>
    <row r="22971" spans="84:91" s="51" customFormat="1">
      <c r="CF22971" s="239"/>
      <c r="CM22971" s="336"/>
    </row>
    <row r="22972" spans="84:91" s="51" customFormat="1">
      <c r="CF22972" s="239"/>
      <c r="CM22972" s="336"/>
    </row>
    <row r="22973" spans="84:91" s="51" customFormat="1">
      <c r="CF22973" s="239"/>
      <c r="CM22973" s="336"/>
    </row>
    <row r="22974" spans="84:91" s="51" customFormat="1">
      <c r="CF22974" s="239"/>
      <c r="CM22974" s="336"/>
    </row>
    <row r="22975" spans="84:91" s="51" customFormat="1">
      <c r="CF22975" s="239"/>
      <c r="CM22975" s="336"/>
    </row>
    <row r="22976" spans="84:91" s="51" customFormat="1">
      <c r="CF22976" s="239"/>
      <c r="CM22976" s="336"/>
    </row>
    <row r="22977" spans="84:91" s="51" customFormat="1">
      <c r="CF22977" s="239"/>
      <c r="CM22977" s="336"/>
    </row>
    <row r="22978" spans="84:91" s="51" customFormat="1">
      <c r="CF22978" s="239"/>
      <c r="CM22978" s="336"/>
    </row>
    <row r="22979" spans="84:91" s="51" customFormat="1">
      <c r="CF22979" s="239"/>
      <c r="CM22979" s="336"/>
    </row>
    <row r="22980" spans="84:91" s="51" customFormat="1">
      <c r="CF22980" s="239"/>
      <c r="CM22980" s="336"/>
    </row>
    <row r="22981" spans="84:91" s="51" customFormat="1">
      <c r="CF22981" s="239"/>
      <c r="CM22981" s="336"/>
    </row>
    <row r="22982" spans="84:91" s="51" customFormat="1">
      <c r="CF22982" s="239"/>
      <c r="CM22982" s="336"/>
    </row>
    <row r="22983" spans="84:91" s="51" customFormat="1">
      <c r="CF22983" s="239"/>
      <c r="CM22983" s="336"/>
    </row>
    <row r="22984" spans="84:91" s="51" customFormat="1">
      <c r="CF22984" s="239"/>
      <c r="CM22984" s="336"/>
    </row>
    <row r="22985" spans="84:91" s="51" customFormat="1">
      <c r="CF22985" s="239"/>
      <c r="CM22985" s="336"/>
    </row>
    <row r="22986" spans="84:91" s="51" customFormat="1">
      <c r="CF22986" s="239"/>
      <c r="CM22986" s="336"/>
    </row>
    <row r="22987" spans="84:91" s="51" customFormat="1">
      <c r="CF22987" s="239"/>
      <c r="CM22987" s="336"/>
    </row>
    <row r="22988" spans="84:91" s="51" customFormat="1">
      <c r="CF22988" s="239"/>
      <c r="CM22988" s="336"/>
    </row>
    <row r="22989" spans="84:91" s="51" customFormat="1">
      <c r="CF22989" s="239"/>
      <c r="CM22989" s="336"/>
    </row>
    <row r="22990" spans="84:91" s="51" customFormat="1">
      <c r="CF22990" s="239"/>
      <c r="CM22990" s="336"/>
    </row>
    <row r="22991" spans="84:91" s="51" customFormat="1">
      <c r="CF22991" s="239"/>
      <c r="CM22991" s="336"/>
    </row>
    <row r="22992" spans="84:91" s="51" customFormat="1">
      <c r="CF22992" s="239"/>
      <c r="CM22992" s="336"/>
    </row>
    <row r="22993" spans="84:91" s="51" customFormat="1">
      <c r="CF22993" s="239"/>
      <c r="CM22993" s="336"/>
    </row>
    <row r="22994" spans="84:91" s="51" customFormat="1">
      <c r="CF22994" s="239"/>
      <c r="CM22994" s="336"/>
    </row>
    <row r="22995" spans="84:91" s="51" customFormat="1">
      <c r="CF22995" s="239"/>
      <c r="CM22995" s="336"/>
    </row>
    <row r="22996" spans="84:91" s="51" customFormat="1">
      <c r="CF22996" s="239"/>
      <c r="CM22996" s="336"/>
    </row>
    <row r="22997" spans="84:91" s="51" customFormat="1">
      <c r="CF22997" s="239"/>
      <c r="CM22997" s="336"/>
    </row>
    <row r="22998" spans="84:91" s="51" customFormat="1">
      <c r="CF22998" s="239"/>
      <c r="CM22998" s="336"/>
    </row>
    <row r="22999" spans="84:91" s="51" customFormat="1">
      <c r="CF22999" s="239"/>
      <c r="CM22999" s="336"/>
    </row>
    <row r="23000" spans="84:91" s="51" customFormat="1">
      <c r="CF23000" s="239"/>
      <c r="CM23000" s="336"/>
    </row>
    <row r="23001" spans="84:91" s="51" customFormat="1">
      <c r="CF23001" s="239"/>
      <c r="CM23001" s="336"/>
    </row>
    <row r="23002" spans="84:91" s="51" customFormat="1">
      <c r="CF23002" s="239"/>
      <c r="CM23002" s="336"/>
    </row>
    <row r="23003" spans="84:91" s="51" customFormat="1">
      <c r="CF23003" s="239"/>
      <c r="CM23003" s="336"/>
    </row>
    <row r="23004" spans="84:91" s="51" customFormat="1">
      <c r="CF23004" s="239"/>
      <c r="CM23004" s="336"/>
    </row>
    <row r="23005" spans="84:91" s="51" customFormat="1">
      <c r="CF23005" s="239"/>
      <c r="CM23005" s="336"/>
    </row>
    <row r="23006" spans="84:91" s="51" customFormat="1">
      <c r="CF23006" s="239"/>
      <c r="CM23006" s="336"/>
    </row>
    <row r="23007" spans="84:91" s="51" customFormat="1">
      <c r="CF23007" s="239"/>
      <c r="CM23007" s="336"/>
    </row>
    <row r="23008" spans="84:91" s="51" customFormat="1">
      <c r="CF23008" s="239"/>
      <c r="CM23008" s="336"/>
    </row>
    <row r="23009" spans="84:91" s="51" customFormat="1">
      <c r="CF23009" s="239"/>
      <c r="CM23009" s="336"/>
    </row>
    <row r="23010" spans="84:91" s="51" customFormat="1">
      <c r="CF23010" s="239"/>
      <c r="CM23010" s="336"/>
    </row>
    <row r="23011" spans="84:91" s="51" customFormat="1">
      <c r="CF23011" s="239"/>
      <c r="CM23011" s="336"/>
    </row>
    <row r="23012" spans="84:91" s="51" customFormat="1">
      <c r="CF23012" s="239"/>
      <c r="CM23012" s="336"/>
    </row>
    <row r="23013" spans="84:91" s="51" customFormat="1">
      <c r="CF23013" s="239"/>
      <c r="CM23013" s="336"/>
    </row>
    <row r="23014" spans="84:91" s="51" customFormat="1">
      <c r="CF23014" s="239"/>
      <c r="CM23014" s="336"/>
    </row>
    <row r="23015" spans="84:91" s="51" customFormat="1">
      <c r="CF23015" s="239"/>
      <c r="CM23015" s="336"/>
    </row>
    <row r="23016" spans="84:91" s="51" customFormat="1">
      <c r="CF23016" s="239"/>
      <c r="CM23016" s="336"/>
    </row>
    <row r="23017" spans="84:91" s="51" customFormat="1">
      <c r="CF23017" s="239"/>
      <c r="CM23017" s="336"/>
    </row>
    <row r="23018" spans="84:91" s="51" customFormat="1">
      <c r="CF23018" s="239"/>
      <c r="CM23018" s="336"/>
    </row>
    <row r="23019" spans="84:91" s="51" customFormat="1">
      <c r="CF23019" s="239"/>
      <c r="CM23019" s="336"/>
    </row>
    <row r="23020" spans="84:91" s="51" customFormat="1">
      <c r="CF23020" s="239"/>
      <c r="CM23020" s="336"/>
    </row>
    <row r="23021" spans="84:91" s="51" customFormat="1">
      <c r="CF23021" s="239"/>
      <c r="CM23021" s="336"/>
    </row>
    <row r="23022" spans="84:91" s="51" customFormat="1">
      <c r="CF23022" s="239"/>
      <c r="CM23022" s="336"/>
    </row>
    <row r="23023" spans="84:91" s="51" customFormat="1">
      <c r="CF23023" s="239"/>
      <c r="CM23023" s="336"/>
    </row>
    <row r="23024" spans="84:91" s="51" customFormat="1">
      <c r="CF23024" s="239"/>
      <c r="CM23024" s="336"/>
    </row>
    <row r="23025" spans="84:91" s="51" customFormat="1">
      <c r="CF23025" s="239"/>
      <c r="CM23025" s="336"/>
    </row>
    <row r="23026" spans="84:91" s="51" customFormat="1">
      <c r="CF23026" s="239"/>
      <c r="CM23026" s="336"/>
    </row>
    <row r="23027" spans="84:91" s="51" customFormat="1">
      <c r="CF23027" s="239"/>
      <c r="CM23027" s="336"/>
    </row>
    <row r="23028" spans="84:91" s="51" customFormat="1">
      <c r="CF23028" s="239"/>
      <c r="CM23028" s="336"/>
    </row>
    <row r="23029" spans="84:91" s="51" customFormat="1">
      <c r="CF23029" s="239"/>
      <c r="CM23029" s="336"/>
    </row>
    <row r="23030" spans="84:91" s="51" customFormat="1">
      <c r="CF23030" s="239"/>
      <c r="CM23030" s="336"/>
    </row>
    <row r="23031" spans="84:91" s="51" customFormat="1">
      <c r="CF23031" s="239"/>
      <c r="CM23031" s="336"/>
    </row>
    <row r="23032" spans="84:91" s="51" customFormat="1">
      <c r="CF23032" s="239"/>
      <c r="CM23032" s="336"/>
    </row>
    <row r="23033" spans="84:91" s="51" customFormat="1">
      <c r="CF23033" s="239"/>
      <c r="CM23033" s="336"/>
    </row>
    <row r="23034" spans="84:91" s="51" customFormat="1">
      <c r="CF23034" s="239"/>
      <c r="CM23034" s="336"/>
    </row>
    <row r="23035" spans="84:91" s="51" customFormat="1">
      <c r="CF23035" s="239"/>
      <c r="CM23035" s="336"/>
    </row>
    <row r="23036" spans="84:91" s="51" customFormat="1">
      <c r="CF23036" s="239"/>
      <c r="CM23036" s="336"/>
    </row>
    <row r="23037" spans="84:91" s="51" customFormat="1">
      <c r="CF23037" s="239"/>
      <c r="CM23037" s="336"/>
    </row>
    <row r="23038" spans="84:91" s="51" customFormat="1">
      <c r="CF23038" s="239"/>
      <c r="CM23038" s="336"/>
    </row>
    <row r="23039" spans="84:91" s="51" customFormat="1">
      <c r="CF23039" s="239"/>
      <c r="CM23039" s="336"/>
    </row>
    <row r="23040" spans="84:91" s="51" customFormat="1">
      <c r="CF23040" s="239"/>
      <c r="CM23040" s="336"/>
    </row>
    <row r="23041" spans="84:91" s="51" customFormat="1">
      <c r="CF23041" s="239"/>
      <c r="CM23041" s="336"/>
    </row>
    <row r="23042" spans="84:91" s="51" customFormat="1">
      <c r="CF23042" s="239"/>
      <c r="CM23042" s="336"/>
    </row>
    <row r="23043" spans="84:91" s="51" customFormat="1">
      <c r="CF23043" s="239"/>
      <c r="CM23043" s="336"/>
    </row>
    <row r="23044" spans="84:91" s="51" customFormat="1">
      <c r="CF23044" s="239"/>
      <c r="CM23044" s="336"/>
    </row>
    <row r="23045" spans="84:91" s="51" customFormat="1">
      <c r="CF23045" s="239"/>
      <c r="CM23045" s="336"/>
    </row>
    <row r="23046" spans="84:91" s="51" customFormat="1">
      <c r="CF23046" s="239"/>
      <c r="CM23046" s="336"/>
    </row>
    <row r="23047" spans="84:91" s="51" customFormat="1">
      <c r="CF23047" s="239"/>
      <c r="CM23047" s="336"/>
    </row>
    <row r="23048" spans="84:91" s="51" customFormat="1">
      <c r="CF23048" s="239"/>
      <c r="CM23048" s="336"/>
    </row>
    <row r="23049" spans="84:91" s="51" customFormat="1">
      <c r="CF23049" s="239"/>
      <c r="CM23049" s="336"/>
    </row>
    <row r="23050" spans="84:91" s="51" customFormat="1">
      <c r="CF23050" s="239"/>
      <c r="CM23050" s="336"/>
    </row>
    <row r="23051" spans="84:91" s="51" customFormat="1">
      <c r="CF23051" s="239"/>
      <c r="CM23051" s="336"/>
    </row>
    <row r="23052" spans="84:91" s="51" customFormat="1">
      <c r="CF23052" s="239"/>
      <c r="CM23052" s="336"/>
    </row>
    <row r="23053" spans="84:91" s="51" customFormat="1">
      <c r="CF23053" s="239"/>
      <c r="CM23053" s="336"/>
    </row>
    <row r="23054" spans="84:91" s="51" customFormat="1">
      <c r="CF23054" s="239"/>
      <c r="CM23054" s="336"/>
    </row>
    <row r="23055" spans="84:91" s="51" customFormat="1">
      <c r="CF23055" s="239"/>
      <c r="CM23055" s="336"/>
    </row>
    <row r="23056" spans="84:91" s="51" customFormat="1">
      <c r="CF23056" s="239"/>
      <c r="CM23056" s="336"/>
    </row>
    <row r="23057" spans="84:91" s="51" customFormat="1">
      <c r="CF23057" s="239"/>
      <c r="CM23057" s="336"/>
    </row>
    <row r="23058" spans="84:91" s="51" customFormat="1">
      <c r="CF23058" s="239"/>
      <c r="CM23058" s="336"/>
    </row>
    <row r="23059" spans="84:91" s="51" customFormat="1">
      <c r="CF23059" s="239"/>
      <c r="CM23059" s="336"/>
    </row>
    <row r="23060" spans="84:91" s="51" customFormat="1">
      <c r="CF23060" s="239"/>
      <c r="CM23060" s="336"/>
    </row>
    <row r="23061" spans="84:91" s="51" customFormat="1">
      <c r="CF23061" s="239"/>
      <c r="CM23061" s="336"/>
    </row>
    <row r="23062" spans="84:91" s="51" customFormat="1">
      <c r="CF23062" s="239"/>
      <c r="CM23062" s="336"/>
    </row>
    <row r="23063" spans="84:91" s="51" customFormat="1">
      <c r="CF23063" s="239"/>
      <c r="CM23063" s="336"/>
    </row>
    <row r="23064" spans="84:91" s="51" customFormat="1">
      <c r="CF23064" s="239"/>
      <c r="CM23064" s="336"/>
    </row>
    <row r="23065" spans="84:91" s="51" customFormat="1">
      <c r="CF23065" s="239"/>
      <c r="CM23065" s="336"/>
    </row>
    <row r="23066" spans="84:91" s="51" customFormat="1">
      <c r="CF23066" s="239"/>
      <c r="CM23066" s="336"/>
    </row>
    <row r="23067" spans="84:91" s="51" customFormat="1">
      <c r="CF23067" s="239"/>
      <c r="CM23067" s="336"/>
    </row>
    <row r="23068" spans="84:91" s="51" customFormat="1">
      <c r="CF23068" s="239"/>
      <c r="CM23068" s="336"/>
    </row>
    <row r="23069" spans="84:91" s="51" customFormat="1">
      <c r="CF23069" s="239"/>
      <c r="CM23069" s="336"/>
    </row>
    <row r="23070" spans="84:91" s="51" customFormat="1">
      <c r="CF23070" s="239"/>
      <c r="CM23070" s="336"/>
    </row>
    <row r="23071" spans="84:91" s="51" customFormat="1">
      <c r="CF23071" s="239"/>
      <c r="CM23071" s="336"/>
    </row>
    <row r="23072" spans="84:91" s="51" customFormat="1">
      <c r="CF23072" s="239"/>
      <c r="CM23072" s="336"/>
    </row>
    <row r="23073" spans="84:91" s="51" customFormat="1">
      <c r="CF23073" s="239"/>
      <c r="CM23073" s="336"/>
    </row>
    <row r="23074" spans="84:91" s="51" customFormat="1">
      <c r="CF23074" s="239"/>
      <c r="CM23074" s="336"/>
    </row>
    <row r="23075" spans="84:91" s="51" customFormat="1">
      <c r="CF23075" s="239"/>
      <c r="CM23075" s="336"/>
    </row>
    <row r="23076" spans="84:91" s="51" customFormat="1">
      <c r="CF23076" s="239"/>
      <c r="CM23076" s="336"/>
    </row>
    <row r="23077" spans="84:91" s="51" customFormat="1">
      <c r="CF23077" s="239"/>
      <c r="CM23077" s="336"/>
    </row>
    <row r="23078" spans="84:91" s="51" customFormat="1">
      <c r="CF23078" s="239"/>
      <c r="CM23078" s="336"/>
    </row>
    <row r="23079" spans="84:91" s="51" customFormat="1">
      <c r="CF23079" s="239"/>
      <c r="CM23079" s="336"/>
    </row>
    <row r="23080" spans="84:91" s="51" customFormat="1">
      <c r="CF23080" s="239"/>
      <c r="CM23080" s="336"/>
    </row>
    <row r="23081" spans="84:91" s="51" customFormat="1">
      <c r="CF23081" s="239"/>
      <c r="CM23081" s="336"/>
    </row>
    <row r="23082" spans="84:91" s="51" customFormat="1">
      <c r="CF23082" s="239"/>
      <c r="CM23082" s="336"/>
    </row>
    <row r="23083" spans="84:91" s="51" customFormat="1">
      <c r="CF23083" s="239"/>
      <c r="CM23083" s="336"/>
    </row>
    <row r="23084" spans="84:91" s="51" customFormat="1">
      <c r="CF23084" s="239"/>
      <c r="CM23084" s="336"/>
    </row>
    <row r="23085" spans="84:91" s="51" customFormat="1">
      <c r="CF23085" s="239"/>
      <c r="CM23085" s="336"/>
    </row>
    <row r="23086" spans="84:91" s="51" customFormat="1">
      <c r="CF23086" s="239"/>
      <c r="CM23086" s="336"/>
    </row>
    <row r="23087" spans="84:91" s="51" customFormat="1">
      <c r="CF23087" s="239"/>
      <c r="CM23087" s="336"/>
    </row>
    <row r="23088" spans="84:91" s="51" customFormat="1">
      <c r="CF23088" s="239"/>
      <c r="CM23088" s="336"/>
    </row>
    <row r="23089" spans="84:91" s="51" customFormat="1">
      <c r="CF23089" s="239"/>
      <c r="CM23089" s="336"/>
    </row>
    <row r="23090" spans="84:91" s="51" customFormat="1">
      <c r="CF23090" s="239"/>
      <c r="CM23090" s="336"/>
    </row>
    <row r="23091" spans="84:91" s="51" customFormat="1">
      <c r="CF23091" s="239"/>
      <c r="CM23091" s="336"/>
    </row>
    <row r="23092" spans="84:91" s="51" customFormat="1">
      <c r="CF23092" s="239"/>
      <c r="CM23092" s="336"/>
    </row>
    <row r="23093" spans="84:91" s="51" customFormat="1">
      <c r="CF23093" s="239"/>
      <c r="CM23093" s="336"/>
    </row>
    <row r="23094" spans="84:91" s="51" customFormat="1">
      <c r="CF23094" s="239"/>
      <c r="CM23094" s="336"/>
    </row>
    <row r="23095" spans="84:91" s="51" customFormat="1">
      <c r="CF23095" s="239"/>
      <c r="CM23095" s="336"/>
    </row>
    <row r="23096" spans="84:91" s="51" customFormat="1">
      <c r="CF23096" s="239"/>
      <c r="CM23096" s="336"/>
    </row>
    <row r="23097" spans="84:91" s="51" customFormat="1">
      <c r="CF23097" s="239"/>
      <c r="CM23097" s="336"/>
    </row>
    <row r="23098" spans="84:91" s="51" customFormat="1">
      <c r="CF23098" s="239"/>
      <c r="CM23098" s="336"/>
    </row>
    <row r="23099" spans="84:91" s="51" customFormat="1">
      <c r="CF23099" s="239"/>
      <c r="CM23099" s="336"/>
    </row>
    <row r="23100" spans="84:91" s="51" customFormat="1">
      <c r="CF23100" s="239"/>
      <c r="CM23100" s="336"/>
    </row>
    <row r="23101" spans="84:91" s="51" customFormat="1">
      <c r="CF23101" s="239"/>
      <c r="CM23101" s="336"/>
    </row>
    <row r="23102" spans="84:91" s="51" customFormat="1">
      <c r="CF23102" s="239"/>
      <c r="CM23102" s="336"/>
    </row>
    <row r="23103" spans="84:91" s="51" customFormat="1">
      <c r="CF23103" s="239"/>
      <c r="CM23103" s="336"/>
    </row>
    <row r="23104" spans="84:91" s="51" customFormat="1">
      <c r="CF23104" s="239"/>
      <c r="CM23104" s="336"/>
    </row>
    <row r="23105" spans="84:91" s="51" customFormat="1">
      <c r="CF23105" s="239"/>
      <c r="CM23105" s="336"/>
    </row>
    <row r="23106" spans="84:91" s="51" customFormat="1">
      <c r="CF23106" s="239"/>
      <c r="CM23106" s="336"/>
    </row>
    <row r="23107" spans="84:91" s="51" customFormat="1">
      <c r="CF23107" s="239"/>
      <c r="CM23107" s="336"/>
    </row>
    <row r="23108" spans="84:91" s="51" customFormat="1">
      <c r="CF23108" s="239"/>
      <c r="CM23108" s="336"/>
    </row>
    <row r="23109" spans="84:91" s="51" customFormat="1">
      <c r="CF23109" s="239"/>
      <c r="CM23109" s="336"/>
    </row>
    <row r="23110" spans="84:91" s="51" customFormat="1">
      <c r="CF23110" s="239"/>
      <c r="CM23110" s="336"/>
    </row>
    <row r="23111" spans="84:91" s="51" customFormat="1">
      <c r="CF23111" s="239"/>
      <c r="CM23111" s="336"/>
    </row>
    <row r="23112" spans="84:91" s="51" customFormat="1">
      <c r="CF23112" s="239"/>
      <c r="CM23112" s="336"/>
    </row>
    <row r="23113" spans="84:91" s="51" customFormat="1">
      <c r="CF23113" s="239"/>
      <c r="CM23113" s="336"/>
    </row>
    <row r="23114" spans="84:91" s="51" customFormat="1">
      <c r="CF23114" s="239"/>
      <c r="CM23114" s="336"/>
    </row>
    <row r="23115" spans="84:91" s="51" customFormat="1">
      <c r="CF23115" s="239"/>
      <c r="CM23115" s="336"/>
    </row>
    <row r="23116" spans="84:91" s="51" customFormat="1">
      <c r="CF23116" s="239"/>
      <c r="CM23116" s="336"/>
    </row>
    <row r="23117" spans="84:91" s="51" customFormat="1">
      <c r="CF23117" s="239"/>
      <c r="CM23117" s="336"/>
    </row>
    <row r="23118" spans="84:91" s="51" customFormat="1">
      <c r="CF23118" s="239"/>
      <c r="CM23118" s="336"/>
    </row>
    <row r="23119" spans="84:91" s="51" customFormat="1">
      <c r="CF23119" s="239"/>
      <c r="CM23119" s="336"/>
    </row>
    <row r="23120" spans="84:91" s="51" customFormat="1">
      <c r="CF23120" s="239"/>
      <c r="CM23120" s="336"/>
    </row>
    <row r="23121" spans="84:91" s="51" customFormat="1">
      <c r="CF23121" s="239"/>
      <c r="CM23121" s="336"/>
    </row>
    <row r="23122" spans="84:91" s="51" customFormat="1">
      <c r="CF23122" s="239"/>
      <c r="CM23122" s="336"/>
    </row>
    <row r="23123" spans="84:91" s="51" customFormat="1">
      <c r="CF23123" s="239"/>
      <c r="CM23123" s="336"/>
    </row>
    <row r="23124" spans="84:91" s="51" customFormat="1">
      <c r="CF23124" s="239"/>
      <c r="CM23124" s="336"/>
    </row>
    <row r="23125" spans="84:91" s="51" customFormat="1">
      <c r="CF23125" s="239"/>
      <c r="CM23125" s="336"/>
    </row>
    <row r="23126" spans="84:91" s="51" customFormat="1">
      <c r="CF23126" s="239"/>
      <c r="CM23126" s="336"/>
    </row>
    <row r="23127" spans="84:91" s="51" customFormat="1">
      <c r="CF23127" s="239"/>
      <c r="CM23127" s="336"/>
    </row>
    <row r="23128" spans="84:91" s="51" customFormat="1">
      <c r="CF23128" s="239"/>
      <c r="CM23128" s="336"/>
    </row>
    <row r="23129" spans="84:91" s="51" customFormat="1">
      <c r="CF23129" s="239"/>
      <c r="CM23129" s="336"/>
    </row>
    <row r="23130" spans="84:91" s="51" customFormat="1">
      <c r="CF23130" s="239"/>
      <c r="CM23130" s="336"/>
    </row>
    <row r="23131" spans="84:91" s="51" customFormat="1">
      <c r="CF23131" s="239"/>
      <c r="CM23131" s="336"/>
    </row>
    <row r="23132" spans="84:91" s="51" customFormat="1">
      <c r="CF23132" s="239"/>
      <c r="CM23132" s="336"/>
    </row>
    <row r="23133" spans="84:91" s="51" customFormat="1">
      <c r="CF23133" s="239"/>
      <c r="CM23133" s="336"/>
    </row>
    <row r="23134" spans="84:91" s="51" customFormat="1">
      <c r="CF23134" s="239"/>
      <c r="CM23134" s="336"/>
    </row>
    <row r="23135" spans="84:91" s="51" customFormat="1">
      <c r="CF23135" s="239"/>
      <c r="CM23135" s="336"/>
    </row>
    <row r="23136" spans="84:91" s="51" customFormat="1">
      <c r="CF23136" s="239"/>
      <c r="CM23136" s="336"/>
    </row>
    <row r="23137" spans="84:91" s="51" customFormat="1">
      <c r="CF23137" s="239"/>
      <c r="CM23137" s="336"/>
    </row>
    <row r="23138" spans="84:91" s="51" customFormat="1">
      <c r="CF23138" s="239"/>
      <c r="CM23138" s="336"/>
    </row>
    <row r="23139" spans="84:91" s="51" customFormat="1">
      <c r="CF23139" s="239"/>
      <c r="CM23139" s="336"/>
    </row>
    <row r="23140" spans="84:91" s="51" customFormat="1">
      <c r="CF23140" s="239"/>
      <c r="CM23140" s="336"/>
    </row>
    <row r="23141" spans="84:91" s="51" customFormat="1">
      <c r="CF23141" s="239"/>
      <c r="CM23141" s="336"/>
    </row>
    <row r="23142" spans="84:91" s="51" customFormat="1">
      <c r="CF23142" s="239"/>
      <c r="CM23142" s="336"/>
    </row>
    <row r="23143" spans="84:91" s="51" customFormat="1">
      <c r="CF23143" s="239"/>
      <c r="CM23143" s="336"/>
    </row>
    <row r="23144" spans="84:91" s="51" customFormat="1">
      <c r="CF23144" s="239"/>
      <c r="CM23144" s="336"/>
    </row>
    <row r="23145" spans="84:91" s="51" customFormat="1">
      <c r="CF23145" s="239"/>
      <c r="CM23145" s="336"/>
    </row>
    <row r="23146" spans="84:91" s="51" customFormat="1">
      <c r="CF23146" s="239"/>
      <c r="CM23146" s="336"/>
    </row>
    <row r="23147" spans="84:91" s="51" customFormat="1">
      <c r="CF23147" s="239"/>
      <c r="CM23147" s="336"/>
    </row>
    <row r="23148" spans="84:91" s="51" customFormat="1">
      <c r="CF23148" s="239"/>
      <c r="CM23148" s="336"/>
    </row>
    <row r="23149" spans="84:91" s="51" customFormat="1">
      <c r="CF23149" s="239"/>
      <c r="CM23149" s="336"/>
    </row>
    <row r="23150" spans="84:91" s="51" customFormat="1">
      <c r="CF23150" s="239"/>
      <c r="CM23150" s="336"/>
    </row>
    <row r="23151" spans="84:91" s="51" customFormat="1">
      <c r="CF23151" s="239"/>
      <c r="CM23151" s="336"/>
    </row>
    <row r="23152" spans="84:91" s="51" customFormat="1">
      <c r="CF23152" s="239"/>
      <c r="CM23152" s="336"/>
    </row>
    <row r="23153" spans="84:91" s="51" customFormat="1">
      <c r="CF23153" s="239"/>
      <c r="CM23153" s="336"/>
    </row>
    <row r="23154" spans="84:91" s="51" customFormat="1">
      <c r="CF23154" s="239"/>
      <c r="CM23154" s="336"/>
    </row>
    <row r="23155" spans="84:91" s="51" customFormat="1">
      <c r="CF23155" s="239"/>
      <c r="CM23155" s="336"/>
    </row>
    <row r="23156" spans="84:91" s="51" customFormat="1">
      <c r="CF23156" s="239"/>
      <c r="CM23156" s="336"/>
    </row>
    <row r="23157" spans="84:91" s="51" customFormat="1">
      <c r="CF23157" s="239"/>
      <c r="CM23157" s="336"/>
    </row>
    <row r="23158" spans="84:91" s="51" customFormat="1">
      <c r="CF23158" s="239"/>
      <c r="CM23158" s="336"/>
    </row>
    <row r="23159" spans="84:91" s="51" customFormat="1">
      <c r="CF23159" s="239"/>
      <c r="CM23159" s="336"/>
    </row>
    <row r="23160" spans="84:91" s="51" customFormat="1">
      <c r="CF23160" s="239"/>
      <c r="CM23160" s="336"/>
    </row>
    <row r="23161" spans="84:91" s="51" customFormat="1">
      <c r="CF23161" s="239"/>
      <c r="CM23161" s="336"/>
    </row>
    <row r="23162" spans="84:91" s="51" customFormat="1">
      <c r="CF23162" s="239"/>
      <c r="CM23162" s="336"/>
    </row>
    <row r="23163" spans="84:91" s="51" customFormat="1">
      <c r="CF23163" s="239"/>
      <c r="CM23163" s="336"/>
    </row>
    <row r="23164" spans="84:91" s="51" customFormat="1">
      <c r="CF23164" s="239"/>
      <c r="CM23164" s="336"/>
    </row>
    <row r="23165" spans="84:91" s="51" customFormat="1">
      <c r="CF23165" s="239"/>
      <c r="CM23165" s="336"/>
    </row>
    <row r="23166" spans="84:91" s="51" customFormat="1">
      <c r="CF23166" s="239"/>
      <c r="CM23166" s="336"/>
    </row>
    <row r="23167" spans="84:91" s="51" customFormat="1">
      <c r="CF23167" s="239"/>
      <c r="CM23167" s="336"/>
    </row>
    <row r="23168" spans="84:91" s="51" customFormat="1">
      <c r="CF23168" s="239"/>
      <c r="CM23168" s="336"/>
    </row>
    <row r="23169" spans="84:91" s="51" customFormat="1">
      <c r="CF23169" s="239"/>
      <c r="CM23169" s="336"/>
    </row>
    <row r="23170" spans="84:91" s="51" customFormat="1">
      <c r="CF23170" s="239"/>
      <c r="CM23170" s="336"/>
    </row>
    <row r="23171" spans="84:91" s="51" customFormat="1">
      <c r="CF23171" s="239"/>
      <c r="CM23171" s="336"/>
    </row>
    <row r="23172" spans="84:91" s="51" customFormat="1">
      <c r="CF23172" s="239"/>
      <c r="CM23172" s="336"/>
    </row>
    <row r="23173" spans="84:91" s="51" customFormat="1">
      <c r="CF23173" s="239"/>
      <c r="CM23173" s="336"/>
    </row>
    <row r="23174" spans="84:91" s="51" customFormat="1">
      <c r="CF23174" s="239"/>
      <c r="CM23174" s="336"/>
    </row>
    <row r="23175" spans="84:91" s="51" customFormat="1">
      <c r="CF23175" s="239"/>
      <c r="CM23175" s="336"/>
    </row>
    <row r="23176" spans="84:91" s="51" customFormat="1">
      <c r="CF23176" s="239"/>
      <c r="CM23176" s="336"/>
    </row>
    <row r="23177" spans="84:91" s="51" customFormat="1">
      <c r="CF23177" s="239"/>
      <c r="CM23177" s="336"/>
    </row>
    <row r="23178" spans="84:91" s="51" customFormat="1">
      <c r="CF23178" s="239"/>
      <c r="CM23178" s="336"/>
    </row>
    <row r="23179" spans="84:91" s="51" customFormat="1">
      <c r="CF23179" s="239"/>
      <c r="CM23179" s="336"/>
    </row>
    <row r="23180" spans="84:91" s="51" customFormat="1">
      <c r="CF23180" s="239"/>
      <c r="CM23180" s="336"/>
    </row>
    <row r="23181" spans="84:91" s="51" customFormat="1">
      <c r="CF23181" s="239"/>
      <c r="CM23181" s="336"/>
    </row>
    <row r="23182" spans="84:91" s="51" customFormat="1">
      <c r="CF23182" s="239"/>
      <c r="CM23182" s="336"/>
    </row>
    <row r="23183" spans="84:91" s="51" customFormat="1">
      <c r="CF23183" s="239"/>
      <c r="CM23183" s="336"/>
    </row>
    <row r="23184" spans="84:91" s="51" customFormat="1">
      <c r="CF23184" s="239"/>
      <c r="CM23184" s="336"/>
    </row>
    <row r="23185" spans="84:91" s="51" customFormat="1">
      <c r="CF23185" s="239"/>
      <c r="CM23185" s="336"/>
    </row>
    <row r="23186" spans="84:91" s="51" customFormat="1">
      <c r="CF23186" s="239"/>
      <c r="CM23186" s="336"/>
    </row>
    <row r="23187" spans="84:91" s="51" customFormat="1">
      <c r="CF23187" s="239"/>
      <c r="CM23187" s="336"/>
    </row>
    <row r="23188" spans="84:91" s="51" customFormat="1">
      <c r="CF23188" s="239"/>
      <c r="CM23188" s="336"/>
    </row>
    <row r="23189" spans="84:91" s="51" customFormat="1">
      <c r="CF23189" s="239"/>
      <c r="CM23189" s="336"/>
    </row>
    <row r="23190" spans="84:91" s="51" customFormat="1">
      <c r="CF23190" s="239"/>
      <c r="CM23190" s="336"/>
    </row>
    <row r="23191" spans="84:91" s="51" customFormat="1">
      <c r="CF23191" s="239"/>
      <c r="CM23191" s="336"/>
    </row>
    <row r="23192" spans="84:91" s="51" customFormat="1">
      <c r="CF23192" s="239"/>
      <c r="CM23192" s="336"/>
    </row>
    <row r="23193" spans="84:91" s="51" customFormat="1">
      <c r="CF23193" s="239"/>
      <c r="CM23193" s="336"/>
    </row>
    <row r="23194" spans="84:91" s="51" customFormat="1">
      <c r="CF23194" s="239"/>
      <c r="CM23194" s="336"/>
    </row>
    <row r="23195" spans="84:91" s="51" customFormat="1">
      <c r="CF23195" s="239"/>
      <c r="CM23195" s="336"/>
    </row>
    <row r="23196" spans="84:91" s="51" customFormat="1">
      <c r="CF23196" s="239"/>
      <c r="CM23196" s="336"/>
    </row>
    <row r="23197" spans="84:91" s="51" customFormat="1">
      <c r="CF23197" s="239"/>
      <c r="CM23197" s="336"/>
    </row>
    <row r="23198" spans="84:91" s="51" customFormat="1">
      <c r="CF23198" s="239"/>
      <c r="CM23198" s="336"/>
    </row>
    <row r="23199" spans="84:91" s="51" customFormat="1">
      <c r="CF23199" s="239"/>
      <c r="CM23199" s="336"/>
    </row>
    <row r="23200" spans="84:91" s="51" customFormat="1">
      <c r="CF23200" s="239"/>
      <c r="CM23200" s="336"/>
    </row>
    <row r="23201" spans="84:91" s="51" customFormat="1">
      <c r="CF23201" s="239"/>
      <c r="CM23201" s="336"/>
    </row>
    <row r="23202" spans="84:91" s="51" customFormat="1">
      <c r="CF23202" s="239"/>
      <c r="CM23202" s="336"/>
    </row>
    <row r="23203" spans="84:91" s="51" customFormat="1">
      <c r="CF23203" s="239"/>
      <c r="CM23203" s="336"/>
    </row>
    <row r="23204" spans="84:91" s="51" customFormat="1">
      <c r="CF23204" s="239"/>
      <c r="CM23204" s="336"/>
    </row>
    <row r="23205" spans="84:91" s="51" customFormat="1">
      <c r="CF23205" s="239"/>
      <c r="CM23205" s="336"/>
    </row>
    <row r="23206" spans="84:91" s="51" customFormat="1">
      <c r="CF23206" s="239"/>
      <c r="CM23206" s="336"/>
    </row>
    <row r="23207" spans="84:91" s="51" customFormat="1">
      <c r="CF23207" s="239"/>
      <c r="CM23207" s="336"/>
    </row>
    <row r="23208" spans="84:91" s="51" customFormat="1">
      <c r="CF23208" s="239"/>
      <c r="CM23208" s="336"/>
    </row>
    <row r="23209" spans="84:91" s="51" customFormat="1">
      <c r="CF23209" s="239"/>
      <c r="CM23209" s="336"/>
    </row>
    <row r="23210" spans="84:91" s="51" customFormat="1">
      <c r="CF23210" s="239"/>
      <c r="CM23210" s="336"/>
    </row>
    <row r="23211" spans="84:91" s="51" customFormat="1">
      <c r="CF23211" s="239"/>
      <c r="CM23211" s="336"/>
    </row>
    <row r="23212" spans="84:91" s="51" customFormat="1">
      <c r="CF23212" s="239"/>
      <c r="CM23212" s="336"/>
    </row>
    <row r="23213" spans="84:91" s="51" customFormat="1">
      <c r="CF23213" s="239"/>
      <c r="CM23213" s="336"/>
    </row>
    <row r="23214" spans="84:91" s="51" customFormat="1">
      <c r="CF23214" s="239"/>
      <c r="CM23214" s="336"/>
    </row>
    <row r="23215" spans="84:91" s="51" customFormat="1">
      <c r="CF23215" s="239"/>
      <c r="CM23215" s="336"/>
    </row>
    <row r="23216" spans="84:91" s="51" customFormat="1">
      <c r="CF23216" s="239"/>
      <c r="CM23216" s="336"/>
    </row>
    <row r="23217" spans="84:91" s="51" customFormat="1">
      <c r="CF23217" s="239"/>
      <c r="CM23217" s="336"/>
    </row>
    <row r="23218" spans="84:91" s="51" customFormat="1">
      <c r="CF23218" s="239"/>
      <c r="CM23218" s="336"/>
    </row>
    <row r="23219" spans="84:91" s="51" customFormat="1">
      <c r="CF23219" s="239"/>
      <c r="CM23219" s="336"/>
    </row>
    <row r="23220" spans="84:91" s="51" customFormat="1">
      <c r="CF23220" s="239"/>
      <c r="CM23220" s="336"/>
    </row>
    <row r="23221" spans="84:91" s="51" customFormat="1">
      <c r="CF23221" s="239"/>
      <c r="CM23221" s="336"/>
    </row>
    <row r="23222" spans="84:91" s="51" customFormat="1">
      <c r="CF23222" s="239"/>
      <c r="CM23222" s="336"/>
    </row>
    <row r="23223" spans="84:91" s="51" customFormat="1">
      <c r="CF23223" s="239"/>
      <c r="CM23223" s="336"/>
    </row>
    <row r="23224" spans="84:91" s="51" customFormat="1">
      <c r="CF23224" s="239"/>
      <c r="CM23224" s="336"/>
    </row>
    <row r="23225" spans="84:91" s="51" customFormat="1">
      <c r="CF23225" s="239"/>
      <c r="CM23225" s="336"/>
    </row>
    <row r="23226" spans="84:91" s="51" customFormat="1">
      <c r="CF23226" s="239"/>
      <c r="CM23226" s="336"/>
    </row>
    <row r="23227" spans="84:91" s="51" customFormat="1">
      <c r="CF23227" s="239"/>
      <c r="CM23227" s="336"/>
    </row>
    <row r="23228" spans="84:91" s="51" customFormat="1">
      <c r="CF23228" s="239"/>
      <c r="CM23228" s="336"/>
    </row>
    <row r="23229" spans="84:91" s="51" customFormat="1">
      <c r="CF23229" s="239"/>
      <c r="CM23229" s="336"/>
    </row>
    <row r="23230" spans="84:91" s="51" customFormat="1">
      <c r="CF23230" s="239"/>
      <c r="CM23230" s="336"/>
    </row>
    <row r="23231" spans="84:91" s="51" customFormat="1">
      <c r="CF23231" s="239"/>
      <c r="CM23231" s="336"/>
    </row>
    <row r="23232" spans="84:91" s="51" customFormat="1">
      <c r="CF23232" s="239"/>
      <c r="CM23232" s="336"/>
    </row>
    <row r="23233" spans="84:91" s="51" customFormat="1">
      <c r="CF23233" s="239"/>
      <c r="CM23233" s="336"/>
    </row>
    <row r="23234" spans="84:91" s="51" customFormat="1">
      <c r="CF23234" s="239"/>
      <c r="CM23234" s="336"/>
    </row>
    <row r="23235" spans="84:91" s="51" customFormat="1">
      <c r="CF23235" s="239"/>
      <c r="CM23235" s="336"/>
    </row>
    <row r="23236" spans="84:91" s="51" customFormat="1">
      <c r="CF23236" s="239"/>
      <c r="CM23236" s="336"/>
    </row>
    <row r="23237" spans="84:91" s="51" customFormat="1">
      <c r="CF23237" s="239"/>
      <c r="CM23237" s="336"/>
    </row>
    <row r="23238" spans="84:91" s="51" customFormat="1">
      <c r="CF23238" s="239"/>
      <c r="CM23238" s="336"/>
    </row>
    <row r="23239" spans="84:91" s="51" customFormat="1">
      <c r="CF23239" s="239"/>
      <c r="CM23239" s="336"/>
    </row>
    <row r="23240" spans="84:91" s="51" customFormat="1">
      <c r="CF23240" s="239"/>
      <c r="CM23240" s="336"/>
    </row>
    <row r="23241" spans="84:91" s="51" customFormat="1">
      <c r="CF23241" s="239"/>
      <c r="CM23241" s="336"/>
    </row>
    <row r="23242" spans="84:91" s="51" customFormat="1">
      <c r="CF23242" s="239"/>
      <c r="CM23242" s="336"/>
    </row>
    <row r="23243" spans="84:91" s="51" customFormat="1">
      <c r="CF23243" s="239"/>
      <c r="CM23243" s="336"/>
    </row>
    <row r="23244" spans="84:91" s="51" customFormat="1">
      <c r="CF23244" s="239"/>
      <c r="CM23244" s="336"/>
    </row>
    <row r="23245" spans="84:91" s="51" customFormat="1">
      <c r="CF23245" s="239"/>
      <c r="CM23245" s="336"/>
    </row>
    <row r="23246" spans="84:91" s="51" customFormat="1">
      <c r="CF23246" s="239"/>
      <c r="CM23246" s="336"/>
    </row>
    <row r="23247" spans="84:91" s="51" customFormat="1">
      <c r="CF23247" s="239"/>
      <c r="CM23247" s="336"/>
    </row>
    <row r="23248" spans="84:91" s="51" customFormat="1">
      <c r="CF23248" s="239"/>
      <c r="CM23248" s="336"/>
    </row>
    <row r="23249" spans="84:91" s="51" customFormat="1">
      <c r="CF23249" s="239"/>
      <c r="CM23249" s="336"/>
    </row>
    <row r="23250" spans="84:91" s="51" customFormat="1">
      <c r="CF23250" s="239"/>
      <c r="CM23250" s="336"/>
    </row>
    <row r="23251" spans="84:91" s="51" customFormat="1">
      <c r="CF23251" s="239"/>
      <c r="CM23251" s="336"/>
    </row>
    <row r="23252" spans="84:91" s="51" customFormat="1">
      <c r="CF23252" s="239"/>
      <c r="CM23252" s="336"/>
    </row>
    <row r="23253" spans="84:91" s="51" customFormat="1">
      <c r="CF23253" s="239"/>
      <c r="CM23253" s="336"/>
    </row>
    <row r="23254" spans="84:91" s="51" customFormat="1">
      <c r="CF23254" s="239"/>
      <c r="CM23254" s="336"/>
    </row>
    <row r="23255" spans="84:91" s="51" customFormat="1">
      <c r="CF23255" s="239"/>
      <c r="CM23255" s="336"/>
    </row>
    <row r="23256" spans="84:91" s="51" customFormat="1">
      <c r="CF23256" s="239"/>
      <c r="CM23256" s="336"/>
    </row>
    <row r="23257" spans="84:91" s="51" customFormat="1">
      <c r="CF23257" s="239"/>
      <c r="CM23257" s="336"/>
    </row>
    <row r="23258" spans="84:91" s="51" customFormat="1">
      <c r="CF23258" s="239"/>
      <c r="CM23258" s="336"/>
    </row>
    <row r="23259" spans="84:91" s="51" customFormat="1">
      <c r="CF23259" s="239"/>
      <c r="CM23259" s="336"/>
    </row>
    <row r="23260" spans="84:91" s="51" customFormat="1">
      <c r="CF23260" s="239"/>
      <c r="CM23260" s="336"/>
    </row>
    <row r="23261" spans="84:91" s="51" customFormat="1">
      <c r="CF23261" s="239"/>
      <c r="CM23261" s="336"/>
    </row>
    <row r="23262" spans="84:91" s="51" customFormat="1">
      <c r="CF23262" s="239"/>
      <c r="CM23262" s="336"/>
    </row>
    <row r="23263" spans="84:91" s="51" customFormat="1">
      <c r="CF23263" s="239"/>
      <c r="CM23263" s="336"/>
    </row>
    <row r="23264" spans="84:91" s="51" customFormat="1">
      <c r="CF23264" s="239"/>
      <c r="CM23264" s="336"/>
    </row>
    <row r="23265" spans="84:91" s="51" customFormat="1">
      <c r="CF23265" s="239"/>
      <c r="CM23265" s="336"/>
    </row>
    <row r="23266" spans="84:91" s="51" customFormat="1">
      <c r="CF23266" s="239"/>
      <c r="CM23266" s="336"/>
    </row>
    <row r="23267" spans="84:91" s="51" customFormat="1">
      <c r="CF23267" s="239"/>
      <c r="CM23267" s="336"/>
    </row>
    <row r="23268" spans="84:91" s="51" customFormat="1">
      <c r="CF23268" s="239"/>
      <c r="CM23268" s="336"/>
    </row>
    <row r="23269" spans="84:91" s="51" customFormat="1">
      <c r="CF23269" s="239"/>
      <c r="CM23269" s="336"/>
    </row>
    <row r="23270" spans="84:91" s="51" customFormat="1">
      <c r="CF23270" s="239"/>
      <c r="CM23270" s="336"/>
    </row>
    <row r="23271" spans="84:91" s="51" customFormat="1">
      <c r="CF23271" s="239"/>
      <c r="CM23271" s="336"/>
    </row>
    <row r="23272" spans="84:91" s="51" customFormat="1">
      <c r="CF23272" s="239"/>
      <c r="CM23272" s="336"/>
    </row>
    <row r="23273" spans="84:91" s="51" customFormat="1">
      <c r="CF23273" s="239"/>
      <c r="CM23273" s="336"/>
    </row>
    <row r="23274" spans="84:91" s="51" customFormat="1">
      <c r="CF23274" s="239"/>
      <c r="CM23274" s="336"/>
    </row>
    <row r="23275" spans="84:91" s="51" customFormat="1">
      <c r="CF23275" s="239"/>
      <c r="CM23275" s="336"/>
    </row>
    <row r="23276" spans="84:91" s="51" customFormat="1">
      <c r="CF23276" s="239"/>
      <c r="CM23276" s="336"/>
    </row>
    <row r="23277" spans="84:91" s="51" customFormat="1">
      <c r="CF23277" s="239"/>
      <c r="CM23277" s="336"/>
    </row>
    <row r="23278" spans="84:91" s="51" customFormat="1">
      <c r="CF23278" s="239"/>
      <c r="CM23278" s="336"/>
    </row>
    <row r="23279" spans="84:91" s="51" customFormat="1">
      <c r="CF23279" s="239"/>
      <c r="CM23279" s="336"/>
    </row>
    <row r="23280" spans="84:91" s="51" customFormat="1">
      <c r="CF23280" s="239"/>
      <c r="CM23280" s="336"/>
    </row>
    <row r="23281" spans="84:91" s="51" customFormat="1">
      <c r="CF23281" s="239"/>
      <c r="CM23281" s="336"/>
    </row>
    <row r="23282" spans="84:91" s="51" customFormat="1">
      <c r="CF23282" s="239"/>
      <c r="CM23282" s="336"/>
    </row>
    <row r="23283" spans="84:91" s="51" customFormat="1">
      <c r="CF23283" s="239"/>
      <c r="CM23283" s="336"/>
    </row>
    <row r="23284" spans="84:91" s="51" customFormat="1">
      <c r="CF23284" s="239"/>
      <c r="CM23284" s="336"/>
    </row>
    <row r="23285" spans="84:91" s="51" customFormat="1">
      <c r="CF23285" s="239"/>
      <c r="CM23285" s="336"/>
    </row>
    <row r="23286" spans="84:91" s="51" customFormat="1">
      <c r="CF23286" s="239"/>
      <c r="CM23286" s="336"/>
    </row>
    <row r="23287" spans="84:91" s="51" customFormat="1">
      <c r="CF23287" s="239"/>
      <c r="CM23287" s="336"/>
    </row>
    <row r="23288" spans="84:91" s="51" customFormat="1">
      <c r="CF23288" s="239"/>
      <c r="CM23288" s="336"/>
    </row>
    <row r="23289" spans="84:91" s="51" customFormat="1">
      <c r="CF23289" s="239"/>
      <c r="CM23289" s="336"/>
    </row>
    <row r="23290" spans="84:91" s="51" customFormat="1">
      <c r="CF23290" s="239"/>
      <c r="CM23290" s="336"/>
    </row>
    <row r="23291" spans="84:91" s="51" customFormat="1">
      <c r="CF23291" s="239"/>
      <c r="CM23291" s="336"/>
    </row>
    <row r="23292" spans="84:91" s="51" customFormat="1">
      <c r="CF23292" s="239"/>
      <c r="CM23292" s="336"/>
    </row>
    <row r="23293" spans="84:91" s="51" customFormat="1">
      <c r="CF23293" s="239"/>
      <c r="CM23293" s="336"/>
    </row>
    <row r="23294" spans="84:91" s="51" customFormat="1">
      <c r="CF23294" s="239"/>
      <c r="CM23294" s="336"/>
    </row>
    <row r="23295" spans="84:91" s="51" customFormat="1">
      <c r="CF23295" s="239"/>
      <c r="CM23295" s="336"/>
    </row>
    <row r="23296" spans="84:91" s="51" customFormat="1">
      <c r="CF23296" s="239"/>
      <c r="CM23296" s="336"/>
    </row>
    <row r="23297" spans="84:91" s="51" customFormat="1">
      <c r="CF23297" s="239"/>
      <c r="CM23297" s="336"/>
    </row>
    <row r="23298" spans="84:91" s="51" customFormat="1">
      <c r="CF23298" s="239"/>
      <c r="CM23298" s="336"/>
    </row>
    <row r="23299" spans="84:91" s="51" customFormat="1">
      <c r="CF23299" s="239"/>
      <c r="CM23299" s="336"/>
    </row>
    <row r="23300" spans="84:91" s="51" customFormat="1">
      <c r="CF23300" s="239"/>
      <c r="CM23300" s="336"/>
    </row>
    <row r="23301" spans="84:91" s="51" customFormat="1">
      <c r="CF23301" s="239"/>
      <c r="CM23301" s="336"/>
    </row>
    <row r="23302" spans="84:91" s="51" customFormat="1">
      <c r="CF23302" s="239"/>
      <c r="CM23302" s="336"/>
    </row>
    <row r="23303" spans="84:91" s="51" customFormat="1">
      <c r="CF23303" s="239"/>
      <c r="CM23303" s="336"/>
    </row>
    <row r="23304" spans="84:91" s="51" customFormat="1">
      <c r="CF23304" s="239"/>
      <c r="CM23304" s="336"/>
    </row>
    <row r="23305" spans="84:91" s="51" customFormat="1">
      <c r="CF23305" s="239"/>
      <c r="CM23305" s="336"/>
    </row>
    <row r="23306" spans="84:91" s="51" customFormat="1">
      <c r="CF23306" s="239"/>
      <c r="CM23306" s="336"/>
    </row>
    <row r="23307" spans="84:91" s="51" customFormat="1">
      <c r="CF23307" s="239"/>
      <c r="CM23307" s="336"/>
    </row>
    <row r="23308" spans="84:91" s="51" customFormat="1">
      <c r="CF23308" s="239"/>
      <c r="CM23308" s="336"/>
    </row>
    <row r="23309" spans="84:91" s="51" customFormat="1">
      <c r="CF23309" s="239"/>
      <c r="CM23309" s="336"/>
    </row>
    <row r="23310" spans="84:91" s="51" customFormat="1">
      <c r="CF23310" s="239"/>
      <c r="CM23310" s="336"/>
    </row>
    <row r="23311" spans="84:91" s="51" customFormat="1">
      <c r="CF23311" s="239"/>
      <c r="CM23311" s="336"/>
    </row>
    <row r="23312" spans="84:91" s="51" customFormat="1">
      <c r="CF23312" s="239"/>
      <c r="CM23312" s="336"/>
    </row>
    <row r="23313" spans="84:91" s="51" customFormat="1">
      <c r="CF23313" s="239"/>
      <c r="CM23313" s="336"/>
    </row>
    <row r="23314" spans="84:91" s="51" customFormat="1">
      <c r="CF23314" s="239"/>
      <c r="CM23314" s="336"/>
    </row>
    <row r="23315" spans="84:91" s="51" customFormat="1">
      <c r="CF23315" s="239"/>
      <c r="CM23315" s="336"/>
    </row>
    <row r="23316" spans="84:91" s="51" customFormat="1">
      <c r="CF23316" s="239"/>
      <c r="CM23316" s="336"/>
    </row>
    <row r="23317" spans="84:91" s="51" customFormat="1">
      <c r="CF23317" s="239"/>
      <c r="CM23317" s="336"/>
    </row>
    <row r="23318" spans="84:91" s="51" customFormat="1">
      <c r="CF23318" s="239"/>
      <c r="CM23318" s="336"/>
    </row>
    <row r="23319" spans="84:91" s="51" customFormat="1">
      <c r="CF23319" s="239"/>
      <c r="CM23319" s="336"/>
    </row>
    <row r="23320" spans="84:91" s="51" customFormat="1">
      <c r="CF23320" s="239"/>
      <c r="CM23320" s="336"/>
    </row>
    <row r="23321" spans="84:91" s="51" customFormat="1">
      <c r="CF23321" s="239"/>
      <c r="CM23321" s="336"/>
    </row>
    <row r="23322" spans="84:91" s="51" customFormat="1">
      <c r="CF23322" s="239"/>
      <c r="CM23322" s="336"/>
    </row>
    <row r="23323" spans="84:91" s="51" customFormat="1">
      <c r="CF23323" s="239"/>
      <c r="CM23323" s="336"/>
    </row>
    <row r="23324" spans="84:91" s="51" customFormat="1">
      <c r="CF23324" s="239"/>
      <c r="CM23324" s="336"/>
    </row>
    <row r="23325" spans="84:91" s="51" customFormat="1">
      <c r="CF23325" s="239"/>
      <c r="CM23325" s="336"/>
    </row>
    <row r="23326" spans="84:91" s="51" customFormat="1">
      <c r="CF23326" s="239"/>
      <c r="CM23326" s="336"/>
    </row>
    <row r="23327" spans="84:91" s="51" customFormat="1">
      <c r="CF23327" s="239"/>
      <c r="CM23327" s="336"/>
    </row>
    <row r="23328" spans="84:91" s="51" customFormat="1">
      <c r="CF23328" s="239"/>
      <c r="CM23328" s="336"/>
    </row>
    <row r="23329" spans="84:91" s="51" customFormat="1">
      <c r="CF23329" s="239"/>
      <c r="CM23329" s="336"/>
    </row>
    <row r="23330" spans="84:91" s="51" customFormat="1">
      <c r="CF23330" s="239"/>
      <c r="CM23330" s="336"/>
    </row>
    <row r="23331" spans="84:91" s="51" customFormat="1">
      <c r="CF23331" s="239"/>
      <c r="CM23331" s="336"/>
    </row>
    <row r="23332" spans="84:91" s="51" customFormat="1">
      <c r="CF23332" s="239"/>
      <c r="CM23332" s="336"/>
    </row>
    <row r="23333" spans="84:91" s="51" customFormat="1">
      <c r="CF23333" s="239"/>
      <c r="CM23333" s="336"/>
    </row>
    <row r="23334" spans="84:91" s="51" customFormat="1">
      <c r="CF23334" s="239"/>
      <c r="CM23334" s="336"/>
    </row>
    <row r="23335" spans="84:91" s="51" customFormat="1">
      <c r="CF23335" s="239"/>
      <c r="CM23335" s="336"/>
    </row>
    <row r="23336" spans="84:91" s="51" customFormat="1">
      <c r="CF23336" s="239"/>
      <c r="CM23336" s="336"/>
    </row>
    <row r="23337" spans="84:91" s="51" customFormat="1">
      <c r="CF23337" s="239"/>
      <c r="CM23337" s="336"/>
    </row>
    <row r="23338" spans="84:91" s="51" customFormat="1">
      <c r="CF23338" s="239"/>
      <c r="CM23338" s="336"/>
    </row>
    <row r="23339" spans="84:91" s="51" customFormat="1">
      <c r="CF23339" s="239"/>
      <c r="CM23339" s="336"/>
    </row>
    <row r="23340" spans="84:91" s="51" customFormat="1">
      <c r="CF23340" s="239"/>
      <c r="CM23340" s="336"/>
    </row>
    <row r="23341" spans="84:91" s="51" customFormat="1">
      <c r="CF23341" s="239"/>
      <c r="CM23341" s="336"/>
    </row>
    <row r="23342" spans="84:91" s="51" customFormat="1">
      <c r="CF23342" s="239"/>
      <c r="CM23342" s="336"/>
    </row>
    <row r="23343" spans="84:91" s="51" customFormat="1">
      <c r="CF23343" s="239"/>
      <c r="CM23343" s="336"/>
    </row>
    <row r="23344" spans="84:91" s="51" customFormat="1">
      <c r="CF23344" s="239"/>
      <c r="CM23344" s="336"/>
    </row>
    <row r="23345" spans="84:91" s="51" customFormat="1">
      <c r="CF23345" s="239"/>
      <c r="CM23345" s="336"/>
    </row>
    <row r="23346" spans="84:91" s="51" customFormat="1">
      <c r="CF23346" s="239"/>
      <c r="CM23346" s="336"/>
    </row>
    <row r="23347" spans="84:91" s="51" customFormat="1">
      <c r="CF23347" s="239"/>
      <c r="CM23347" s="336"/>
    </row>
    <row r="23348" spans="84:91" s="51" customFormat="1">
      <c r="CF23348" s="239"/>
      <c r="CM23348" s="336"/>
    </row>
    <row r="23349" spans="84:91" s="51" customFormat="1">
      <c r="CF23349" s="239"/>
      <c r="CM23349" s="336"/>
    </row>
    <row r="23350" spans="84:91" s="51" customFormat="1">
      <c r="CF23350" s="239"/>
      <c r="CM23350" s="336"/>
    </row>
    <row r="23351" spans="84:91" s="51" customFormat="1">
      <c r="CF23351" s="239"/>
      <c r="CM23351" s="336"/>
    </row>
    <row r="23352" spans="84:91" s="51" customFormat="1">
      <c r="CF23352" s="239"/>
      <c r="CM23352" s="336"/>
    </row>
    <row r="23353" spans="84:91" s="51" customFormat="1">
      <c r="CF23353" s="239"/>
      <c r="CM23353" s="336"/>
    </row>
    <row r="23354" spans="84:91" s="51" customFormat="1">
      <c r="CF23354" s="239"/>
      <c r="CM23354" s="336"/>
    </row>
    <row r="23355" spans="84:91" s="51" customFormat="1">
      <c r="CF23355" s="239"/>
      <c r="CM23355" s="336"/>
    </row>
    <row r="23356" spans="84:91" s="51" customFormat="1">
      <c r="CF23356" s="239"/>
      <c r="CM23356" s="336"/>
    </row>
    <row r="23357" spans="84:91" s="51" customFormat="1">
      <c r="CF23357" s="239"/>
      <c r="CM23357" s="336"/>
    </row>
    <row r="23358" spans="84:91" s="51" customFormat="1">
      <c r="CF23358" s="239"/>
      <c r="CM23358" s="336"/>
    </row>
    <row r="23359" spans="84:91" s="51" customFormat="1">
      <c r="CF23359" s="239"/>
      <c r="CM23359" s="336"/>
    </row>
    <row r="23360" spans="84:91" s="51" customFormat="1">
      <c r="CF23360" s="239"/>
      <c r="CM23360" s="336"/>
    </row>
    <row r="23361" spans="84:91" s="51" customFormat="1">
      <c r="CF23361" s="239"/>
      <c r="CM23361" s="336"/>
    </row>
    <row r="23362" spans="84:91" s="51" customFormat="1">
      <c r="CF23362" s="239"/>
      <c r="CM23362" s="336"/>
    </row>
    <row r="23363" spans="84:91" s="51" customFormat="1">
      <c r="CF23363" s="239"/>
      <c r="CM23363" s="336"/>
    </row>
    <row r="23364" spans="84:91" s="51" customFormat="1">
      <c r="CF23364" s="239"/>
      <c r="CM23364" s="336"/>
    </row>
    <row r="23365" spans="84:91" s="51" customFormat="1">
      <c r="CF23365" s="239"/>
      <c r="CM23365" s="336"/>
    </row>
    <row r="23366" spans="84:91" s="51" customFormat="1">
      <c r="CF23366" s="239"/>
      <c r="CM23366" s="336"/>
    </row>
    <row r="23367" spans="84:91" s="51" customFormat="1">
      <c r="CF23367" s="239"/>
      <c r="CM23367" s="336"/>
    </row>
    <row r="23368" spans="84:91" s="51" customFormat="1">
      <c r="CF23368" s="239"/>
      <c r="CM23368" s="336"/>
    </row>
    <row r="23369" spans="84:91" s="51" customFormat="1">
      <c r="CF23369" s="239"/>
      <c r="CM23369" s="336"/>
    </row>
    <row r="23370" spans="84:91" s="51" customFormat="1">
      <c r="CF23370" s="239"/>
      <c r="CM23370" s="336"/>
    </row>
    <row r="23371" spans="84:91" s="51" customFormat="1">
      <c r="CF23371" s="239"/>
      <c r="CM23371" s="336"/>
    </row>
    <row r="23372" spans="84:91" s="51" customFormat="1">
      <c r="CF23372" s="239"/>
      <c r="CM23372" s="336"/>
    </row>
    <row r="23373" spans="84:91" s="51" customFormat="1">
      <c r="CF23373" s="239"/>
      <c r="CM23373" s="336"/>
    </row>
    <row r="23374" spans="84:91" s="51" customFormat="1">
      <c r="CF23374" s="239"/>
      <c r="CM23374" s="336"/>
    </row>
    <row r="23375" spans="84:91" s="51" customFormat="1">
      <c r="CF23375" s="239"/>
      <c r="CM23375" s="336"/>
    </row>
    <row r="23376" spans="84:91" s="51" customFormat="1">
      <c r="CF23376" s="239"/>
      <c r="CM23376" s="336"/>
    </row>
    <row r="23377" spans="84:91" s="51" customFormat="1">
      <c r="CF23377" s="239"/>
      <c r="CM23377" s="336"/>
    </row>
    <row r="23378" spans="84:91" s="51" customFormat="1">
      <c r="CF23378" s="239"/>
      <c r="CM23378" s="336"/>
    </row>
    <row r="23379" spans="84:91" s="51" customFormat="1">
      <c r="CF23379" s="239"/>
      <c r="CM23379" s="336"/>
    </row>
    <row r="23380" spans="84:91" s="51" customFormat="1">
      <c r="CF23380" s="239"/>
      <c r="CM23380" s="336"/>
    </row>
    <row r="23381" spans="84:91" s="51" customFormat="1">
      <c r="CF23381" s="239"/>
      <c r="CM23381" s="336"/>
    </row>
    <row r="23382" spans="84:91" s="51" customFormat="1">
      <c r="CF23382" s="239"/>
      <c r="CM23382" s="336"/>
    </row>
    <row r="23383" spans="84:91" s="51" customFormat="1">
      <c r="CF23383" s="239"/>
      <c r="CM23383" s="336"/>
    </row>
    <row r="23384" spans="84:91" s="51" customFormat="1">
      <c r="CF23384" s="239"/>
      <c r="CM23384" s="336"/>
    </row>
    <row r="23385" spans="84:91" s="51" customFormat="1">
      <c r="CF23385" s="239"/>
      <c r="CM23385" s="336"/>
    </row>
    <row r="23386" spans="84:91" s="51" customFormat="1">
      <c r="CF23386" s="239"/>
      <c r="CM23386" s="336"/>
    </row>
    <row r="23387" spans="84:91" s="51" customFormat="1">
      <c r="CF23387" s="239"/>
      <c r="CM23387" s="336"/>
    </row>
    <row r="23388" spans="84:91" s="51" customFormat="1">
      <c r="CF23388" s="239"/>
      <c r="CM23388" s="336"/>
    </row>
    <row r="23389" spans="84:91" s="51" customFormat="1">
      <c r="CF23389" s="239"/>
      <c r="CM23389" s="336"/>
    </row>
    <row r="23390" spans="84:91" s="51" customFormat="1">
      <c r="CF23390" s="239"/>
      <c r="CM23390" s="336"/>
    </row>
    <row r="23391" spans="84:91" s="51" customFormat="1">
      <c r="CF23391" s="239"/>
      <c r="CM23391" s="336"/>
    </row>
    <row r="23392" spans="84:91" s="51" customFormat="1">
      <c r="CF23392" s="239"/>
      <c r="CM23392" s="336"/>
    </row>
    <row r="23393" spans="84:91" s="51" customFormat="1">
      <c r="CF23393" s="239"/>
      <c r="CM23393" s="336"/>
    </row>
    <row r="23394" spans="84:91" s="51" customFormat="1">
      <c r="CF23394" s="239"/>
      <c r="CM23394" s="336"/>
    </row>
    <row r="23395" spans="84:91" s="51" customFormat="1">
      <c r="CF23395" s="239"/>
      <c r="CM23395" s="336"/>
    </row>
    <row r="23396" spans="84:91" s="51" customFormat="1">
      <c r="CF23396" s="239"/>
      <c r="CM23396" s="336"/>
    </row>
    <row r="23397" spans="84:91" s="51" customFormat="1">
      <c r="CF23397" s="239"/>
      <c r="CM23397" s="336"/>
    </row>
    <row r="23398" spans="84:91" s="51" customFormat="1">
      <c r="CF23398" s="239"/>
      <c r="CM23398" s="336"/>
    </row>
    <row r="23399" spans="84:91" s="51" customFormat="1">
      <c r="CF23399" s="239"/>
      <c r="CM23399" s="336"/>
    </row>
    <row r="23400" spans="84:91" s="51" customFormat="1">
      <c r="CF23400" s="239"/>
      <c r="CM23400" s="336"/>
    </row>
    <row r="23401" spans="84:91" s="51" customFormat="1">
      <c r="CF23401" s="239"/>
      <c r="CM23401" s="336"/>
    </row>
    <row r="23402" spans="84:91" s="51" customFormat="1">
      <c r="CF23402" s="239"/>
      <c r="CM23402" s="336"/>
    </row>
    <row r="23403" spans="84:91" s="51" customFormat="1">
      <c r="CF23403" s="239"/>
      <c r="CM23403" s="336"/>
    </row>
    <row r="23404" spans="84:91" s="51" customFormat="1">
      <c r="CF23404" s="239"/>
      <c r="CM23404" s="336"/>
    </row>
    <row r="23405" spans="84:91" s="51" customFormat="1">
      <c r="CF23405" s="239"/>
      <c r="CM23405" s="336"/>
    </row>
    <row r="23406" spans="84:91" s="51" customFormat="1">
      <c r="CF23406" s="239"/>
      <c r="CM23406" s="336"/>
    </row>
    <row r="23407" spans="84:91" s="51" customFormat="1">
      <c r="CF23407" s="239"/>
      <c r="CM23407" s="336"/>
    </row>
    <row r="23408" spans="84:91" s="51" customFormat="1">
      <c r="CF23408" s="239"/>
      <c r="CM23408" s="336"/>
    </row>
    <row r="23409" spans="84:91" s="51" customFormat="1">
      <c r="CF23409" s="239"/>
      <c r="CM23409" s="336"/>
    </row>
    <row r="23410" spans="84:91" s="51" customFormat="1">
      <c r="CF23410" s="239"/>
      <c r="CM23410" s="336"/>
    </row>
    <row r="23411" spans="84:91" s="51" customFormat="1">
      <c r="CF23411" s="239"/>
      <c r="CM23411" s="336"/>
    </row>
    <row r="23412" spans="84:91" s="51" customFormat="1">
      <c r="CF23412" s="239"/>
      <c r="CM23412" s="336"/>
    </row>
    <row r="23413" spans="84:91" s="51" customFormat="1">
      <c r="CF23413" s="239"/>
      <c r="CM23413" s="336"/>
    </row>
    <row r="23414" spans="84:91" s="51" customFormat="1">
      <c r="CF23414" s="239"/>
      <c r="CM23414" s="336"/>
    </row>
    <row r="23415" spans="84:91" s="51" customFormat="1">
      <c r="CF23415" s="239"/>
      <c r="CM23415" s="336"/>
    </row>
    <row r="23416" spans="84:91" s="51" customFormat="1">
      <c r="CF23416" s="239"/>
      <c r="CM23416" s="336"/>
    </row>
    <row r="23417" spans="84:91" s="51" customFormat="1">
      <c r="CF23417" s="239"/>
      <c r="CM23417" s="336"/>
    </row>
    <row r="23418" spans="84:91" s="51" customFormat="1">
      <c r="CF23418" s="239"/>
      <c r="CM23418" s="336"/>
    </row>
    <row r="23419" spans="84:91" s="51" customFormat="1">
      <c r="CF23419" s="239"/>
      <c r="CM23419" s="336"/>
    </row>
    <row r="23420" spans="84:91" s="51" customFormat="1">
      <c r="CF23420" s="239"/>
      <c r="CM23420" s="336"/>
    </row>
    <row r="23421" spans="84:91" s="51" customFormat="1">
      <c r="CF23421" s="239"/>
      <c r="CM23421" s="336"/>
    </row>
    <row r="23422" spans="84:91" s="51" customFormat="1">
      <c r="CF23422" s="239"/>
      <c r="CM23422" s="336"/>
    </row>
    <row r="23423" spans="84:91" s="51" customFormat="1">
      <c r="CF23423" s="239"/>
      <c r="CM23423" s="336"/>
    </row>
    <row r="23424" spans="84:91" s="51" customFormat="1">
      <c r="CF23424" s="239"/>
      <c r="CM23424" s="336"/>
    </row>
    <row r="23425" spans="84:91" s="51" customFormat="1">
      <c r="CF23425" s="239"/>
      <c r="CM23425" s="336"/>
    </row>
    <row r="23426" spans="84:91" s="51" customFormat="1">
      <c r="CF23426" s="239"/>
      <c r="CM23426" s="336"/>
    </row>
    <row r="23427" spans="84:91" s="51" customFormat="1">
      <c r="CF23427" s="239"/>
      <c r="CM23427" s="336"/>
    </row>
    <row r="23428" spans="84:91" s="51" customFormat="1">
      <c r="CF23428" s="239"/>
      <c r="CM23428" s="336"/>
    </row>
    <row r="23429" spans="84:91" s="51" customFormat="1">
      <c r="CF23429" s="239"/>
      <c r="CM23429" s="336"/>
    </row>
    <row r="23430" spans="84:91" s="51" customFormat="1">
      <c r="CF23430" s="239"/>
      <c r="CM23430" s="336"/>
    </row>
    <row r="23431" spans="84:91" s="51" customFormat="1">
      <c r="CF23431" s="239"/>
      <c r="CM23431" s="336"/>
    </row>
    <row r="23432" spans="84:91" s="51" customFormat="1">
      <c r="CF23432" s="239"/>
      <c r="CM23432" s="336"/>
    </row>
    <row r="23433" spans="84:91" s="51" customFormat="1">
      <c r="CF23433" s="239"/>
      <c r="CM23433" s="336"/>
    </row>
    <row r="23434" spans="84:91" s="51" customFormat="1">
      <c r="CF23434" s="239"/>
      <c r="CM23434" s="336"/>
    </row>
    <row r="23435" spans="84:91" s="51" customFormat="1">
      <c r="CF23435" s="239"/>
      <c r="CM23435" s="336"/>
    </row>
    <row r="23436" spans="84:91" s="51" customFormat="1">
      <c r="CF23436" s="239"/>
      <c r="CM23436" s="336"/>
    </row>
    <row r="23437" spans="84:91" s="51" customFormat="1">
      <c r="CF23437" s="239"/>
      <c r="CM23437" s="336"/>
    </row>
    <row r="23438" spans="84:91" s="51" customFormat="1">
      <c r="CF23438" s="239"/>
      <c r="CM23438" s="336"/>
    </row>
    <row r="23439" spans="84:91" s="51" customFormat="1">
      <c r="CF23439" s="239"/>
      <c r="CM23439" s="336"/>
    </row>
    <row r="23440" spans="84:91" s="51" customFormat="1">
      <c r="CF23440" s="239"/>
      <c r="CM23440" s="336"/>
    </row>
    <row r="23441" spans="84:91" s="51" customFormat="1">
      <c r="CF23441" s="239"/>
      <c r="CM23441" s="336"/>
    </row>
    <row r="23442" spans="84:91" s="51" customFormat="1">
      <c r="CF23442" s="239"/>
      <c r="CM23442" s="336"/>
    </row>
    <row r="23443" spans="84:91" s="51" customFormat="1">
      <c r="CF23443" s="239"/>
      <c r="CM23443" s="336"/>
    </row>
    <row r="23444" spans="84:91" s="51" customFormat="1">
      <c r="CF23444" s="239"/>
      <c r="CM23444" s="336"/>
    </row>
    <row r="23445" spans="84:91" s="51" customFormat="1">
      <c r="CF23445" s="239"/>
      <c r="CM23445" s="336"/>
    </row>
    <row r="23446" spans="84:91" s="51" customFormat="1">
      <c r="CF23446" s="239"/>
      <c r="CM23446" s="336"/>
    </row>
    <row r="23447" spans="84:91" s="51" customFormat="1">
      <c r="CF23447" s="239"/>
      <c r="CM23447" s="336"/>
    </row>
    <row r="23448" spans="84:91" s="51" customFormat="1">
      <c r="CF23448" s="239"/>
      <c r="CM23448" s="336"/>
    </row>
    <row r="23449" spans="84:91" s="51" customFormat="1">
      <c r="CF23449" s="239"/>
      <c r="CM23449" s="336"/>
    </row>
    <row r="23450" spans="84:91" s="51" customFormat="1">
      <c r="CF23450" s="239"/>
      <c r="CM23450" s="336"/>
    </row>
    <row r="23451" spans="84:91" s="51" customFormat="1">
      <c r="CF23451" s="239"/>
      <c r="CM23451" s="336"/>
    </row>
    <row r="23452" spans="84:91" s="51" customFormat="1">
      <c r="CF23452" s="239"/>
      <c r="CM23452" s="336"/>
    </row>
    <row r="23453" spans="84:91" s="51" customFormat="1">
      <c r="CF23453" s="239"/>
      <c r="CM23453" s="336"/>
    </row>
    <row r="23454" spans="84:91" s="51" customFormat="1">
      <c r="CF23454" s="239"/>
      <c r="CM23454" s="336"/>
    </row>
    <row r="23455" spans="84:91" s="51" customFormat="1">
      <c r="CF23455" s="239"/>
      <c r="CM23455" s="336"/>
    </row>
    <row r="23456" spans="84:91" s="51" customFormat="1">
      <c r="CF23456" s="239"/>
      <c r="CM23456" s="336"/>
    </row>
    <row r="23457" spans="84:91" s="51" customFormat="1">
      <c r="CF23457" s="239"/>
      <c r="CM23457" s="336"/>
    </row>
    <row r="23458" spans="84:91" s="51" customFormat="1">
      <c r="CF23458" s="239"/>
      <c r="CM23458" s="336"/>
    </row>
    <row r="23459" spans="84:91" s="51" customFormat="1">
      <c r="CF23459" s="239"/>
      <c r="CM23459" s="336"/>
    </row>
    <row r="23460" spans="84:91" s="51" customFormat="1">
      <c r="CF23460" s="239"/>
      <c r="CM23460" s="336"/>
    </row>
    <row r="23461" spans="84:91" s="51" customFormat="1">
      <c r="CF23461" s="239"/>
      <c r="CM23461" s="336"/>
    </row>
    <row r="23462" spans="84:91" s="51" customFormat="1">
      <c r="CF23462" s="239"/>
      <c r="CM23462" s="336"/>
    </row>
    <row r="23463" spans="84:91" s="51" customFormat="1">
      <c r="CF23463" s="239"/>
      <c r="CM23463" s="336"/>
    </row>
    <row r="23464" spans="84:91" s="51" customFormat="1">
      <c r="CF23464" s="239"/>
      <c r="CM23464" s="336"/>
    </row>
    <row r="23465" spans="84:91" s="51" customFormat="1">
      <c r="CF23465" s="239"/>
      <c r="CM23465" s="336"/>
    </row>
    <row r="23466" spans="84:91" s="51" customFormat="1">
      <c r="CF23466" s="239"/>
      <c r="CM23466" s="336"/>
    </row>
    <row r="23467" spans="84:91" s="51" customFormat="1">
      <c r="CF23467" s="239"/>
      <c r="CM23467" s="336"/>
    </row>
    <row r="23468" spans="84:91" s="51" customFormat="1">
      <c r="CF23468" s="239"/>
      <c r="CM23468" s="336"/>
    </row>
    <row r="23469" spans="84:91" s="51" customFormat="1">
      <c r="CF23469" s="239"/>
      <c r="CM23469" s="336"/>
    </row>
    <row r="23470" spans="84:91" s="51" customFormat="1">
      <c r="CF23470" s="239"/>
      <c r="CM23470" s="336"/>
    </row>
    <row r="23471" spans="84:91" s="51" customFormat="1">
      <c r="CF23471" s="239"/>
      <c r="CM23471" s="336"/>
    </row>
    <row r="23472" spans="84:91" s="51" customFormat="1">
      <c r="CF23472" s="239"/>
      <c r="CM23472" s="336"/>
    </row>
    <row r="23473" spans="84:91" s="51" customFormat="1">
      <c r="CF23473" s="239"/>
      <c r="CM23473" s="336"/>
    </row>
    <row r="23474" spans="84:91" s="51" customFormat="1">
      <c r="CF23474" s="239"/>
      <c r="CM23474" s="336"/>
    </row>
    <row r="23475" spans="84:91" s="51" customFormat="1">
      <c r="CF23475" s="239"/>
      <c r="CM23475" s="336"/>
    </row>
    <row r="23476" spans="84:91" s="51" customFormat="1">
      <c r="CF23476" s="239"/>
      <c r="CM23476" s="336"/>
    </row>
    <row r="23477" spans="84:91" s="51" customFormat="1">
      <c r="CF23477" s="239"/>
      <c r="CM23477" s="336"/>
    </row>
    <row r="23478" spans="84:91" s="51" customFormat="1">
      <c r="CF23478" s="239"/>
      <c r="CM23478" s="336"/>
    </row>
    <row r="23479" spans="84:91" s="51" customFormat="1">
      <c r="CF23479" s="239"/>
      <c r="CM23479" s="336"/>
    </row>
    <row r="23480" spans="84:91" s="51" customFormat="1">
      <c r="CF23480" s="239"/>
      <c r="CM23480" s="336"/>
    </row>
    <row r="23481" spans="84:91" s="51" customFormat="1">
      <c r="CF23481" s="239"/>
      <c r="CM23481" s="336"/>
    </row>
    <row r="23482" spans="84:91" s="51" customFormat="1">
      <c r="CF23482" s="239"/>
      <c r="CM23482" s="336"/>
    </row>
    <row r="23483" spans="84:91" s="51" customFormat="1">
      <c r="CF23483" s="239"/>
      <c r="CM23483" s="336"/>
    </row>
    <row r="23484" spans="84:91" s="51" customFormat="1">
      <c r="CF23484" s="239"/>
      <c r="CM23484" s="336"/>
    </row>
    <row r="23485" spans="84:91" s="51" customFormat="1">
      <c r="CF23485" s="239"/>
      <c r="CM23485" s="336"/>
    </row>
    <row r="23486" spans="84:91" s="51" customFormat="1">
      <c r="CF23486" s="239"/>
      <c r="CM23486" s="336"/>
    </row>
    <row r="23487" spans="84:91" s="51" customFormat="1">
      <c r="CF23487" s="239"/>
      <c r="CM23487" s="336"/>
    </row>
    <row r="23488" spans="84:91" s="51" customFormat="1">
      <c r="CF23488" s="239"/>
      <c r="CM23488" s="336"/>
    </row>
    <row r="23489" spans="84:91" s="51" customFormat="1">
      <c r="CF23489" s="239"/>
      <c r="CM23489" s="336"/>
    </row>
    <row r="23490" spans="84:91" s="51" customFormat="1">
      <c r="CF23490" s="239"/>
      <c r="CM23490" s="336"/>
    </row>
    <row r="23491" spans="84:91" s="51" customFormat="1">
      <c r="CF23491" s="239"/>
      <c r="CM23491" s="336"/>
    </row>
    <row r="23492" spans="84:91" s="51" customFormat="1">
      <c r="CF23492" s="239"/>
      <c r="CM23492" s="336"/>
    </row>
    <row r="23493" spans="84:91" s="51" customFormat="1">
      <c r="CF23493" s="239"/>
      <c r="CM23493" s="336"/>
    </row>
    <row r="23494" spans="84:91" s="51" customFormat="1">
      <c r="CF23494" s="239"/>
      <c r="CM23494" s="336"/>
    </row>
    <row r="23495" spans="84:91" s="51" customFormat="1">
      <c r="CF23495" s="239"/>
      <c r="CM23495" s="336"/>
    </row>
    <row r="23496" spans="84:91" s="51" customFormat="1">
      <c r="CF23496" s="239"/>
      <c r="CM23496" s="336"/>
    </row>
    <row r="23497" spans="84:91" s="51" customFormat="1">
      <c r="CF23497" s="239"/>
      <c r="CM23497" s="336"/>
    </row>
    <row r="23498" spans="84:91" s="51" customFormat="1">
      <c r="CF23498" s="239"/>
      <c r="CM23498" s="336"/>
    </row>
    <row r="23499" spans="84:91" s="51" customFormat="1">
      <c r="CF23499" s="239"/>
      <c r="CM23499" s="336"/>
    </row>
    <row r="23500" spans="84:91" s="51" customFormat="1">
      <c r="CF23500" s="239"/>
      <c r="CM23500" s="336"/>
    </row>
    <row r="23501" spans="84:91" s="51" customFormat="1">
      <c r="CF23501" s="239"/>
      <c r="CM23501" s="336"/>
    </row>
    <row r="23502" spans="84:91" s="51" customFormat="1">
      <c r="CF23502" s="239"/>
      <c r="CM23502" s="336"/>
    </row>
    <row r="23503" spans="84:91" s="51" customFormat="1">
      <c r="CF23503" s="239"/>
      <c r="CM23503" s="336"/>
    </row>
    <row r="23504" spans="84:91" s="51" customFormat="1">
      <c r="CF23504" s="239"/>
      <c r="CM23504" s="336"/>
    </row>
    <row r="23505" spans="84:91" s="51" customFormat="1">
      <c r="CF23505" s="239"/>
      <c r="CM23505" s="336"/>
    </row>
    <row r="23506" spans="84:91" s="51" customFormat="1">
      <c r="CF23506" s="239"/>
      <c r="CM23506" s="336"/>
    </row>
    <row r="23507" spans="84:91" s="51" customFormat="1">
      <c r="CF23507" s="239"/>
      <c r="CM23507" s="336"/>
    </row>
    <row r="23508" spans="84:91" s="51" customFormat="1">
      <c r="CF23508" s="239"/>
      <c r="CM23508" s="336"/>
    </row>
    <row r="23509" spans="84:91" s="51" customFormat="1">
      <c r="CF23509" s="239"/>
      <c r="CM23509" s="336"/>
    </row>
    <row r="23510" spans="84:91" s="51" customFormat="1">
      <c r="CF23510" s="239"/>
      <c r="CM23510" s="336"/>
    </row>
    <row r="23511" spans="84:91" s="51" customFormat="1">
      <c r="CF23511" s="239"/>
      <c r="CM23511" s="336"/>
    </row>
    <row r="23512" spans="84:91" s="51" customFormat="1">
      <c r="CF23512" s="239"/>
      <c r="CM23512" s="336"/>
    </row>
    <row r="23513" spans="84:91" s="51" customFormat="1">
      <c r="CF23513" s="239"/>
      <c r="CM23513" s="336"/>
    </row>
    <row r="23514" spans="84:91" s="51" customFormat="1">
      <c r="CF23514" s="239"/>
      <c r="CM23514" s="336"/>
    </row>
    <row r="23515" spans="84:91" s="51" customFormat="1">
      <c r="CF23515" s="239"/>
      <c r="CM23515" s="336"/>
    </row>
    <row r="23516" spans="84:91" s="51" customFormat="1">
      <c r="CF23516" s="239"/>
      <c r="CM23516" s="336"/>
    </row>
    <row r="23517" spans="84:91" s="51" customFormat="1">
      <c r="CF23517" s="239"/>
      <c r="CM23517" s="336"/>
    </row>
    <row r="23518" spans="84:91" s="51" customFormat="1">
      <c r="CF23518" s="239"/>
      <c r="CM23518" s="336"/>
    </row>
    <row r="23519" spans="84:91" s="51" customFormat="1">
      <c r="CF23519" s="239"/>
      <c r="CM23519" s="336"/>
    </row>
    <row r="23520" spans="84:91" s="51" customFormat="1">
      <c r="CF23520" s="239"/>
      <c r="CM23520" s="336"/>
    </row>
    <row r="23521" spans="84:91" s="51" customFormat="1">
      <c r="CF23521" s="239"/>
      <c r="CM23521" s="336"/>
    </row>
    <row r="23522" spans="84:91" s="51" customFormat="1">
      <c r="CF23522" s="239"/>
      <c r="CM23522" s="336"/>
    </row>
    <row r="23523" spans="84:91" s="51" customFormat="1">
      <c r="CF23523" s="239"/>
      <c r="CM23523" s="336"/>
    </row>
    <row r="23524" spans="84:91" s="51" customFormat="1">
      <c r="CF23524" s="239"/>
      <c r="CM23524" s="336"/>
    </row>
    <row r="23525" spans="84:91" s="51" customFormat="1">
      <c r="CF23525" s="239"/>
      <c r="CM23525" s="336"/>
    </row>
    <row r="23526" spans="84:91" s="51" customFormat="1">
      <c r="CF23526" s="239"/>
      <c r="CM23526" s="336"/>
    </row>
    <row r="23527" spans="84:91" s="51" customFormat="1">
      <c r="CF23527" s="239"/>
      <c r="CM23527" s="336"/>
    </row>
    <row r="23528" spans="84:91" s="51" customFormat="1">
      <c r="CF23528" s="239"/>
      <c r="CM23528" s="336"/>
    </row>
    <row r="23529" spans="84:91" s="51" customFormat="1">
      <c r="CF23529" s="239"/>
      <c r="CM23529" s="336"/>
    </row>
    <row r="23530" spans="84:91" s="51" customFormat="1">
      <c r="CF23530" s="239"/>
      <c r="CM23530" s="336"/>
    </row>
    <row r="23531" spans="84:91" s="51" customFormat="1">
      <c r="CF23531" s="239"/>
      <c r="CM23531" s="336"/>
    </row>
    <row r="23532" spans="84:91" s="51" customFormat="1">
      <c r="CF23532" s="239"/>
      <c r="CM23532" s="336"/>
    </row>
    <row r="23533" spans="84:91" s="51" customFormat="1">
      <c r="CF23533" s="239"/>
      <c r="CM23533" s="336"/>
    </row>
    <row r="23534" spans="84:91" s="51" customFormat="1">
      <c r="CF23534" s="239"/>
      <c r="CM23534" s="336"/>
    </row>
    <row r="23535" spans="84:91" s="51" customFormat="1">
      <c r="CF23535" s="239"/>
      <c r="CM23535" s="336"/>
    </row>
    <row r="23536" spans="84:91" s="51" customFormat="1">
      <c r="CF23536" s="239"/>
      <c r="CM23536" s="336"/>
    </row>
    <row r="23537" spans="84:91" s="51" customFormat="1">
      <c r="CF23537" s="239"/>
      <c r="CM23537" s="336"/>
    </row>
    <row r="23538" spans="84:91" s="51" customFormat="1">
      <c r="CF23538" s="239"/>
      <c r="CM23538" s="336"/>
    </row>
    <row r="23539" spans="84:91" s="51" customFormat="1">
      <c r="CF23539" s="239"/>
      <c r="CM23539" s="336"/>
    </row>
    <row r="23540" spans="84:91" s="51" customFormat="1">
      <c r="CF23540" s="239"/>
      <c r="CM23540" s="336"/>
    </row>
    <row r="23541" spans="84:91" s="51" customFormat="1">
      <c r="CF23541" s="239"/>
      <c r="CM23541" s="336"/>
    </row>
    <row r="23542" spans="84:91" s="51" customFormat="1">
      <c r="CF23542" s="239"/>
      <c r="CM23542" s="336"/>
    </row>
    <row r="23543" spans="84:91" s="51" customFormat="1">
      <c r="CF23543" s="239"/>
      <c r="CM23543" s="336"/>
    </row>
    <row r="23544" spans="84:91" s="51" customFormat="1">
      <c r="CF23544" s="239"/>
      <c r="CM23544" s="336"/>
    </row>
    <row r="23545" spans="84:91" s="51" customFormat="1">
      <c r="CF23545" s="239"/>
      <c r="CM23545" s="336"/>
    </row>
    <row r="23546" spans="84:91" s="51" customFormat="1">
      <c r="CF23546" s="239"/>
      <c r="CM23546" s="336"/>
    </row>
    <row r="23547" spans="84:91" s="51" customFormat="1">
      <c r="CF23547" s="239"/>
      <c r="CM23547" s="336"/>
    </row>
    <row r="23548" spans="84:91" s="51" customFormat="1">
      <c r="CF23548" s="239"/>
      <c r="CM23548" s="336"/>
    </row>
    <row r="23549" spans="84:91" s="51" customFormat="1">
      <c r="CF23549" s="239"/>
      <c r="CM23549" s="336"/>
    </row>
    <row r="23550" spans="84:91" s="51" customFormat="1">
      <c r="CF23550" s="239"/>
      <c r="CM23550" s="336"/>
    </row>
    <row r="23551" spans="84:91" s="51" customFormat="1">
      <c r="CF23551" s="239"/>
      <c r="CM23551" s="336"/>
    </row>
    <row r="23552" spans="84:91" s="51" customFormat="1">
      <c r="CF23552" s="239"/>
      <c r="CM23552" s="336"/>
    </row>
    <row r="23553" spans="84:91" s="51" customFormat="1">
      <c r="CF23553" s="239"/>
      <c r="CM23553" s="336"/>
    </row>
    <row r="23554" spans="84:91" s="51" customFormat="1">
      <c r="CF23554" s="239"/>
      <c r="CM23554" s="336"/>
    </row>
    <row r="23555" spans="84:91" s="51" customFormat="1">
      <c r="CF23555" s="239"/>
      <c r="CM23555" s="336"/>
    </row>
    <row r="23556" spans="84:91" s="51" customFormat="1">
      <c r="CF23556" s="239"/>
      <c r="CM23556" s="336"/>
    </row>
    <row r="23557" spans="84:91" s="51" customFormat="1">
      <c r="CF23557" s="239"/>
      <c r="CM23557" s="336"/>
    </row>
    <row r="23558" spans="84:91" s="51" customFormat="1">
      <c r="CF23558" s="239"/>
      <c r="CM23558" s="336"/>
    </row>
    <row r="23559" spans="84:91" s="51" customFormat="1">
      <c r="CF23559" s="239"/>
      <c r="CM23559" s="336"/>
    </row>
    <row r="23560" spans="84:91" s="51" customFormat="1">
      <c r="CF23560" s="239"/>
      <c r="CM23560" s="336"/>
    </row>
    <row r="23561" spans="84:91" s="51" customFormat="1">
      <c r="CF23561" s="239"/>
      <c r="CM23561" s="336"/>
    </row>
    <row r="23562" spans="84:91" s="51" customFormat="1">
      <c r="CF23562" s="239"/>
      <c r="CM23562" s="336"/>
    </row>
    <row r="23563" spans="84:91" s="51" customFormat="1">
      <c r="CF23563" s="239"/>
      <c r="CM23563" s="336"/>
    </row>
    <row r="23564" spans="84:91" s="51" customFormat="1">
      <c r="CF23564" s="239"/>
      <c r="CM23564" s="336"/>
    </row>
    <row r="23565" spans="84:91" s="51" customFormat="1">
      <c r="CF23565" s="239"/>
      <c r="CM23565" s="336"/>
    </row>
    <row r="23566" spans="84:91" s="51" customFormat="1">
      <c r="CF23566" s="239"/>
      <c r="CM23566" s="336"/>
    </row>
    <row r="23567" spans="84:91" s="51" customFormat="1">
      <c r="CF23567" s="239"/>
      <c r="CM23567" s="336"/>
    </row>
    <row r="23568" spans="84:91" s="51" customFormat="1">
      <c r="CF23568" s="239"/>
      <c r="CM23568" s="336"/>
    </row>
    <row r="23569" spans="84:91" s="51" customFormat="1">
      <c r="CF23569" s="239"/>
      <c r="CM23569" s="336"/>
    </row>
    <row r="23570" spans="84:91" s="51" customFormat="1">
      <c r="CF23570" s="239"/>
      <c r="CM23570" s="336"/>
    </row>
    <row r="23571" spans="84:91" s="51" customFormat="1">
      <c r="CF23571" s="239"/>
      <c r="CM23571" s="336"/>
    </row>
    <row r="23572" spans="84:91" s="51" customFormat="1">
      <c r="CF23572" s="239"/>
      <c r="CM23572" s="336"/>
    </row>
    <row r="23573" spans="84:91" s="51" customFormat="1">
      <c r="CF23573" s="239"/>
      <c r="CM23573" s="336"/>
    </row>
    <row r="23574" spans="84:91" s="51" customFormat="1">
      <c r="CF23574" s="239"/>
      <c r="CM23574" s="336"/>
    </row>
    <row r="23575" spans="84:91" s="51" customFormat="1">
      <c r="CF23575" s="239"/>
      <c r="CM23575" s="336"/>
    </row>
    <row r="23576" spans="84:91" s="51" customFormat="1">
      <c r="CF23576" s="239"/>
      <c r="CM23576" s="336"/>
    </row>
    <row r="23577" spans="84:91" s="51" customFormat="1">
      <c r="CF23577" s="239"/>
      <c r="CM23577" s="336"/>
    </row>
    <row r="23578" spans="84:91" s="51" customFormat="1">
      <c r="CF23578" s="239"/>
      <c r="CM23578" s="336"/>
    </row>
    <row r="23579" spans="84:91" s="51" customFormat="1">
      <c r="CF23579" s="239"/>
      <c r="CM23579" s="336"/>
    </row>
    <row r="23580" spans="84:91" s="51" customFormat="1">
      <c r="CF23580" s="239"/>
      <c r="CM23580" s="336"/>
    </row>
    <row r="23581" spans="84:91" s="51" customFormat="1">
      <c r="CF23581" s="239"/>
      <c r="CM23581" s="336"/>
    </row>
    <row r="23582" spans="84:91" s="51" customFormat="1">
      <c r="CF23582" s="239"/>
      <c r="CM23582" s="336"/>
    </row>
    <row r="23583" spans="84:91" s="51" customFormat="1">
      <c r="CF23583" s="239"/>
      <c r="CM23583" s="336"/>
    </row>
    <row r="23584" spans="84:91" s="51" customFormat="1">
      <c r="CF23584" s="239"/>
      <c r="CM23584" s="336"/>
    </row>
    <row r="23585" spans="84:91" s="51" customFormat="1">
      <c r="CF23585" s="239"/>
      <c r="CM23585" s="336"/>
    </row>
    <row r="23586" spans="84:91" s="51" customFormat="1">
      <c r="CF23586" s="239"/>
      <c r="CM23586" s="336"/>
    </row>
    <row r="23587" spans="84:91" s="51" customFormat="1">
      <c r="CF23587" s="239"/>
      <c r="CM23587" s="336"/>
    </row>
    <row r="23588" spans="84:91" s="51" customFormat="1">
      <c r="CF23588" s="239"/>
      <c r="CM23588" s="336"/>
    </row>
    <row r="23589" spans="84:91" s="51" customFormat="1">
      <c r="CF23589" s="239"/>
      <c r="CM23589" s="336"/>
    </row>
    <row r="23590" spans="84:91" s="51" customFormat="1">
      <c r="CF23590" s="239"/>
      <c r="CM23590" s="336"/>
    </row>
    <row r="23591" spans="84:91" s="51" customFormat="1">
      <c r="CF23591" s="239"/>
      <c r="CM23591" s="336"/>
    </row>
    <row r="23592" spans="84:91" s="51" customFormat="1">
      <c r="CF23592" s="239"/>
      <c r="CM23592" s="336"/>
    </row>
    <row r="23593" spans="84:91" s="51" customFormat="1">
      <c r="CF23593" s="239"/>
      <c r="CM23593" s="336"/>
    </row>
    <row r="23594" spans="84:91" s="51" customFormat="1">
      <c r="CF23594" s="239"/>
      <c r="CM23594" s="336"/>
    </row>
    <row r="23595" spans="84:91" s="51" customFormat="1">
      <c r="CF23595" s="239"/>
      <c r="CM23595" s="336"/>
    </row>
    <row r="23596" spans="84:91" s="51" customFormat="1">
      <c r="CF23596" s="239"/>
      <c r="CM23596" s="336"/>
    </row>
    <row r="23597" spans="84:91" s="51" customFormat="1">
      <c r="CF23597" s="239"/>
      <c r="CM23597" s="336"/>
    </row>
    <row r="23598" spans="84:91" s="51" customFormat="1">
      <c r="CF23598" s="239"/>
      <c r="CM23598" s="336"/>
    </row>
    <row r="23599" spans="84:91" s="51" customFormat="1">
      <c r="CF23599" s="239"/>
      <c r="CM23599" s="336"/>
    </row>
    <row r="23600" spans="84:91" s="51" customFormat="1">
      <c r="CF23600" s="239"/>
      <c r="CM23600" s="336"/>
    </row>
    <row r="23601" spans="84:91" s="51" customFormat="1">
      <c r="CF23601" s="239"/>
      <c r="CM23601" s="336"/>
    </row>
    <row r="23602" spans="84:91" s="51" customFormat="1">
      <c r="CF23602" s="239"/>
      <c r="CM23602" s="336"/>
    </row>
    <row r="23603" spans="84:91" s="51" customFormat="1">
      <c r="CF23603" s="239"/>
      <c r="CM23603" s="336"/>
    </row>
    <row r="23604" spans="84:91" s="51" customFormat="1">
      <c r="CF23604" s="239"/>
      <c r="CM23604" s="336"/>
    </row>
    <row r="23605" spans="84:91" s="51" customFormat="1">
      <c r="CF23605" s="239"/>
      <c r="CM23605" s="336"/>
    </row>
    <row r="23606" spans="84:91" s="51" customFormat="1">
      <c r="CF23606" s="239"/>
      <c r="CM23606" s="336"/>
    </row>
    <row r="23607" spans="84:91" s="51" customFormat="1">
      <c r="CF23607" s="239"/>
      <c r="CM23607" s="336"/>
    </row>
    <row r="23608" spans="84:91" s="51" customFormat="1">
      <c r="CF23608" s="239"/>
      <c r="CM23608" s="336"/>
    </row>
    <row r="23609" spans="84:91" s="51" customFormat="1">
      <c r="CF23609" s="239"/>
      <c r="CM23609" s="336"/>
    </row>
    <row r="23610" spans="84:91" s="51" customFormat="1">
      <c r="CF23610" s="239"/>
      <c r="CM23610" s="336"/>
    </row>
    <row r="23611" spans="84:91" s="51" customFormat="1">
      <c r="CF23611" s="239"/>
      <c r="CM23611" s="336"/>
    </row>
    <row r="23612" spans="84:91" s="51" customFormat="1">
      <c r="CF23612" s="239"/>
      <c r="CM23612" s="336"/>
    </row>
    <row r="23613" spans="84:91" s="51" customFormat="1">
      <c r="CF23613" s="239"/>
      <c r="CM23613" s="336"/>
    </row>
    <row r="23614" spans="84:91" s="51" customFormat="1">
      <c r="CF23614" s="239"/>
      <c r="CM23614" s="336"/>
    </row>
    <row r="23615" spans="84:91" s="51" customFormat="1">
      <c r="CF23615" s="239"/>
      <c r="CM23615" s="336"/>
    </row>
    <row r="23616" spans="84:91" s="51" customFormat="1">
      <c r="CF23616" s="239"/>
      <c r="CM23616" s="336"/>
    </row>
    <row r="23617" spans="84:91" s="51" customFormat="1">
      <c r="CF23617" s="239"/>
      <c r="CM23617" s="336"/>
    </row>
    <row r="23618" spans="84:91" s="51" customFormat="1">
      <c r="CF23618" s="239"/>
      <c r="CM23618" s="336"/>
    </row>
    <row r="23619" spans="84:91" s="51" customFormat="1">
      <c r="CF23619" s="239"/>
      <c r="CM23619" s="336"/>
    </row>
    <row r="23620" spans="84:91" s="51" customFormat="1">
      <c r="CF23620" s="239"/>
      <c r="CM23620" s="336"/>
    </row>
    <row r="23621" spans="84:91" s="51" customFormat="1">
      <c r="CF23621" s="239"/>
      <c r="CM23621" s="336"/>
    </row>
    <row r="23622" spans="84:91" s="51" customFormat="1">
      <c r="CF23622" s="239"/>
      <c r="CM23622" s="336"/>
    </row>
    <row r="23623" spans="84:91" s="51" customFormat="1">
      <c r="CF23623" s="239"/>
      <c r="CM23623" s="336"/>
    </row>
    <row r="23624" spans="84:91" s="51" customFormat="1">
      <c r="CF23624" s="239"/>
      <c r="CM23624" s="336"/>
    </row>
    <row r="23625" spans="84:91" s="51" customFormat="1">
      <c r="CF23625" s="239"/>
      <c r="CM23625" s="336"/>
    </row>
    <row r="23626" spans="84:91" s="51" customFormat="1">
      <c r="CF23626" s="239"/>
      <c r="CM23626" s="336"/>
    </row>
    <row r="23627" spans="84:91" s="51" customFormat="1">
      <c r="CF23627" s="239"/>
      <c r="CM23627" s="336"/>
    </row>
    <row r="23628" spans="84:91" s="51" customFormat="1">
      <c r="CF23628" s="239"/>
      <c r="CM23628" s="336"/>
    </row>
    <row r="23629" spans="84:91" s="51" customFormat="1">
      <c r="CF23629" s="239"/>
      <c r="CM23629" s="336"/>
    </row>
    <row r="23630" spans="84:91" s="51" customFormat="1">
      <c r="CF23630" s="239"/>
      <c r="CM23630" s="336"/>
    </row>
    <row r="23631" spans="84:91" s="51" customFormat="1">
      <c r="CF23631" s="239"/>
      <c r="CM23631" s="336"/>
    </row>
    <row r="23632" spans="84:91" s="51" customFormat="1">
      <c r="CF23632" s="239"/>
      <c r="CM23632" s="336"/>
    </row>
    <row r="23633" spans="84:91" s="51" customFormat="1">
      <c r="CF23633" s="239"/>
      <c r="CM23633" s="336"/>
    </row>
    <row r="23634" spans="84:91" s="51" customFormat="1">
      <c r="CF23634" s="239"/>
      <c r="CM23634" s="336"/>
    </row>
    <row r="23635" spans="84:91" s="51" customFormat="1">
      <c r="CF23635" s="239"/>
      <c r="CM23635" s="336"/>
    </row>
    <row r="23636" spans="84:91" s="51" customFormat="1">
      <c r="CF23636" s="239"/>
      <c r="CM23636" s="336"/>
    </row>
    <row r="23637" spans="84:91" s="51" customFormat="1">
      <c r="CF23637" s="239"/>
      <c r="CM23637" s="336"/>
    </row>
    <row r="23638" spans="84:91" s="51" customFormat="1">
      <c r="CF23638" s="239"/>
      <c r="CM23638" s="336"/>
    </row>
    <row r="23639" spans="84:91" s="51" customFormat="1">
      <c r="CF23639" s="239"/>
      <c r="CM23639" s="336"/>
    </row>
    <row r="23640" spans="84:91" s="51" customFormat="1">
      <c r="CF23640" s="239"/>
      <c r="CM23640" s="336"/>
    </row>
    <row r="23641" spans="84:91" s="51" customFormat="1">
      <c r="CF23641" s="239"/>
      <c r="CM23641" s="336"/>
    </row>
    <row r="23642" spans="84:91" s="51" customFormat="1">
      <c r="CF23642" s="239"/>
      <c r="CM23642" s="336"/>
    </row>
    <row r="23643" spans="84:91" s="51" customFormat="1">
      <c r="CF23643" s="239"/>
      <c r="CM23643" s="336"/>
    </row>
    <row r="23644" spans="84:91" s="51" customFormat="1">
      <c r="CF23644" s="239"/>
      <c r="CM23644" s="336"/>
    </row>
    <row r="23645" spans="84:91" s="51" customFormat="1">
      <c r="CF23645" s="239"/>
      <c r="CM23645" s="336"/>
    </row>
    <row r="23646" spans="84:91" s="51" customFormat="1">
      <c r="CF23646" s="239"/>
      <c r="CM23646" s="336"/>
    </row>
    <row r="23647" spans="84:91" s="51" customFormat="1">
      <c r="CF23647" s="239"/>
      <c r="CM23647" s="336"/>
    </row>
    <row r="23648" spans="84:91" s="51" customFormat="1">
      <c r="CF23648" s="239"/>
      <c r="CM23648" s="336"/>
    </row>
    <row r="23649" spans="84:91" s="51" customFormat="1">
      <c r="CF23649" s="239"/>
      <c r="CM23649" s="336"/>
    </row>
    <row r="23650" spans="84:91" s="51" customFormat="1">
      <c r="CF23650" s="239"/>
      <c r="CM23650" s="336"/>
    </row>
    <row r="23651" spans="84:91" s="51" customFormat="1">
      <c r="CF23651" s="239"/>
      <c r="CM23651" s="336"/>
    </row>
    <row r="23652" spans="84:91" s="51" customFormat="1">
      <c r="CF23652" s="239"/>
      <c r="CM23652" s="336"/>
    </row>
    <row r="23653" spans="84:91" s="51" customFormat="1">
      <c r="CF23653" s="239"/>
      <c r="CM23653" s="336"/>
    </row>
    <row r="23654" spans="84:91" s="51" customFormat="1">
      <c r="CF23654" s="239"/>
      <c r="CM23654" s="336"/>
    </row>
    <row r="23655" spans="84:91" s="51" customFormat="1">
      <c r="CF23655" s="239"/>
      <c r="CM23655" s="336"/>
    </row>
    <row r="23656" spans="84:91" s="51" customFormat="1">
      <c r="CF23656" s="239"/>
      <c r="CM23656" s="336"/>
    </row>
    <row r="23657" spans="84:91" s="51" customFormat="1">
      <c r="CF23657" s="239"/>
      <c r="CM23657" s="336"/>
    </row>
    <row r="23658" spans="84:91" s="51" customFormat="1">
      <c r="CF23658" s="239"/>
      <c r="CM23658" s="336"/>
    </row>
    <row r="23659" spans="84:91" s="51" customFormat="1">
      <c r="CF23659" s="239"/>
      <c r="CM23659" s="336"/>
    </row>
    <row r="23660" spans="84:91" s="51" customFormat="1">
      <c r="CF23660" s="239"/>
      <c r="CM23660" s="336"/>
    </row>
    <row r="23661" spans="84:91" s="51" customFormat="1">
      <c r="CF23661" s="239"/>
      <c r="CM23661" s="336"/>
    </row>
    <row r="23662" spans="84:91" s="51" customFormat="1">
      <c r="CF23662" s="239"/>
      <c r="CM23662" s="336"/>
    </row>
    <row r="23663" spans="84:91" s="51" customFormat="1">
      <c r="CF23663" s="239"/>
      <c r="CM23663" s="336"/>
    </row>
    <row r="23664" spans="84:91" s="51" customFormat="1">
      <c r="CF23664" s="239"/>
      <c r="CM23664" s="336"/>
    </row>
    <row r="23665" spans="84:91" s="51" customFormat="1">
      <c r="CF23665" s="239"/>
      <c r="CM23665" s="336"/>
    </row>
    <row r="23666" spans="84:91" s="51" customFormat="1">
      <c r="CF23666" s="239"/>
      <c r="CM23666" s="336"/>
    </row>
    <row r="23667" spans="84:91" s="51" customFormat="1">
      <c r="CF23667" s="239"/>
      <c r="CM23667" s="336"/>
    </row>
    <row r="23668" spans="84:91" s="51" customFormat="1">
      <c r="CF23668" s="239"/>
      <c r="CM23668" s="336"/>
    </row>
    <row r="23669" spans="84:91" s="51" customFormat="1">
      <c r="CF23669" s="239"/>
      <c r="CM23669" s="336"/>
    </row>
    <row r="23670" spans="84:91" s="51" customFormat="1">
      <c r="CF23670" s="239"/>
      <c r="CM23670" s="336"/>
    </row>
    <row r="23671" spans="84:91" s="51" customFormat="1">
      <c r="CF23671" s="239"/>
      <c r="CM23671" s="336"/>
    </row>
    <row r="23672" spans="84:91" s="51" customFormat="1">
      <c r="CF23672" s="239"/>
      <c r="CM23672" s="336"/>
    </row>
    <row r="23673" spans="84:91" s="51" customFormat="1">
      <c r="CF23673" s="239"/>
      <c r="CM23673" s="336"/>
    </row>
    <row r="23674" spans="84:91" s="51" customFormat="1">
      <c r="CF23674" s="239"/>
      <c r="CM23674" s="336"/>
    </row>
    <row r="23675" spans="84:91" s="51" customFormat="1">
      <c r="CF23675" s="239"/>
      <c r="CM23675" s="336"/>
    </row>
    <row r="23676" spans="84:91" s="51" customFormat="1">
      <c r="CF23676" s="239"/>
      <c r="CM23676" s="336"/>
    </row>
    <row r="23677" spans="84:91" s="51" customFormat="1">
      <c r="CF23677" s="239"/>
      <c r="CM23677" s="336"/>
    </row>
    <row r="23678" spans="84:91" s="51" customFormat="1">
      <c r="CF23678" s="239"/>
      <c r="CM23678" s="336"/>
    </row>
    <row r="23679" spans="84:91" s="51" customFormat="1">
      <c r="CF23679" s="239"/>
      <c r="CM23679" s="336"/>
    </row>
    <row r="23680" spans="84:91" s="51" customFormat="1">
      <c r="CF23680" s="239"/>
      <c r="CM23680" s="336"/>
    </row>
    <row r="23681" spans="84:91" s="51" customFormat="1">
      <c r="CF23681" s="239"/>
      <c r="CM23681" s="336"/>
    </row>
    <row r="23682" spans="84:91" s="51" customFormat="1">
      <c r="CF23682" s="239"/>
      <c r="CM23682" s="336"/>
    </row>
    <row r="23683" spans="84:91" s="51" customFormat="1">
      <c r="CF23683" s="239"/>
      <c r="CM23683" s="336"/>
    </row>
    <row r="23684" spans="84:91" s="51" customFormat="1">
      <c r="CF23684" s="239"/>
      <c r="CM23684" s="336"/>
    </row>
    <row r="23685" spans="84:91" s="51" customFormat="1">
      <c r="CF23685" s="239"/>
      <c r="CM23685" s="336"/>
    </row>
    <row r="23686" spans="84:91" s="51" customFormat="1">
      <c r="CF23686" s="239"/>
      <c r="CM23686" s="336"/>
    </row>
    <row r="23687" spans="84:91" s="51" customFormat="1">
      <c r="CF23687" s="239"/>
      <c r="CM23687" s="336"/>
    </row>
    <row r="23688" spans="84:91" s="51" customFormat="1">
      <c r="CF23688" s="239"/>
      <c r="CM23688" s="336"/>
    </row>
    <row r="23689" spans="84:91" s="51" customFormat="1">
      <c r="CF23689" s="239"/>
      <c r="CM23689" s="336"/>
    </row>
    <row r="23690" spans="84:91" s="51" customFormat="1">
      <c r="CF23690" s="239"/>
      <c r="CM23690" s="336"/>
    </row>
    <row r="23691" spans="84:91" s="51" customFormat="1">
      <c r="CF23691" s="239"/>
      <c r="CM23691" s="336"/>
    </row>
    <row r="23692" spans="84:91" s="51" customFormat="1">
      <c r="CF23692" s="239"/>
      <c r="CM23692" s="336"/>
    </row>
    <row r="23693" spans="84:91" s="51" customFormat="1">
      <c r="CF23693" s="239"/>
      <c r="CM23693" s="336"/>
    </row>
    <row r="23694" spans="84:91" s="51" customFormat="1">
      <c r="CF23694" s="239"/>
      <c r="CM23694" s="336"/>
    </row>
    <row r="23695" spans="84:91" s="51" customFormat="1">
      <c r="CF23695" s="239"/>
      <c r="CM23695" s="336"/>
    </row>
    <row r="23696" spans="84:91" s="51" customFormat="1">
      <c r="CF23696" s="239"/>
      <c r="CM23696" s="336"/>
    </row>
    <row r="23697" spans="84:91" s="51" customFormat="1">
      <c r="CF23697" s="239"/>
      <c r="CM23697" s="336"/>
    </row>
    <row r="23698" spans="84:91" s="51" customFormat="1">
      <c r="CF23698" s="239"/>
      <c r="CM23698" s="336"/>
    </row>
    <row r="23699" spans="84:91" s="51" customFormat="1">
      <c r="CF23699" s="239"/>
      <c r="CM23699" s="336"/>
    </row>
    <row r="23700" spans="84:91" s="51" customFormat="1">
      <c r="CF23700" s="239"/>
      <c r="CM23700" s="336"/>
    </row>
    <row r="23701" spans="84:91" s="51" customFormat="1">
      <c r="CF23701" s="239"/>
      <c r="CM23701" s="336"/>
    </row>
    <row r="23702" spans="84:91" s="51" customFormat="1">
      <c r="CF23702" s="239"/>
      <c r="CM23702" s="336"/>
    </row>
    <row r="23703" spans="84:91" s="51" customFormat="1">
      <c r="CF23703" s="239"/>
      <c r="CM23703" s="336"/>
    </row>
    <row r="23704" spans="84:91" s="51" customFormat="1">
      <c r="CF23704" s="239"/>
      <c r="CM23704" s="336"/>
    </row>
    <row r="23705" spans="84:91" s="51" customFormat="1">
      <c r="CF23705" s="239"/>
      <c r="CM23705" s="336"/>
    </row>
    <row r="23706" spans="84:91" s="51" customFormat="1">
      <c r="CF23706" s="239"/>
      <c r="CM23706" s="336"/>
    </row>
    <row r="23707" spans="84:91" s="51" customFormat="1">
      <c r="CF23707" s="239"/>
      <c r="CM23707" s="336"/>
    </row>
    <row r="23708" spans="84:91" s="51" customFormat="1">
      <c r="CF23708" s="239"/>
      <c r="CM23708" s="336"/>
    </row>
    <row r="23709" spans="84:91" s="51" customFormat="1">
      <c r="CF23709" s="239"/>
      <c r="CM23709" s="336"/>
    </row>
    <row r="23710" spans="84:91" s="51" customFormat="1">
      <c r="CF23710" s="239"/>
      <c r="CM23710" s="336"/>
    </row>
    <row r="23711" spans="84:91" s="51" customFormat="1">
      <c r="CF23711" s="239"/>
      <c r="CM23711" s="336"/>
    </row>
    <row r="23712" spans="84:91" s="51" customFormat="1">
      <c r="CF23712" s="239"/>
      <c r="CM23712" s="336"/>
    </row>
    <row r="23713" spans="84:91" s="51" customFormat="1">
      <c r="CF23713" s="239"/>
      <c r="CM23713" s="336"/>
    </row>
    <row r="23714" spans="84:91" s="51" customFormat="1">
      <c r="CF23714" s="239"/>
      <c r="CM23714" s="336"/>
    </row>
    <row r="23715" spans="84:91" s="51" customFormat="1">
      <c r="CF23715" s="239"/>
      <c r="CM23715" s="336"/>
    </row>
    <row r="23716" spans="84:91" s="51" customFormat="1">
      <c r="CF23716" s="239"/>
      <c r="CM23716" s="336"/>
    </row>
    <row r="23717" spans="84:91" s="51" customFormat="1">
      <c r="CF23717" s="239"/>
      <c r="CM23717" s="336"/>
    </row>
    <row r="23718" spans="84:91" s="51" customFormat="1">
      <c r="CF23718" s="239"/>
      <c r="CM23718" s="336"/>
    </row>
    <row r="23719" spans="84:91" s="51" customFormat="1">
      <c r="CF23719" s="239"/>
      <c r="CM23719" s="336"/>
    </row>
    <row r="23720" spans="84:91" s="51" customFormat="1">
      <c r="CF23720" s="239"/>
      <c r="CM23720" s="336"/>
    </row>
    <row r="23721" spans="84:91" s="51" customFormat="1">
      <c r="CF23721" s="239"/>
      <c r="CM23721" s="336"/>
    </row>
    <row r="23722" spans="84:91" s="51" customFormat="1">
      <c r="CF23722" s="239"/>
      <c r="CM23722" s="336"/>
    </row>
    <row r="23723" spans="84:91" s="51" customFormat="1">
      <c r="CF23723" s="239"/>
      <c r="CM23723" s="336"/>
    </row>
    <row r="23724" spans="84:91" s="51" customFormat="1">
      <c r="CF23724" s="239"/>
      <c r="CM23724" s="336"/>
    </row>
    <row r="23725" spans="84:91" s="51" customFormat="1">
      <c r="CF23725" s="239"/>
      <c r="CM23725" s="336"/>
    </row>
    <row r="23726" spans="84:91" s="51" customFormat="1">
      <c r="CF23726" s="239"/>
      <c r="CM23726" s="336"/>
    </row>
    <row r="23727" spans="84:91" s="51" customFormat="1">
      <c r="CF23727" s="239"/>
      <c r="CM23727" s="336"/>
    </row>
    <row r="23728" spans="84:91" s="51" customFormat="1">
      <c r="CF23728" s="239"/>
      <c r="CM23728" s="336"/>
    </row>
    <row r="23729" spans="84:91" s="51" customFormat="1">
      <c r="CF23729" s="239"/>
      <c r="CM23729" s="336"/>
    </row>
    <row r="23730" spans="84:91" s="51" customFormat="1">
      <c r="CF23730" s="239"/>
      <c r="CM23730" s="336"/>
    </row>
    <row r="23731" spans="84:91" s="51" customFormat="1">
      <c r="CF23731" s="239"/>
      <c r="CM23731" s="336"/>
    </row>
    <row r="23732" spans="84:91" s="51" customFormat="1">
      <c r="CF23732" s="239"/>
      <c r="CM23732" s="336"/>
    </row>
    <row r="23733" spans="84:91" s="51" customFormat="1">
      <c r="CF23733" s="239"/>
      <c r="CM23733" s="336"/>
    </row>
    <row r="23734" spans="84:91" s="51" customFormat="1">
      <c r="CF23734" s="239"/>
      <c r="CM23734" s="336"/>
    </row>
    <row r="23735" spans="84:91" s="51" customFormat="1">
      <c r="CF23735" s="239"/>
      <c r="CM23735" s="336"/>
    </row>
    <row r="23736" spans="84:91" s="51" customFormat="1">
      <c r="CF23736" s="239"/>
      <c r="CM23736" s="336"/>
    </row>
    <row r="23737" spans="84:91" s="51" customFormat="1">
      <c r="CF23737" s="239"/>
      <c r="CM23737" s="336"/>
    </row>
    <row r="23738" spans="84:91" s="51" customFormat="1">
      <c r="CF23738" s="239"/>
      <c r="CM23738" s="336"/>
    </row>
    <row r="23739" spans="84:91" s="51" customFormat="1">
      <c r="CF23739" s="239"/>
      <c r="CM23739" s="336"/>
    </row>
    <row r="23740" spans="84:91" s="51" customFormat="1">
      <c r="CF23740" s="239"/>
      <c r="CM23740" s="336"/>
    </row>
    <row r="23741" spans="84:91" s="51" customFormat="1">
      <c r="CF23741" s="239"/>
      <c r="CM23741" s="336"/>
    </row>
    <row r="23742" spans="84:91" s="51" customFormat="1">
      <c r="CF23742" s="239"/>
      <c r="CM23742" s="336"/>
    </row>
    <row r="23743" spans="84:91" s="51" customFormat="1">
      <c r="CF23743" s="239"/>
      <c r="CM23743" s="336"/>
    </row>
    <row r="23744" spans="84:91" s="51" customFormat="1">
      <c r="CF23744" s="239"/>
      <c r="CM23744" s="336"/>
    </row>
    <row r="23745" spans="84:91" s="51" customFormat="1">
      <c r="CF23745" s="239"/>
      <c r="CM23745" s="336"/>
    </row>
    <row r="23746" spans="84:91" s="51" customFormat="1">
      <c r="CF23746" s="239"/>
      <c r="CM23746" s="336"/>
    </row>
    <row r="23747" spans="84:91" s="51" customFormat="1">
      <c r="CF23747" s="239"/>
      <c r="CM23747" s="336"/>
    </row>
    <row r="23748" spans="84:91" s="51" customFormat="1">
      <c r="CF23748" s="239"/>
      <c r="CM23748" s="336"/>
    </row>
    <row r="23749" spans="84:91" s="51" customFormat="1">
      <c r="CF23749" s="239"/>
      <c r="CM23749" s="336"/>
    </row>
    <row r="23750" spans="84:91" s="51" customFormat="1">
      <c r="CF23750" s="239"/>
      <c r="CM23750" s="336"/>
    </row>
    <row r="23751" spans="84:91" s="51" customFormat="1">
      <c r="CF23751" s="239"/>
      <c r="CM23751" s="336"/>
    </row>
    <row r="23752" spans="84:91" s="51" customFormat="1">
      <c r="CF23752" s="239"/>
      <c r="CM23752" s="336"/>
    </row>
    <row r="23753" spans="84:91" s="51" customFormat="1">
      <c r="CF23753" s="239"/>
      <c r="CM23753" s="336"/>
    </row>
    <row r="23754" spans="84:91" s="51" customFormat="1">
      <c r="CF23754" s="239"/>
      <c r="CM23754" s="336"/>
    </row>
    <row r="23755" spans="84:91" s="51" customFormat="1">
      <c r="CF23755" s="239"/>
      <c r="CM23755" s="336"/>
    </row>
    <row r="23756" spans="84:91" s="51" customFormat="1">
      <c r="CF23756" s="239"/>
      <c r="CM23756" s="336"/>
    </row>
    <row r="23757" spans="84:91" s="51" customFormat="1">
      <c r="CF23757" s="239"/>
      <c r="CM23757" s="336"/>
    </row>
    <row r="23758" spans="84:91" s="51" customFormat="1">
      <c r="CF23758" s="239"/>
      <c r="CM23758" s="336"/>
    </row>
    <row r="23759" spans="84:91" s="51" customFormat="1">
      <c r="CF23759" s="239"/>
      <c r="CM23759" s="336"/>
    </row>
    <row r="23760" spans="84:91" s="51" customFormat="1">
      <c r="CF23760" s="239"/>
      <c r="CM23760" s="336"/>
    </row>
    <row r="23761" spans="84:91" s="51" customFormat="1">
      <c r="CF23761" s="239"/>
      <c r="CM23761" s="336"/>
    </row>
    <row r="23762" spans="84:91" s="51" customFormat="1">
      <c r="CF23762" s="239"/>
      <c r="CM23762" s="336"/>
    </row>
    <row r="23763" spans="84:91" s="51" customFormat="1">
      <c r="CF23763" s="239"/>
      <c r="CM23763" s="336"/>
    </row>
    <row r="23764" spans="84:91" s="51" customFormat="1">
      <c r="CF23764" s="239"/>
      <c r="CM23764" s="336"/>
    </row>
    <row r="23765" spans="84:91" s="51" customFormat="1">
      <c r="CF23765" s="239"/>
      <c r="CM23765" s="336"/>
    </row>
    <row r="23766" spans="84:91" s="51" customFormat="1">
      <c r="CF23766" s="239"/>
      <c r="CM23766" s="336"/>
    </row>
    <row r="23767" spans="84:91" s="51" customFormat="1">
      <c r="CF23767" s="239"/>
      <c r="CM23767" s="336"/>
    </row>
    <row r="23768" spans="84:91" s="51" customFormat="1">
      <c r="CF23768" s="239"/>
      <c r="CM23768" s="336"/>
    </row>
    <row r="23769" spans="84:91" s="51" customFormat="1">
      <c r="CF23769" s="239"/>
      <c r="CM23769" s="336"/>
    </row>
    <row r="23770" spans="84:91" s="51" customFormat="1">
      <c r="CF23770" s="239"/>
      <c r="CM23770" s="336"/>
    </row>
    <row r="23771" spans="84:91" s="51" customFormat="1">
      <c r="CF23771" s="239"/>
      <c r="CM23771" s="336"/>
    </row>
    <row r="23772" spans="84:91" s="51" customFormat="1">
      <c r="CF23772" s="239"/>
      <c r="CM23772" s="336"/>
    </row>
    <row r="23773" spans="84:91" s="51" customFormat="1">
      <c r="CF23773" s="239"/>
      <c r="CM23773" s="336"/>
    </row>
    <row r="23774" spans="84:91" s="51" customFormat="1">
      <c r="CF23774" s="239"/>
      <c r="CM23774" s="336"/>
    </row>
    <row r="23775" spans="84:91" s="51" customFormat="1">
      <c r="CF23775" s="239"/>
      <c r="CM23775" s="336"/>
    </row>
    <row r="23776" spans="84:91" s="51" customFormat="1">
      <c r="CF23776" s="239"/>
      <c r="CM23776" s="336"/>
    </row>
    <row r="23777" spans="84:91" s="51" customFormat="1">
      <c r="CF23777" s="239"/>
      <c r="CM23777" s="336"/>
    </row>
    <row r="23778" spans="84:91" s="51" customFormat="1">
      <c r="CF23778" s="239"/>
      <c r="CM23778" s="336"/>
    </row>
    <row r="23779" spans="84:91" s="51" customFormat="1">
      <c r="CF23779" s="239"/>
      <c r="CM23779" s="336"/>
    </row>
    <row r="23780" spans="84:91" s="51" customFormat="1">
      <c r="CF23780" s="239"/>
      <c r="CM23780" s="336"/>
    </row>
    <row r="23781" spans="84:91" s="51" customFormat="1">
      <c r="CF23781" s="239"/>
      <c r="CM23781" s="336"/>
    </row>
    <row r="23782" spans="84:91" s="51" customFormat="1">
      <c r="CF23782" s="239"/>
      <c r="CM23782" s="336"/>
    </row>
    <row r="23783" spans="84:91" s="51" customFormat="1">
      <c r="CF23783" s="239"/>
      <c r="CM23783" s="336"/>
    </row>
    <row r="23784" spans="84:91" s="51" customFormat="1">
      <c r="CF23784" s="239"/>
      <c r="CM23784" s="336"/>
    </row>
    <row r="23785" spans="84:91" s="51" customFormat="1">
      <c r="CF23785" s="239"/>
      <c r="CM23785" s="336"/>
    </row>
    <row r="23786" spans="84:91" s="51" customFormat="1">
      <c r="CF23786" s="239"/>
      <c r="CM23786" s="336"/>
    </row>
    <row r="23787" spans="84:91" s="51" customFormat="1">
      <c r="CF23787" s="239"/>
      <c r="CM23787" s="336"/>
    </row>
    <row r="23788" spans="84:91" s="51" customFormat="1">
      <c r="CF23788" s="239"/>
      <c r="CM23788" s="336"/>
    </row>
    <row r="23789" spans="84:91" s="51" customFormat="1">
      <c r="CF23789" s="239"/>
      <c r="CM23789" s="336"/>
    </row>
    <row r="23790" spans="84:91" s="51" customFormat="1">
      <c r="CF23790" s="239"/>
      <c r="CM23790" s="336"/>
    </row>
    <row r="23791" spans="84:91" s="51" customFormat="1">
      <c r="CF23791" s="239"/>
      <c r="CM23791" s="336"/>
    </row>
    <row r="23792" spans="84:91" s="51" customFormat="1">
      <c r="CF23792" s="239"/>
      <c r="CM23792" s="336"/>
    </row>
    <row r="23793" spans="84:91" s="51" customFormat="1">
      <c r="CF23793" s="239"/>
      <c r="CM23793" s="336"/>
    </row>
    <row r="23794" spans="84:91" s="51" customFormat="1">
      <c r="CF23794" s="239"/>
      <c r="CM23794" s="336"/>
    </row>
    <row r="23795" spans="84:91" s="51" customFormat="1">
      <c r="CF23795" s="239"/>
      <c r="CM23795" s="336"/>
    </row>
    <row r="23796" spans="84:91" s="51" customFormat="1">
      <c r="CF23796" s="239"/>
      <c r="CM23796" s="336"/>
    </row>
    <row r="23797" spans="84:91" s="51" customFormat="1">
      <c r="CF23797" s="239"/>
      <c r="CM23797" s="336"/>
    </row>
    <row r="23798" spans="84:91" s="51" customFormat="1">
      <c r="CF23798" s="239"/>
      <c r="CM23798" s="336"/>
    </row>
    <row r="23799" spans="84:91" s="51" customFormat="1">
      <c r="CF23799" s="239"/>
      <c r="CM23799" s="336"/>
    </row>
    <row r="23800" spans="84:91" s="51" customFormat="1">
      <c r="CF23800" s="239"/>
      <c r="CM23800" s="336"/>
    </row>
    <row r="23801" spans="84:91" s="51" customFormat="1">
      <c r="CF23801" s="239"/>
      <c r="CM23801" s="336"/>
    </row>
    <row r="23802" spans="84:91" s="51" customFormat="1">
      <c r="CF23802" s="239"/>
      <c r="CM23802" s="336"/>
    </row>
    <row r="23803" spans="84:91" s="51" customFormat="1">
      <c r="CF23803" s="239"/>
      <c r="CM23803" s="336"/>
    </row>
    <row r="23804" spans="84:91" s="51" customFormat="1">
      <c r="CF23804" s="239"/>
      <c r="CM23804" s="336"/>
    </row>
    <row r="23805" spans="84:91" s="51" customFormat="1">
      <c r="CF23805" s="239"/>
      <c r="CM23805" s="336"/>
    </row>
    <row r="23806" spans="84:91" s="51" customFormat="1">
      <c r="CF23806" s="239"/>
      <c r="CM23806" s="336"/>
    </row>
    <row r="23807" spans="84:91" s="51" customFormat="1">
      <c r="CF23807" s="239"/>
      <c r="CM23807" s="336"/>
    </row>
    <row r="23808" spans="84:91" s="51" customFormat="1">
      <c r="CF23808" s="239"/>
      <c r="CM23808" s="336"/>
    </row>
    <row r="23809" spans="84:91" s="51" customFormat="1">
      <c r="CF23809" s="239"/>
      <c r="CM23809" s="336"/>
    </row>
    <row r="23810" spans="84:91" s="51" customFormat="1">
      <c r="CF23810" s="239"/>
      <c r="CM23810" s="336"/>
    </row>
    <row r="23811" spans="84:91" s="51" customFormat="1">
      <c r="CF23811" s="239"/>
      <c r="CM23811" s="336"/>
    </row>
    <row r="23812" spans="84:91" s="51" customFormat="1">
      <c r="CF23812" s="239"/>
      <c r="CM23812" s="336"/>
    </row>
    <row r="23813" spans="84:91" s="51" customFormat="1">
      <c r="CF23813" s="239"/>
      <c r="CM23813" s="336"/>
    </row>
    <row r="23814" spans="84:91" s="51" customFormat="1">
      <c r="CF23814" s="239"/>
      <c r="CM23814" s="336"/>
    </row>
    <row r="23815" spans="84:91" s="51" customFormat="1">
      <c r="CF23815" s="239"/>
      <c r="CM23815" s="336"/>
    </row>
    <row r="23816" spans="84:91" s="51" customFormat="1">
      <c r="CF23816" s="239"/>
      <c r="CM23816" s="336"/>
    </row>
    <row r="23817" spans="84:91" s="51" customFormat="1">
      <c r="CF23817" s="239"/>
      <c r="CM23817" s="336"/>
    </row>
    <row r="23818" spans="84:91" s="51" customFormat="1">
      <c r="CF23818" s="239"/>
      <c r="CM23818" s="336"/>
    </row>
    <row r="23819" spans="84:91" s="51" customFormat="1">
      <c r="CF23819" s="239"/>
      <c r="CM23819" s="336"/>
    </row>
    <row r="23820" spans="84:91" s="51" customFormat="1">
      <c r="CF23820" s="239"/>
      <c r="CM23820" s="336"/>
    </row>
    <row r="23821" spans="84:91" s="51" customFormat="1">
      <c r="CF23821" s="239"/>
      <c r="CM23821" s="336"/>
    </row>
    <row r="23822" spans="84:91" s="51" customFormat="1">
      <c r="CF23822" s="239"/>
      <c r="CM23822" s="336"/>
    </row>
    <row r="23823" spans="84:91" s="51" customFormat="1">
      <c r="CF23823" s="239"/>
      <c r="CM23823" s="336"/>
    </row>
    <row r="23824" spans="84:91" s="51" customFormat="1">
      <c r="CF23824" s="239"/>
      <c r="CM23824" s="336"/>
    </row>
    <row r="23825" spans="84:91" s="51" customFormat="1">
      <c r="CF23825" s="239"/>
      <c r="CM23825" s="336"/>
    </row>
    <row r="23826" spans="84:91" s="51" customFormat="1">
      <c r="CF23826" s="239"/>
      <c r="CM23826" s="336"/>
    </row>
    <row r="23827" spans="84:91" s="51" customFormat="1">
      <c r="CF23827" s="239"/>
      <c r="CM23827" s="336"/>
    </row>
    <row r="23828" spans="84:91" s="51" customFormat="1">
      <c r="CF23828" s="239"/>
      <c r="CM23828" s="336"/>
    </row>
    <row r="23829" spans="84:91" s="51" customFormat="1">
      <c r="CF23829" s="239"/>
      <c r="CM23829" s="336"/>
    </row>
    <row r="23830" spans="84:91" s="51" customFormat="1">
      <c r="CF23830" s="239"/>
      <c r="CM23830" s="336"/>
    </row>
    <row r="23831" spans="84:91" s="51" customFormat="1">
      <c r="CF23831" s="239"/>
      <c r="CM23831" s="336"/>
    </row>
    <row r="23832" spans="84:91" s="51" customFormat="1">
      <c r="CF23832" s="239"/>
      <c r="CM23832" s="336"/>
    </row>
    <row r="23833" spans="84:91" s="51" customFormat="1">
      <c r="CF23833" s="239"/>
      <c r="CM23833" s="336"/>
    </row>
    <row r="23834" spans="84:91" s="51" customFormat="1">
      <c r="CF23834" s="239"/>
      <c r="CM23834" s="336"/>
    </row>
    <row r="23835" spans="84:91" s="51" customFormat="1">
      <c r="CF23835" s="239"/>
      <c r="CM23835" s="336"/>
    </row>
    <row r="23836" spans="84:91" s="51" customFormat="1">
      <c r="CF23836" s="239"/>
      <c r="CM23836" s="336"/>
    </row>
    <row r="23837" spans="84:91" s="51" customFormat="1">
      <c r="CF23837" s="239"/>
      <c r="CM23837" s="336"/>
    </row>
    <row r="23838" spans="84:91" s="51" customFormat="1">
      <c r="CF23838" s="239"/>
      <c r="CM23838" s="336"/>
    </row>
    <row r="23839" spans="84:91" s="51" customFormat="1">
      <c r="CF23839" s="239"/>
      <c r="CM23839" s="336"/>
    </row>
    <row r="23840" spans="84:91" s="51" customFormat="1">
      <c r="CF23840" s="239"/>
      <c r="CM23840" s="336"/>
    </row>
    <row r="23841" spans="84:91" s="51" customFormat="1">
      <c r="CF23841" s="239"/>
      <c r="CM23841" s="336"/>
    </row>
    <row r="23842" spans="84:91" s="51" customFormat="1">
      <c r="CF23842" s="239"/>
      <c r="CM23842" s="336"/>
    </row>
    <row r="23843" spans="84:91" s="51" customFormat="1">
      <c r="CF23843" s="239"/>
      <c r="CM23843" s="336"/>
    </row>
    <row r="23844" spans="84:91" s="51" customFormat="1">
      <c r="CF23844" s="239"/>
      <c r="CM23844" s="336"/>
    </row>
    <row r="23845" spans="84:91" s="51" customFormat="1">
      <c r="CF23845" s="239"/>
      <c r="CM23845" s="336"/>
    </row>
    <row r="23846" spans="84:91" s="51" customFormat="1">
      <c r="CF23846" s="239"/>
      <c r="CM23846" s="336"/>
    </row>
    <row r="23847" spans="84:91" s="51" customFormat="1">
      <c r="CF23847" s="239"/>
      <c r="CM23847" s="336"/>
    </row>
    <row r="23848" spans="84:91" s="51" customFormat="1">
      <c r="CF23848" s="239"/>
      <c r="CM23848" s="336"/>
    </row>
    <row r="23849" spans="84:91" s="51" customFormat="1">
      <c r="CF23849" s="239"/>
      <c r="CM23849" s="336"/>
    </row>
    <row r="23850" spans="84:91" s="51" customFormat="1">
      <c r="CF23850" s="239"/>
      <c r="CM23850" s="336"/>
    </row>
    <row r="23851" spans="84:91" s="51" customFormat="1">
      <c r="CF23851" s="239"/>
      <c r="CM23851" s="336"/>
    </row>
    <row r="23852" spans="84:91" s="51" customFormat="1">
      <c r="CF23852" s="239"/>
      <c r="CM23852" s="336"/>
    </row>
    <row r="23853" spans="84:91" s="51" customFormat="1">
      <c r="CF23853" s="239"/>
      <c r="CM23853" s="336"/>
    </row>
    <row r="23854" spans="84:91" s="51" customFormat="1">
      <c r="CF23854" s="239"/>
      <c r="CM23854" s="336"/>
    </row>
    <row r="23855" spans="84:91" s="51" customFormat="1">
      <c r="CF23855" s="239"/>
      <c r="CM23855" s="336"/>
    </row>
    <row r="23856" spans="84:91" s="51" customFormat="1">
      <c r="CF23856" s="239"/>
      <c r="CM23856" s="336"/>
    </row>
    <row r="23857" spans="84:91" s="51" customFormat="1">
      <c r="CF23857" s="239"/>
      <c r="CM23857" s="336"/>
    </row>
    <row r="23858" spans="84:91" s="51" customFormat="1">
      <c r="CF23858" s="239"/>
      <c r="CM23858" s="336"/>
    </row>
    <row r="23859" spans="84:91" s="51" customFormat="1">
      <c r="CF23859" s="239"/>
      <c r="CM23859" s="336"/>
    </row>
    <row r="23860" spans="84:91" s="51" customFormat="1">
      <c r="CF23860" s="239"/>
      <c r="CM23860" s="336"/>
    </row>
    <row r="23861" spans="84:91" s="51" customFormat="1">
      <c r="CF23861" s="239"/>
      <c r="CM23861" s="336"/>
    </row>
    <row r="23862" spans="84:91" s="51" customFormat="1">
      <c r="CF23862" s="239"/>
      <c r="CM23862" s="336"/>
    </row>
    <row r="23863" spans="84:91" s="51" customFormat="1">
      <c r="CF23863" s="239"/>
      <c r="CM23863" s="336"/>
    </row>
    <row r="23864" spans="84:91" s="51" customFormat="1">
      <c r="CF23864" s="239"/>
      <c r="CM23864" s="336"/>
    </row>
    <row r="23865" spans="84:91" s="51" customFormat="1">
      <c r="CF23865" s="239"/>
      <c r="CM23865" s="336"/>
    </row>
    <row r="23866" spans="84:91" s="51" customFormat="1">
      <c r="CF23866" s="239"/>
      <c r="CM23866" s="336"/>
    </row>
    <row r="23867" spans="84:91" s="51" customFormat="1">
      <c r="CF23867" s="239"/>
      <c r="CM23867" s="336"/>
    </row>
    <row r="23868" spans="84:91" s="51" customFormat="1">
      <c r="CF23868" s="239"/>
      <c r="CM23868" s="336"/>
    </row>
    <row r="23869" spans="84:91" s="51" customFormat="1">
      <c r="CF23869" s="239"/>
      <c r="CM23869" s="336"/>
    </row>
    <row r="23870" spans="84:91" s="51" customFormat="1">
      <c r="CF23870" s="239"/>
      <c r="CM23870" s="336"/>
    </row>
    <row r="23871" spans="84:91" s="51" customFormat="1">
      <c r="CF23871" s="239"/>
      <c r="CM23871" s="336"/>
    </row>
    <row r="23872" spans="84:91" s="51" customFormat="1">
      <c r="CF23872" s="239"/>
      <c r="CM23872" s="336"/>
    </row>
    <row r="23873" spans="84:91" s="51" customFormat="1">
      <c r="CF23873" s="239"/>
      <c r="CM23873" s="336"/>
    </row>
    <row r="23874" spans="84:91" s="51" customFormat="1">
      <c r="CF23874" s="239"/>
      <c r="CM23874" s="336"/>
    </row>
    <row r="23875" spans="84:91" s="51" customFormat="1">
      <c r="CF23875" s="239"/>
      <c r="CM23875" s="336"/>
    </row>
    <row r="23876" spans="84:91" s="51" customFormat="1">
      <c r="CF23876" s="239"/>
      <c r="CM23876" s="336"/>
    </row>
    <row r="23877" spans="84:91" s="51" customFormat="1">
      <c r="CF23877" s="239"/>
      <c r="CM23877" s="336"/>
    </row>
    <row r="23878" spans="84:91" s="51" customFormat="1">
      <c r="CF23878" s="239"/>
      <c r="CM23878" s="336"/>
    </row>
    <row r="23879" spans="84:91" s="51" customFormat="1">
      <c r="CF23879" s="239"/>
      <c r="CM23879" s="336"/>
    </row>
    <row r="23880" spans="84:91" s="51" customFormat="1">
      <c r="CF23880" s="239"/>
      <c r="CM23880" s="336"/>
    </row>
    <row r="23881" spans="84:91" s="51" customFormat="1">
      <c r="CF23881" s="239"/>
      <c r="CM23881" s="336"/>
    </row>
    <row r="23882" spans="84:91" s="51" customFormat="1">
      <c r="CF23882" s="239"/>
      <c r="CM23882" s="336"/>
    </row>
    <row r="23883" spans="84:91" s="51" customFormat="1">
      <c r="CF23883" s="239"/>
      <c r="CM23883" s="336"/>
    </row>
    <row r="23884" spans="84:91" s="51" customFormat="1">
      <c r="CF23884" s="239"/>
      <c r="CM23884" s="336"/>
    </row>
    <row r="23885" spans="84:91" s="51" customFormat="1">
      <c r="CF23885" s="239"/>
      <c r="CM23885" s="336"/>
    </row>
    <row r="23886" spans="84:91" s="51" customFormat="1">
      <c r="CF23886" s="239"/>
      <c r="CM23886" s="336"/>
    </row>
    <row r="23887" spans="84:91" s="51" customFormat="1">
      <c r="CF23887" s="239"/>
      <c r="CM23887" s="336"/>
    </row>
    <row r="23888" spans="84:91" s="51" customFormat="1">
      <c r="CF23888" s="239"/>
      <c r="CM23888" s="336"/>
    </row>
    <row r="23889" spans="84:91" s="51" customFormat="1">
      <c r="CF23889" s="239"/>
      <c r="CM23889" s="336"/>
    </row>
    <row r="23890" spans="84:91" s="51" customFormat="1">
      <c r="CF23890" s="239"/>
      <c r="CM23890" s="336"/>
    </row>
    <row r="23891" spans="84:91" s="51" customFormat="1">
      <c r="CF23891" s="239"/>
      <c r="CM23891" s="336"/>
    </row>
    <row r="23892" spans="84:91" s="51" customFormat="1">
      <c r="CF23892" s="239"/>
      <c r="CM23892" s="336"/>
    </row>
    <row r="23893" spans="84:91" s="51" customFormat="1">
      <c r="CF23893" s="239"/>
      <c r="CM23893" s="336"/>
    </row>
    <row r="23894" spans="84:91" s="51" customFormat="1">
      <c r="CF23894" s="239"/>
      <c r="CM23894" s="336"/>
    </row>
    <row r="23895" spans="84:91" s="51" customFormat="1">
      <c r="CF23895" s="239"/>
      <c r="CM23895" s="336"/>
    </row>
    <row r="23896" spans="84:91" s="51" customFormat="1">
      <c r="CF23896" s="239"/>
      <c r="CM23896" s="336"/>
    </row>
    <row r="23897" spans="84:91" s="51" customFormat="1">
      <c r="CF23897" s="239"/>
      <c r="CM23897" s="336"/>
    </row>
    <row r="23898" spans="84:91" s="51" customFormat="1">
      <c r="CF23898" s="239"/>
      <c r="CM23898" s="336"/>
    </row>
    <row r="23899" spans="84:91" s="51" customFormat="1">
      <c r="CF23899" s="239"/>
      <c r="CM23899" s="336"/>
    </row>
    <row r="23900" spans="84:91" s="51" customFormat="1">
      <c r="CF23900" s="239"/>
      <c r="CM23900" s="336"/>
    </row>
    <row r="23901" spans="84:91" s="51" customFormat="1">
      <c r="CF23901" s="239"/>
      <c r="CM23901" s="336"/>
    </row>
    <row r="23902" spans="84:91" s="51" customFormat="1">
      <c r="CF23902" s="239"/>
      <c r="CM23902" s="336"/>
    </row>
    <row r="23903" spans="84:91" s="51" customFormat="1">
      <c r="CF23903" s="239"/>
      <c r="CM23903" s="336"/>
    </row>
    <row r="23904" spans="84:91" s="51" customFormat="1">
      <c r="CF23904" s="239"/>
      <c r="CM23904" s="336"/>
    </row>
    <row r="23905" spans="84:91" s="51" customFormat="1">
      <c r="CF23905" s="239"/>
      <c r="CM23905" s="336"/>
    </row>
    <row r="23906" spans="84:91" s="51" customFormat="1">
      <c r="CF23906" s="239"/>
      <c r="CM23906" s="336"/>
    </row>
    <row r="23907" spans="84:91" s="51" customFormat="1">
      <c r="CF23907" s="239"/>
      <c r="CM23907" s="336"/>
    </row>
    <row r="23908" spans="84:91" s="51" customFormat="1">
      <c r="CF23908" s="239"/>
      <c r="CM23908" s="336"/>
    </row>
    <row r="23909" spans="84:91" s="51" customFormat="1">
      <c r="CF23909" s="239"/>
      <c r="CM23909" s="336"/>
    </row>
    <row r="23910" spans="84:91" s="51" customFormat="1">
      <c r="CF23910" s="239"/>
      <c r="CM23910" s="336"/>
    </row>
    <row r="23911" spans="84:91" s="51" customFormat="1">
      <c r="CF23911" s="239"/>
      <c r="CM23911" s="336"/>
    </row>
    <row r="23912" spans="84:91" s="51" customFormat="1">
      <c r="CF23912" s="239"/>
      <c r="CM23912" s="336"/>
    </row>
    <row r="23913" spans="84:91" s="51" customFormat="1">
      <c r="CF23913" s="239"/>
      <c r="CM23913" s="336"/>
    </row>
    <row r="23914" spans="84:91" s="51" customFormat="1">
      <c r="CF23914" s="239"/>
      <c r="CM23914" s="336"/>
    </row>
    <row r="23915" spans="84:91" s="51" customFormat="1">
      <c r="CF23915" s="239"/>
      <c r="CM23915" s="336"/>
    </row>
    <row r="23916" spans="84:91" s="51" customFormat="1">
      <c r="CF23916" s="239"/>
      <c r="CM23916" s="336"/>
    </row>
    <row r="23917" spans="84:91" s="51" customFormat="1">
      <c r="CF23917" s="239"/>
      <c r="CM23917" s="336"/>
    </row>
    <row r="23918" spans="84:91" s="51" customFormat="1">
      <c r="CF23918" s="239"/>
      <c r="CM23918" s="336"/>
    </row>
    <row r="23919" spans="84:91" s="51" customFormat="1">
      <c r="CF23919" s="239"/>
      <c r="CM23919" s="336"/>
    </row>
    <row r="23920" spans="84:91" s="51" customFormat="1">
      <c r="CF23920" s="239"/>
      <c r="CM23920" s="336"/>
    </row>
    <row r="23921" spans="84:91" s="51" customFormat="1">
      <c r="CF23921" s="239"/>
      <c r="CM23921" s="336"/>
    </row>
    <row r="23922" spans="84:91" s="51" customFormat="1">
      <c r="CF23922" s="239"/>
      <c r="CM23922" s="336"/>
    </row>
    <row r="23923" spans="84:91" s="51" customFormat="1">
      <c r="CF23923" s="239"/>
      <c r="CM23923" s="336"/>
    </row>
    <row r="23924" spans="84:91" s="51" customFormat="1">
      <c r="CF23924" s="239"/>
      <c r="CM23924" s="336"/>
    </row>
    <row r="23925" spans="84:91" s="51" customFormat="1">
      <c r="CF23925" s="239"/>
      <c r="CM23925" s="336"/>
    </row>
    <row r="23926" spans="84:91" s="51" customFormat="1">
      <c r="CF23926" s="239"/>
      <c r="CM23926" s="336"/>
    </row>
    <row r="23927" spans="84:91" s="51" customFormat="1">
      <c r="CF23927" s="239"/>
      <c r="CM23927" s="336"/>
    </row>
    <row r="23928" spans="84:91" s="51" customFormat="1">
      <c r="CF23928" s="239"/>
      <c r="CM23928" s="336"/>
    </row>
    <row r="23929" spans="84:91" s="51" customFormat="1">
      <c r="CF23929" s="239"/>
      <c r="CM23929" s="336"/>
    </row>
    <row r="23930" spans="84:91" s="51" customFormat="1">
      <c r="CF23930" s="239"/>
      <c r="CM23930" s="336"/>
    </row>
    <row r="23931" spans="84:91" s="51" customFormat="1">
      <c r="CF23931" s="239"/>
      <c r="CM23931" s="336"/>
    </row>
    <row r="23932" spans="84:91" s="51" customFormat="1">
      <c r="CF23932" s="239"/>
      <c r="CM23932" s="336"/>
    </row>
    <row r="23933" spans="84:91" s="51" customFormat="1">
      <c r="CF23933" s="239"/>
      <c r="CM23933" s="336"/>
    </row>
    <row r="23934" spans="84:91" s="51" customFormat="1">
      <c r="CF23934" s="239"/>
      <c r="CM23934" s="336"/>
    </row>
    <row r="23935" spans="84:91" s="51" customFormat="1">
      <c r="CF23935" s="239"/>
      <c r="CM23935" s="336"/>
    </row>
    <row r="23936" spans="84:91" s="51" customFormat="1">
      <c r="CF23936" s="239"/>
      <c r="CM23936" s="336"/>
    </row>
    <row r="23937" spans="84:91" s="51" customFormat="1">
      <c r="CF23937" s="239"/>
      <c r="CM23937" s="336"/>
    </row>
    <row r="23938" spans="84:91" s="51" customFormat="1">
      <c r="CF23938" s="239"/>
      <c r="CM23938" s="336"/>
    </row>
    <row r="23939" spans="84:91" s="51" customFormat="1">
      <c r="CF23939" s="239"/>
      <c r="CM23939" s="336"/>
    </row>
    <row r="23940" spans="84:91" s="51" customFormat="1">
      <c r="CF23940" s="239"/>
      <c r="CM23940" s="336"/>
    </row>
    <row r="23941" spans="84:91" s="51" customFormat="1">
      <c r="CF23941" s="239"/>
      <c r="CM23941" s="336"/>
    </row>
    <row r="23942" spans="84:91" s="51" customFormat="1">
      <c r="CF23942" s="239"/>
      <c r="CM23942" s="336"/>
    </row>
    <row r="23943" spans="84:91" s="51" customFormat="1">
      <c r="CF23943" s="239"/>
      <c r="CM23943" s="336"/>
    </row>
    <row r="23944" spans="84:91" s="51" customFormat="1">
      <c r="CF23944" s="239"/>
      <c r="CM23944" s="336"/>
    </row>
    <row r="23945" spans="84:91" s="51" customFormat="1">
      <c r="CF23945" s="239"/>
      <c r="CM23945" s="336"/>
    </row>
    <row r="23946" spans="84:91" s="51" customFormat="1">
      <c r="CF23946" s="239"/>
      <c r="CM23946" s="336"/>
    </row>
    <row r="23947" spans="84:91" s="51" customFormat="1">
      <c r="CF23947" s="239"/>
      <c r="CM23947" s="336"/>
    </row>
    <row r="23948" spans="84:91" s="51" customFormat="1">
      <c r="CF23948" s="239"/>
      <c r="CM23948" s="336"/>
    </row>
    <row r="23949" spans="84:91" s="51" customFormat="1">
      <c r="CF23949" s="239"/>
      <c r="CM23949" s="336"/>
    </row>
    <row r="23950" spans="84:91" s="51" customFormat="1">
      <c r="CF23950" s="239"/>
      <c r="CM23950" s="336"/>
    </row>
    <row r="23951" spans="84:91" s="51" customFormat="1">
      <c r="CF23951" s="239"/>
      <c r="CM23951" s="336"/>
    </row>
    <row r="23952" spans="84:91" s="51" customFormat="1">
      <c r="CF23952" s="239"/>
      <c r="CM23952" s="336"/>
    </row>
    <row r="23953" spans="84:91" s="51" customFormat="1">
      <c r="CF23953" s="239"/>
      <c r="CM23953" s="336"/>
    </row>
    <row r="23954" spans="84:91" s="51" customFormat="1">
      <c r="CF23954" s="239"/>
      <c r="CM23954" s="336"/>
    </row>
    <row r="23955" spans="84:91" s="51" customFormat="1">
      <c r="CF23955" s="239"/>
      <c r="CM23955" s="336"/>
    </row>
    <row r="23956" spans="84:91" s="51" customFormat="1">
      <c r="CF23956" s="239"/>
      <c r="CM23956" s="336"/>
    </row>
    <row r="23957" spans="84:91" s="51" customFormat="1">
      <c r="CF23957" s="239"/>
      <c r="CM23957" s="336"/>
    </row>
    <row r="23958" spans="84:91" s="51" customFormat="1">
      <c r="CF23958" s="239"/>
      <c r="CM23958" s="336"/>
    </row>
    <row r="23959" spans="84:91" s="51" customFormat="1">
      <c r="CF23959" s="239"/>
      <c r="CM23959" s="336"/>
    </row>
    <row r="23960" spans="84:91" s="51" customFormat="1">
      <c r="CF23960" s="239"/>
      <c r="CM23960" s="336"/>
    </row>
    <row r="23961" spans="84:91" s="51" customFormat="1">
      <c r="CF23961" s="239"/>
      <c r="CM23961" s="336"/>
    </row>
    <row r="23962" spans="84:91" s="51" customFormat="1">
      <c r="CF23962" s="239"/>
      <c r="CM23962" s="336"/>
    </row>
    <row r="23963" spans="84:91" s="51" customFormat="1">
      <c r="CF23963" s="239"/>
      <c r="CM23963" s="336"/>
    </row>
    <row r="23964" spans="84:91" s="51" customFormat="1">
      <c r="CF23964" s="239"/>
      <c r="CM23964" s="336"/>
    </row>
    <row r="23965" spans="84:91" s="51" customFormat="1">
      <c r="CF23965" s="239"/>
      <c r="CM23965" s="336"/>
    </row>
    <row r="23966" spans="84:91" s="51" customFormat="1">
      <c r="CF23966" s="239"/>
      <c r="CM23966" s="336"/>
    </row>
    <row r="23967" spans="84:91" s="51" customFormat="1">
      <c r="CF23967" s="239"/>
      <c r="CM23967" s="336"/>
    </row>
    <row r="23968" spans="84:91" s="51" customFormat="1">
      <c r="CF23968" s="239"/>
      <c r="CM23968" s="336"/>
    </row>
    <row r="23969" spans="84:91" s="51" customFormat="1">
      <c r="CF23969" s="239"/>
      <c r="CM23969" s="336"/>
    </row>
    <row r="23970" spans="84:91" s="51" customFormat="1">
      <c r="CF23970" s="239"/>
      <c r="CM23970" s="336"/>
    </row>
    <row r="23971" spans="84:91" s="51" customFormat="1">
      <c r="CF23971" s="239"/>
      <c r="CM23971" s="336"/>
    </row>
    <row r="23972" spans="84:91" s="51" customFormat="1">
      <c r="CF23972" s="239"/>
      <c r="CM23972" s="336"/>
    </row>
    <row r="23973" spans="84:91" s="51" customFormat="1">
      <c r="CF23973" s="239"/>
      <c r="CM23973" s="336"/>
    </row>
    <row r="23974" spans="84:91" s="51" customFormat="1">
      <c r="CF23974" s="239"/>
      <c r="CM23974" s="336"/>
    </row>
    <row r="23975" spans="84:91" s="51" customFormat="1">
      <c r="CF23975" s="239"/>
      <c r="CM23975" s="336"/>
    </row>
    <row r="23976" spans="84:91" s="51" customFormat="1">
      <c r="CF23976" s="239"/>
      <c r="CM23976" s="336"/>
    </row>
    <row r="23977" spans="84:91" s="51" customFormat="1">
      <c r="CF23977" s="239"/>
      <c r="CM23977" s="336"/>
    </row>
    <row r="23978" spans="84:91" s="51" customFormat="1">
      <c r="CF23978" s="239"/>
      <c r="CM23978" s="336"/>
    </row>
    <row r="23979" spans="84:91" s="51" customFormat="1">
      <c r="CF23979" s="239"/>
      <c r="CM23979" s="336"/>
    </row>
    <row r="23980" spans="84:91" s="51" customFormat="1">
      <c r="CF23980" s="239"/>
      <c r="CM23980" s="336"/>
    </row>
    <row r="23981" spans="84:91" s="51" customFormat="1">
      <c r="CF23981" s="239"/>
      <c r="CM23981" s="336"/>
    </row>
    <row r="23982" spans="84:91" s="51" customFormat="1">
      <c r="CF23982" s="239"/>
      <c r="CM23982" s="336"/>
    </row>
    <row r="23983" spans="84:91" s="51" customFormat="1">
      <c r="CF23983" s="239"/>
      <c r="CM23983" s="336"/>
    </row>
    <row r="23984" spans="84:91" s="51" customFormat="1">
      <c r="CF23984" s="239"/>
      <c r="CM23984" s="336"/>
    </row>
    <row r="23985" spans="84:91" s="51" customFormat="1">
      <c r="CF23985" s="239"/>
      <c r="CM23985" s="336"/>
    </row>
    <row r="23986" spans="84:91" s="51" customFormat="1">
      <c r="CF23986" s="239"/>
      <c r="CM23986" s="336"/>
    </row>
    <row r="23987" spans="84:91" s="51" customFormat="1">
      <c r="CF23987" s="239"/>
      <c r="CM23987" s="336"/>
    </row>
    <row r="23988" spans="84:91" s="51" customFormat="1">
      <c r="CF23988" s="239"/>
      <c r="CM23988" s="336"/>
    </row>
    <row r="23989" spans="84:91" s="51" customFormat="1">
      <c r="CF23989" s="239"/>
      <c r="CM23989" s="336"/>
    </row>
    <row r="23990" spans="84:91" s="51" customFormat="1">
      <c r="CF23990" s="239"/>
      <c r="CM23990" s="336"/>
    </row>
    <row r="23991" spans="84:91" s="51" customFormat="1">
      <c r="CF23991" s="239"/>
      <c r="CM23991" s="336"/>
    </row>
    <row r="23992" spans="84:91" s="51" customFormat="1">
      <c r="CF23992" s="239"/>
      <c r="CM23992" s="336"/>
    </row>
    <row r="23993" spans="84:91" s="51" customFormat="1">
      <c r="CF23993" s="239"/>
      <c r="CM23993" s="336"/>
    </row>
    <row r="23994" spans="84:91" s="51" customFormat="1">
      <c r="CF23994" s="239"/>
      <c r="CM23994" s="336"/>
    </row>
    <row r="23995" spans="84:91" s="51" customFormat="1">
      <c r="CF23995" s="239"/>
      <c r="CM23995" s="336"/>
    </row>
    <row r="23996" spans="84:91" s="51" customFormat="1">
      <c r="CF23996" s="239"/>
      <c r="CM23996" s="336"/>
    </row>
    <row r="23997" spans="84:91" s="51" customFormat="1">
      <c r="CF23997" s="239"/>
      <c r="CM23997" s="336"/>
    </row>
    <row r="23998" spans="84:91" s="51" customFormat="1">
      <c r="CF23998" s="239"/>
      <c r="CM23998" s="336"/>
    </row>
    <row r="23999" spans="84:91" s="51" customFormat="1">
      <c r="CF23999" s="239"/>
      <c r="CM23999" s="336"/>
    </row>
    <row r="24000" spans="84:91" s="51" customFormat="1">
      <c r="CF24000" s="239"/>
      <c r="CM24000" s="336"/>
    </row>
    <row r="24001" spans="84:91" s="51" customFormat="1">
      <c r="CF24001" s="239"/>
      <c r="CM24001" s="336"/>
    </row>
    <row r="24002" spans="84:91" s="51" customFormat="1">
      <c r="CF24002" s="239"/>
      <c r="CM24002" s="336"/>
    </row>
    <row r="24003" spans="84:91" s="51" customFormat="1">
      <c r="CF24003" s="239"/>
      <c r="CM24003" s="336"/>
    </row>
    <row r="24004" spans="84:91" s="51" customFormat="1">
      <c r="CF24004" s="239"/>
      <c r="CM24004" s="336"/>
    </row>
    <row r="24005" spans="84:91" s="51" customFormat="1">
      <c r="CF24005" s="239"/>
      <c r="CM24005" s="336"/>
    </row>
    <row r="24006" spans="84:91" s="51" customFormat="1">
      <c r="CF24006" s="239"/>
      <c r="CM24006" s="336"/>
    </row>
    <row r="24007" spans="84:91" s="51" customFormat="1">
      <c r="CF24007" s="239"/>
      <c r="CM24007" s="336"/>
    </row>
    <row r="24008" spans="84:91" s="51" customFormat="1">
      <c r="CF24008" s="239"/>
      <c r="CM24008" s="336"/>
    </row>
    <row r="24009" spans="84:91" s="51" customFormat="1">
      <c r="CF24009" s="239"/>
      <c r="CM24009" s="336"/>
    </row>
    <row r="24010" spans="84:91" s="51" customFormat="1">
      <c r="CF24010" s="239"/>
      <c r="CM24010" s="336"/>
    </row>
    <row r="24011" spans="84:91" s="51" customFormat="1">
      <c r="CF24011" s="239"/>
      <c r="CM24011" s="336"/>
    </row>
    <row r="24012" spans="84:91" s="51" customFormat="1">
      <c r="CF24012" s="239"/>
      <c r="CM24012" s="336"/>
    </row>
    <row r="24013" spans="84:91" s="51" customFormat="1">
      <c r="CF24013" s="239"/>
      <c r="CM24013" s="336"/>
    </row>
    <row r="24014" spans="84:91" s="51" customFormat="1">
      <c r="CF24014" s="239"/>
      <c r="CM24014" s="336"/>
    </row>
    <row r="24015" spans="84:91" s="51" customFormat="1">
      <c r="CF24015" s="239"/>
      <c r="CM24015" s="336"/>
    </row>
    <row r="24016" spans="84:91" s="51" customFormat="1">
      <c r="CF24016" s="239"/>
      <c r="CM24016" s="336"/>
    </row>
    <row r="24017" spans="84:91" s="51" customFormat="1">
      <c r="CF24017" s="239"/>
      <c r="CM24017" s="336"/>
    </row>
    <row r="24018" spans="84:91" s="51" customFormat="1">
      <c r="CF24018" s="239"/>
      <c r="CM24018" s="336"/>
    </row>
    <row r="24019" spans="84:91" s="51" customFormat="1">
      <c r="CF24019" s="239"/>
      <c r="CM24019" s="336"/>
    </row>
    <row r="24020" spans="84:91" s="51" customFormat="1">
      <c r="CF24020" s="239"/>
      <c r="CM24020" s="336"/>
    </row>
    <row r="24021" spans="84:91" s="51" customFormat="1">
      <c r="CF24021" s="239"/>
      <c r="CM24021" s="336"/>
    </row>
    <row r="24022" spans="84:91" s="51" customFormat="1">
      <c r="CF24022" s="239"/>
      <c r="CM24022" s="336"/>
    </row>
    <row r="24023" spans="84:91" s="51" customFormat="1">
      <c r="CF24023" s="239"/>
      <c r="CM24023" s="336"/>
    </row>
    <row r="24024" spans="84:91" s="51" customFormat="1">
      <c r="CF24024" s="239"/>
      <c r="CM24024" s="336"/>
    </row>
    <row r="24025" spans="84:91" s="51" customFormat="1">
      <c r="CF24025" s="239"/>
      <c r="CM24025" s="336"/>
    </row>
    <row r="24026" spans="84:91" s="51" customFormat="1">
      <c r="CF24026" s="239"/>
      <c r="CM24026" s="336"/>
    </row>
    <row r="24027" spans="84:91" s="51" customFormat="1">
      <c r="CF24027" s="239"/>
      <c r="CM24027" s="336"/>
    </row>
    <row r="24028" spans="84:91" s="51" customFormat="1">
      <c r="CF24028" s="239"/>
      <c r="CM24028" s="336"/>
    </row>
    <row r="24029" spans="84:91" s="51" customFormat="1">
      <c r="CF24029" s="239"/>
      <c r="CM24029" s="336"/>
    </row>
    <row r="24030" spans="84:91" s="51" customFormat="1">
      <c r="CF24030" s="239"/>
      <c r="CM24030" s="336"/>
    </row>
    <row r="24031" spans="84:91" s="51" customFormat="1">
      <c r="CF24031" s="239"/>
      <c r="CM24031" s="336"/>
    </row>
    <row r="24032" spans="84:91" s="51" customFormat="1">
      <c r="CF24032" s="239"/>
      <c r="CM24032" s="336"/>
    </row>
    <row r="24033" spans="84:91" s="51" customFormat="1">
      <c r="CF24033" s="239"/>
      <c r="CM24033" s="336"/>
    </row>
    <row r="24034" spans="84:91" s="51" customFormat="1">
      <c r="CF24034" s="239"/>
      <c r="CM24034" s="336"/>
    </row>
    <row r="24035" spans="84:91" s="51" customFormat="1">
      <c r="CF24035" s="239"/>
      <c r="CM24035" s="336"/>
    </row>
    <row r="24036" spans="84:91" s="51" customFormat="1">
      <c r="CF24036" s="239"/>
      <c r="CM24036" s="336"/>
    </row>
    <row r="24037" spans="84:91" s="51" customFormat="1">
      <c r="CF24037" s="239"/>
      <c r="CM24037" s="336"/>
    </row>
    <row r="24038" spans="84:91" s="51" customFormat="1">
      <c r="CF24038" s="239"/>
      <c r="CM24038" s="336"/>
    </row>
    <row r="24039" spans="84:91" s="51" customFormat="1">
      <c r="CF24039" s="239"/>
      <c r="CM24039" s="336"/>
    </row>
    <row r="24040" spans="84:91" s="51" customFormat="1">
      <c r="CF24040" s="239"/>
      <c r="CM24040" s="336"/>
    </row>
    <row r="24041" spans="84:91" s="51" customFormat="1">
      <c r="CF24041" s="239"/>
      <c r="CM24041" s="336"/>
    </row>
    <row r="24042" spans="84:91" s="51" customFormat="1">
      <c r="CF24042" s="239"/>
      <c r="CM24042" s="336"/>
    </row>
    <row r="24043" spans="84:91" s="51" customFormat="1">
      <c r="CF24043" s="239"/>
      <c r="CM24043" s="336"/>
    </row>
    <row r="24044" spans="84:91" s="51" customFormat="1">
      <c r="CF24044" s="239"/>
      <c r="CM24044" s="336"/>
    </row>
    <row r="24045" spans="84:91" s="51" customFormat="1">
      <c r="CF24045" s="239"/>
      <c r="CM24045" s="336"/>
    </row>
    <row r="24046" spans="84:91" s="51" customFormat="1">
      <c r="CF24046" s="239"/>
      <c r="CM24046" s="336"/>
    </row>
    <row r="24047" spans="84:91" s="51" customFormat="1">
      <c r="CF24047" s="239"/>
      <c r="CM24047" s="336"/>
    </row>
    <row r="24048" spans="84:91" s="51" customFormat="1">
      <c r="CF24048" s="239"/>
      <c r="CM24048" s="336"/>
    </row>
    <row r="24049" spans="84:91" s="51" customFormat="1">
      <c r="CF24049" s="239"/>
      <c r="CM24049" s="336"/>
    </row>
    <row r="24050" spans="84:91" s="51" customFormat="1">
      <c r="CF24050" s="239"/>
      <c r="CM24050" s="336"/>
    </row>
    <row r="24051" spans="84:91" s="51" customFormat="1">
      <c r="CF24051" s="239"/>
      <c r="CM24051" s="336"/>
    </row>
    <row r="24052" spans="84:91" s="51" customFormat="1">
      <c r="CF24052" s="239"/>
      <c r="CM24052" s="336"/>
    </row>
    <row r="24053" spans="84:91" s="51" customFormat="1">
      <c r="CF24053" s="239"/>
      <c r="CM24053" s="336"/>
    </row>
    <row r="24054" spans="84:91" s="51" customFormat="1">
      <c r="CF24054" s="239"/>
      <c r="CM24054" s="336"/>
    </row>
    <row r="24055" spans="84:91" s="51" customFormat="1">
      <c r="CF24055" s="239"/>
      <c r="CM24055" s="336"/>
    </row>
    <row r="24056" spans="84:91" s="51" customFormat="1">
      <c r="CF24056" s="239"/>
      <c r="CM24056" s="336"/>
    </row>
    <row r="24057" spans="84:91" s="51" customFormat="1">
      <c r="CF24057" s="239"/>
      <c r="CM24057" s="336"/>
    </row>
    <row r="24058" spans="84:91" s="51" customFormat="1">
      <c r="CF24058" s="239"/>
      <c r="CM24058" s="336"/>
    </row>
    <row r="24059" spans="84:91" s="51" customFormat="1">
      <c r="CF24059" s="239"/>
      <c r="CM24059" s="336"/>
    </row>
    <row r="24060" spans="84:91" s="51" customFormat="1">
      <c r="CF24060" s="239"/>
      <c r="CM24060" s="336"/>
    </row>
    <row r="24061" spans="84:91" s="51" customFormat="1">
      <c r="CF24061" s="239"/>
      <c r="CM24061" s="336"/>
    </row>
    <row r="24062" spans="84:91" s="51" customFormat="1">
      <c r="CF24062" s="239"/>
      <c r="CM24062" s="336"/>
    </row>
    <row r="24063" spans="84:91" s="51" customFormat="1">
      <c r="CF24063" s="239"/>
      <c r="CM24063" s="336"/>
    </row>
    <row r="24064" spans="84:91" s="51" customFormat="1">
      <c r="CF24064" s="239"/>
      <c r="CM24064" s="336"/>
    </row>
    <row r="24065" spans="84:91" s="51" customFormat="1">
      <c r="CF24065" s="239"/>
      <c r="CM24065" s="336"/>
    </row>
    <row r="24066" spans="84:91" s="51" customFormat="1">
      <c r="CF24066" s="239"/>
      <c r="CM24066" s="336"/>
    </row>
    <row r="24067" spans="84:91" s="51" customFormat="1">
      <c r="CF24067" s="239"/>
      <c r="CM24067" s="336"/>
    </row>
    <row r="24068" spans="84:91" s="51" customFormat="1">
      <c r="CF24068" s="239"/>
      <c r="CM24068" s="336"/>
    </row>
    <row r="24069" spans="84:91" s="51" customFormat="1">
      <c r="CF24069" s="239"/>
      <c r="CM24069" s="336"/>
    </row>
    <row r="24070" spans="84:91" s="51" customFormat="1">
      <c r="CF24070" s="239"/>
      <c r="CM24070" s="336"/>
    </row>
    <row r="24071" spans="84:91" s="51" customFormat="1">
      <c r="CF24071" s="239"/>
      <c r="CM24071" s="336"/>
    </row>
    <row r="24072" spans="84:91" s="51" customFormat="1">
      <c r="CF24072" s="239"/>
      <c r="CM24072" s="336"/>
    </row>
    <row r="24073" spans="84:91" s="51" customFormat="1">
      <c r="CF24073" s="239"/>
      <c r="CM24073" s="336"/>
    </row>
    <row r="24074" spans="84:91" s="51" customFormat="1">
      <c r="CF24074" s="239"/>
      <c r="CM24074" s="336"/>
    </row>
    <row r="24075" spans="84:91" s="51" customFormat="1">
      <c r="CF24075" s="239"/>
      <c r="CM24075" s="336"/>
    </row>
    <row r="24076" spans="84:91" s="51" customFormat="1">
      <c r="CF24076" s="239"/>
      <c r="CM24076" s="336"/>
    </row>
    <row r="24077" spans="84:91" s="51" customFormat="1">
      <c r="CF24077" s="239"/>
      <c r="CM24077" s="336"/>
    </row>
    <row r="24078" spans="84:91" s="51" customFormat="1">
      <c r="CF24078" s="239"/>
      <c r="CM24078" s="336"/>
    </row>
    <row r="24079" spans="84:91" s="51" customFormat="1">
      <c r="CF24079" s="239"/>
      <c r="CM24079" s="336"/>
    </row>
    <row r="24080" spans="84:91" s="51" customFormat="1">
      <c r="CF24080" s="239"/>
      <c r="CM24080" s="336"/>
    </row>
    <row r="24081" spans="84:91" s="51" customFormat="1">
      <c r="CF24081" s="239"/>
      <c r="CM24081" s="336"/>
    </row>
    <row r="24082" spans="84:91" s="51" customFormat="1">
      <c r="CF24082" s="239"/>
      <c r="CM24082" s="336"/>
    </row>
    <row r="24083" spans="84:91" s="51" customFormat="1">
      <c r="CF24083" s="239"/>
      <c r="CM24083" s="336"/>
    </row>
    <row r="24084" spans="84:91" s="51" customFormat="1">
      <c r="CF24084" s="239"/>
      <c r="CM24084" s="336"/>
    </row>
    <row r="24085" spans="84:91" s="51" customFormat="1">
      <c r="CF24085" s="239"/>
      <c r="CM24085" s="336"/>
    </row>
    <row r="24086" spans="84:91" s="51" customFormat="1">
      <c r="CF24086" s="239"/>
      <c r="CM24086" s="336"/>
    </row>
    <row r="24087" spans="84:91" s="51" customFormat="1">
      <c r="CF24087" s="239"/>
      <c r="CM24087" s="336"/>
    </row>
    <row r="24088" spans="84:91" s="51" customFormat="1">
      <c r="CF24088" s="239"/>
      <c r="CM24088" s="336"/>
    </row>
    <row r="24089" spans="84:91" s="51" customFormat="1">
      <c r="CF24089" s="239"/>
      <c r="CM24089" s="336"/>
    </row>
    <row r="24090" spans="84:91" s="51" customFormat="1">
      <c r="CF24090" s="239"/>
      <c r="CM24090" s="336"/>
    </row>
    <row r="24091" spans="84:91" s="51" customFormat="1">
      <c r="CF24091" s="239"/>
      <c r="CM24091" s="336"/>
    </row>
    <row r="24092" spans="84:91" s="51" customFormat="1">
      <c r="CF24092" s="239"/>
      <c r="CM24092" s="336"/>
    </row>
    <row r="24093" spans="84:91" s="51" customFormat="1">
      <c r="CF24093" s="239"/>
      <c r="CM24093" s="336"/>
    </row>
    <row r="24094" spans="84:91" s="51" customFormat="1">
      <c r="CF24094" s="239"/>
      <c r="CM24094" s="336"/>
    </row>
    <row r="24095" spans="84:91" s="51" customFormat="1">
      <c r="CF24095" s="239"/>
      <c r="CM24095" s="336"/>
    </row>
    <row r="24096" spans="84:91" s="51" customFormat="1">
      <c r="CF24096" s="239"/>
      <c r="CM24096" s="336"/>
    </row>
    <row r="24097" spans="84:91" s="51" customFormat="1">
      <c r="CF24097" s="239"/>
      <c r="CM24097" s="336"/>
    </row>
    <row r="24098" spans="84:91" s="51" customFormat="1">
      <c r="CF24098" s="239"/>
      <c r="CM24098" s="336"/>
    </row>
    <row r="24099" spans="84:91" s="51" customFormat="1">
      <c r="CF24099" s="239"/>
      <c r="CM24099" s="336"/>
    </row>
    <row r="24100" spans="84:91" s="51" customFormat="1">
      <c r="CF24100" s="239"/>
      <c r="CM24100" s="336"/>
    </row>
    <row r="24101" spans="84:91" s="51" customFormat="1">
      <c r="CF24101" s="239"/>
      <c r="CM24101" s="336"/>
    </row>
    <row r="24102" spans="84:91" s="51" customFormat="1">
      <c r="CF24102" s="239"/>
      <c r="CM24102" s="336"/>
    </row>
    <row r="24103" spans="84:91" s="51" customFormat="1">
      <c r="CF24103" s="239"/>
      <c r="CM24103" s="336"/>
    </row>
    <row r="24104" spans="84:91" s="51" customFormat="1">
      <c r="CF24104" s="239"/>
      <c r="CM24104" s="336"/>
    </row>
    <row r="24105" spans="84:91" s="51" customFormat="1">
      <c r="CF24105" s="239"/>
      <c r="CM24105" s="336"/>
    </row>
    <row r="24106" spans="84:91" s="51" customFormat="1">
      <c r="CF24106" s="239"/>
      <c r="CM24106" s="336"/>
    </row>
    <row r="24107" spans="84:91" s="51" customFormat="1">
      <c r="CF24107" s="239"/>
      <c r="CM24107" s="336"/>
    </row>
    <row r="24108" spans="84:91" s="51" customFormat="1">
      <c r="CF24108" s="239"/>
      <c r="CM24108" s="336"/>
    </row>
    <row r="24109" spans="84:91" s="51" customFormat="1">
      <c r="CF24109" s="239"/>
      <c r="CM24109" s="336"/>
    </row>
    <row r="24110" spans="84:91" s="51" customFormat="1">
      <c r="CF24110" s="239"/>
      <c r="CM24110" s="336"/>
    </row>
    <row r="24111" spans="84:91" s="51" customFormat="1">
      <c r="CF24111" s="239"/>
      <c r="CM24111" s="336"/>
    </row>
    <row r="24112" spans="84:91" s="51" customFormat="1">
      <c r="CF24112" s="239"/>
      <c r="CM24112" s="336"/>
    </row>
    <row r="24113" spans="84:91" s="51" customFormat="1">
      <c r="CF24113" s="239"/>
      <c r="CM24113" s="336"/>
    </row>
    <row r="24114" spans="84:91" s="51" customFormat="1">
      <c r="CF24114" s="239"/>
      <c r="CM24114" s="336"/>
    </row>
    <row r="24115" spans="84:91" s="51" customFormat="1">
      <c r="CF24115" s="239"/>
      <c r="CM24115" s="336"/>
    </row>
    <row r="24116" spans="84:91" s="51" customFormat="1">
      <c r="CF24116" s="239"/>
      <c r="CM24116" s="336"/>
    </row>
    <row r="24117" spans="84:91" s="51" customFormat="1">
      <c r="CF24117" s="239"/>
      <c r="CM24117" s="336"/>
    </row>
    <row r="24118" spans="84:91" s="51" customFormat="1">
      <c r="CF24118" s="239"/>
      <c r="CM24118" s="336"/>
    </row>
    <row r="24119" spans="84:91" s="51" customFormat="1">
      <c r="CF24119" s="239"/>
      <c r="CM24119" s="336"/>
    </row>
    <row r="24120" spans="84:91" s="51" customFormat="1">
      <c r="CF24120" s="239"/>
      <c r="CM24120" s="336"/>
    </row>
    <row r="24121" spans="84:91" s="51" customFormat="1">
      <c r="CF24121" s="239"/>
      <c r="CM24121" s="336"/>
    </row>
    <row r="24122" spans="84:91" s="51" customFormat="1">
      <c r="CF24122" s="239"/>
      <c r="CM24122" s="336"/>
    </row>
    <row r="24123" spans="84:91" s="51" customFormat="1">
      <c r="CF24123" s="239"/>
      <c r="CM24123" s="336"/>
    </row>
    <row r="24124" spans="84:91" s="51" customFormat="1">
      <c r="CF24124" s="239"/>
      <c r="CM24124" s="336"/>
    </row>
    <row r="24125" spans="84:91" s="51" customFormat="1">
      <c r="CF24125" s="239"/>
      <c r="CM24125" s="336"/>
    </row>
    <row r="24126" spans="84:91" s="51" customFormat="1">
      <c r="CF24126" s="239"/>
      <c r="CM24126" s="336"/>
    </row>
    <row r="24127" spans="84:91" s="51" customFormat="1">
      <c r="CF24127" s="239"/>
      <c r="CM24127" s="336"/>
    </row>
    <row r="24128" spans="84:91" s="51" customFormat="1">
      <c r="CF24128" s="239"/>
      <c r="CM24128" s="336"/>
    </row>
    <row r="24129" spans="84:91" s="51" customFormat="1">
      <c r="CF24129" s="239"/>
      <c r="CM24129" s="336"/>
    </row>
    <row r="24130" spans="84:91" s="51" customFormat="1">
      <c r="CF24130" s="239"/>
      <c r="CM24130" s="336"/>
    </row>
    <row r="24131" spans="84:91" s="51" customFormat="1">
      <c r="CF24131" s="239"/>
      <c r="CM24131" s="336"/>
    </row>
    <row r="24132" spans="84:91" s="51" customFormat="1">
      <c r="CF24132" s="239"/>
      <c r="CM24132" s="336"/>
    </row>
    <row r="24133" spans="84:91" s="51" customFormat="1">
      <c r="CF24133" s="239"/>
      <c r="CM24133" s="336"/>
    </row>
    <row r="24134" spans="84:91" s="51" customFormat="1">
      <c r="CF24134" s="239"/>
      <c r="CM24134" s="336"/>
    </row>
    <row r="24135" spans="84:91" s="51" customFormat="1">
      <c r="CF24135" s="239"/>
      <c r="CM24135" s="336"/>
    </row>
    <row r="24136" spans="84:91" s="51" customFormat="1">
      <c r="CF24136" s="239"/>
      <c r="CM24136" s="336"/>
    </row>
    <row r="24137" spans="84:91" s="51" customFormat="1">
      <c r="CF24137" s="239"/>
      <c r="CM24137" s="336"/>
    </row>
    <row r="24138" spans="84:91" s="51" customFormat="1">
      <c r="CF24138" s="239"/>
      <c r="CM24138" s="336"/>
    </row>
    <row r="24139" spans="84:91" s="51" customFormat="1">
      <c r="CF24139" s="239"/>
      <c r="CM24139" s="336"/>
    </row>
    <row r="24140" spans="84:91" s="51" customFormat="1">
      <c r="CF24140" s="239"/>
      <c r="CM24140" s="336"/>
    </row>
    <row r="24141" spans="84:91" s="51" customFormat="1">
      <c r="CF24141" s="239"/>
      <c r="CM24141" s="336"/>
    </row>
    <row r="24142" spans="84:91" s="51" customFormat="1">
      <c r="CF24142" s="239"/>
      <c r="CM24142" s="336"/>
    </row>
    <row r="24143" spans="84:91" s="51" customFormat="1">
      <c r="CF24143" s="239"/>
      <c r="CM24143" s="336"/>
    </row>
    <row r="24144" spans="84:91" s="51" customFormat="1">
      <c r="CF24144" s="239"/>
      <c r="CM24144" s="336"/>
    </row>
    <row r="24145" spans="84:91" s="51" customFormat="1">
      <c r="CF24145" s="239"/>
      <c r="CM24145" s="336"/>
    </row>
    <row r="24146" spans="84:91" s="51" customFormat="1">
      <c r="CF24146" s="239"/>
      <c r="CM24146" s="336"/>
    </row>
    <row r="24147" spans="84:91" s="51" customFormat="1">
      <c r="CF24147" s="239"/>
      <c r="CM24147" s="336"/>
    </row>
    <row r="24148" spans="84:91" s="51" customFormat="1">
      <c r="CF24148" s="239"/>
      <c r="CM24148" s="336"/>
    </row>
    <row r="24149" spans="84:91" s="51" customFormat="1">
      <c r="CF24149" s="239"/>
      <c r="CM24149" s="336"/>
    </row>
    <row r="24150" spans="84:91" s="51" customFormat="1">
      <c r="CF24150" s="239"/>
      <c r="CM24150" s="336"/>
    </row>
    <row r="24151" spans="84:91" s="51" customFormat="1">
      <c r="CF24151" s="239"/>
      <c r="CM24151" s="336"/>
    </row>
    <row r="24152" spans="84:91" s="51" customFormat="1">
      <c r="CF24152" s="239"/>
      <c r="CM24152" s="336"/>
    </row>
    <row r="24153" spans="84:91" s="51" customFormat="1">
      <c r="CF24153" s="239"/>
      <c r="CM24153" s="336"/>
    </row>
    <row r="24154" spans="84:91" s="51" customFormat="1">
      <c r="CF24154" s="239"/>
      <c r="CM24154" s="336"/>
    </row>
    <row r="24155" spans="84:91" s="51" customFormat="1">
      <c r="CF24155" s="239"/>
      <c r="CM24155" s="336"/>
    </row>
    <row r="24156" spans="84:91" s="51" customFormat="1">
      <c r="CF24156" s="239"/>
      <c r="CM24156" s="336"/>
    </row>
    <row r="24157" spans="84:91" s="51" customFormat="1">
      <c r="CF24157" s="239"/>
      <c r="CM24157" s="336"/>
    </row>
    <row r="24158" spans="84:91" s="51" customFormat="1">
      <c r="CF24158" s="239"/>
      <c r="CM24158" s="336"/>
    </row>
    <row r="24159" spans="84:91" s="51" customFormat="1">
      <c r="CF24159" s="239"/>
      <c r="CM24159" s="336"/>
    </row>
    <row r="24160" spans="84:91" s="51" customFormat="1">
      <c r="CF24160" s="239"/>
      <c r="CM24160" s="336"/>
    </row>
    <row r="24161" spans="84:91" s="51" customFormat="1">
      <c r="CF24161" s="239"/>
      <c r="CM24161" s="336"/>
    </row>
    <row r="24162" spans="84:91" s="51" customFormat="1">
      <c r="CF24162" s="239"/>
      <c r="CM24162" s="336"/>
    </row>
    <row r="24163" spans="84:91" s="51" customFormat="1">
      <c r="CF24163" s="239"/>
      <c r="CM24163" s="336"/>
    </row>
    <row r="24164" spans="84:91" s="51" customFormat="1">
      <c r="CF24164" s="239"/>
      <c r="CM24164" s="336"/>
    </row>
    <row r="24165" spans="84:91" s="51" customFormat="1">
      <c r="CF24165" s="239"/>
      <c r="CM24165" s="336"/>
    </row>
    <row r="24166" spans="84:91" s="51" customFormat="1">
      <c r="CF24166" s="239"/>
      <c r="CM24166" s="336"/>
    </row>
    <row r="24167" spans="84:91" s="51" customFormat="1">
      <c r="CF24167" s="239"/>
      <c r="CM24167" s="336"/>
    </row>
    <row r="24168" spans="84:91" s="51" customFormat="1">
      <c r="CF24168" s="239"/>
      <c r="CM24168" s="336"/>
    </row>
    <row r="24169" spans="84:91" s="51" customFormat="1">
      <c r="CF24169" s="239"/>
      <c r="CM24169" s="336"/>
    </row>
    <row r="24170" spans="84:91" s="51" customFormat="1">
      <c r="CF24170" s="239"/>
      <c r="CM24170" s="336"/>
    </row>
    <row r="24171" spans="84:91" s="51" customFormat="1">
      <c r="CF24171" s="239"/>
      <c r="CM24171" s="336"/>
    </row>
    <row r="24172" spans="84:91" s="51" customFormat="1">
      <c r="CF24172" s="239"/>
      <c r="CM24172" s="336"/>
    </row>
    <row r="24173" spans="84:91" s="51" customFormat="1">
      <c r="CF24173" s="239"/>
      <c r="CM24173" s="336"/>
    </row>
    <row r="24174" spans="84:91" s="51" customFormat="1">
      <c r="CF24174" s="239"/>
      <c r="CM24174" s="336"/>
    </row>
    <row r="24175" spans="84:91" s="51" customFormat="1">
      <c r="CF24175" s="239"/>
      <c r="CM24175" s="336"/>
    </row>
    <row r="24176" spans="84:91" s="51" customFormat="1">
      <c r="CF24176" s="239"/>
      <c r="CM24176" s="336"/>
    </row>
    <row r="24177" spans="84:91" s="51" customFormat="1">
      <c r="CF24177" s="239"/>
      <c r="CM24177" s="336"/>
    </row>
    <row r="24178" spans="84:91" s="51" customFormat="1">
      <c r="CF24178" s="239"/>
      <c r="CM24178" s="336"/>
    </row>
    <row r="24179" spans="84:91" s="51" customFormat="1">
      <c r="CF24179" s="239"/>
      <c r="CM24179" s="336"/>
    </row>
    <row r="24180" spans="84:91" s="51" customFormat="1">
      <c r="CF24180" s="239"/>
      <c r="CM24180" s="336"/>
    </row>
    <row r="24181" spans="84:91" s="51" customFormat="1">
      <c r="CF24181" s="239"/>
      <c r="CM24181" s="336"/>
    </row>
    <row r="24182" spans="84:91" s="51" customFormat="1">
      <c r="CF24182" s="239"/>
      <c r="CM24182" s="336"/>
    </row>
    <row r="24183" spans="84:91" s="51" customFormat="1">
      <c r="CF24183" s="239"/>
      <c r="CM24183" s="336"/>
    </row>
    <row r="24184" spans="84:91" s="51" customFormat="1">
      <c r="CF24184" s="239"/>
      <c r="CM24184" s="336"/>
    </row>
    <row r="24185" spans="84:91" s="51" customFormat="1">
      <c r="CF24185" s="239"/>
      <c r="CM24185" s="336"/>
    </row>
    <row r="24186" spans="84:91" s="51" customFormat="1">
      <c r="CF24186" s="239"/>
      <c r="CM24186" s="336"/>
    </row>
    <row r="24187" spans="84:91" s="51" customFormat="1">
      <c r="CF24187" s="239"/>
      <c r="CM24187" s="336"/>
    </row>
    <row r="24188" spans="84:91" s="51" customFormat="1">
      <c r="CF24188" s="239"/>
      <c r="CM24188" s="336"/>
    </row>
    <row r="24189" spans="84:91" s="51" customFormat="1">
      <c r="CF24189" s="239"/>
      <c r="CM24189" s="336"/>
    </row>
    <row r="24190" spans="84:91" s="51" customFormat="1">
      <c r="CF24190" s="239"/>
      <c r="CM24190" s="336"/>
    </row>
    <row r="24191" spans="84:91" s="51" customFormat="1">
      <c r="CF24191" s="239"/>
      <c r="CM24191" s="336"/>
    </row>
    <row r="24192" spans="84:91" s="51" customFormat="1">
      <c r="CF24192" s="239"/>
      <c r="CM24192" s="336"/>
    </row>
    <row r="24193" spans="84:91" s="51" customFormat="1">
      <c r="CF24193" s="239"/>
      <c r="CM24193" s="336"/>
    </row>
    <row r="24194" spans="84:91" s="51" customFormat="1">
      <c r="CF24194" s="239"/>
      <c r="CM24194" s="336"/>
    </row>
    <row r="24195" spans="84:91" s="51" customFormat="1">
      <c r="CF24195" s="239"/>
      <c r="CM24195" s="336"/>
    </row>
    <row r="24196" spans="84:91" s="51" customFormat="1">
      <c r="CF24196" s="239"/>
      <c r="CM24196" s="336"/>
    </row>
    <row r="24197" spans="84:91" s="51" customFormat="1">
      <c r="CF24197" s="239"/>
      <c r="CM24197" s="336"/>
    </row>
    <row r="24198" spans="84:91" s="51" customFormat="1">
      <c r="CF24198" s="239"/>
      <c r="CM24198" s="336"/>
    </row>
    <row r="24199" spans="84:91" s="51" customFormat="1">
      <c r="CF24199" s="239"/>
      <c r="CM24199" s="336"/>
    </row>
    <row r="24200" spans="84:91" s="51" customFormat="1">
      <c r="CF24200" s="239"/>
      <c r="CM24200" s="336"/>
    </row>
    <row r="24201" spans="84:91" s="51" customFormat="1">
      <c r="CF24201" s="239"/>
      <c r="CM24201" s="336"/>
    </row>
    <row r="24202" spans="84:91" s="51" customFormat="1">
      <c r="CF24202" s="239"/>
      <c r="CM24202" s="336"/>
    </row>
    <row r="24203" spans="84:91" s="51" customFormat="1">
      <c r="CF24203" s="239"/>
      <c r="CM24203" s="336"/>
    </row>
    <row r="24204" spans="84:91" s="51" customFormat="1">
      <c r="CF24204" s="239"/>
      <c r="CM24204" s="336"/>
    </row>
    <row r="24205" spans="84:91" s="51" customFormat="1">
      <c r="CF24205" s="239"/>
      <c r="CM24205" s="336"/>
    </row>
    <row r="24206" spans="84:91" s="51" customFormat="1">
      <c r="CF24206" s="239"/>
      <c r="CM24206" s="336"/>
    </row>
    <row r="24207" spans="84:91" s="51" customFormat="1">
      <c r="CF24207" s="239"/>
      <c r="CM24207" s="336"/>
    </row>
    <row r="24208" spans="84:91" s="51" customFormat="1">
      <c r="CF24208" s="239"/>
      <c r="CM24208" s="336"/>
    </row>
    <row r="24209" spans="84:91" s="51" customFormat="1">
      <c r="CF24209" s="239"/>
      <c r="CM24209" s="336"/>
    </row>
    <row r="24210" spans="84:91" s="51" customFormat="1">
      <c r="CF24210" s="239"/>
      <c r="CM24210" s="336"/>
    </row>
    <row r="24211" spans="84:91" s="51" customFormat="1">
      <c r="CF24211" s="239"/>
      <c r="CM24211" s="336"/>
    </row>
    <row r="24212" spans="84:91" s="51" customFormat="1">
      <c r="CF24212" s="239"/>
      <c r="CM24212" s="336"/>
    </row>
    <row r="24213" spans="84:91" s="51" customFormat="1">
      <c r="CF24213" s="239"/>
      <c r="CM24213" s="336"/>
    </row>
    <row r="24214" spans="84:91" s="51" customFormat="1">
      <c r="CF24214" s="239"/>
      <c r="CM24214" s="336"/>
    </row>
    <row r="24215" spans="84:91" s="51" customFormat="1">
      <c r="CF24215" s="239"/>
      <c r="CM24215" s="336"/>
    </row>
    <row r="24216" spans="84:91" s="51" customFormat="1">
      <c r="CF24216" s="239"/>
      <c r="CM24216" s="336"/>
    </row>
    <row r="24217" spans="84:91" s="51" customFormat="1">
      <c r="CF24217" s="239"/>
      <c r="CM24217" s="336"/>
    </row>
    <row r="24218" spans="84:91" s="51" customFormat="1">
      <c r="CF24218" s="239"/>
      <c r="CM24218" s="336"/>
    </row>
    <row r="24219" spans="84:91" s="51" customFormat="1">
      <c r="CF24219" s="239"/>
      <c r="CM24219" s="336"/>
    </row>
    <row r="24220" spans="84:91" s="51" customFormat="1">
      <c r="CF24220" s="239"/>
      <c r="CM24220" s="336"/>
    </row>
    <row r="24221" spans="84:91" s="51" customFormat="1">
      <c r="CF24221" s="239"/>
      <c r="CM24221" s="336"/>
    </row>
    <row r="24222" spans="84:91" s="51" customFormat="1">
      <c r="CF24222" s="239"/>
      <c r="CM24222" s="336"/>
    </row>
    <row r="24223" spans="84:91" s="51" customFormat="1">
      <c r="CF24223" s="239"/>
      <c r="CM24223" s="336"/>
    </row>
    <row r="24224" spans="84:91" s="51" customFormat="1">
      <c r="CF24224" s="239"/>
      <c r="CM24224" s="336"/>
    </row>
    <row r="24225" spans="84:91" s="51" customFormat="1">
      <c r="CF24225" s="239"/>
      <c r="CM24225" s="336"/>
    </row>
    <row r="24226" spans="84:91" s="51" customFormat="1">
      <c r="CF24226" s="239"/>
      <c r="CM24226" s="336"/>
    </row>
    <row r="24227" spans="84:91" s="51" customFormat="1">
      <c r="CF24227" s="239"/>
      <c r="CM24227" s="336"/>
    </row>
    <row r="24228" spans="84:91" s="51" customFormat="1">
      <c r="CF24228" s="239"/>
      <c r="CM24228" s="336"/>
    </row>
    <row r="24229" spans="84:91" s="51" customFormat="1">
      <c r="CF24229" s="239"/>
      <c r="CM24229" s="336"/>
    </row>
    <row r="24230" spans="84:91" s="51" customFormat="1">
      <c r="CF24230" s="239"/>
      <c r="CM24230" s="336"/>
    </row>
    <row r="24231" spans="84:91" s="51" customFormat="1">
      <c r="CF24231" s="239"/>
      <c r="CM24231" s="336"/>
    </row>
    <row r="24232" spans="84:91" s="51" customFormat="1">
      <c r="CF24232" s="239"/>
      <c r="CM24232" s="336"/>
    </row>
    <row r="24233" spans="84:91" s="51" customFormat="1">
      <c r="CF24233" s="239"/>
      <c r="CM24233" s="336"/>
    </row>
    <row r="24234" spans="84:91" s="51" customFormat="1">
      <c r="CF24234" s="239"/>
      <c r="CM24234" s="336"/>
    </row>
    <row r="24235" spans="84:91" s="51" customFormat="1">
      <c r="CF24235" s="239"/>
      <c r="CM24235" s="336"/>
    </row>
    <row r="24236" spans="84:91" s="51" customFormat="1">
      <c r="CF24236" s="239"/>
      <c r="CM24236" s="336"/>
    </row>
    <row r="24237" spans="84:91" s="51" customFormat="1">
      <c r="CF24237" s="239"/>
      <c r="CM24237" s="336"/>
    </row>
    <row r="24238" spans="84:91" s="51" customFormat="1">
      <c r="CF24238" s="239"/>
      <c r="CM24238" s="336"/>
    </row>
    <row r="24239" spans="84:91" s="51" customFormat="1">
      <c r="CF24239" s="239"/>
      <c r="CM24239" s="336"/>
    </row>
    <row r="24240" spans="84:91" s="51" customFormat="1">
      <c r="CF24240" s="239"/>
      <c r="CM24240" s="336"/>
    </row>
    <row r="24241" spans="84:91" s="51" customFormat="1">
      <c r="CF24241" s="239"/>
      <c r="CM24241" s="336"/>
    </row>
    <row r="24242" spans="84:91" s="51" customFormat="1">
      <c r="CF24242" s="239"/>
      <c r="CM24242" s="336"/>
    </row>
    <row r="24243" spans="84:91" s="51" customFormat="1">
      <c r="CF24243" s="239"/>
      <c r="CM24243" s="336"/>
    </row>
    <row r="24244" spans="84:91" s="51" customFormat="1">
      <c r="CF24244" s="239"/>
      <c r="CM24244" s="336"/>
    </row>
    <row r="24245" spans="84:91" s="51" customFormat="1">
      <c r="CF24245" s="239"/>
      <c r="CM24245" s="336"/>
    </row>
    <row r="24246" spans="84:91" s="51" customFormat="1">
      <c r="CF24246" s="239"/>
      <c r="CM24246" s="336"/>
    </row>
    <row r="24247" spans="84:91" s="51" customFormat="1">
      <c r="CF24247" s="239"/>
      <c r="CM24247" s="336"/>
    </row>
    <row r="24248" spans="84:91" s="51" customFormat="1">
      <c r="CF24248" s="239"/>
      <c r="CM24248" s="336"/>
    </row>
    <row r="24249" spans="84:91" s="51" customFormat="1">
      <c r="CF24249" s="239"/>
      <c r="CM24249" s="336"/>
    </row>
    <row r="24250" spans="84:91" s="51" customFormat="1">
      <c r="CF24250" s="239"/>
      <c r="CM24250" s="336"/>
    </row>
    <row r="24251" spans="84:91" s="51" customFormat="1">
      <c r="CF24251" s="239"/>
      <c r="CM24251" s="336"/>
    </row>
    <row r="24252" spans="84:91" s="51" customFormat="1">
      <c r="CF24252" s="239"/>
      <c r="CM24252" s="336"/>
    </row>
    <row r="24253" spans="84:91" s="51" customFormat="1">
      <c r="CF24253" s="239"/>
      <c r="CM24253" s="336"/>
    </row>
    <row r="24254" spans="84:91" s="51" customFormat="1">
      <c r="CF24254" s="239"/>
      <c r="CM24254" s="336"/>
    </row>
    <row r="24255" spans="84:91" s="51" customFormat="1">
      <c r="CF24255" s="239"/>
      <c r="CM24255" s="336"/>
    </row>
    <row r="24256" spans="84:91" s="51" customFormat="1">
      <c r="CF24256" s="239"/>
      <c r="CM24256" s="336"/>
    </row>
    <row r="24257" spans="84:91" s="51" customFormat="1">
      <c r="CF24257" s="239"/>
      <c r="CM24257" s="336"/>
    </row>
    <row r="24258" spans="84:91" s="51" customFormat="1">
      <c r="CF24258" s="239"/>
      <c r="CM24258" s="336"/>
    </row>
    <row r="24259" spans="84:91" s="51" customFormat="1">
      <c r="CF24259" s="239"/>
      <c r="CM24259" s="336"/>
    </row>
    <row r="24260" spans="84:91" s="51" customFormat="1">
      <c r="CF24260" s="239"/>
      <c r="CM24260" s="336"/>
    </row>
    <row r="24261" spans="84:91" s="51" customFormat="1">
      <c r="CF24261" s="239"/>
      <c r="CM24261" s="336"/>
    </row>
    <row r="24262" spans="84:91" s="51" customFormat="1">
      <c r="CF24262" s="239"/>
      <c r="CM24262" s="336"/>
    </row>
    <row r="24263" spans="84:91" s="51" customFormat="1">
      <c r="CF24263" s="239"/>
      <c r="CM24263" s="336"/>
    </row>
    <row r="24264" spans="84:91" s="51" customFormat="1">
      <c r="CF24264" s="239"/>
      <c r="CM24264" s="336"/>
    </row>
    <row r="24265" spans="84:91" s="51" customFormat="1">
      <c r="CF24265" s="239"/>
      <c r="CM24265" s="336"/>
    </row>
    <row r="24266" spans="84:91" s="51" customFormat="1">
      <c r="CF24266" s="239"/>
      <c r="CM24266" s="336"/>
    </row>
    <row r="24267" spans="84:91" s="51" customFormat="1">
      <c r="CF24267" s="239"/>
      <c r="CM24267" s="336"/>
    </row>
    <row r="24268" spans="84:91" s="51" customFormat="1">
      <c r="CF24268" s="239"/>
      <c r="CM24268" s="336"/>
    </row>
    <row r="24269" spans="84:91" s="51" customFormat="1">
      <c r="CF24269" s="239"/>
      <c r="CM24269" s="336"/>
    </row>
    <row r="24270" spans="84:91" s="51" customFormat="1">
      <c r="CF24270" s="239"/>
      <c r="CM24270" s="336"/>
    </row>
    <row r="24271" spans="84:91" s="51" customFormat="1">
      <c r="CF24271" s="239"/>
      <c r="CM24271" s="336"/>
    </row>
    <row r="24272" spans="84:91" s="51" customFormat="1">
      <c r="CF24272" s="239"/>
      <c r="CM24272" s="336"/>
    </row>
    <row r="24273" spans="84:91" s="51" customFormat="1">
      <c r="CF24273" s="239"/>
      <c r="CM24273" s="336"/>
    </row>
    <row r="24274" spans="84:91" s="51" customFormat="1">
      <c r="CF24274" s="239"/>
      <c r="CM24274" s="336"/>
    </row>
    <row r="24275" spans="84:91" s="51" customFormat="1">
      <c r="CF24275" s="239"/>
      <c r="CM24275" s="336"/>
    </row>
    <row r="24276" spans="84:91" s="51" customFormat="1">
      <c r="CF24276" s="239"/>
      <c r="CM24276" s="336"/>
    </row>
    <row r="24277" spans="84:91" s="51" customFormat="1">
      <c r="CF24277" s="239"/>
      <c r="CM24277" s="336"/>
    </row>
    <row r="24278" spans="84:91" s="51" customFormat="1">
      <c r="CF24278" s="239"/>
      <c r="CM24278" s="336"/>
    </row>
    <row r="24279" spans="84:91" s="51" customFormat="1">
      <c r="CF24279" s="239"/>
      <c r="CM24279" s="336"/>
    </row>
    <row r="24280" spans="84:91" s="51" customFormat="1">
      <c r="CF24280" s="239"/>
      <c r="CM24280" s="336"/>
    </row>
    <row r="24281" spans="84:91" s="51" customFormat="1">
      <c r="CF24281" s="239"/>
      <c r="CM24281" s="336"/>
    </row>
    <row r="24282" spans="84:91" s="51" customFormat="1">
      <c r="CF24282" s="239"/>
      <c r="CM24282" s="336"/>
    </row>
    <row r="24283" spans="84:91" s="51" customFormat="1">
      <c r="CF24283" s="239"/>
      <c r="CM24283" s="336"/>
    </row>
    <row r="24284" spans="84:91" s="51" customFormat="1">
      <c r="CF24284" s="239"/>
      <c r="CM24284" s="336"/>
    </row>
    <row r="24285" spans="84:91" s="51" customFormat="1">
      <c r="CF24285" s="239"/>
      <c r="CM24285" s="336"/>
    </row>
    <row r="24286" spans="84:91" s="51" customFormat="1">
      <c r="CF24286" s="239"/>
      <c r="CM24286" s="336"/>
    </row>
    <row r="24287" spans="84:91" s="51" customFormat="1">
      <c r="CF24287" s="239"/>
      <c r="CM24287" s="336"/>
    </row>
    <row r="24288" spans="84:91" s="51" customFormat="1">
      <c r="CF24288" s="239"/>
      <c r="CM24288" s="336"/>
    </row>
    <row r="24289" spans="84:91" s="51" customFormat="1">
      <c r="CF24289" s="239"/>
      <c r="CM24289" s="336"/>
    </row>
    <row r="24290" spans="84:91" s="51" customFormat="1">
      <c r="CF24290" s="239"/>
      <c r="CM24290" s="336"/>
    </row>
    <row r="24291" spans="84:91" s="51" customFormat="1">
      <c r="CF24291" s="239"/>
      <c r="CM24291" s="336"/>
    </row>
    <row r="24292" spans="84:91" s="51" customFormat="1">
      <c r="CF24292" s="239"/>
      <c r="CM24292" s="336"/>
    </row>
    <row r="24293" spans="84:91" s="51" customFormat="1">
      <c r="CF24293" s="239"/>
      <c r="CM24293" s="336"/>
    </row>
    <row r="24294" spans="84:91" s="51" customFormat="1">
      <c r="CF24294" s="239"/>
      <c r="CM24294" s="336"/>
    </row>
    <row r="24295" spans="84:91" s="51" customFormat="1">
      <c r="CF24295" s="239"/>
      <c r="CM24295" s="336"/>
    </row>
    <row r="24296" spans="84:91" s="51" customFormat="1">
      <c r="CF24296" s="239"/>
      <c r="CM24296" s="336"/>
    </row>
    <row r="24297" spans="84:91" s="51" customFormat="1">
      <c r="CF24297" s="239"/>
      <c r="CM24297" s="336"/>
    </row>
    <row r="24298" spans="84:91" s="51" customFormat="1">
      <c r="CF24298" s="239"/>
      <c r="CM24298" s="336"/>
    </row>
    <row r="24299" spans="84:91" s="51" customFormat="1">
      <c r="CF24299" s="239"/>
      <c r="CM24299" s="336"/>
    </row>
    <row r="24300" spans="84:91" s="51" customFormat="1">
      <c r="CF24300" s="239"/>
      <c r="CM24300" s="336"/>
    </row>
    <row r="24301" spans="84:91" s="51" customFormat="1">
      <c r="CF24301" s="239"/>
      <c r="CM24301" s="336"/>
    </row>
    <row r="24302" spans="84:91" s="51" customFormat="1">
      <c r="CF24302" s="239"/>
      <c r="CM24302" s="336"/>
    </row>
    <row r="24303" spans="84:91" s="51" customFormat="1">
      <c r="CF24303" s="239"/>
      <c r="CM24303" s="336"/>
    </row>
    <row r="24304" spans="84:91" s="51" customFormat="1">
      <c r="CF24304" s="239"/>
      <c r="CM24304" s="336"/>
    </row>
    <row r="24305" spans="84:91" s="51" customFormat="1">
      <c r="CF24305" s="239"/>
      <c r="CM24305" s="336"/>
    </row>
    <row r="24306" spans="84:91" s="51" customFormat="1">
      <c r="CF24306" s="239"/>
      <c r="CM24306" s="336"/>
    </row>
    <row r="24307" spans="84:91" s="51" customFormat="1">
      <c r="CF24307" s="239"/>
      <c r="CM24307" s="336"/>
    </row>
    <row r="24308" spans="84:91" s="51" customFormat="1">
      <c r="CF24308" s="239"/>
      <c r="CM24308" s="336"/>
    </row>
    <row r="24309" spans="84:91" s="51" customFormat="1">
      <c r="CF24309" s="239"/>
      <c r="CM24309" s="336"/>
    </row>
    <row r="24310" spans="84:91" s="51" customFormat="1">
      <c r="CF24310" s="239"/>
      <c r="CM24310" s="336"/>
    </row>
    <row r="24311" spans="84:91" s="51" customFormat="1">
      <c r="CF24311" s="239"/>
      <c r="CM24311" s="336"/>
    </row>
    <row r="24312" spans="84:91" s="51" customFormat="1">
      <c r="CF24312" s="239"/>
      <c r="CM24312" s="336"/>
    </row>
    <row r="24313" spans="84:91" s="51" customFormat="1">
      <c r="CF24313" s="239"/>
      <c r="CM24313" s="336"/>
    </row>
    <row r="24314" spans="84:91" s="51" customFormat="1">
      <c r="CF24314" s="239"/>
      <c r="CM24314" s="336"/>
    </row>
    <row r="24315" spans="84:91" s="51" customFormat="1">
      <c r="CF24315" s="239"/>
      <c r="CM24315" s="336"/>
    </row>
    <row r="24316" spans="84:91" s="51" customFormat="1">
      <c r="CF24316" s="239"/>
      <c r="CM24316" s="336"/>
    </row>
    <row r="24317" spans="84:91" s="51" customFormat="1">
      <c r="CF24317" s="239"/>
      <c r="CM24317" s="336"/>
    </row>
    <row r="24318" spans="84:91" s="51" customFormat="1">
      <c r="CF24318" s="239"/>
      <c r="CM24318" s="336"/>
    </row>
    <row r="24319" spans="84:91" s="51" customFormat="1">
      <c r="CF24319" s="239"/>
      <c r="CM24319" s="336"/>
    </row>
    <row r="24320" spans="84:91" s="51" customFormat="1">
      <c r="CF24320" s="239"/>
      <c r="CM24320" s="336"/>
    </row>
    <row r="24321" spans="84:91" s="51" customFormat="1">
      <c r="CF24321" s="239"/>
      <c r="CM24321" s="336"/>
    </row>
    <row r="24322" spans="84:91" s="51" customFormat="1">
      <c r="CF24322" s="239"/>
      <c r="CM24322" s="336"/>
    </row>
    <row r="24323" spans="84:91" s="51" customFormat="1">
      <c r="CF24323" s="239"/>
      <c r="CM24323" s="336"/>
    </row>
    <row r="24324" spans="84:91" s="51" customFormat="1">
      <c r="CF24324" s="239"/>
      <c r="CM24324" s="336"/>
    </row>
    <row r="24325" spans="84:91" s="51" customFormat="1">
      <c r="CF24325" s="239"/>
      <c r="CM24325" s="336"/>
    </row>
    <row r="24326" spans="84:91" s="51" customFormat="1">
      <c r="CF24326" s="239"/>
      <c r="CM24326" s="336"/>
    </row>
    <row r="24327" spans="84:91" s="51" customFormat="1">
      <c r="CF24327" s="239"/>
      <c r="CM24327" s="336"/>
    </row>
    <row r="24328" spans="84:91" s="51" customFormat="1">
      <c r="CF24328" s="239"/>
      <c r="CM24328" s="336"/>
    </row>
    <row r="24329" spans="84:91" s="51" customFormat="1">
      <c r="CF24329" s="239"/>
      <c r="CM24329" s="336"/>
    </row>
    <row r="24330" spans="84:91" s="51" customFormat="1">
      <c r="CF24330" s="239"/>
      <c r="CM24330" s="336"/>
    </row>
    <row r="24331" spans="84:91" s="51" customFormat="1">
      <c r="CF24331" s="239"/>
      <c r="CM24331" s="336"/>
    </row>
    <row r="24332" spans="84:91" s="51" customFormat="1">
      <c r="CF24332" s="239"/>
      <c r="CM24332" s="336"/>
    </row>
    <row r="24333" spans="84:91" s="51" customFormat="1">
      <c r="CF24333" s="239"/>
      <c r="CM24333" s="336"/>
    </row>
    <row r="24334" spans="84:91" s="51" customFormat="1">
      <c r="CF24334" s="239"/>
      <c r="CM24334" s="336"/>
    </row>
    <row r="24335" spans="84:91" s="51" customFormat="1">
      <c r="CF24335" s="239"/>
      <c r="CM24335" s="336"/>
    </row>
    <row r="24336" spans="84:91" s="51" customFormat="1">
      <c r="CF24336" s="239"/>
      <c r="CM24336" s="336"/>
    </row>
    <row r="24337" spans="84:91" s="51" customFormat="1">
      <c r="CF24337" s="239"/>
      <c r="CM24337" s="336"/>
    </row>
    <row r="24338" spans="84:91" s="51" customFormat="1">
      <c r="CF24338" s="239"/>
      <c r="CM24338" s="336"/>
    </row>
    <row r="24339" spans="84:91" s="51" customFormat="1">
      <c r="CF24339" s="239"/>
      <c r="CM24339" s="336"/>
    </row>
    <row r="24340" spans="84:91" s="51" customFormat="1">
      <c r="CF24340" s="239"/>
      <c r="CM24340" s="336"/>
    </row>
    <row r="24341" spans="84:91" s="51" customFormat="1">
      <c r="CF24341" s="239"/>
      <c r="CM24341" s="336"/>
    </row>
    <row r="24342" spans="84:91" s="51" customFormat="1">
      <c r="CF24342" s="239"/>
      <c r="CM24342" s="336"/>
    </row>
    <row r="24343" spans="84:91" s="51" customFormat="1">
      <c r="CF24343" s="239"/>
      <c r="CM24343" s="336"/>
    </row>
    <row r="24344" spans="84:91" s="51" customFormat="1">
      <c r="CF24344" s="239"/>
      <c r="CM24344" s="336"/>
    </row>
    <row r="24345" spans="84:91" s="51" customFormat="1">
      <c r="CF24345" s="239"/>
      <c r="CM24345" s="336"/>
    </row>
    <row r="24346" spans="84:91" s="51" customFormat="1">
      <c r="CF24346" s="239"/>
      <c r="CM24346" s="336"/>
    </row>
    <row r="24347" spans="84:91" s="51" customFormat="1">
      <c r="CF24347" s="239"/>
      <c r="CM24347" s="336"/>
    </row>
    <row r="24348" spans="84:91" s="51" customFormat="1">
      <c r="CF24348" s="239"/>
      <c r="CM24348" s="336"/>
    </row>
    <row r="24349" spans="84:91" s="51" customFormat="1">
      <c r="CF24349" s="239"/>
      <c r="CM24349" s="336"/>
    </row>
    <row r="24350" spans="84:91" s="51" customFormat="1">
      <c r="CF24350" s="239"/>
      <c r="CM24350" s="336"/>
    </row>
    <row r="24351" spans="84:91" s="51" customFormat="1">
      <c r="CF24351" s="239"/>
      <c r="CM24351" s="336"/>
    </row>
    <row r="24352" spans="84:91" s="51" customFormat="1">
      <c r="CF24352" s="239"/>
      <c r="CM24352" s="336"/>
    </row>
    <row r="24353" spans="84:91" s="51" customFormat="1">
      <c r="CF24353" s="239"/>
      <c r="CM24353" s="336"/>
    </row>
    <row r="24354" spans="84:91" s="51" customFormat="1">
      <c r="CF24354" s="239"/>
      <c r="CM24354" s="336"/>
    </row>
    <row r="24355" spans="84:91" s="51" customFormat="1">
      <c r="CF24355" s="239"/>
      <c r="CM24355" s="336"/>
    </row>
    <row r="24356" spans="84:91" s="51" customFormat="1">
      <c r="CF24356" s="239"/>
      <c r="CM24356" s="336"/>
    </row>
    <row r="24357" spans="84:91" s="51" customFormat="1">
      <c r="CF24357" s="239"/>
      <c r="CM24357" s="336"/>
    </row>
    <row r="24358" spans="84:91" s="51" customFormat="1">
      <c r="CF24358" s="239"/>
      <c r="CM24358" s="336"/>
    </row>
    <row r="24359" spans="84:91" s="51" customFormat="1">
      <c r="CF24359" s="239"/>
      <c r="CM24359" s="336"/>
    </row>
    <row r="24360" spans="84:91" s="51" customFormat="1">
      <c r="CF24360" s="239"/>
      <c r="CM24360" s="336"/>
    </row>
    <row r="24361" spans="84:91" s="51" customFormat="1">
      <c r="CF24361" s="239"/>
      <c r="CM24361" s="336"/>
    </row>
    <row r="24362" spans="84:91" s="51" customFormat="1">
      <c r="CF24362" s="239"/>
      <c r="CM24362" s="336"/>
    </row>
    <row r="24363" spans="84:91" s="51" customFormat="1">
      <c r="CF24363" s="239"/>
      <c r="CM24363" s="336"/>
    </row>
    <row r="24364" spans="84:91" s="51" customFormat="1">
      <c r="CF24364" s="239"/>
      <c r="CM24364" s="336"/>
    </row>
    <row r="24365" spans="84:91" s="51" customFormat="1">
      <c r="CF24365" s="239"/>
      <c r="CM24365" s="336"/>
    </row>
    <row r="24366" spans="84:91" s="51" customFormat="1">
      <c r="CF24366" s="239"/>
      <c r="CM24366" s="336"/>
    </row>
    <row r="24367" spans="84:91" s="51" customFormat="1">
      <c r="CF24367" s="239"/>
      <c r="CM24367" s="336"/>
    </row>
    <row r="24368" spans="84:91" s="51" customFormat="1">
      <c r="CF24368" s="239"/>
      <c r="CM24368" s="336"/>
    </row>
    <row r="24369" spans="84:91" s="51" customFormat="1">
      <c r="CF24369" s="239"/>
      <c r="CM24369" s="336"/>
    </row>
    <row r="24370" spans="84:91" s="51" customFormat="1">
      <c r="CF24370" s="239"/>
      <c r="CM24370" s="336"/>
    </row>
    <row r="24371" spans="84:91" s="51" customFormat="1">
      <c r="CF24371" s="239"/>
      <c r="CM24371" s="336"/>
    </row>
    <row r="24372" spans="84:91" s="51" customFormat="1">
      <c r="CF24372" s="239"/>
      <c r="CM24372" s="336"/>
    </row>
    <row r="24373" spans="84:91" s="51" customFormat="1">
      <c r="CF24373" s="239"/>
      <c r="CM24373" s="336"/>
    </row>
    <row r="24374" spans="84:91" s="51" customFormat="1">
      <c r="CF24374" s="239"/>
      <c r="CM24374" s="336"/>
    </row>
    <row r="24375" spans="84:91" s="51" customFormat="1">
      <c r="CF24375" s="239"/>
      <c r="CM24375" s="336"/>
    </row>
    <row r="24376" spans="84:91" s="51" customFormat="1">
      <c r="CF24376" s="239"/>
      <c r="CM24376" s="336"/>
    </row>
    <row r="24377" spans="84:91" s="51" customFormat="1">
      <c r="CF24377" s="239"/>
      <c r="CM24377" s="336"/>
    </row>
    <row r="24378" spans="84:91" s="51" customFormat="1">
      <c r="CF24378" s="239"/>
      <c r="CM24378" s="336"/>
    </row>
    <row r="24379" spans="84:91" s="51" customFormat="1">
      <c r="CF24379" s="239"/>
      <c r="CM24379" s="336"/>
    </row>
    <row r="24380" spans="84:91" s="51" customFormat="1">
      <c r="CF24380" s="239"/>
      <c r="CM24380" s="336"/>
    </row>
    <row r="24381" spans="84:91" s="51" customFormat="1">
      <c r="CF24381" s="239"/>
      <c r="CM24381" s="336"/>
    </row>
    <row r="24382" spans="84:91" s="51" customFormat="1">
      <c r="CF24382" s="239"/>
      <c r="CM24382" s="336"/>
    </row>
    <row r="24383" spans="84:91" s="51" customFormat="1">
      <c r="CF24383" s="239"/>
      <c r="CM24383" s="336"/>
    </row>
    <row r="24384" spans="84:91" s="51" customFormat="1">
      <c r="CF24384" s="239"/>
      <c r="CM24384" s="336"/>
    </row>
    <row r="24385" spans="84:91" s="51" customFormat="1">
      <c r="CF24385" s="239"/>
      <c r="CM24385" s="336"/>
    </row>
    <row r="24386" spans="84:91" s="51" customFormat="1">
      <c r="CF24386" s="239"/>
      <c r="CM24386" s="336"/>
    </row>
    <row r="24387" spans="84:91" s="51" customFormat="1">
      <c r="CF24387" s="239"/>
      <c r="CM24387" s="336"/>
    </row>
    <row r="24388" spans="84:91" s="51" customFormat="1">
      <c r="CF24388" s="239"/>
      <c r="CM24388" s="336"/>
    </row>
    <row r="24389" spans="84:91" s="51" customFormat="1">
      <c r="CF24389" s="239"/>
      <c r="CM24389" s="336"/>
    </row>
    <row r="24390" spans="84:91" s="51" customFormat="1">
      <c r="CF24390" s="239"/>
      <c r="CM24390" s="336"/>
    </row>
    <row r="24391" spans="84:91" s="51" customFormat="1">
      <c r="CF24391" s="239"/>
      <c r="CM24391" s="336"/>
    </row>
    <row r="24392" spans="84:91" s="51" customFormat="1">
      <c r="CF24392" s="239"/>
      <c r="CM24392" s="336"/>
    </row>
    <row r="24393" spans="84:91" s="51" customFormat="1">
      <c r="CF24393" s="239"/>
      <c r="CM24393" s="336"/>
    </row>
    <row r="24394" spans="84:91" s="51" customFormat="1">
      <c r="CF24394" s="239"/>
      <c r="CM24394" s="336"/>
    </row>
    <row r="24395" spans="84:91" s="51" customFormat="1">
      <c r="CF24395" s="239"/>
      <c r="CM24395" s="336"/>
    </row>
    <row r="24396" spans="84:91" s="51" customFormat="1">
      <c r="CF24396" s="239"/>
      <c r="CM24396" s="336"/>
    </row>
    <row r="24397" spans="84:91" s="51" customFormat="1">
      <c r="CF24397" s="239"/>
      <c r="CM24397" s="336"/>
    </row>
    <row r="24398" spans="84:91" s="51" customFormat="1">
      <c r="CF24398" s="239"/>
      <c r="CM24398" s="336"/>
    </row>
    <row r="24399" spans="84:91" s="51" customFormat="1">
      <c r="CF24399" s="239"/>
      <c r="CM24399" s="336"/>
    </row>
    <row r="24400" spans="84:91" s="51" customFormat="1">
      <c r="CF24400" s="239"/>
      <c r="CM24400" s="336"/>
    </row>
    <row r="24401" spans="84:91" s="51" customFormat="1">
      <c r="CF24401" s="239"/>
      <c r="CM24401" s="336"/>
    </row>
    <row r="24402" spans="84:91" s="51" customFormat="1">
      <c r="CF24402" s="239"/>
      <c r="CM24402" s="336"/>
    </row>
    <row r="24403" spans="84:91" s="51" customFormat="1">
      <c r="CF24403" s="239"/>
      <c r="CM24403" s="336"/>
    </row>
    <row r="24404" spans="84:91" s="51" customFormat="1">
      <c r="CF24404" s="239"/>
      <c r="CM24404" s="336"/>
    </row>
    <row r="24405" spans="84:91" s="51" customFormat="1">
      <c r="CF24405" s="239"/>
      <c r="CM24405" s="336"/>
    </row>
    <row r="24406" spans="84:91" s="51" customFormat="1">
      <c r="CF24406" s="239"/>
      <c r="CM24406" s="336"/>
    </row>
    <row r="24407" spans="84:91" s="51" customFormat="1">
      <c r="CF24407" s="239"/>
      <c r="CM24407" s="336"/>
    </row>
    <row r="24408" spans="84:91" s="51" customFormat="1">
      <c r="CF24408" s="239"/>
      <c r="CM24408" s="336"/>
    </row>
    <row r="24409" spans="84:91" s="51" customFormat="1">
      <c r="CF24409" s="239"/>
      <c r="CM24409" s="336"/>
    </row>
    <row r="24410" spans="84:91" s="51" customFormat="1">
      <c r="CF24410" s="239"/>
      <c r="CM24410" s="336"/>
    </row>
    <row r="24411" spans="84:91" s="51" customFormat="1">
      <c r="CF24411" s="239"/>
      <c r="CM24411" s="336"/>
    </row>
    <row r="24412" spans="84:91" s="51" customFormat="1">
      <c r="CF24412" s="239"/>
      <c r="CM24412" s="336"/>
    </row>
    <row r="24413" spans="84:91" s="51" customFormat="1">
      <c r="CF24413" s="239"/>
      <c r="CM24413" s="336"/>
    </row>
    <row r="24414" spans="84:91" s="51" customFormat="1">
      <c r="CF24414" s="239"/>
      <c r="CM24414" s="336"/>
    </row>
    <row r="24415" spans="84:91" s="51" customFormat="1">
      <c r="CF24415" s="239"/>
      <c r="CM24415" s="336"/>
    </row>
    <row r="24416" spans="84:91" s="51" customFormat="1">
      <c r="CF24416" s="239"/>
      <c r="CM24416" s="336"/>
    </row>
    <row r="24417" spans="84:91" s="51" customFormat="1">
      <c r="CF24417" s="239"/>
      <c r="CM24417" s="336"/>
    </row>
    <row r="24418" spans="84:91" s="51" customFormat="1">
      <c r="CF24418" s="239"/>
      <c r="CM24418" s="336"/>
    </row>
    <row r="24419" spans="84:91" s="51" customFormat="1">
      <c r="CF24419" s="239"/>
      <c r="CM24419" s="336"/>
    </row>
    <row r="24420" spans="84:91" s="51" customFormat="1">
      <c r="CF24420" s="239"/>
      <c r="CM24420" s="336"/>
    </row>
    <row r="24421" spans="84:91" s="51" customFormat="1">
      <c r="CF24421" s="239"/>
      <c r="CM24421" s="336"/>
    </row>
    <row r="24422" spans="84:91" s="51" customFormat="1">
      <c r="CF24422" s="239"/>
      <c r="CM24422" s="336"/>
    </row>
    <row r="24423" spans="84:91" s="51" customFormat="1">
      <c r="CF24423" s="239"/>
      <c r="CM24423" s="336"/>
    </row>
    <row r="24424" spans="84:91" s="51" customFormat="1">
      <c r="CF24424" s="239"/>
      <c r="CM24424" s="336"/>
    </row>
    <row r="24425" spans="84:91" s="51" customFormat="1">
      <c r="CF24425" s="239"/>
      <c r="CM24425" s="336"/>
    </row>
    <row r="24426" spans="84:91" s="51" customFormat="1">
      <c r="CF24426" s="239"/>
      <c r="CM24426" s="336"/>
    </row>
    <row r="24427" spans="84:91" s="51" customFormat="1">
      <c r="CF24427" s="239"/>
      <c r="CM24427" s="336"/>
    </row>
    <row r="24428" spans="84:91" s="51" customFormat="1">
      <c r="CF24428" s="239"/>
      <c r="CM24428" s="336"/>
    </row>
    <row r="24429" spans="84:91" s="51" customFormat="1">
      <c r="CF24429" s="239"/>
      <c r="CM24429" s="336"/>
    </row>
    <row r="24430" spans="84:91" s="51" customFormat="1">
      <c r="CF24430" s="239"/>
      <c r="CM24430" s="336"/>
    </row>
    <row r="24431" spans="84:91" s="51" customFormat="1">
      <c r="CF24431" s="239"/>
      <c r="CM24431" s="336"/>
    </row>
    <row r="24432" spans="84:91" s="51" customFormat="1">
      <c r="CF24432" s="239"/>
      <c r="CM24432" s="336"/>
    </row>
    <row r="24433" spans="84:91" s="51" customFormat="1">
      <c r="CF24433" s="239"/>
      <c r="CM24433" s="336"/>
    </row>
    <row r="24434" spans="84:91" s="51" customFormat="1">
      <c r="CF24434" s="239"/>
      <c r="CM24434" s="336"/>
    </row>
    <row r="24435" spans="84:91" s="51" customFormat="1">
      <c r="CF24435" s="239"/>
      <c r="CM24435" s="336"/>
    </row>
    <row r="24436" spans="84:91" s="51" customFormat="1">
      <c r="CF24436" s="239"/>
      <c r="CM24436" s="336"/>
    </row>
    <row r="24437" spans="84:91" s="51" customFormat="1">
      <c r="CF24437" s="239"/>
      <c r="CM24437" s="336"/>
    </row>
    <row r="24438" spans="84:91" s="51" customFormat="1">
      <c r="CF24438" s="239"/>
      <c r="CM24438" s="336"/>
    </row>
    <row r="24439" spans="84:91" s="51" customFormat="1">
      <c r="CF24439" s="239"/>
      <c r="CM24439" s="336"/>
    </row>
    <row r="24440" spans="84:91" s="51" customFormat="1">
      <c r="CF24440" s="239"/>
      <c r="CM24440" s="336"/>
    </row>
    <row r="24441" spans="84:91" s="51" customFormat="1">
      <c r="CF24441" s="239"/>
      <c r="CM24441" s="336"/>
    </row>
    <row r="24442" spans="84:91" s="51" customFormat="1">
      <c r="CF24442" s="239"/>
      <c r="CM24442" s="336"/>
    </row>
    <row r="24443" spans="84:91" s="51" customFormat="1">
      <c r="CF24443" s="239"/>
      <c r="CM24443" s="336"/>
    </row>
    <row r="24444" spans="84:91" s="51" customFormat="1">
      <c r="CF24444" s="239"/>
      <c r="CM24444" s="336"/>
    </row>
    <row r="24445" spans="84:91" s="51" customFormat="1">
      <c r="CF24445" s="239"/>
      <c r="CM24445" s="336"/>
    </row>
    <row r="24446" spans="84:91" s="51" customFormat="1">
      <c r="CF24446" s="239"/>
      <c r="CM24446" s="336"/>
    </row>
    <row r="24447" spans="84:91" s="51" customFormat="1">
      <c r="CF24447" s="239"/>
      <c r="CM24447" s="336"/>
    </row>
    <row r="24448" spans="84:91" s="51" customFormat="1">
      <c r="CF24448" s="239"/>
      <c r="CM24448" s="336"/>
    </row>
    <row r="24449" spans="84:91" s="51" customFormat="1">
      <c r="CF24449" s="239"/>
      <c r="CM24449" s="336"/>
    </row>
    <row r="24450" spans="84:91" s="51" customFormat="1">
      <c r="CF24450" s="239"/>
      <c r="CM24450" s="336"/>
    </row>
    <row r="24451" spans="84:91" s="51" customFormat="1">
      <c r="CF24451" s="239"/>
      <c r="CM24451" s="336"/>
    </row>
    <row r="24452" spans="84:91" s="51" customFormat="1">
      <c r="CF24452" s="239"/>
      <c r="CM24452" s="336"/>
    </row>
    <row r="24453" spans="84:91" s="51" customFormat="1">
      <c r="CF24453" s="239"/>
      <c r="CM24453" s="336"/>
    </row>
    <row r="24454" spans="84:91" s="51" customFormat="1">
      <c r="CF24454" s="239"/>
      <c r="CM24454" s="336"/>
    </row>
    <row r="24455" spans="84:91" s="51" customFormat="1">
      <c r="CF24455" s="239"/>
      <c r="CM24455" s="336"/>
    </row>
    <row r="24456" spans="84:91" s="51" customFormat="1">
      <c r="CF24456" s="239"/>
      <c r="CM24456" s="336"/>
    </row>
    <row r="24457" spans="84:91" s="51" customFormat="1">
      <c r="CF24457" s="239"/>
      <c r="CM24457" s="336"/>
    </row>
    <row r="24458" spans="84:91" s="51" customFormat="1">
      <c r="CF24458" s="239"/>
      <c r="CM24458" s="336"/>
    </row>
    <row r="24459" spans="84:91" s="51" customFormat="1">
      <c r="CF24459" s="239"/>
      <c r="CM24459" s="336"/>
    </row>
    <row r="24460" spans="84:91" s="51" customFormat="1">
      <c r="CF24460" s="239"/>
      <c r="CM24460" s="336"/>
    </row>
    <row r="24461" spans="84:91" s="51" customFormat="1">
      <c r="CF24461" s="239"/>
      <c r="CM24461" s="336"/>
    </row>
    <row r="24462" spans="84:91" s="51" customFormat="1">
      <c r="CF24462" s="239"/>
      <c r="CM24462" s="336"/>
    </row>
    <row r="24463" spans="84:91" s="51" customFormat="1">
      <c r="CF24463" s="239"/>
      <c r="CM24463" s="336"/>
    </row>
    <row r="24464" spans="84:91" s="51" customFormat="1">
      <c r="CF24464" s="239"/>
      <c r="CM24464" s="336"/>
    </row>
    <row r="24465" spans="84:91" s="51" customFormat="1">
      <c r="CF24465" s="239"/>
      <c r="CM24465" s="336"/>
    </row>
    <row r="24466" spans="84:91" s="51" customFormat="1">
      <c r="CF24466" s="239"/>
      <c r="CM24466" s="336"/>
    </row>
    <row r="24467" spans="84:91" s="51" customFormat="1">
      <c r="CF24467" s="239"/>
      <c r="CM24467" s="336"/>
    </row>
    <row r="24468" spans="84:91" s="51" customFormat="1">
      <c r="CF24468" s="239"/>
      <c r="CM24468" s="336"/>
    </row>
    <row r="24469" spans="84:91" s="51" customFormat="1">
      <c r="CF24469" s="239"/>
      <c r="CM24469" s="336"/>
    </row>
    <row r="24470" spans="84:91" s="51" customFormat="1">
      <c r="CF24470" s="239"/>
      <c r="CM24470" s="336"/>
    </row>
    <row r="24471" spans="84:91" s="51" customFormat="1">
      <c r="CF24471" s="239"/>
      <c r="CM24471" s="336"/>
    </row>
    <row r="24472" spans="84:91" s="51" customFormat="1">
      <c r="CF24472" s="239"/>
      <c r="CM24472" s="336"/>
    </row>
    <row r="24473" spans="84:91" s="51" customFormat="1">
      <c r="CF24473" s="239"/>
      <c r="CM24473" s="336"/>
    </row>
    <row r="24474" spans="84:91" s="51" customFormat="1">
      <c r="CF24474" s="239"/>
      <c r="CM24474" s="336"/>
    </row>
    <row r="24475" spans="84:91" s="51" customFormat="1">
      <c r="CF24475" s="239"/>
      <c r="CM24475" s="336"/>
    </row>
    <row r="24476" spans="84:91" s="51" customFormat="1">
      <c r="CF24476" s="239"/>
      <c r="CM24476" s="336"/>
    </row>
    <row r="24477" spans="84:91" s="51" customFormat="1">
      <c r="CF24477" s="239"/>
      <c r="CM24477" s="336"/>
    </row>
    <row r="24478" spans="84:91" s="51" customFormat="1">
      <c r="CF24478" s="239"/>
      <c r="CM24478" s="336"/>
    </row>
    <row r="24479" spans="84:91" s="51" customFormat="1">
      <c r="CF24479" s="239"/>
      <c r="CM24479" s="336"/>
    </row>
    <row r="24480" spans="84:91" s="51" customFormat="1">
      <c r="CF24480" s="239"/>
      <c r="CM24480" s="336"/>
    </row>
    <row r="24481" spans="84:91" s="51" customFormat="1">
      <c r="CF24481" s="239"/>
      <c r="CM24481" s="336"/>
    </row>
    <row r="24482" spans="84:91" s="51" customFormat="1">
      <c r="CF24482" s="239"/>
      <c r="CM24482" s="336"/>
    </row>
    <row r="24483" spans="84:91" s="51" customFormat="1">
      <c r="CF24483" s="239"/>
      <c r="CM24483" s="336"/>
    </row>
    <row r="24484" spans="84:91" s="51" customFormat="1">
      <c r="CF24484" s="239"/>
      <c r="CM24484" s="336"/>
    </row>
    <row r="24485" spans="84:91" s="51" customFormat="1">
      <c r="CF24485" s="239"/>
      <c r="CM24485" s="336"/>
    </row>
    <row r="24486" spans="84:91" s="51" customFormat="1">
      <c r="CF24486" s="239"/>
      <c r="CM24486" s="336"/>
    </row>
    <row r="24487" spans="84:91" s="51" customFormat="1">
      <c r="CF24487" s="239"/>
      <c r="CM24487" s="336"/>
    </row>
    <row r="24488" spans="84:91" s="51" customFormat="1">
      <c r="CF24488" s="239"/>
      <c r="CM24488" s="336"/>
    </row>
    <row r="24489" spans="84:91" s="51" customFormat="1">
      <c r="CF24489" s="239"/>
      <c r="CM24489" s="336"/>
    </row>
    <row r="24490" spans="84:91" s="51" customFormat="1">
      <c r="CF24490" s="239"/>
      <c r="CM24490" s="336"/>
    </row>
    <row r="24491" spans="84:91" s="51" customFormat="1">
      <c r="CF24491" s="239"/>
      <c r="CM24491" s="336"/>
    </row>
    <row r="24492" spans="84:91" s="51" customFormat="1">
      <c r="CF24492" s="239"/>
      <c r="CM24492" s="336"/>
    </row>
    <row r="24493" spans="84:91" s="51" customFormat="1">
      <c r="CF24493" s="239"/>
      <c r="CM24493" s="336"/>
    </row>
    <row r="24494" spans="84:91" s="51" customFormat="1">
      <c r="CF24494" s="239"/>
      <c r="CM24494" s="336"/>
    </row>
    <row r="24495" spans="84:91" s="51" customFormat="1">
      <c r="CF24495" s="239"/>
      <c r="CM24495" s="336"/>
    </row>
    <row r="24496" spans="84:91" s="51" customFormat="1">
      <c r="CF24496" s="239"/>
      <c r="CM24496" s="336"/>
    </row>
    <row r="24497" spans="84:91" s="51" customFormat="1">
      <c r="CF24497" s="239"/>
      <c r="CM24497" s="336"/>
    </row>
    <row r="24498" spans="84:91" s="51" customFormat="1">
      <c r="CF24498" s="239"/>
      <c r="CM24498" s="336"/>
    </row>
    <row r="24499" spans="84:91" s="51" customFormat="1">
      <c r="CF24499" s="239"/>
      <c r="CM24499" s="336"/>
    </row>
    <row r="24500" spans="84:91" s="51" customFormat="1">
      <c r="CF24500" s="239"/>
      <c r="CM24500" s="336"/>
    </row>
    <row r="24501" spans="84:91" s="51" customFormat="1">
      <c r="CF24501" s="239"/>
      <c r="CM24501" s="336"/>
    </row>
    <row r="24502" spans="84:91" s="51" customFormat="1">
      <c r="CF24502" s="239"/>
      <c r="CM24502" s="336"/>
    </row>
    <row r="24503" spans="84:91" s="51" customFormat="1">
      <c r="CF24503" s="239"/>
      <c r="CM24503" s="336"/>
    </row>
    <row r="24504" spans="84:91" s="51" customFormat="1">
      <c r="CF24504" s="239"/>
      <c r="CM24504" s="336"/>
    </row>
    <row r="24505" spans="84:91" s="51" customFormat="1">
      <c r="CF24505" s="239"/>
      <c r="CM24505" s="336"/>
    </row>
    <row r="24506" spans="84:91" s="51" customFormat="1">
      <c r="CF24506" s="239"/>
      <c r="CM24506" s="336"/>
    </row>
    <row r="24507" spans="84:91" s="51" customFormat="1">
      <c r="CF24507" s="239"/>
      <c r="CM24507" s="336"/>
    </row>
    <row r="24508" spans="84:91" s="51" customFormat="1">
      <c r="CF24508" s="239"/>
      <c r="CM24508" s="336"/>
    </row>
    <row r="24509" spans="84:91" s="51" customFormat="1">
      <c r="CF24509" s="239"/>
      <c r="CM24509" s="336"/>
    </row>
    <row r="24510" spans="84:91" s="51" customFormat="1">
      <c r="CF24510" s="239"/>
      <c r="CM24510" s="336"/>
    </row>
    <row r="24511" spans="84:91" s="51" customFormat="1">
      <c r="CF24511" s="239"/>
      <c r="CM24511" s="336"/>
    </row>
    <row r="24512" spans="84:91" s="51" customFormat="1">
      <c r="CF24512" s="239"/>
      <c r="CM24512" s="336"/>
    </row>
    <row r="24513" spans="84:91" s="51" customFormat="1">
      <c r="CF24513" s="239"/>
      <c r="CM24513" s="336"/>
    </row>
    <row r="24514" spans="84:91" s="51" customFormat="1">
      <c r="CF24514" s="239"/>
      <c r="CM24514" s="336"/>
    </row>
    <row r="24515" spans="84:91" s="51" customFormat="1">
      <c r="CF24515" s="239"/>
      <c r="CM24515" s="336"/>
    </row>
    <row r="24516" spans="84:91" s="51" customFormat="1">
      <c r="CF24516" s="239"/>
      <c r="CM24516" s="336"/>
    </row>
    <row r="24517" spans="84:91" s="51" customFormat="1">
      <c r="CF24517" s="239"/>
      <c r="CM24517" s="336"/>
    </row>
    <row r="24518" spans="84:91" s="51" customFormat="1">
      <c r="CF24518" s="239"/>
      <c r="CM24518" s="336"/>
    </row>
    <row r="24519" spans="84:91" s="51" customFormat="1">
      <c r="CF24519" s="239"/>
      <c r="CM24519" s="336"/>
    </row>
    <row r="24520" spans="84:91" s="51" customFormat="1">
      <c r="CF24520" s="239"/>
      <c r="CM24520" s="336"/>
    </row>
    <row r="24521" spans="84:91" s="51" customFormat="1">
      <c r="CF24521" s="239"/>
      <c r="CM24521" s="336"/>
    </row>
    <row r="24522" spans="84:91" s="51" customFormat="1">
      <c r="CF24522" s="239"/>
      <c r="CM24522" s="336"/>
    </row>
    <row r="24523" spans="84:91" s="51" customFormat="1">
      <c r="CF24523" s="239"/>
      <c r="CM24523" s="336"/>
    </row>
    <row r="24524" spans="84:91" s="51" customFormat="1">
      <c r="CF24524" s="239"/>
      <c r="CM24524" s="336"/>
    </row>
    <row r="24525" spans="84:91" s="51" customFormat="1">
      <c r="CF24525" s="239"/>
      <c r="CM24525" s="336"/>
    </row>
    <row r="24526" spans="84:91" s="51" customFormat="1">
      <c r="CF24526" s="239"/>
      <c r="CM24526" s="336"/>
    </row>
    <row r="24527" spans="84:91" s="51" customFormat="1">
      <c r="CF24527" s="239"/>
      <c r="CM24527" s="336"/>
    </row>
    <row r="24528" spans="84:91" s="51" customFormat="1">
      <c r="CF24528" s="239"/>
      <c r="CM24528" s="336"/>
    </row>
    <row r="24529" spans="84:91" s="51" customFormat="1">
      <c r="CF24529" s="239"/>
      <c r="CM24529" s="336"/>
    </row>
    <row r="24530" spans="84:91" s="51" customFormat="1">
      <c r="CF24530" s="239"/>
      <c r="CM24530" s="336"/>
    </row>
    <row r="24531" spans="84:91" s="51" customFormat="1">
      <c r="CF24531" s="239"/>
      <c r="CM24531" s="336"/>
    </row>
    <row r="24532" spans="84:91" s="51" customFormat="1">
      <c r="CF24532" s="239"/>
      <c r="CM24532" s="336"/>
    </row>
    <row r="24533" spans="84:91" s="51" customFormat="1">
      <c r="CF24533" s="239"/>
      <c r="CM24533" s="336"/>
    </row>
    <row r="24534" spans="84:91" s="51" customFormat="1">
      <c r="CF24534" s="239"/>
      <c r="CM24534" s="336"/>
    </row>
    <row r="24535" spans="84:91" s="51" customFormat="1">
      <c r="CF24535" s="239"/>
      <c r="CM24535" s="336"/>
    </row>
    <row r="24536" spans="84:91" s="51" customFormat="1">
      <c r="CF24536" s="239"/>
      <c r="CM24536" s="336"/>
    </row>
    <row r="24537" spans="84:91" s="51" customFormat="1">
      <c r="CF24537" s="239"/>
      <c r="CM24537" s="336"/>
    </row>
    <row r="24538" spans="84:91" s="51" customFormat="1">
      <c r="CF24538" s="239"/>
      <c r="CM24538" s="336"/>
    </row>
    <row r="24539" spans="84:91" s="51" customFormat="1">
      <c r="CF24539" s="239"/>
      <c r="CM24539" s="336"/>
    </row>
    <row r="24540" spans="84:91" s="51" customFormat="1">
      <c r="CF24540" s="239"/>
      <c r="CM24540" s="336"/>
    </row>
    <row r="24541" spans="84:91" s="51" customFormat="1">
      <c r="CF24541" s="239"/>
      <c r="CM24541" s="336"/>
    </row>
    <row r="24542" spans="84:91" s="51" customFormat="1">
      <c r="CF24542" s="239"/>
      <c r="CM24542" s="336"/>
    </row>
    <row r="24543" spans="84:91" s="51" customFormat="1">
      <c r="CF24543" s="239"/>
      <c r="CM24543" s="336"/>
    </row>
    <row r="24544" spans="84:91" s="51" customFormat="1">
      <c r="CF24544" s="239"/>
      <c r="CM24544" s="336"/>
    </row>
    <row r="24545" spans="84:91" s="51" customFormat="1">
      <c r="CF24545" s="239"/>
      <c r="CM24545" s="336"/>
    </row>
    <row r="24546" spans="84:91" s="51" customFormat="1">
      <c r="CF24546" s="239"/>
      <c r="CM24546" s="336"/>
    </row>
    <row r="24547" spans="84:91" s="51" customFormat="1">
      <c r="CF24547" s="239"/>
      <c r="CM24547" s="336"/>
    </row>
    <row r="24548" spans="84:91" s="51" customFormat="1">
      <c r="CF24548" s="239"/>
      <c r="CM24548" s="336"/>
    </row>
    <row r="24549" spans="84:91" s="51" customFormat="1">
      <c r="CF24549" s="239"/>
      <c r="CM24549" s="336"/>
    </row>
    <row r="24550" spans="84:91" s="51" customFormat="1">
      <c r="CF24550" s="239"/>
      <c r="CM24550" s="336"/>
    </row>
    <row r="24551" spans="84:91" s="51" customFormat="1">
      <c r="CF24551" s="239"/>
      <c r="CM24551" s="336"/>
    </row>
    <row r="24552" spans="84:91" s="51" customFormat="1">
      <c r="CF24552" s="239"/>
      <c r="CM24552" s="336"/>
    </row>
    <row r="24553" spans="84:91" s="51" customFormat="1">
      <c r="CF24553" s="239"/>
      <c r="CM24553" s="336"/>
    </row>
    <row r="24554" spans="84:91" s="51" customFormat="1">
      <c r="CF24554" s="239"/>
      <c r="CM24554" s="336"/>
    </row>
    <row r="24555" spans="84:91" s="51" customFormat="1">
      <c r="CF24555" s="239"/>
      <c r="CM24555" s="336"/>
    </row>
    <row r="24556" spans="84:91" s="51" customFormat="1">
      <c r="CF24556" s="239"/>
      <c r="CM24556" s="336"/>
    </row>
    <row r="24557" spans="84:91" s="51" customFormat="1">
      <c r="CF24557" s="239"/>
      <c r="CM24557" s="336"/>
    </row>
    <row r="24558" spans="84:91" s="51" customFormat="1">
      <c r="CF24558" s="239"/>
      <c r="CM24558" s="336"/>
    </row>
    <row r="24559" spans="84:91" s="51" customFormat="1">
      <c r="CF24559" s="239"/>
      <c r="CM24559" s="336"/>
    </row>
    <row r="24560" spans="84:91" s="51" customFormat="1">
      <c r="CF24560" s="239"/>
      <c r="CM24560" s="336"/>
    </row>
    <row r="24561" spans="84:91" s="51" customFormat="1">
      <c r="CF24561" s="239"/>
      <c r="CM24561" s="336"/>
    </row>
    <row r="24562" spans="84:91" s="51" customFormat="1">
      <c r="CF24562" s="239"/>
      <c r="CM24562" s="336"/>
    </row>
    <row r="24563" spans="84:91" s="51" customFormat="1">
      <c r="CF24563" s="239"/>
      <c r="CM24563" s="336"/>
    </row>
    <row r="24564" spans="84:91" s="51" customFormat="1">
      <c r="CF24564" s="239"/>
      <c r="CM24564" s="336"/>
    </row>
    <row r="24565" spans="84:91" s="51" customFormat="1">
      <c r="CF24565" s="239"/>
      <c r="CM24565" s="336"/>
    </row>
    <row r="24566" spans="84:91" s="51" customFormat="1">
      <c r="CF24566" s="239"/>
      <c r="CM24566" s="336"/>
    </row>
    <row r="24567" spans="84:91" s="51" customFormat="1">
      <c r="CF24567" s="239"/>
      <c r="CM24567" s="336"/>
    </row>
    <row r="24568" spans="84:91" s="51" customFormat="1">
      <c r="CF24568" s="239"/>
      <c r="CM24568" s="336"/>
    </row>
    <row r="24569" spans="84:91" s="51" customFormat="1">
      <c r="CF24569" s="239"/>
      <c r="CM24569" s="336"/>
    </row>
    <row r="24570" spans="84:91" s="51" customFormat="1">
      <c r="CF24570" s="239"/>
      <c r="CM24570" s="336"/>
    </row>
    <row r="24571" spans="84:91" s="51" customFormat="1">
      <c r="CF24571" s="239"/>
      <c r="CM24571" s="336"/>
    </row>
    <row r="24572" spans="84:91" s="51" customFormat="1">
      <c r="CF24572" s="239"/>
      <c r="CM24572" s="336"/>
    </row>
    <row r="24573" spans="84:91" s="51" customFormat="1">
      <c r="CF24573" s="239"/>
      <c r="CM24573" s="336"/>
    </row>
    <row r="24574" spans="84:91" s="51" customFormat="1">
      <c r="CF24574" s="239"/>
      <c r="CM24574" s="336"/>
    </row>
    <row r="24575" spans="84:91" s="51" customFormat="1">
      <c r="CF24575" s="239"/>
      <c r="CM24575" s="336"/>
    </row>
    <row r="24576" spans="84:91" s="51" customFormat="1">
      <c r="CF24576" s="239"/>
      <c r="CM24576" s="336"/>
    </row>
    <row r="24577" spans="84:91" s="51" customFormat="1">
      <c r="CF24577" s="239"/>
      <c r="CM24577" s="336"/>
    </row>
    <row r="24578" spans="84:91" s="51" customFormat="1">
      <c r="CF24578" s="239"/>
      <c r="CM24578" s="336"/>
    </row>
    <row r="24579" spans="84:91" s="51" customFormat="1">
      <c r="CF24579" s="239"/>
      <c r="CM24579" s="336"/>
    </row>
    <row r="24580" spans="84:91" s="51" customFormat="1">
      <c r="CF24580" s="239"/>
      <c r="CM24580" s="336"/>
    </row>
    <row r="24581" spans="84:91" s="51" customFormat="1">
      <c r="CF24581" s="239"/>
      <c r="CM24581" s="336"/>
    </row>
    <row r="24582" spans="84:91" s="51" customFormat="1">
      <c r="CF24582" s="239"/>
      <c r="CM24582" s="336"/>
    </row>
    <row r="24583" spans="84:91" s="51" customFormat="1">
      <c r="CF24583" s="239"/>
      <c r="CM24583" s="336"/>
    </row>
    <row r="24584" spans="84:91" s="51" customFormat="1">
      <c r="CF24584" s="239"/>
      <c r="CM24584" s="336"/>
    </row>
    <row r="24585" spans="84:91" s="51" customFormat="1">
      <c r="CF24585" s="239"/>
      <c r="CM24585" s="336"/>
    </row>
    <row r="24586" spans="84:91" s="51" customFormat="1">
      <c r="CF24586" s="239"/>
      <c r="CM24586" s="336"/>
    </row>
    <row r="24587" spans="84:91" s="51" customFormat="1">
      <c r="CF24587" s="239"/>
      <c r="CM24587" s="336"/>
    </row>
    <row r="24588" spans="84:91" s="51" customFormat="1">
      <c r="CF24588" s="239"/>
      <c r="CM24588" s="336"/>
    </row>
    <row r="24589" spans="84:91" s="51" customFormat="1">
      <c r="CF24589" s="239"/>
      <c r="CM24589" s="336"/>
    </row>
    <row r="24590" spans="84:91" s="51" customFormat="1">
      <c r="CF24590" s="239"/>
      <c r="CM24590" s="336"/>
    </row>
    <row r="24591" spans="84:91" s="51" customFormat="1">
      <c r="CF24591" s="239"/>
      <c r="CM24591" s="336"/>
    </row>
    <row r="24592" spans="84:91" s="51" customFormat="1">
      <c r="CF24592" s="239"/>
      <c r="CM24592" s="336"/>
    </row>
    <row r="24593" spans="84:91" s="51" customFormat="1">
      <c r="CF24593" s="239"/>
      <c r="CM24593" s="336"/>
    </row>
    <row r="24594" spans="84:91" s="51" customFormat="1">
      <c r="CF24594" s="239"/>
      <c r="CM24594" s="336"/>
    </row>
    <row r="24595" spans="84:91" s="51" customFormat="1">
      <c r="CF24595" s="239"/>
      <c r="CM24595" s="336"/>
    </row>
    <row r="24596" spans="84:91" s="51" customFormat="1">
      <c r="CF24596" s="239"/>
      <c r="CM24596" s="336"/>
    </row>
    <row r="24597" spans="84:91" s="51" customFormat="1">
      <c r="CF24597" s="239"/>
      <c r="CM24597" s="336"/>
    </row>
    <row r="24598" spans="84:91" s="51" customFormat="1">
      <c r="CF24598" s="239"/>
      <c r="CM24598" s="336"/>
    </row>
    <row r="24599" spans="84:91" s="51" customFormat="1">
      <c r="CF24599" s="239"/>
      <c r="CM24599" s="336"/>
    </row>
    <row r="24600" spans="84:91" s="51" customFormat="1">
      <c r="CF24600" s="239"/>
      <c r="CM24600" s="336"/>
    </row>
    <row r="24601" spans="84:91" s="51" customFormat="1">
      <c r="CF24601" s="239"/>
      <c r="CM24601" s="336"/>
    </row>
    <row r="24602" spans="84:91" s="51" customFormat="1">
      <c r="CF24602" s="239"/>
      <c r="CM24602" s="336"/>
    </row>
    <row r="24603" spans="84:91" s="51" customFormat="1">
      <c r="CF24603" s="239"/>
      <c r="CM24603" s="336"/>
    </row>
    <row r="24604" spans="84:91" s="51" customFormat="1">
      <c r="CF24604" s="239"/>
      <c r="CM24604" s="336"/>
    </row>
    <row r="24605" spans="84:91" s="51" customFormat="1">
      <c r="CF24605" s="239"/>
      <c r="CM24605" s="336"/>
    </row>
    <row r="24606" spans="84:91" s="51" customFormat="1">
      <c r="CF24606" s="239"/>
      <c r="CM24606" s="336"/>
    </row>
    <row r="24607" spans="84:91" s="51" customFormat="1">
      <c r="CF24607" s="239"/>
      <c r="CM24607" s="336"/>
    </row>
    <row r="24608" spans="84:91" s="51" customFormat="1">
      <c r="CF24608" s="239"/>
      <c r="CM24608" s="336"/>
    </row>
    <row r="24609" spans="84:91" s="51" customFormat="1">
      <c r="CF24609" s="239"/>
      <c r="CM24609" s="336"/>
    </row>
    <row r="24610" spans="84:91" s="51" customFormat="1">
      <c r="CF24610" s="239"/>
      <c r="CM24610" s="336"/>
    </row>
    <row r="24611" spans="84:91" s="51" customFormat="1">
      <c r="CF24611" s="239"/>
      <c r="CM24611" s="336"/>
    </row>
    <row r="24612" spans="84:91" s="51" customFormat="1">
      <c r="CF24612" s="239"/>
      <c r="CM24612" s="336"/>
    </row>
    <row r="24613" spans="84:91" s="51" customFormat="1">
      <c r="CF24613" s="239"/>
      <c r="CM24613" s="336"/>
    </row>
    <row r="24614" spans="84:91" s="51" customFormat="1">
      <c r="CF24614" s="239"/>
      <c r="CM24614" s="336"/>
    </row>
    <row r="24615" spans="84:91" s="51" customFormat="1">
      <c r="CF24615" s="239"/>
      <c r="CM24615" s="336"/>
    </row>
    <row r="24616" spans="84:91" s="51" customFormat="1">
      <c r="CF24616" s="239"/>
      <c r="CM24616" s="336"/>
    </row>
    <row r="24617" spans="84:91" s="51" customFormat="1">
      <c r="CF24617" s="239"/>
      <c r="CM24617" s="336"/>
    </row>
    <row r="24618" spans="84:91" s="51" customFormat="1">
      <c r="CF24618" s="239"/>
      <c r="CM24618" s="336"/>
    </row>
    <row r="24619" spans="84:91" s="51" customFormat="1">
      <c r="CF24619" s="239"/>
      <c r="CM24619" s="336"/>
    </row>
    <row r="24620" spans="84:91" s="51" customFormat="1">
      <c r="CF24620" s="239"/>
      <c r="CM24620" s="336"/>
    </row>
    <row r="24621" spans="84:91" s="51" customFormat="1">
      <c r="CF24621" s="239"/>
      <c r="CM24621" s="336"/>
    </row>
    <row r="24622" spans="84:91" s="51" customFormat="1">
      <c r="CF24622" s="239"/>
      <c r="CM24622" s="336"/>
    </row>
    <row r="24623" spans="84:91" s="51" customFormat="1">
      <c r="CF24623" s="239"/>
      <c r="CM24623" s="336"/>
    </row>
    <row r="24624" spans="84:91" s="51" customFormat="1">
      <c r="CF24624" s="239"/>
      <c r="CM24624" s="336"/>
    </row>
    <row r="24625" spans="84:91" s="51" customFormat="1">
      <c r="CF24625" s="239"/>
      <c r="CM24625" s="336"/>
    </row>
    <row r="24626" spans="84:91" s="51" customFormat="1">
      <c r="CF24626" s="239"/>
      <c r="CM24626" s="336"/>
    </row>
    <row r="24627" spans="84:91" s="51" customFormat="1">
      <c r="CF24627" s="239"/>
      <c r="CM24627" s="336"/>
    </row>
    <row r="24628" spans="84:91" s="51" customFormat="1">
      <c r="CF24628" s="239"/>
      <c r="CM24628" s="336"/>
    </row>
    <row r="24629" spans="84:91" s="51" customFormat="1">
      <c r="CF24629" s="239"/>
      <c r="CM24629" s="336"/>
    </row>
    <row r="24630" spans="84:91" s="51" customFormat="1">
      <c r="CF24630" s="239"/>
      <c r="CM24630" s="336"/>
    </row>
    <row r="24631" spans="84:91" s="51" customFormat="1">
      <c r="CF24631" s="239"/>
      <c r="CM24631" s="336"/>
    </row>
    <row r="24632" spans="84:91" s="51" customFormat="1">
      <c r="CF24632" s="239"/>
      <c r="CM24632" s="336"/>
    </row>
    <row r="24633" spans="84:91" s="51" customFormat="1">
      <c r="CF24633" s="239"/>
      <c r="CM24633" s="336"/>
    </row>
    <row r="24634" spans="84:91" s="51" customFormat="1">
      <c r="CF24634" s="239"/>
      <c r="CM24634" s="336"/>
    </row>
    <row r="24635" spans="84:91" s="51" customFormat="1">
      <c r="CF24635" s="239"/>
      <c r="CM24635" s="336"/>
    </row>
    <row r="24636" spans="84:91" s="51" customFormat="1">
      <c r="CF24636" s="239"/>
      <c r="CM24636" s="336"/>
    </row>
    <row r="24637" spans="84:91" s="51" customFormat="1">
      <c r="CF24637" s="239"/>
      <c r="CM24637" s="336"/>
    </row>
    <row r="24638" spans="84:91" s="51" customFormat="1">
      <c r="CF24638" s="239"/>
      <c r="CM24638" s="336"/>
    </row>
    <row r="24639" spans="84:91" s="51" customFormat="1">
      <c r="CF24639" s="239"/>
      <c r="CM24639" s="336"/>
    </row>
    <row r="24640" spans="84:91" s="51" customFormat="1">
      <c r="CF24640" s="239"/>
      <c r="CM24640" s="336"/>
    </row>
    <row r="24641" spans="84:91" s="51" customFormat="1">
      <c r="CF24641" s="239"/>
      <c r="CM24641" s="336"/>
    </row>
    <row r="24642" spans="84:91" s="51" customFormat="1">
      <c r="CF24642" s="239"/>
      <c r="CM24642" s="336"/>
    </row>
    <row r="24643" spans="84:91" s="51" customFormat="1">
      <c r="CF24643" s="239"/>
      <c r="CM24643" s="336"/>
    </row>
    <row r="24644" spans="84:91" s="51" customFormat="1">
      <c r="CF24644" s="239"/>
      <c r="CM24644" s="336"/>
    </row>
    <row r="24645" spans="84:91" s="51" customFormat="1">
      <c r="CF24645" s="239"/>
      <c r="CM24645" s="336"/>
    </row>
    <row r="24646" spans="84:91" s="51" customFormat="1">
      <c r="CF24646" s="239"/>
      <c r="CM24646" s="336"/>
    </row>
    <row r="24647" spans="84:91" s="51" customFormat="1">
      <c r="CF24647" s="239"/>
      <c r="CM24647" s="336"/>
    </row>
    <row r="24648" spans="84:91" s="51" customFormat="1">
      <c r="CF24648" s="239"/>
      <c r="CM24648" s="336"/>
    </row>
    <row r="24649" spans="84:91" s="51" customFormat="1">
      <c r="CF24649" s="239"/>
      <c r="CM24649" s="336"/>
    </row>
    <row r="24650" spans="84:91" s="51" customFormat="1">
      <c r="CF24650" s="239"/>
      <c r="CM24650" s="336"/>
    </row>
    <row r="24651" spans="84:91" s="51" customFormat="1">
      <c r="CF24651" s="239"/>
      <c r="CM24651" s="336"/>
    </row>
    <row r="24652" spans="84:91" s="51" customFormat="1">
      <c r="CF24652" s="239"/>
      <c r="CM24652" s="336"/>
    </row>
    <row r="24653" spans="84:91" s="51" customFormat="1">
      <c r="CF24653" s="239"/>
      <c r="CM24653" s="336"/>
    </row>
    <row r="24654" spans="84:91" s="51" customFormat="1">
      <c r="CF24654" s="239"/>
      <c r="CM24654" s="336"/>
    </row>
    <row r="24655" spans="84:91" s="51" customFormat="1">
      <c r="CF24655" s="239"/>
      <c r="CM24655" s="336"/>
    </row>
    <row r="24656" spans="84:91" s="51" customFormat="1">
      <c r="CF24656" s="239"/>
      <c r="CM24656" s="336"/>
    </row>
    <row r="24657" spans="84:91" s="51" customFormat="1">
      <c r="CF24657" s="239"/>
      <c r="CM24657" s="336"/>
    </row>
    <row r="24658" spans="84:91" s="51" customFormat="1">
      <c r="CF24658" s="239"/>
      <c r="CM24658" s="336"/>
    </row>
    <row r="24659" spans="84:91" s="51" customFormat="1">
      <c r="CF24659" s="239"/>
      <c r="CM24659" s="336"/>
    </row>
    <row r="24660" spans="84:91" s="51" customFormat="1">
      <c r="CF24660" s="239"/>
      <c r="CM24660" s="336"/>
    </row>
    <row r="24661" spans="84:91" s="51" customFormat="1">
      <c r="CF24661" s="239"/>
      <c r="CM24661" s="336"/>
    </row>
    <row r="24662" spans="84:91" s="51" customFormat="1">
      <c r="CF24662" s="239"/>
      <c r="CM24662" s="336"/>
    </row>
    <row r="24663" spans="84:91" s="51" customFormat="1">
      <c r="CF24663" s="239"/>
      <c r="CM24663" s="336"/>
    </row>
    <row r="24664" spans="84:91" s="51" customFormat="1">
      <c r="CF24664" s="239"/>
      <c r="CM24664" s="336"/>
    </row>
    <row r="24665" spans="84:91" s="51" customFormat="1">
      <c r="CF24665" s="239"/>
      <c r="CM24665" s="336"/>
    </row>
    <row r="24666" spans="84:91" s="51" customFormat="1">
      <c r="CF24666" s="239"/>
      <c r="CM24666" s="336"/>
    </row>
    <row r="24667" spans="84:91" s="51" customFormat="1">
      <c r="CF24667" s="239"/>
      <c r="CM24667" s="336"/>
    </row>
    <row r="24668" spans="84:91" s="51" customFormat="1">
      <c r="CF24668" s="239"/>
      <c r="CM24668" s="336"/>
    </row>
    <row r="24669" spans="84:91" s="51" customFormat="1">
      <c r="CF24669" s="239"/>
      <c r="CM24669" s="336"/>
    </row>
    <row r="24670" spans="84:91" s="51" customFormat="1">
      <c r="CF24670" s="239"/>
      <c r="CM24670" s="336"/>
    </row>
    <row r="24671" spans="84:91" s="51" customFormat="1">
      <c r="CF24671" s="239"/>
      <c r="CM24671" s="336"/>
    </row>
    <row r="24672" spans="84:91" s="51" customFormat="1">
      <c r="CF24672" s="239"/>
      <c r="CM24672" s="336"/>
    </row>
    <row r="24673" spans="84:91" s="51" customFormat="1">
      <c r="CF24673" s="239"/>
      <c r="CM24673" s="336"/>
    </row>
    <row r="24674" spans="84:91" s="51" customFormat="1">
      <c r="CF24674" s="239"/>
      <c r="CM24674" s="336"/>
    </row>
    <row r="24675" spans="84:91" s="51" customFormat="1">
      <c r="CF24675" s="239"/>
      <c r="CM24675" s="336"/>
    </row>
    <row r="24676" spans="84:91" s="51" customFormat="1">
      <c r="CF24676" s="239"/>
      <c r="CM24676" s="336"/>
    </row>
    <row r="24677" spans="84:91" s="51" customFormat="1">
      <c r="CF24677" s="239"/>
      <c r="CM24677" s="336"/>
    </row>
    <row r="24678" spans="84:91" s="51" customFormat="1">
      <c r="CF24678" s="239"/>
      <c r="CM24678" s="336"/>
    </row>
    <row r="24679" spans="84:91" s="51" customFormat="1">
      <c r="CF24679" s="239"/>
      <c r="CM24679" s="336"/>
    </row>
    <row r="24680" spans="84:91" s="51" customFormat="1">
      <c r="CF24680" s="239"/>
      <c r="CM24680" s="336"/>
    </row>
    <row r="24681" spans="84:91" s="51" customFormat="1">
      <c r="CF24681" s="239"/>
      <c r="CM24681" s="336"/>
    </row>
    <row r="24682" spans="84:91" s="51" customFormat="1">
      <c r="CF24682" s="239"/>
      <c r="CM24682" s="336"/>
    </row>
    <row r="24683" spans="84:91" s="51" customFormat="1">
      <c r="CF24683" s="239"/>
      <c r="CM24683" s="336"/>
    </row>
    <row r="24684" spans="84:91" s="51" customFormat="1">
      <c r="CF24684" s="239"/>
      <c r="CM24684" s="336"/>
    </row>
    <row r="24685" spans="84:91" s="51" customFormat="1">
      <c r="CF24685" s="239"/>
      <c r="CM24685" s="336"/>
    </row>
    <row r="24686" spans="84:91" s="51" customFormat="1">
      <c r="CF24686" s="239"/>
      <c r="CM24686" s="336"/>
    </row>
    <row r="24687" spans="84:91" s="51" customFormat="1">
      <c r="CF24687" s="239"/>
      <c r="CM24687" s="336"/>
    </row>
    <row r="24688" spans="84:91" s="51" customFormat="1">
      <c r="CF24688" s="239"/>
      <c r="CM24688" s="336"/>
    </row>
    <row r="24689" spans="84:91" s="51" customFormat="1">
      <c r="CF24689" s="239"/>
      <c r="CM24689" s="336"/>
    </row>
    <row r="24690" spans="84:91" s="51" customFormat="1">
      <c r="CF24690" s="239"/>
      <c r="CM24690" s="336"/>
    </row>
    <row r="24691" spans="84:91" s="51" customFormat="1">
      <c r="CF24691" s="239"/>
      <c r="CM24691" s="336"/>
    </row>
    <row r="24692" spans="84:91" s="51" customFormat="1">
      <c r="CF24692" s="239"/>
      <c r="CM24692" s="336"/>
    </row>
    <row r="24693" spans="84:91" s="51" customFormat="1">
      <c r="CF24693" s="239"/>
      <c r="CM24693" s="336"/>
    </row>
    <row r="24694" spans="84:91" s="51" customFormat="1">
      <c r="CF24694" s="239"/>
      <c r="CM24694" s="336"/>
    </row>
    <row r="24695" spans="84:91" s="51" customFormat="1">
      <c r="CF24695" s="239"/>
      <c r="CM24695" s="336"/>
    </row>
    <row r="24696" spans="84:91" s="51" customFormat="1">
      <c r="CF24696" s="239"/>
      <c r="CM24696" s="336"/>
    </row>
    <row r="24697" spans="84:91" s="51" customFormat="1">
      <c r="CF24697" s="239"/>
      <c r="CM24697" s="336"/>
    </row>
    <row r="24698" spans="84:91" s="51" customFormat="1">
      <c r="CF24698" s="239"/>
      <c r="CM24698" s="336"/>
    </row>
    <row r="24699" spans="84:91" s="51" customFormat="1">
      <c r="CF24699" s="239"/>
      <c r="CM24699" s="336"/>
    </row>
    <row r="24700" spans="84:91" s="51" customFormat="1">
      <c r="CF24700" s="239"/>
      <c r="CM24700" s="336"/>
    </row>
    <row r="24701" spans="84:91" s="51" customFormat="1">
      <c r="CF24701" s="239"/>
      <c r="CM24701" s="336"/>
    </row>
    <row r="24702" spans="84:91" s="51" customFormat="1">
      <c r="CF24702" s="239"/>
      <c r="CM24702" s="336"/>
    </row>
    <row r="24703" spans="84:91" s="51" customFormat="1">
      <c r="CF24703" s="239"/>
      <c r="CM24703" s="336"/>
    </row>
    <row r="24704" spans="84:91" s="51" customFormat="1">
      <c r="CF24704" s="239"/>
      <c r="CM24704" s="336"/>
    </row>
    <row r="24705" spans="84:91" s="51" customFormat="1">
      <c r="CF24705" s="239"/>
      <c r="CM24705" s="336"/>
    </row>
    <row r="24706" spans="84:91" s="51" customFormat="1">
      <c r="CF24706" s="239"/>
      <c r="CM24706" s="336"/>
    </row>
    <row r="24707" spans="84:91" s="51" customFormat="1">
      <c r="CF24707" s="239"/>
      <c r="CM24707" s="336"/>
    </row>
    <row r="24708" spans="84:91" s="51" customFormat="1">
      <c r="CF24708" s="239"/>
      <c r="CM24708" s="336"/>
    </row>
    <row r="24709" spans="84:91" s="51" customFormat="1">
      <c r="CF24709" s="239"/>
      <c r="CM24709" s="336"/>
    </row>
    <row r="24710" spans="84:91" s="51" customFormat="1">
      <c r="CF24710" s="239"/>
      <c r="CM24710" s="336"/>
    </row>
    <row r="24711" spans="84:91" s="51" customFormat="1">
      <c r="CF24711" s="239"/>
      <c r="CM24711" s="336"/>
    </row>
    <row r="24712" spans="84:91" s="51" customFormat="1">
      <c r="CF24712" s="239"/>
      <c r="CM24712" s="336"/>
    </row>
    <row r="24713" spans="84:91" s="51" customFormat="1">
      <c r="CF24713" s="239"/>
      <c r="CM24713" s="336"/>
    </row>
    <row r="24714" spans="84:91" s="51" customFormat="1">
      <c r="CF24714" s="239"/>
      <c r="CM24714" s="336"/>
    </row>
    <row r="24715" spans="84:91" s="51" customFormat="1">
      <c r="CF24715" s="239"/>
      <c r="CM24715" s="336"/>
    </row>
    <row r="24716" spans="84:91" s="51" customFormat="1">
      <c r="CF24716" s="239"/>
      <c r="CM24716" s="336"/>
    </row>
    <row r="24717" spans="84:91" s="51" customFormat="1">
      <c r="CF24717" s="239"/>
      <c r="CM24717" s="336"/>
    </row>
    <row r="24718" spans="84:91" s="51" customFormat="1">
      <c r="CF24718" s="239"/>
      <c r="CM24718" s="336"/>
    </row>
    <row r="24719" spans="84:91" s="51" customFormat="1">
      <c r="CF24719" s="239"/>
      <c r="CM24719" s="336"/>
    </row>
    <row r="24720" spans="84:91" s="51" customFormat="1">
      <c r="CF24720" s="239"/>
      <c r="CM24720" s="336"/>
    </row>
    <row r="24721" spans="84:91" s="51" customFormat="1">
      <c r="CF24721" s="239"/>
      <c r="CM24721" s="336"/>
    </row>
    <row r="24722" spans="84:91" s="51" customFormat="1">
      <c r="CF24722" s="239"/>
      <c r="CM24722" s="336"/>
    </row>
    <row r="24723" spans="84:91" s="51" customFormat="1">
      <c r="CF24723" s="239"/>
      <c r="CM24723" s="336"/>
    </row>
    <row r="24724" spans="84:91" s="51" customFormat="1">
      <c r="CF24724" s="239"/>
      <c r="CM24724" s="336"/>
    </row>
    <row r="24725" spans="84:91" s="51" customFormat="1">
      <c r="CF24725" s="239"/>
      <c r="CM24725" s="336"/>
    </row>
    <row r="24726" spans="84:91" s="51" customFormat="1">
      <c r="CF24726" s="239"/>
      <c r="CM24726" s="336"/>
    </row>
    <row r="24727" spans="84:91" s="51" customFormat="1">
      <c r="CF24727" s="239"/>
      <c r="CM24727" s="336"/>
    </row>
    <row r="24728" spans="84:91" s="51" customFormat="1">
      <c r="CF24728" s="239"/>
      <c r="CM24728" s="336"/>
    </row>
    <row r="24729" spans="84:91" s="51" customFormat="1">
      <c r="CF24729" s="239"/>
      <c r="CM24729" s="336"/>
    </row>
    <row r="24730" spans="84:91" s="51" customFormat="1">
      <c r="CF24730" s="239"/>
      <c r="CM24730" s="336"/>
    </row>
    <row r="24731" spans="84:91" s="51" customFormat="1">
      <c r="CF24731" s="239"/>
      <c r="CM24731" s="336"/>
    </row>
    <row r="24732" spans="84:91" s="51" customFormat="1">
      <c r="CF24732" s="239"/>
      <c r="CM24732" s="336"/>
    </row>
    <row r="24733" spans="84:91" s="51" customFormat="1">
      <c r="CF24733" s="239"/>
      <c r="CM24733" s="336"/>
    </row>
    <row r="24734" spans="84:91" s="51" customFormat="1">
      <c r="CF24734" s="239"/>
      <c r="CM24734" s="336"/>
    </row>
    <row r="24735" spans="84:91" s="51" customFormat="1">
      <c r="CF24735" s="239"/>
      <c r="CM24735" s="336"/>
    </row>
    <row r="24736" spans="84:91" s="51" customFormat="1">
      <c r="CF24736" s="239"/>
      <c r="CM24736" s="336"/>
    </row>
    <row r="24737" spans="84:91" s="51" customFormat="1">
      <c r="CF24737" s="239"/>
      <c r="CM24737" s="336"/>
    </row>
    <row r="24738" spans="84:91" s="51" customFormat="1">
      <c r="CF24738" s="239"/>
      <c r="CM24738" s="336"/>
    </row>
    <row r="24739" spans="84:91" s="51" customFormat="1">
      <c r="CF24739" s="239"/>
      <c r="CM24739" s="336"/>
    </row>
    <row r="24740" spans="84:91" s="51" customFormat="1">
      <c r="CF24740" s="239"/>
      <c r="CM24740" s="336"/>
    </row>
    <row r="24741" spans="84:91" s="51" customFormat="1">
      <c r="CF24741" s="239"/>
      <c r="CM24741" s="336"/>
    </row>
    <row r="24742" spans="84:91" s="51" customFormat="1">
      <c r="CF24742" s="239"/>
      <c r="CM24742" s="336"/>
    </row>
    <row r="24743" spans="84:91" s="51" customFormat="1">
      <c r="CF24743" s="239"/>
      <c r="CM24743" s="336"/>
    </row>
    <row r="24744" spans="84:91" s="51" customFormat="1">
      <c r="CF24744" s="239"/>
      <c r="CM24744" s="336"/>
    </row>
    <row r="24745" spans="84:91" s="51" customFormat="1">
      <c r="CF24745" s="239"/>
      <c r="CM24745" s="336"/>
    </row>
    <row r="24746" spans="84:91" s="51" customFormat="1">
      <c r="CF24746" s="239"/>
      <c r="CM24746" s="336"/>
    </row>
    <row r="24747" spans="84:91" s="51" customFormat="1">
      <c r="CF24747" s="239"/>
      <c r="CM24747" s="336"/>
    </row>
    <row r="24748" spans="84:91" s="51" customFormat="1">
      <c r="CF24748" s="239"/>
      <c r="CM24748" s="336"/>
    </row>
    <row r="24749" spans="84:91" s="51" customFormat="1">
      <c r="CF24749" s="239"/>
      <c r="CM24749" s="336"/>
    </row>
    <row r="24750" spans="84:91" s="51" customFormat="1">
      <c r="CF24750" s="239"/>
      <c r="CM24750" s="336"/>
    </row>
    <row r="24751" spans="84:91" s="51" customFormat="1">
      <c r="CF24751" s="239"/>
      <c r="CM24751" s="336"/>
    </row>
    <row r="24752" spans="84:91" s="51" customFormat="1">
      <c r="CF24752" s="239"/>
      <c r="CM24752" s="336"/>
    </row>
    <row r="24753" spans="84:91" s="51" customFormat="1">
      <c r="CF24753" s="239"/>
      <c r="CM24753" s="336"/>
    </row>
    <row r="24754" spans="84:91" s="51" customFormat="1">
      <c r="CF24754" s="239"/>
      <c r="CM24754" s="336"/>
    </row>
    <row r="24755" spans="84:91" s="51" customFormat="1">
      <c r="CF24755" s="239"/>
      <c r="CM24755" s="336"/>
    </row>
    <row r="24756" spans="84:91" s="51" customFormat="1">
      <c r="CF24756" s="239"/>
      <c r="CM24756" s="336"/>
    </row>
    <row r="24757" spans="84:91" s="51" customFormat="1">
      <c r="CF24757" s="239"/>
      <c r="CM24757" s="336"/>
    </row>
    <row r="24758" spans="84:91" s="51" customFormat="1">
      <c r="CF24758" s="239"/>
      <c r="CM24758" s="336"/>
    </row>
    <row r="24759" spans="84:91" s="51" customFormat="1">
      <c r="CF24759" s="239"/>
      <c r="CM24759" s="336"/>
    </row>
    <row r="24760" spans="84:91" s="51" customFormat="1">
      <c r="CF24760" s="239"/>
      <c r="CM24760" s="336"/>
    </row>
    <row r="24761" spans="84:91" s="51" customFormat="1">
      <c r="CF24761" s="239"/>
      <c r="CM24761" s="336"/>
    </row>
    <row r="24762" spans="84:91" s="51" customFormat="1">
      <c r="CF24762" s="239"/>
      <c r="CM24762" s="336"/>
    </row>
    <row r="24763" spans="84:91" s="51" customFormat="1">
      <c r="CF24763" s="239"/>
      <c r="CM24763" s="336"/>
    </row>
    <row r="24764" spans="84:91" s="51" customFormat="1">
      <c r="CF24764" s="239"/>
      <c r="CM24764" s="336"/>
    </row>
    <row r="24765" spans="84:91" s="51" customFormat="1">
      <c r="CF24765" s="239"/>
      <c r="CM24765" s="336"/>
    </row>
    <row r="24766" spans="84:91" s="51" customFormat="1">
      <c r="CF24766" s="239"/>
      <c r="CM24766" s="336"/>
    </row>
    <row r="24767" spans="84:91" s="51" customFormat="1">
      <c r="CF24767" s="239"/>
      <c r="CM24767" s="336"/>
    </row>
    <row r="24768" spans="84:91" s="51" customFormat="1">
      <c r="CF24768" s="239"/>
      <c r="CM24768" s="336"/>
    </row>
    <row r="24769" spans="84:91" s="51" customFormat="1">
      <c r="CF24769" s="239"/>
      <c r="CM24769" s="336"/>
    </row>
    <row r="24770" spans="84:91" s="51" customFormat="1">
      <c r="CF24770" s="239"/>
      <c r="CM24770" s="336"/>
    </row>
    <row r="24771" spans="84:91" s="51" customFormat="1">
      <c r="CF24771" s="239"/>
      <c r="CM24771" s="336"/>
    </row>
    <row r="24772" spans="84:91" s="51" customFormat="1">
      <c r="CF24772" s="239"/>
      <c r="CM24772" s="336"/>
    </row>
    <row r="24773" spans="84:91" s="51" customFormat="1">
      <c r="CF24773" s="239"/>
      <c r="CM24773" s="336"/>
    </row>
    <row r="24774" spans="84:91" s="51" customFormat="1">
      <c r="CF24774" s="239"/>
      <c r="CM24774" s="336"/>
    </row>
    <row r="24775" spans="84:91" s="51" customFormat="1">
      <c r="CF24775" s="239"/>
      <c r="CM24775" s="336"/>
    </row>
    <row r="24776" spans="84:91" s="51" customFormat="1">
      <c r="CF24776" s="239"/>
      <c r="CM24776" s="336"/>
    </row>
    <row r="24777" spans="84:91" s="51" customFormat="1">
      <c r="CF24777" s="239"/>
      <c r="CM24777" s="336"/>
    </row>
    <row r="24778" spans="84:91" s="51" customFormat="1">
      <c r="CF24778" s="239"/>
      <c r="CM24778" s="336"/>
    </row>
    <row r="24779" spans="84:91" s="51" customFormat="1">
      <c r="CF24779" s="239"/>
      <c r="CM24779" s="336"/>
    </row>
    <row r="24780" spans="84:91" s="51" customFormat="1">
      <c r="CF24780" s="239"/>
      <c r="CM24780" s="336"/>
    </row>
    <row r="24781" spans="84:91" s="51" customFormat="1">
      <c r="CF24781" s="239"/>
      <c r="CM24781" s="336"/>
    </row>
    <row r="24782" spans="84:91" s="51" customFormat="1">
      <c r="CF24782" s="239"/>
      <c r="CM24782" s="336"/>
    </row>
    <row r="24783" spans="84:91" s="51" customFormat="1">
      <c r="CF24783" s="239"/>
      <c r="CM24783" s="336"/>
    </row>
    <row r="24784" spans="84:91" s="51" customFormat="1">
      <c r="CF24784" s="239"/>
      <c r="CM24784" s="336"/>
    </row>
    <row r="24785" spans="84:91" s="51" customFormat="1">
      <c r="CF24785" s="239"/>
      <c r="CM24785" s="336"/>
    </row>
    <row r="24786" spans="84:91" s="51" customFormat="1">
      <c r="CF24786" s="239"/>
      <c r="CM24786" s="336"/>
    </row>
    <row r="24787" spans="84:91" s="51" customFormat="1">
      <c r="CF24787" s="239"/>
      <c r="CM24787" s="336"/>
    </row>
    <row r="24788" spans="84:91" s="51" customFormat="1">
      <c r="CF24788" s="239"/>
      <c r="CM24788" s="336"/>
    </row>
    <row r="24789" spans="84:91" s="51" customFormat="1">
      <c r="CF24789" s="239"/>
      <c r="CM24789" s="336"/>
    </row>
    <row r="24790" spans="84:91" s="51" customFormat="1">
      <c r="CF24790" s="239"/>
      <c r="CM24790" s="336"/>
    </row>
    <row r="24791" spans="84:91" s="51" customFormat="1">
      <c r="CF24791" s="239"/>
      <c r="CM24791" s="336"/>
    </row>
    <row r="24792" spans="84:91" s="51" customFormat="1">
      <c r="CF24792" s="239"/>
      <c r="CM24792" s="336"/>
    </row>
    <row r="24793" spans="84:91" s="51" customFormat="1">
      <c r="CF24793" s="239"/>
      <c r="CM24793" s="336"/>
    </row>
    <row r="24794" spans="84:91" s="51" customFormat="1">
      <c r="CF24794" s="239"/>
      <c r="CM24794" s="336"/>
    </row>
    <row r="24795" spans="84:91" s="51" customFormat="1">
      <c r="CF24795" s="239"/>
      <c r="CM24795" s="336"/>
    </row>
    <row r="24796" spans="84:91" s="51" customFormat="1">
      <c r="CF24796" s="239"/>
      <c r="CM24796" s="336"/>
    </row>
    <row r="24797" spans="84:91" s="51" customFormat="1">
      <c r="CF24797" s="239"/>
      <c r="CM24797" s="336"/>
    </row>
    <row r="24798" spans="84:91" s="51" customFormat="1">
      <c r="CF24798" s="239"/>
      <c r="CM24798" s="336"/>
    </row>
    <row r="24799" spans="84:91" s="51" customFormat="1">
      <c r="CF24799" s="239"/>
      <c r="CM24799" s="336"/>
    </row>
    <row r="24800" spans="84:91" s="51" customFormat="1">
      <c r="CF24800" s="239"/>
      <c r="CM24800" s="336"/>
    </row>
    <row r="24801" spans="84:91" s="51" customFormat="1">
      <c r="CF24801" s="239"/>
      <c r="CM24801" s="336"/>
    </row>
    <row r="24802" spans="84:91" s="51" customFormat="1">
      <c r="CF24802" s="239"/>
      <c r="CM24802" s="336"/>
    </row>
    <row r="24803" spans="84:91" s="51" customFormat="1">
      <c r="CF24803" s="239"/>
      <c r="CM24803" s="336"/>
    </row>
    <row r="24804" spans="84:91" s="51" customFormat="1">
      <c r="CF24804" s="239"/>
      <c r="CM24804" s="336"/>
    </row>
    <row r="24805" spans="84:91" s="51" customFormat="1">
      <c r="CF24805" s="239"/>
      <c r="CM24805" s="336"/>
    </row>
    <row r="24806" spans="84:91" s="51" customFormat="1">
      <c r="CF24806" s="239"/>
      <c r="CM24806" s="336"/>
    </row>
    <row r="24807" spans="84:91" s="51" customFormat="1">
      <c r="CF24807" s="239"/>
      <c r="CM24807" s="336"/>
    </row>
    <row r="24808" spans="84:91" s="51" customFormat="1">
      <c r="CF24808" s="239"/>
      <c r="CM24808" s="336"/>
    </row>
    <row r="24809" spans="84:91" s="51" customFormat="1">
      <c r="CF24809" s="239"/>
      <c r="CM24809" s="336"/>
    </row>
    <row r="24810" spans="84:91" s="51" customFormat="1">
      <c r="CF24810" s="239"/>
      <c r="CM24810" s="336"/>
    </row>
    <row r="24811" spans="84:91" s="51" customFormat="1">
      <c r="CF24811" s="239"/>
      <c r="CM24811" s="336"/>
    </row>
    <row r="24812" spans="84:91" s="51" customFormat="1">
      <c r="CF24812" s="239"/>
      <c r="CM24812" s="336"/>
    </row>
    <row r="24813" spans="84:91" s="51" customFormat="1">
      <c r="CF24813" s="239"/>
      <c r="CM24813" s="336"/>
    </row>
    <row r="24814" spans="84:91" s="51" customFormat="1">
      <c r="CF24814" s="239"/>
      <c r="CM24814" s="336"/>
    </row>
    <row r="24815" spans="84:91" s="51" customFormat="1">
      <c r="CF24815" s="239"/>
      <c r="CM24815" s="336"/>
    </row>
    <row r="24816" spans="84:91" s="51" customFormat="1">
      <c r="CF24816" s="239"/>
      <c r="CM24816" s="336"/>
    </row>
    <row r="24817" spans="84:91" s="51" customFormat="1">
      <c r="CF24817" s="239"/>
      <c r="CM24817" s="336"/>
    </row>
    <row r="24818" spans="84:91" s="51" customFormat="1">
      <c r="CF24818" s="239"/>
      <c r="CM24818" s="336"/>
    </row>
    <row r="24819" spans="84:91" s="51" customFormat="1">
      <c r="CF24819" s="239"/>
      <c r="CM24819" s="336"/>
    </row>
    <row r="24820" spans="84:91" s="51" customFormat="1">
      <c r="CF24820" s="239"/>
      <c r="CM24820" s="336"/>
    </row>
    <row r="24821" spans="84:91" s="51" customFormat="1">
      <c r="CF24821" s="239"/>
      <c r="CM24821" s="336"/>
    </row>
    <row r="24822" spans="84:91" s="51" customFormat="1">
      <c r="CF24822" s="239"/>
      <c r="CM24822" s="336"/>
    </row>
    <row r="24823" spans="84:91" s="51" customFormat="1">
      <c r="CF24823" s="239"/>
      <c r="CM24823" s="336"/>
    </row>
    <row r="24824" spans="84:91" s="51" customFormat="1">
      <c r="CF24824" s="239"/>
      <c r="CM24824" s="336"/>
    </row>
    <row r="24825" spans="84:91" s="51" customFormat="1">
      <c r="CF24825" s="239"/>
      <c r="CM24825" s="336"/>
    </row>
    <row r="24826" spans="84:91" s="51" customFormat="1">
      <c r="CF24826" s="239"/>
      <c r="CM24826" s="336"/>
    </row>
    <row r="24827" spans="84:91" s="51" customFormat="1">
      <c r="CF24827" s="239"/>
      <c r="CM24827" s="336"/>
    </row>
    <row r="24828" spans="84:91" s="51" customFormat="1">
      <c r="CF24828" s="239"/>
      <c r="CM24828" s="336"/>
    </row>
    <row r="24829" spans="84:91" s="51" customFormat="1">
      <c r="CF24829" s="239"/>
      <c r="CM24829" s="336"/>
    </row>
    <row r="24830" spans="84:91" s="51" customFormat="1">
      <c r="CF24830" s="239"/>
      <c r="CM24830" s="336"/>
    </row>
    <row r="24831" spans="84:91" s="51" customFormat="1">
      <c r="CF24831" s="239"/>
      <c r="CM24831" s="336"/>
    </row>
    <row r="24832" spans="84:91" s="51" customFormat="1">
      <c r="CF24832" s="239"/>
      <c r="CM24832" s="336"/>
    </row>
    <row r="24833" spans="84:91" s="51" customFormat="1">
      <c r="CF24833" s="239"/>
      <c r="CM24833" s="336"/>
    </row>
    <row r="24834" spans="84:91" s="51" customFormat="1">
      <c r="CF24834" s="239"/>
      <c r="CM24834" s="336"/>
    </row>
    <row r="24835" spans="84:91" s="51" customFormat="1">
      <c r="CF24835" s="239"/>
      <c r="CM24835" s="336"/>
    </row>
    <row r="24836" spans="84:91" s="51" customFormat="1">
      <c r="CF24836" s="239"/>
      <c r="CM24836" s="336"/>
    </row>
    <row r="24837" spans="84:91" s="51" customFormat="1">
      <c r="CF24837" s="239"/>
      <c r="CM24837" s="336"/>
    </row>
    <row r="24838" spans="84:91" s="51" customFormat="1">
      <c r="CF24838" s="239"/>
      <c r="CM24838" s="336"/>
    </row>
    <row r="24839" spans="84:91" s="51" customFormat="1">
      <c r="CF24839" s="239"/>
      <c r="CM24839" s="336"/>
    </row>
    <row r="24840" spans="84:91" s="51" customFormat="1">
      <c r="CF24840" s="239"/>
      <c r="CM24840" s="336"/>
    </row>
    <row r="24841" spans="84:91" s="51" customFormat="1">
      <c r="CF24841" s="239"/>
      <c r="CM24841" s="336"/>
    </row>
    <row r="24842" spans="84:91" s="51" customFormat="1">
      <c r="CF24842" s="239"/>
      <c r="CM24842" s="336"/>
    </row>
    <row r="24843" spans="84:91" s="51" customFormat="1">
      <c r="CF24843" s="239"/>
      <c r="CM24843" s="336"/>
    </row>
    <row r="24844" spans="84:91" s="51" customFormat="1">
      <c r="CF24844" s="239"/>
      <c r="CM24844" s="336"/>
    </row>
    <row r="24845" spans="84:91" s="51" customFormat="1">
      <c r="CF24845" s="239"/>
      <c r="CM24845" s="336"/>
    </row>
    <row r="24846" spans="84:91" s="51" customFormat="1">
      <c r="CF24846" s="239"/>
      <c r="CM24846" s="336"/>
    </row>
    <row r="24847" spans="84:91" s="51" customFormat="1">
      <c r="CF24847" s="239"/>
      <c r="CM24847" s="336"/>
    </row>
    <row r="24848" spans="84:91" s="51" customFormat="1">
      <c r="CF24848" s="239"/>
      <c r="CM24848" s="336"/>
    </row>
    <row r="24849" spans="84:91" s="51" customFormat="1">
      <c r="CF24849" s="239"/>
      <c r="CM24849" s="336"/>
    </row>
    <row r="24850" spans="84:91" s="51" customFormat="1">
      <c r="CF24850" s="239"/>
      <c r="CM24850" s="336"/>
    </row>
    <row r="24851" spans="84:91" s="51" customFormat="1">
      <c r="CF24851" s="239"/>
      <c r="CM24851" s="336"/>
    </row>
    <row r="24852" spans="84:91" s="51" customFormat="1">
      <c r="CF24852" s="239"/>
      <c r="CM24852" s="336"/>
    </row>
    <row r="24853" spans="84:91" s="51" customFormat="1">
      <c r="CF24853" s="239"/>
      <c r="CM24853" s="336"/>
    </row>
    <row r="24854" spans="84:91" s="51" customFormat="1">
      <c r="CF24854" s="239"/>
      <c r="CM24854" s="336"/>
    </row>
    <row r="24855" spans="84:91" s="51" customFormat="1">
      <c r="CF24855" s="239"/>
      <c r="CM24855" s="336"/>
    </row>
    <row r="24856" spans="84:91" s="51" customFormat="1">
      <c r="CF24856" s="239"/>
      <c r="CM24856" s="336"/>
    </row>
    <row r="24857" spans="84:91" s="51" customFormat="1">
      <c r="CF24857" s="239"/>
      <c r="CM24857" s="336"/>
    </row>
    <row r="24858" spans="84:91" s="51" customFormat="1">
      <c r="CF24858" s="239"/>
      <c r="CM24858" s="336"/>
    </row>
    <row r="24859" spans="84:91" s="51" customFormat="1">
      <c r="CF24859" s="239"/>
      <c r="CM24859" s="336"/>
    </row>
    <row r="24860" spans="84:91" s="51" customFormat="1">
      <c r="CF24860" s="239"/>
      <c r="CM24860" s="336"/>
    </row>
    <row r="24861" spans="84:91" s="51" customFormat="1">
      <c r="CF24861" s="239"/>
      <c r="CM24861" s="336"/>
    </row>
    <row r="24862" spans="84:91" s="51" customFormat="1">
      <c r="CF24862" s="239"/>
      <c r="CM24862" s="336"/>
    </row>
    <row r="24863" spans="84:91" s="51" customFormat="1">
      <c r="CF24863" s="239"/>
      <c r="CM24863" s="336"/>
    </row>
    <row r="24864" spans="84:91" s="51" customFormat="1">
      <c r="CF24864" s="239"/>
      <c r="CM24864" s="336"/>
    </row>
    <row r="24865" spans="84:91" s="51" customFormat="1">
      <c r="CF24865" s="239"/>
      <c r="CM24865" s="336"/>
    </row>
    <row r="24866" spans="84:91" s="51" customFormat="1">
      <c r="CF24866" s="239"/>
      <c r="CM24866" s="336"/>
    </row>
    <row r="24867" spans="84:91" s="51" customFormat="1">
      <c r="CF24867" s="239"/>
      <c r="CM24867" s="336"/>
    </row>
    <row r="24868" spans="84:91" s="51" customFormat="1">
      <c r="CF24868" s="239"/>
      <c r="CM24868" s="336"/>
    </row>
    <row r="24869" spans="84:91" s="51" customFormat="1">
      <c r="CF24869" s="239"/>
      <c r="CM24869" s="336"/>
    </row>
    <row r="24870" spans="84:91" s="51" customFormat="1">
      <c r="CF24870" s="239"/>
      <c r="CM24870" s="336"/>
    </row>
    <row r="24871" spans="84:91" s="51" customFormat="1">
      <c r="CF24871" s="239"/>
      <c r="CM24871" s="336"/>
    </row>
    <row r="24872" spans="84:91" s="51" customFormat="1">
      <c r="CF24872" s="239"/>
      <c r="CM24872" s="336"/>
    </row>
    <row r="24873" spans="84:91" s="51" customFormat="1">
      <c r="CF24873" s="239"/>
      <c r="CM24873" s="336"/>
    </row>
    <row r="24874" spans="84:91" s="51" customFormat="1">
      <c r="CF24874" s="239"/>
      <c r="CM24874" s="336"/>
    </row>
    <row r="24875" spans="84:91" s="51" customFormat="1">
      <c r="CF24875" s="239"/>
      <c r="CM24875" s="336"/>
    </row>
    <row r="24876" spans="84:91" s="51" customFormat="1">
      <c r="CF24876" s="239"/>
      <c r="CM24876" s="336"/>
    </row>
    <row r="24877" spans="84:91" s="51" customFormat="1">
      <c r="CF24877" s="239"/>
      <c r="CM24877" s="336"/>
    </row>
    <row r="24878" spans="84:91" s="51" customFormat="1">
      <c r="CF24878" s="239"/>
      <c r="CM24878" s="336"/>
    </row>
    <row r="24879" spans="84:91" s="51" customFormat="1">
      <c r="CF24879" s="239"/>
      <c r="CM24879" s="336"/>
    </row>
    <row r="24880" spans="84:91" s="51" customFormat="1">
      <c r="CF24880" s="239"/>
      <c r="CM24880" s="336"/>
    </row>
    <row r="24881" spans="84:91" s="51" customFormat="1">
      <c r="CF24881" s="239"/>
      <c r="CM24881" s="336"/>
    </row>
    <row r="24882" spans="84:91" s="51" customFormat="1">
      <c r="CF24882" s="239"/>
      <c r="CM24882" s="336"/>
    </row>
    <row r="24883" spans="84:91" s="51" customFormat="1">
      <c r="CF24883" s="239"/>
      <c r="CM24883" s="336"/>
    </row>
    <row r="24884" spans="84:91" s="51" customFormat="1">
      <c r="CF24884" s="239"/>
      <c r="CM24884" s="336"/>
    </row>
    <row r="24885" spans="84:91" s="51" customFormat="1">
      <c r="CF24885" s="239"/>
      <c r="CM24885" s="336"/>
    </row>
    <row r="24886" spans="84:91" s="51" customFormat="1">
      <c r="CF24886" s="239"/>
      <c r="CM24886" s="336"/>
    </row>
    <row r="24887" spans="84:91" s="51" customFormat="1">
      <c r="CF24887" s="239"/>
      <c r="CM24887" s="336"/>
    </row>
    <row r="24888" spans="84:91" s="51" customFormat="1">
      <c r="CF24888" s="239"/>
      <c r="CM24888" s="336"/>
    </row>
    <row r="24889" spans="84:91" s="51" customFormat="1">
      <c r="CF24889" s="239"/>
      <c r="CM24889" s="336"/>
    </row>
    <row r="24890" spans="84:91" s="51" customFormat="1">
      <c r="CF24890" s="239"/>
      <c r="CM24890" s="336"/>
    </row>
    <row r="24891" spans="84:91" s="51" customFormat="1">
      <c r="CF24891" s="239"/>
      <c r="CM24891" s="336"/>
    </row>
    <row r="24892" spans="84:91" s="51" customFormat="1">
      <c r="CF24892" s="239"/>
      <c r="CM24892" s="336"/>
    </row>
    <row r="24893" spans="84:91" s="51" customFormat="1">
      <c r="CF24893" s="239"/>
      <c r="CM24893" s="336"/>
    </row>
    <row r="24894" spans="84:91" s="51" customFormat="1">
      <c r="CF24894" s="239"/>
      <c r="CM24894" s="336"/>
    </row>
    <row r="24895" spans="84:91" s="51" customFormat="1">
      <c r="CF24895" s="239"/>
      <c r="CM24895" s="336"/>
    </row>
    <row r="24896" spans="84:91" s="51" customFormat="1">
      <c r="CF24896" s="239"/>
      <c r="CM24896" s="336"/>
    </row>
    <row r="24897" spans="84:91" s="51" customFormat="1">
      <c r="CF24897" s="239"/>
      <c r="CM24897" s="336"/>
    </row>
    <row r="24898" spans="84:91" s="51" customFormat="1">
      <c r="CF24898" s="239"/>
      <c r="CM24898" s="336"/>
    </row>
    <row r="24899" spans="84:91" s="51" customFormat="1">
      <c r="CF24899" s="239"/>
      <c r="CM24899" s="336"/>
    </row>
    <row r="24900" spans="84:91" s="51" customFormat="1">
      <c r="CF24900" s="239"/>
      <c r="CM24900" s="336"/>
    </row>
    <row r="24901" spans="84:91" s="51" customFormat="1">
      <c r="CF24901" s="239"/>
      <c r="CM24901" s="336"/>
    </row>
    <row r="24902" spans="84:91" s="51" customFormat="1">
      <c r="CF24902" s="239"/>
      <c r="CM24902" s="336"/>
    </row>
    <row r="24903" spans="84:91" s="51" customFormat="1">
      <c r="CF24903" s="239"/>
      <c r="CM24903" s="336"/>
    </row>
    <row r="24904" spans="84:91" s="51" customFormat="1">
      <c r="CF24904" s="239"/>
      <c r="CM24904" s="336"/>
    </row>
    <row r="24905" spans="84:91" s="51" customFormat="1">
      <c r="CF24905" s="239"/>
      <c r="CM24905" s="336"/>
    </row>
    <row r="24906" spans="84:91" s="51" customFormat="1">
      <c r="CF24906" s="239"/>
      <c r="CM24906" s="336"/>
    </row>
    <row r="24907" spans="84:91" s="51" customFormat="1">
      <c r="CF24907" s="239"/>
      <c r="CM24907" s="336"/>
    </row>
    <row r="24908" spans="84:91" s="51" customFormat="1">
      <c r="CF24908" s="239"/>
      <c r="CM24908" s="336"/>
    </row>
    <row r="24909" spans="84:91" s="51" customFormat="1">
      <c r="CF24909" s="239"/>
      <c r="CM24909" s="336"/>
    </row>
    <row r="24910" spans="84:91" s="51" customFormat="1">
      <c r="CF24910" s="239"/>
      <c r="CM24910" s="336"/>
    </row>
    <row r="24911" spans="84:91" s="51" customFormat="1">
      <c r="CF24911" s="239"/>
      <c r="CM24911" s="336"/>
    </row>
    <row r="24912" spans="84:91" s="51" customFormat="1">
      <c r="CF24912" s="239"/>
      <c r="CM24912" s="336"/>
    </row>
    <row r="24913" spans="84:91" s="51" customFormat="1">
      <c r="CF24913" s="239"/>
      <c r="CM24913" s="336"/>
    </row>
    <row r="24914" spans="84:91" s="51" customFormat="1">
      <c r="CF24914" s="239"/>
      <c r="CM24914" s="336"/>
    </row>
    <row r="24915" spans="84:91" s="51" customFormat="1">
      <c r="CF24915" s="239"/>
      <c r="CM24915" s="336"/>
    </row>
    <row r="24916" spans="84:91" s="51" customFormat="1">
      <c r="CF24916" s="239"/>
      <c r="CM24916" s="336"/>
    </row>
    <row r="24917" spans="84:91" s="51" customFormat="1">
      <c r="CF24917" s="239"/>
      <c r="CM24917" s="336"/>
    </row>
    <row r="24918" spans="84:91" s="51" customFormat="1">
      <c r="CF24918" s="239"/>
      <c r="CM24918" s="336"/>
    </row>
    <row r="24919" spans="84:91" s="51" customFormat="1">
      <c r="CF24919" s="239"/>
      <c r="CM24919" s="336"/>
    </row>
    <row r="24920" spans="84:91" s="51" customFormat="1">
      <c r="CF24920" s="239"/>
      <c r="CM24920" s="336"/>
    </row>
    <row r="24921" spans="84:91" s="51" customFormat="1">
      <c r="CF24921" s="239"/>
      <c r="CM24921" s="336"/>
    </row>
    <row r="24922" spans="84:91" s="51" customFormat="1">
      <c r="CF24922" s="239"/>
      <c r="CM24922" s="336"/>
    </row>
    <row r="24923" spans="84:91" s="51" customFormat="1">
      <c r="CF24923" s="239"/>
      <c r="CM24923" s="336"/>
    </row>
    <row r="24924" spans="84:91" s="51" customFormat="1">
      <c r="CF24924" s="239"/>
      <c r="CM24924" s="336"/>
    </row>
    <row r="24925" spans="84:91" s="51" customFormat="1">
      <c r="CF24925" s="239"/>
      <c r="CM24925" s="336"/>
    </row>
    <row r="24926" spans="84:91" s="51" customFormat="1">
      <c r="CF24926" s="239"/>
      <c r="CM24926" s="336"/>
    </row>
    <row r="24927" spans="84:91" s="51" customFormat="1">
      <c r="CF24927" s="239"/>
      <c r="CM24927" s="336"/>
    </row>
    <row r="24928" spans="84:91" s="51" customFormat="1">
      <c r="CF24928" s="239"/>
      <c r="CM24928" s="336"/>
    </row>
    <row r="24929" spans="84:91" s="51" customFormat="1">
      <c r="CF24929" s="239"/>
      <c r="CM24929" s="336"/>
    </row>
    <row r="24930" spans="84:91" s="51" customFormat="1">
      <c r="CF24930" s="239"/>
      <c r="CM24930" s="336"/>
    </row>
    <row r="24931" spans="84:91" s="51" customFormat="1">
      <c r="CF24931" s="239"/>
      <c r="CM24931" s="336"/>
    </row>
    <row r="24932" spans="84:91" s="51" customFormat="1">
      <c r="CF24932" s="239"/>
      <c r="CM24932" s="336"/>
    </row>
    <row r="24933" spans="84:91" s="51" customFormat="1">
      <c r="CF24933" s="239"/>
      <c r="CM24933" s="336"/>
    </row>
    <row r="24934" spans="84:91" s="51" customFormat="1">
      <c r="CF24934" s="239"/>
      <c r="CM24934" s="336"/>
    </row>
    <row r="24935" spans="84:91" s="51" customFormat="1">
      <c r="CF24935" s="239"/>
      <c r="CM24935" s="336"/>
    </row>
    <row r="24936" spans="84:91" s="51" customFormat="1">
      <c r="CF24936" s="239"/>
      <c r="CM24936" s="336"/>
    </row>
    <row r="24937" spans="84:91" s="51" customFormat="1">
      <c r="CF24937" s="239"/>
      <c r="CM24937" s="336"/>
    </row>
    <row r="24938" spans="84:91" s="51" customFormat="1">
      <c r="CF24938" s="239"/>
      <c r="CM24938" s="336"/>
    </row>
    <row r="24939" spans="84:91" s="51" customFormat="1">
      <c r="CF24939" s="239"/>
      <c r="CM24939" s="336"/>
    </row>
    <row r="24940" spans="84:91" s="51" customFormat="1">
      <c r="CF24940" s="239"/>
      <c r="CM24940" s="336"/>
    </row>
    <row r="24941" spans="84:91" s="51" customFormat="1">
      <c r="CF24941" s="239"/>
      <c r="CM24941" s="336"/>
    </row>
    <row r="24942" spans="84:91" s="51" customFormat="1">
      <c r="CF24942" s="239"/>
      <c r="CM24942" s="336"/>
    </row>
    <row r="24943" spans="84:91" s="51" customFormat="1">
      <c r="CF24943" s="239"/>
      <c r="CM24943" s="336"/>
    </row>
    <row r="24944" spans="84:91" s="51" customFormat="1">
      <c r="CF24944" s="239"/>
      <c r="CM24944" s="336"/>
    </row>
    <row r="24945" spans="84:91" s="51" customFormat="1">
      <c r="CF24945" s="239"/>
      <c r="CM24945" s="336"/>
    </row>
    <row r="24946" spans="84:91" s="51" customFormat="1">
      <c r="CF24946" s="239"/>
      <c r="CM24946" s="336"/>
    </row>
    <row r="24947" spans="84:91" s="51" customFormat="1">
      <c r="CF24947" s="239"/>
      <c r="CM24947" s="336"/>
    </row>
    <row r="24948" spans="84:91" s="51" customFormat="1">
      <c r="CF24948" s="239"/>
      <c r="CM24948" s="336"/>
    </row>
    <row r="24949" spans="84:91" s="51" customFormat="1">
      <c r="CF24949" s="239"/>
      <c r="CM24949" s="336"/>
    </row>
    <row r="24950" spans="84:91" s="51" customFormat="1">
      <c r="CF24950" s="239"/>
      <c r="CM24950" s="336"/>
    </row>
    <row r="24951" spans="84:91" s="51" customFormat="1">
      <c r="CF24951" s="239"/>
      <c r="CM24951" s="336"/>
    </row>
    <row r="24952" spans="84:91" s="51" customFormat="1">
      <c r="CF24952" s="239"/>
      <c r="CM24952" s="336"/>
    </row>
    <row r="24953" spans="84:91" s="51" customFormat="1">
      <c r="CF24953" s="239"/>
      <c r="CM24953" s="336"/>
    </row>
    <row r="24954" spans="84:91" s="51" customFormat="1">
      <c r="CF24954" s="239"/>
      <c r="CM24954" s="336"/>
    </row>
    <row r="24955" spans="84:91" s="51" customFormat="1">
      <c r="CF24955" s="239"/>
      <c r="CM24955" s="336"/>
    </row>
    <row r="24956" spans="84:91" s="51" customFormat="1">
      <c r="CF24956" s="239"/>
      <c r="CM24956" s="336"/>
    </row>
    <row r="24957" spans="84:91" s="51" customFormat="1">
      <c r="CF24957" s="239"/>
      <c r="CM24957" s="336"/>
    </row>
    <row r="24958" spans="84:91" s="51" customFormat="1">
      <c r="CF24958" s="239"/>
      <c r="CM24958" s="336"/>
    </row>
    <row r="24959" spans="84:91" s="51" customFormat="1">
      <c r="CF24959" s="239"/>
      <c r="CM24959" s="336"/>
    </row>
    <row r="24960" spans="84:91" s="51" customFormat="1">
      <c r="CF24960" s="239"/>
      <c r="CM24960" s="336"/>
    </row>
    <row r="24961" spans="84:91" s="51" customFormat="1">
      <c r="CF24961" s="239"/>
      <c r="CM24961" s="336"/>
    </row>
    <row r="24962" spans="84:91" s="51" customFormat="1">
      <c r="CF24962" s="239"/>
      <c r="CM24962" s="336"/>
    </row>
    <row r="24963" spans="84:91" s="51" customFormat="1">
      <c r="CF24963" s="239"/>
      <c r="CM24963" s="336"/>
    </row>
    <row r="24964" spans="84:91" s="51" customFormat="1">
      <c r="CF24964" s="239"/>
      <c r="CM24964" s="336"/>
    </row>
    <row r="24965" spans="84:91" s="51" customFormat="1">
      <c r="CF24965" s="239"/>
      <c r="CM24965" s="336"/>
    </row>
    <row r="24966" spans="84:91" s="51" customFormat="1">
      <c r="CF24966" s="239"/>
      <c r="CM24966" s="336"/>
    </row>
    <row r="24967" spans="84:91" s="51" customFormat="1">
      <c r="CF24967" s="239"/>
      <c r="CM24967" s="336"/>
    </row>
    <row r="24968" spans="84:91" s="51" customFormat="1">
      <c r="CF24968" s="239"/>
      <c r="CM24968" s="336"/>
    </row>
    <row r="24969" spans="84:91" s="51" customFormat="1">
      <c r="CF24969" s="239"/>
      <c r="CM24969" s="336"/>
    </row>
    <row r="24970" spans="84:91" s="51" customFormat="1">
      <c r="CF24970" s="239"/>
      <c r="CM24970" s="336"/>
    </row>
    <row r="24971" spans="84:91" s="51" customFormat="1">
      <c r="CF24971" s="239"/>
      <c r="CM24971" s="336"/>
    </row>
    <row r="24972" spans="84:91" s="51" customFormat="1">
      <c r="CF24972" s="239"/>
      <c r="CM24972" s="336"/>
    </row>
    <row r="24973" spans="84:91" s="51" customFormat="1">
      <c r="CF24973" s="239"/>
      <c r="CM24973" s="336"/>
    </row>
    <row r="24974" spans="84:91" s="51" customFormat="1">
      <c r="CF24974" s="239"/>
      <c r="CM24974" s="336"/>
    </row>
    <row r="24975" spans="84:91" s="51" customFormat="1">
      <c r="CF24975" s="239"/>
      <c r="CM24975" s="336"/>
    </row>
    <row r="24976" spans="84:91" s="51" customFormat="1">
      <c r="CF24976" s="239"/>
      <c r="CM24976" s="336"/>
    </row>
    <row r="24977" spans="84:91" s="51" customFormat="1">
      <c r="CF24977" s="239"/>
      <c r="CM24977" s="336"/>
    </row>
    <row r="24978" spans="84:91" s="51" customFormat="1">
      <c r="CF24978" s="239"/>
      <c r="CM24978" s="336"/>
    </row>
    <row r="24979" spans="84:91" s="51" customFormat="1">
      <c r="CF24979" s="239"/>
      <c r="CM24979" s="336"/>
    </row>
    <row r="24980" spans="84:91" s="51" customFormat="1">
      <c r="CF24980" s="239"/>
      <c r="CM24980" s="336"/>
    </row>
    <row r="24981" spans="84:91" s="51" customFormat="1">
      <c r="CF24981" s="239"/>
      <c r="CM24981" s="336"/>
    </row>
    <row r="24982" spans="84:91" s="51" customFormat="1">
      <c r="CF24982" s="239"/>
      <c r="CM24982" s="336"/>
    </row>
    <row r="24983" spans="84:91" s="51" customFormat="1">
      <c r="CF24983" s="239"/>
      <c r="CM24983" s="336"/>
    </row>
    <row r="24984" spans="84:91" s="51" customFormat="1">
      <c r="CF24984" s="239"/>
      <c r="CM24984" s="336"/>
    </row>
    <row r="24985" spans="84:91" s="51" customFormat="1">
      <c r="CF24985" s="239"/>
      <c r="CM24985" s="336"/>
    </row>
    <row r="24986" spans="84:91" s="51" customFormat="1">
      <c r="CF24986" s="239"/>
      <c r="CM24986" s="336"/>
    </row>
    <row r="24987" spans="84:91" s="51" customFormat="1">
      <c r="CF24987" s="239"/>
      <c r="CM24987" s="336"/>
    </row>
    <row r="24988" spans="84:91" s="51" customFormat="1">
      <c r="CF24988" s="239"/>
      <c r="CM24988" s="336"/>
    </row>
    <row r="24989" spans="84:91" s="51" customFormat="1">
      <c r="CF24989" s="239"/>
      <c r="CM24989" s="336"/>
    </row>
    <row r="24990" spans="84:91" s="51" customFormat="1">
      <c r="CF24990" s="239"/>
      <c r="CM24990" s="336"/>
    </row>
    <row r="24991" spans="84:91" s="51" customFormat="1">
      <c r="CF24991" s="239"/>
      <c r="CM24991" s="336"/>
    </row>
    <row r="24992" spans="84:91" s="51" customFormat="1">
      <c r="CF24992" s="239"/>
      <c r="CM24992" s="336"/>
    </row>
    <row r="24993" spans="84:91" s="51" customFormat="1">
      <c r="CF24993" s="239"/>
      <c r="CM24993" s="336"/>
    </row>
    <row r="24994" spans="84:91" s="51" customFormat="1">
      <c r="CF24994" s="239"/>
      <c r="CM24994" s="336"/>
    </row>
    <row r="24995" spans="84:91" s="51" customFormat="1">
      <c r="CF24995" s="239"/>
      <c r="CM24995" s="336"/>
    </row>
    <row r="24996" spans="84:91" s="51" customFormat="1">
      <c r="CF24996" s="239"/>
      <c r="CM24996" s="336"/>
    </row>
    <row r="24997" spans="84:91" s="51" customFormat="1">
      <c r="CF24997" s="239"/>
      <c r="CM24997" s="336"/>
    </row>
    <row r="24998" spans="84:91" s="51" customFormat="1">
      <c r="CF24998" s="239"/>
      <c r="CM24998" s="336"/>
    </row>
    <row r="24999" spans="84:91" s="51" customFormat="1">
      <c r="CF24999" s="239"/>
      <c r="CM24999" s="336"/>
    </row>
    <row r="25000" spans="84:91" s="51" customFormat="1">
      <c r="CF25000" s="239"/>
      <c r="CM25000" s="336"/>
    </row>
    <row r="25001" spans="84:91" s="51" customFormat="1">
      <c r="CF25001" s="239"/>
      <c r="CM25001" s="336"/>
    </row>
    <row r="25002" spans="84:91" s="51" customFormat="1">
      <c r="CF25002" s="239"/>
      <c r="CM25002" s="336"/>
    </row>
    <row r="25003" spans="84:91" s="51" customFormat="1">
      <c r="CF25003" s="239"/>
      <c r="CM25003" s="336"/>
    </row>
    <row r="25004" spans="84:91" s="51" customFormat="1">
      <c r="CF25004" s="239"/>
      <c r="CM25004" s="336"/>
    </row>
    <row r="25005" spans="84:91" s="51" customFormat="1">
      <c r="CF25005" s="239"/>
      <c r="CM25005" s="336"/>
    </row>
    <row r="25006" spans="84:91" s="51" customFormat="1">
      <c r="CF25006" s="239"/>
      <c r="CM25006" s="336"/>
    </row>
    <row r="25007" spans="84:91" s="51" customFormat="1">
      <c r="CF25007" s="239"/>
      <c r="CM25007" s="336"/>
    </row>
    <row r="25008" spans="84:91" s="51" customFormat="1">
      <c r="CF25008" s="239"/>
      <c r="CM25008" s="336"/>
    </row>
    <row r="25009" spans="84:91" s="51" customFormat="1">
      <c r="CF25009" s="239"/>
      <c r="CM25009" s="336"/>
    </row>
    <row r="25010" spans="84:91" s="51" customFormat="1">
      <c r="CF25010" s="239"/>
      <c r="CM25010" s="336"/>
    </row>
    <row r="25011" spans="84:91" s="51" customFormat="1">
      <c r="CF25011" s="239"/>
      <c r="CM25011" s="336"/>
    </row>
    <row r="25012" spans="84:91" s="51" customFormat="1">
      <c r="CF25012" s="239"/>
      <c r="CM25012" s="336"/>
    </row>
    <row r="25013" spans="84:91" s="51" customFormat="1">
      <c r="CF25013" s="239"/>
      <c r="CM25013" s="336"/>
    </row>
    <row r="25014" spans="84:91" s="51" customFormat="1">
      <c r="CF25014" s="239"/>
      <c r="CM25014" s="336"/>
    </row>
    <row r="25015" spans="84:91" s="51" customFormat="1">
      <c r="CF25015" s="239"/>
      <c r="CM25015" s="336"/>
    </row>
    <row r="25016" spans="84:91" s="51" customFormat="1">
      <c r="CF25016" s="239"/>
      <c r="CM25016" s="336"/>
    </row>
    <row r="25017" spans="84:91" s="51" customFormat="1">
      <c r="CF25017" s="239"/>
      <c r="CM25017" s="336"/>
    </row>
    <row r="25018" spans="84:91" s="51" customFormat="1">
      <c r="CF25018" s="239"/>
      <c r="CM25018" s="336"/>
    </row>
    <row r="25019" spans="84:91" s="51" customFormat="1">
      <c r="CF25019" s="239"/>
      <c r="CM25019" s="336"/>
    </row>
    <row r="25020" spans="84:91" s="51" customFormat="1">
      <c r="CF25020" s="239"/>
      <c r="CM25020" s="336"/>
    </row>
    <row r="25021" spans="84:91" s="51" customFormat="1">
      <c r="CF25021" s="239"/>
      <c r="CM25021" s="336"/>
    </row>
    <row r="25022" spans="84:91" s="51" customFormat="1">
      <c r="CF25022" s="239"/>
      <c r="CM25022" s="336"/>
    </row>
    <row r="25023" spans="84:91" s="51" customFormat="1">
      <c r="CF25023" s="239"/>
      <c r="CM25023" s="336"/>
    </row>
    <row r="25024" spans="84:91" s="51" customFormat="1">
      <c r="CF25024" s="239"/>
      <c r="CM25024" s="336"/>
    </row>
    <row r="25025" spans="84:91" s="51" customFormat="1">
      <c r="CF25025" s="239"/>
      <c r="CM25025" s="336"/>
    </row>
    <row r="25026" spans="84:91" s="51" customFormat="1">
      <c r="CF25026" s="239"/>
      <c r="CM25026" s="336"/>
    </row>
    <row r="25027" spans="84:91" s="51" customFormat="1">
      <c r="CF25027" s="239"/>
      <c r="CM25027" s="336"/>
    </row>
    <row r="25028" spans="84:91" s="51" customFormat="1">
      <c r="CF25028" s="239"/>
      <c r="CM25028" s="336"/>
    </row>
    <row r="25029" spans="84:91" s="51" customFormat="1">
      <c r="CF25029" s="239"/>
      <c r="CM25029" s="336"/>
    </row>
    <row r="25030" spans="84:91" s="51" customFormat="1">
      <c r="CF25030" s="239"/>
      <c r="CM25030" s="336"/>
    </row>
    <row r="25031" spans="84:91" s="51" customFormat="1">
      <c r="CF25031" s="239"/>
      <c r="CM25031" s="336"/>
    </row>
    <row r="25032" spans="84:91" s="51" customFormat="1">
      <c r="CF25032" s="239"/>
      <c r="CM25032" s="336"/>
    </row>
    <row r="25033" spans="84:91" s="51" customFormat="1">
      <c r="CF25033" s="239"/>
      <c r="CM25033" s="336"/>
    </row>
    <row r="25034" spans="84:91" s="51" customFormat="1">
      <c r="CF25034" s="239"/>
      <c r="CM25034" s="336"/>
    </row>
    <row r="25035" spans="84:91" s="51" customFormat="1">
      <c r="CF25035" s="239"/>
      <c r="CM25035" s="336"/>
    </row>
    <row r="25036" spans="84:91" s="51" customFormat="1">
      <c r="CF25036" s="239"/>
      <c r="CM25036" s="336"/>
    </row>
    <row r="25037" spans="84:91" s="51" customFormat="1">
      <c r="CF25037" s="239"/>
      <c r="CM25037" s="336"/>
    </row>
    <row r="25038" spans="84:91" s="51" customFormat="1">
      <c r="CF25038" s="239"/>
      <c r="CM25038" s="336"/>
    </row>
    <row r="25039" spans="84:91" s="51" customFormat="1">
      <c r="CF25039" s="239"/>
      <c r="CM25039" s="336"/>
    </row>
    <row r="25040" spans="84:91" s="51" customFormat="1">
      <c r="CF25040" s="239"/>
      <c r="CM25040" s="336"/>
    </row>
    <row r="25041" spans="84:91" s="51" customFormat="1">
      <c r="CF25041" s="239"/>
      <c r="CM25041" s="336"/>
    </row>
    <row r="25042" spans="84:91" s="51" customFormat="1">
      <c r="CF25042" s="239"/>
      <c r="CM25042" s="336"/>
    </row>
    <row r="25043" spans="84:91" s="51" customFormat="1">
      <c r="CF25043" s="239"/>
      <c r="CM25043" s="336"/>
    </row>
    <row r="25044" spans="84:91" s="51" customFormat="1">
      <c r="CF25044" s="239"/>
      <c r="CM25044" s="336"/>
    </row>
    <row r="25045" spans="84:91" s="51" customFormat="1">
      <c r="CF25045" s="239"/>
      <c r="CM25045" s="336"/>
    </row>
    <row r="25046" spans="84:91" s="51" customFormat="1">
      <c r="CF25046" s="239"/>
      <c r="CM25046" s="336"/>
    </row>
    <row r="25047" spans="84:91" s="51" customFormat="1">
      <c r="CF25047" s="239"/>
      <c r="CM25047" s="336"/>
    </row>
    <row r="25048" spans="84:91" s="51" customFormat="1">
      <c r="CF25048" s="239"/>
      <c r="CM25048" s="336"/>
    </row>
    <row r="25049" spans="84:91" s="51" customFormat="1">
      <c r="CF25049" s="239"/>
      <c r="CM25049" s="336"/>
    </row>
    <row r="25050" spans="84:91" s="51" customFormat="1">
      <c r="CF25050" s="239"/>
      <c r="CM25050" s="336"/>
    </row>
    <row r="25051" spans="84:91" s="51" customFormat="1">
      <c r="CF25051" s="239"/>
      <c r="CM25051" s="336"/>
    </row>
    <row r="25052" spans="84:91" s="51" customFormat="1">
      <c r="CF25052" s="239"/>
      <c r="CM25052" s="336"/>
    </row>
    <row r="25053" spans="84:91" s="51" customFormat="1">
      <c r="CF25053" s="239"/>
      <c r="CM25053" s="336"/>
    </row>
    <row r="25054" spans="84:91" s="51" customFormat="1">
      <c r="CF25054" s="239"/>
      <c r="CM25054" s="336"/>
    </row>
    <row r="25055" spans="84:91" s="51" customFormat="1">
      <c r="CF25055" s="239"/>
      <c r="CM25055" s="336"/>
    </row>
    <row r="25056" spans="84:91" s="51" customFormat="1">
      <c r="CF25056" s="239"/>
      <c r="CM25056" s="336"/>
    </row>
    <row r="25057" spans="84:91" s="51" customFormat="1">
      <c r="CF25057" s="239"/>
      <c r="CM25057" s="336"/>
    </row>
    <row r="25058" spans="84:91" s="51" customFormat="1">
      <c r="CF25058" s="239"/>
      <c r="CM25058" s="336"/>
    </row>
    <row r="25059" spans="84:91" s="51" customFormat="1">
      <c r="CF25059" s="239"/>
      <c r="CM25059" s="336"/>
    </row>
    <row r="25060" spans="84:91" s="51" customFormat="1">
      <c r="CF25060" s="239"/>
      <c r="CM25060" s="336"/>
    </row>
    <row r="25061" spans="84:91" s="51" customFormat="1">
      <c r="CF25061" s="239"/>
      <c r="CM25061" s="336"/>
    </row>
    <row r="25062" spans="84:91" s="51" customFormat="1">
      <c r="CF25062" s="239"/>
      <c r="CM25062" s="336"/>
    </row>
    <row r="25063" spans="84:91" s="51" customFormat="1">
      <c r="CF25063" s="239"/>
      <c r="CM25063" s="336"/>
    </row>
    <row r="25064" spans="84:91" s="51" customFormat="1">
      <c r="CF25064" s="239"/>
      <c r="CM25064" s="336"/>
    </row>
    <row r="25065" spans="84:91" s="51" customFormat="1">
      <c r="CF25065" s="239"/>
      <c r="CM25065" s="336"/>
    </row>
    <row r="25066" spans="84:91" s="51" customFormat="1">
      <c r="CF25066" s="239"/>
      <c r="CM25066" s="336"/>
    </row>
    <row r="25067" spans="84:91" s="51" customFormat="1">
      <c r="CF25067" s="239"/>
      <c r="CM25067" s="336"/>
    </row>
    <row r="25068" spans="84:91" s="51" customFormat="1">
      <c r="CF25068" s="239"/>
      <c r="CM25068" s="336"/>
    </row>
    <row r="25069" spans="84:91" s="51" customFormat="1">
      <c r="CF25069" s="239"/>
      <c r="CM25069" s="336"/>
    </row>
    <row r="25070" spans="84:91" s="51" customFormat="1">
      <c r="CF25070" s="239"/>
      <c r="CM25070" s="336"/>
    </row>
    <row r="25071" spans="84:91" s="51" customFormat="1">
      <c r="CF25071" s="239"/>
      <c r="CM25071" s="336"/>
    </row>
    <row r="25072" spans="84:91" s="51" customFormat="1">
      <c r="CF25072" s="239"/>
      <c r="CM25072" s="336"/>
    </row>
    <row r="25073" spans="84:91" s="51" customFormat="1">
      <c r="CF25073" s="239"/>
      <c r="CM25073" s="336"/>
    </row>
    <row r="25074" spans="84:91" s="51" customFormat="1">
      <c r="CF25074" s="239"/>
      <c r="CM25074" s="336"/>
    </row>
    <row r="25075" spans="84:91" s="51" customFormat="1">
      <c r="CF25075" s="239"/>
      <c r="CM25075" s="336"/>
    </row>
    <row r="25076" spans="84:91" s="51" customFormat="1">
      <c r="CF25076" s="239"/>
      <c r="CM25076" s="336"/>
    </row>
    <row r="25077" spans="84:91" s="51" customFormat="1">
      <c r="CF25077" s="239"/>
      <c r="CM25077" s="336"/>
    </row>
    <row r="25078" spans="84:91" s="51" customFormat="1">
      <c r="CF25078" s="239"/>
      <c r="CM25078" s="336"/>
    </row>
    <row r="25079" spans="84:91" s="51" customFormat="1">
      <c r="CF25079" s="239"/>
      <c r="CM25079" s="336"/>
    </row>
    <row r="25080" spans="84:91" s="51" customFormat="1">
      <c r="CF25080" s="239"/>
      <c r="CM25080" s="336"/>
    </row>
    <row r="25081" spans="84:91" s="51" customFormat="1">
      <c r="CF25081" s="239"/>
      <c r="CM25081" s="336"/>
    </row>
    <row r="25082" spans="84:91" s="51" customFormat="1">
      <c r="CF25082" s="239"/>
      <c r="CM25082" s="336"/>
    </row>
    <row r="25083" spans="84:91" s="51" customFormat="1">
      <c r="CF25083" s="239"/>
      <c r="CM25083" s="336"/>
    </row>
    <row r="25084" spans="84:91" s="51" customFormat="1">
      <c r="CF25084" s="239"/>
      <c r="CM25084" s="336"/>
    </row>
    <row r="25085" spans="84:91" s="51" customFormat="1">
      <c r="CF25085" s="239"/>
      <c r="CM25085" s="336"/>
    </row>
    <row r="25086" spans="84:91" s="51" customFormat="1">
      <c r="CF25086" s="239"/>
      <c r="CM25086" s="336"/>
    </row>
    <row r="25087" spans="84:91" s="51" customFormat="1">
      <c r="CF25087" s="239"/>
      <c r="CM25087" s="336"/>
    </row>
    <row r="25088" spans="84:91" s="51" customFormat="1">
      <c r="CF25088" s="239"/>
      <c r="CM25088" s="336"/>
    </row>
    <row r="25089" spans="84:91" s="51" customFormat="1">
      <c r="CF25089" s="239"/>
      <c r="CM25089" s="336"/>
    </row>
    <row r="25090" spans="84:91" s="51" customFormat="1">
      <c r="CF25090" s="239"/>
      <c r="CM25090" s="336"/>
    </row>
    <row r="25091" spans="84:91" s="51" customFormat="1">
      <c r="CF25091" s="239"/>
      <c r="CM25091" s="336"/>
    </row>
    <row r="25092" spans="84:91" s="51" customFormat="1">
      <c r="CF25092" s="239"/>
      <c r="CM25092" s="336"/>
    </row>
    <row r="25093" spans="84:91" s="51" customFormat="1">
      <c r="CF25093" s="239"/>
      <c r="CM25093" s="336"/>
    </row>
    <row r="25094" spans="84:91" s="51" customFormat="1">
      <c r="CF25094" s="239"/>
      <c r="CM25094" s="336"/>
    </row>
    <row r="25095" spans="84:91" s="51" customFormat="1">
      <c r="CF25095" s="239"/>
      <c r="CM25095" s="336"/>
    </row>
    <row r="25096" spans="84:91" s="51" customFormat="1">
      <c r="CF25096" s="239"/>
      <c r="CM25096" s="336"/>
    </row>
    <row r="25097" spans="84:91" s="51" customFormat="1">
      <c r="CF25097" s="239"/>
      <c r="CM25097" s="336"/>
    </row>
    <row r="25098" spans="84:91" s="51" customFormat="1">
      <c r="CF25098" s="239"/>
      <c r="CM25098" s="336"/>
    </row>
    <row r="25099" spans="84:91" s="51" customFormat="1">
      <c r="CF25099" s="239"/>
      <c r="CM25099" s="336"/>
    </row>
    <row r="25100" spans="84:91" s="51" customFormat="1">
      <c r="CF25100" s="239"/>
      <c r="CM25100" s="336"/>
    </row>
    <row r="25101" spans="84:91" s="51" customFormat="1">
      <c r="CF25101" s="239"/>
      <c r="CM25101" s="336"/>
    </row>
    <row r="25102" spans="84:91" s="51" customFormat="1">
      <c r="CF25102" s="239"/>
      <c r="CM25102" s="336"/>
    </row>
    <row r="25103" spans="84:91" s="51" customFormat="1">
      <c r="CF25103" s="239"/>
      <c r="CM25103" s="336"/>
    </row>
    <row r="25104" spans="84:91" s="51" customFormat="1">
      <c r="CF25104" s="239"/>
      <c r="CM25104" s="336"/>
    </row>
    <row r="25105" spans="84:91" s="51" customFormat="1">
      <c r="CF25105" s="239"/>
      <c r="CM25105" s="336"/>
    </row>
    <row r="25106" spans="84:91" s="51" customFormat="1">
      <c r="CF25106" s="239"/>
      <c r="CM25106" s="336"/>
    </row>
    <row r="25107" spans="84:91" s="51" customFormat="1">
      <c r="CF25107" s="239"/>
      <c r="CM25107" s="336"/>
    </row>
    <row r="25108" spans="84:91" s="51" customFormat="1">
      <c r="CF25108" s="239"/>
      <c r="CM25108" s="336"/>
    </row>
    <row r="25109" spans="84:91" s="51" customFormat="1">
      <c r="CF25109" s="239"/>
      <c r="CM25109" s="336"/>
    </row>
    <row r="25110" spans="84:91" s="51" customFormat="1">
      <c r="CF25110" s="239"/>
      <c r="CM25110" s="336"/>
    </row>
    <row r="25111" spans="84:91" s="51" customFormat="1">
      <c r="CF25111" s="239"/>
      <c r="CM25111" s="336"/>
    </row>
    <row r="25112" spans="84:91" s="51" customFormat="1">
      <c r="CF25112" s="239"/>
      <c r="CM25112" s="336"/>
    </row>
    <row r="25113" spans="84:91" s="51" customFormat="1">
      <c r="CF25113" s="239"/>
      <c r="CM25113" s="336"/>
    </row>
    <row r="25114" spans="84:91" s="51" customFormat="1">
      <c r="CF25114" s="239"/>
      <c r="CM25114" s="336"/>
    </row>
    <row r="25115" spans="84:91" s="51" customFormat="1">
      <c r="CF25115" s="239"/>
      <c r="CM25115" s="336"/>
    </row>
    <row r="25116" spans="84:91" s="51" customFormat="1">
      <c r="CF25116" s="239"/>
      <c r="CM25116" s="336"/>
    </row>
    <row r="25117" spans="84:91" s="51" customFormat="1">
      <c r="CF25117" s="239"/>
      <c r="CM25117" s="336"/>
    </row>
    <row r="25118" spans="84:91" s="51" customFormat="1">
      <c r="CF25118" s="239"/>
      <c r="CM25118" s="336"/>
    </row>
    <row r="25119" spans="84:91" s="51" customFormat="1">
      <c r="CF25119" s="239"/>
      <c r="CM25119" s="336"/>
    </row>
    <row r="25120" spans="84:91" s="51" customFormat="1">
      <c r="CF25120" s="239"/>
      <c r="CM25120" s="336"/>
    </row>
    <row r="25121" spans="84:91" s="51" customFormat="1">
      <c r="CF25121" s="239"/>
      <c r="CM25121" s="336"/>
    </row>
    <row r="25122" spans="84:91" s="51" customFormat="1">
      <c r="CF25122" s="239"/>
      <c r="CM25122" s="336"/>
    </row>
    <row r="25123" spans="84:91" s="51" customFormat="1">
      <c r="CF25123" s="239"/>
      <c r="CM25123" s="336"/>
    </row>
    <row r="25124" spans="84:91" s="51" customFormat="1">
      <c r="CF25124" s="239"/>
      <c r="CM25124" s="336"/>
    </row>
    <row r="25125" spans="84:91" s="51" customFormat="1">
      <c r="CF25125" s="239"/>
      <c r="CM25125" s="336"/>
    </row>
    <row r="25126" spans="84:91" s="51" customFormat="1">
      <c r="CF25126" s="239"/>
      <c r="CM25126" s="336"/>
    </row>
    <row r="25127" spans="84:91" s="51" customFormat="1">
      <c r="CF25127" s="239"/>
      <c r="CM25127" s="336"/>
    </row>
    <row r="25128" spans="84:91" s="51" customFormat="1">
      <c r="CF25128" s="239"/>
      <c r="CM25128" s="336"/>
    </row>
    <row r="25129" spans="84:91" s="51" customFormat="1">
      <c r="CF25129" s="239"/>
      <c r="CM25129" s="336"/>
    </row>
    <row r="25130" spans="84:91" s="51" customFormat="1">
      <c r="CF25130" s="239"/>
      <c r="CM25130" s="336"/>
    </row>
    <row r="25131" spans="84:91" s="51" customFormat="1">
      <c r="CF25131" s="239"/>
      <c r="CM25131" s="336"/>
    </row>
    <row r="25132" spans="84:91" s="51" customFormat="1">
      <c r="CF25132" s="239"/>
      <c r="CM25132" s="336"/>
    </row>
    <row r="25133" spans="84:91" s="51" customFormat="1">
      <c r="CF25133" s="239"/>
      <c r="CM25133" s="336"/>
    </row>
    <row r="25134" spans="84:91" s="51" customFormat="1">
      <c r="CF25134" s="239"/>
      <c r="CM25134" s="336"/>
    </row>
    <row r="25135" spans="84:91" s="51" customFormat="1">
      <c r="CF25135" s="239"/>
      <c r="CM25135" s="336"/>
    </row>
    <row r="25136" spans="84:91" s="51" customFormat="1">
      <c r="CF25136" s="239"/>
      <c r="CM25136" s="336"/>
    </row>
    <row r="25137" spans="84:91" s="51" customFormat="1">
      <c r="CF25137" s="239"/>
      <c r="CM25137" s="336"/>
    </row>
    <row r="25138" spans="84:91" s="51" customFormat="1">
      <c r="CF25138" s="239"/>
      <c r="CM25138" s="336"/>
    </row>
    <row r="25139" spans="84:91" s="51" customFormat="1">
      <c r="CF25139" s="239"/>
      <c r="CM25139" s="336"/>
    </row>
    <row r="25140" spans="84:91" s="51" customFormat="1">
      <c r="CF25140" s="239"/>
      <c r="CM25140" s="336"/>
    </row>
    <row r="25141" spans="84:91" s="51" customFormat="1">
      <c r="CF25141" s="239"/>
      <c r="CM25141" s="336"/>
    </row>
    <row r="25142" spans="84:91" s="51" customFormat="1">
      <c r="CF25142" s="239"/>
      <c r="CM25142" s="336"/>
    </row>
    <row r="25143" spans="84:91" s="51" customFormat="1">
      <c r="CF25143" s="239"/>
      <c r="CM25143" s="336"/>
    </row>
    <row r="25144" spans="84:91" s="51" customFormat="1">
      <c r="CF25144" s="239"/>
      <c r="CM25144" s="336"/>
    </row>
    <row r="25145" spans="84:91" s="51" customFormat="1">
      <c r="CF25145" s="239"/>
      <c r="CM25145" s="336"/>
    </row>
    <row r="25146" spans="84:91" s="51" customFormat="1">
      <c r="CF25146" s="239"/>
      <c r="CM25146" s="336"/>
    </row>
    <row r="25147" spans="84:91" s="51" customFormat="1">
      <c r="CF25147" s="239"/>
      <c r="CM25147" s="336"/>
    </row>
    <row r="25148" spans="84:91" s="51" customFormat="1">
      <c r="CF25148" s="239"/>
      <c r="CM25148" s="336"/>
    </row>
    <row r="25149" spans="84:91" s="51" customFormat="1">
      <c r="CF25149" s="239"/>
      <c r="CM25149" s="336"/>
    </row>
    <row r="25150" spans="84:91" s="51" customFormat="1">
      <c r="CF25150" s="239"/>
      <c r="CM25150" s="336"/>
    </row>
    <row r="25151" spans="84:91" s="51" customFormat="1">
      <c r="CF25151" s="239"/>
      <c r="CM25151" s="336"/>
    </row>
    <row r="25152" spans="84:91" s="51" customFormat="1">
      <c r="CF25152" s="239"/>
      <c r="CM25152" s="336"/>
    </row>
    <row r="25153" spans="84:91" s="51" customFormat="1">
      <c r="CF25153" s="239"/>
      <c r="CM25153" s="336"/>
    </row>
    <row r="25154" spans="84:91" s="51" customFormat="1">
      <c r="CF25154" s="239"/>
      <c r="CM25154" s="336"/>
    </row>
    <row r="25155" spans="84:91" s="51" customFormat="1">
      <c r="CF25155" s="239"/>
      <c r="CM25155" s="336"/>
    </row>
    <row r="25156" spans="84:91" s="51" customFormat="1">
      <c r="CF25156" s="239"/>
      <c r="CM25156" s="336"/>
    </row>
    <row r="25157" spans="84:91" s="51" customFormat="1">
      <c r="CF25157" s="239"/>
      <c r="CM25157" s="336"/>
    </row>
    <row r="25158" spans="84:91" s="51" customFormat="1">
      <c r="CF25158" s="239"/>
      <c r="CM25158" s="336"/>
    </row>
    <row r="25159" spans="84:91" s="51" customFormat="1">
      <c r="CF25159" s="239"/>
      <c r="CM25159" s="336"/>
    </row>
    <row r="25160" spans="84:91" s="51" customFormat="1">
      <c r="CF25160" s="239"/>
      <c r="CM25160" s="336"/>
    </row>
    <row r="25161" spans="84:91" s="51" customFormat="1">
      <c r="CF25161" s="239"/>
      <c r="CM25161" s="336"/>
    </row>
    <row r="25162" spans="84:91" s="51" customFormat="1">
      <c r="CF25162" s="239"/>
      <c r="CM25162" s="336"/>
    </row>
    <row r="25163" spans="84:91" s="51" customFormat="1">
      <c r="CF25163" s="239"/>
      <c r="CM25163" s="336"/>
    </row>
    <row r="25164" spans="84:91" s="51" customFormat="1">
      <c r="CF25164" s="239"/>
      <c r="CM25164" s="336"/>
    </row>
    <row r="25165" spans="84:91" s="51" customFormat="1">
      <c r="CF25165" s="239"/>
      <c r="CM25165" s="336"/>
    </row>
    <row r="25166" spans="84:91" s="51" customFormat="1">
      <c r="CF25166" s="239"/>
      <c r="CM25166" s="336"/>
    </row>
    <row r="25167" spans="84:91" s="51" customFormat="1">
      <c r="CF25167" s="239"/>
      <c r="CM25167" s="336"/>
    </row>
    <row r="25168" spans="84:91" s="51" customFormat="1">
      <c r="CF25168" s="239"/>
      <c r="CM25168" s="336"/>
    </row>
    <row r="25169" spans="84:91" s="51" customFormat="1">
      <c r="CF25169" s="239"/>
      <c r="CM25169" s="336"/>
    </row>
    <row r="25170" spans="84:91" s="51" customFormat="1">
      <c r="CF25170" s="239"/>
      <c r="CM25170" s="336"/>
    </row>
    <row r="25171" spans="84:91" s="51" customFormat="1">
      <c r="CF25171" s="239"/>
      <c r="CM25171" s="336"/>
    </row>
    <row r="25172" spans="84:91" s="51" customFormat="1">
      <c r="CF25172" s="239"/>
      <c r="CM25172" s="336"/>
    </row>
    <row r="25173" spans="84:91" s="51" customFormat="1">
      <c r="CF25173" s="239"/>
      <c r="CM25173" s="336"/>
    </row>
    <row r="25174" spans="84:91" s="51" customFormat="1">
      <c r="CF25174" s="239"/>
      <c r="CM25174" s="336"/>
    </row>
    <row r="25175" spans="84:91" s="51" customFormat="1">
      <c r="CF25175" s="239"/>
      <c r="CM25175" s="336"/>
    </row>
    <row r="25176" spans="84:91" s="51" customFormat="1">
      <c r="CF25176" s="239"/>
      <c r="CM25176" s="336"/>
    </row>
    <row r="25177" spans="84:91" s="51" customFormat="1">
      <c r="CF25177" s="239"/>
      <c r="CM25177" s="336"/>
    </row>
    <row r="25178" spans="84:91" s="51" customFormat="1">
      <c r="CF25178" s="239"/>
      <c r="CM25178" s="336"/>
    </row>
    <row r="25179" spans="84:91" s="51" customFormat="1">
      <c r="CF25179" s="239"/>
      <c r="CM25179" s="336"/>
    </row>
    <row r="25180" spans="84:91" s="51" customFormat="1">
      <c r="CF25180" s="239"/>
      <c r="CM25180" s="336"/>
    </row>
    <row r="25181" spans="84:91" s="51" customFormat="1">
      <c r="CF25181" s="239"/>
      <c r="CM25181" s="336"/>
    </row>
    <row r="25182" spans="84:91" s="51" customFormat="1">
      <c r="CF25182" s="239"/>
      <c r="CM25182" s="336"/>
    </row>
    <row r="25183" spans="84:91" s="51" customFormat="1">
      <c r="CF25183" s="239"/>
      <c r="CM25183" s="336"/>
    </row>
    <row r="25184" spans="84:91" s="51" customFormat="1">
      <c r="CF25184" s="239"/>
      <c r="CM25184" s="336"/>
    </row>
    <row r="25185" spans="84:91" s="51" customFormat="1">
      <c r="CF25185" s="239"/>
      <c r="CM25185" s="336"/>
    </row>
    <row r="25186" spans="84:91" s="51" customFormat="1">
      <c r="CF25186" s="239"/>
      <c r="CM25186" s="336"/>
    </row>
    <row r="25187" spans="84:91" s="51" customFormat="1">
      <c r="CF25187" s="239"/>
      <c r="CM25187" s="336"/>
    </row>
    <row r="25188" spans="84:91" s="51" customFormat="1">
      <c r="CF25188" s="239"/>
      <c r="CM25188" s="336"/>
    </row>
    <row r="25189" spans="84:91" s="51" customFormat="1">
      <c r="CF25189" s="239"/>
      <c r="CM25189" s="336"/>
    </row>
    <row r="25190" spans="84:91" s="51" customFormat="1">
      <c r="CF25190" s="239"/>
      <c r="CM25190" s="336"/>
    </row>
    <row r="25191" spans="84:91" s="51" customFormat="1">
      <c r="CF25191" s="239"/>
      <c r="CM25191" s="336"/>
    </row>
    <row r="25192" spans="84:91" s="51" customFormat="1">
      <c r="CF25192" s="239"/>
      <c r="CM25192" s="336"/>
    </row>
    <row r="25193" spans="84:91" s="51" customFormat="1">
      <c r="CF25193" s="239"/>
      <c r="CM25193" s="336"/>
    </row>
    <row r="25194" spans="84:91" s="51" customFormat="1">
      <c r="CF25194" s="239"/>
      <c r="CM25194" s="336"/>
    </row>
    <row r="25195" spans="84:91" s="51" customFormat="1">
      <c r="CF25195" s="239"/>
      <c r="CM25195" s="336"/>
    </row>
    <row r="25196" spans="84:91" s="51" customFormat="1">
      <c r="CF25196" s="239"/>
      <c r="CM25196" s="336"/>
    </row>
    <row r="25197" spans="84:91" s="51" customFormat="1">
      <c r="CF25197" s="239"/>
      <c r="CM25197" s="336"/>
    </row>
    <row r="25198" spans="84:91" s="51" customFormat="1">
      <c r="CF25198" s="239"/>
      <c r="CM25198" s="336"/>
    </row>
    <row r="25199" spans="84:91" s="51" customFormat="1">
      <c r="CF25199" s="239"/>
      <c r="CM25199" s="336"/>
    </row>
    <row r="25200" spans="84:91" s="51" customFormat="1">
      <c r="CF25200" s="239"/>
      <c r="CM25200" s="336"/>
    </row>
    <row r="25201" spans="84:91" s="51" customFormat="1">
      <c r="CF25201" s="239"/>
      <c r="CM25201" s="336"/>
    </row>
    <row r="25202" spans="84:91" s="51" customFormat="1">
      <c r="CF25202" s="239"/>
      <c r="CM25202" s="336"/>
    </row>
    <row r="25203" spans="84:91" s="51" customFormat="1">
      <c r="CF25203" s="239"/>
      <c r="CM25203" s="336"/>
    </row>
    <row r="25204" spans="84:91" s="51" customFormat="1">
      <c r="CF25204" s="239"/>
      <c r="CM25204" s="336"/>
    </row>
    <row r="25205" spans="84:91" s="51" customFormat="1">
      <c r="CF25205" s="239"/>
      <c r="CM25205" s="336"/>
    </row>
    <row r="25206" spans="84:91" s="51" customFormat="1">
      <c r="CF25206" s="239"/>
      <c r="CM25206" s="336"/>
    </row>
    <row r="25207" spans="84:91" s="51" customFormat="1">
      <c r="CF25207" s="239"/>
      <c r="CM25207" s="336"/>
    </row>
    <row r="25208" spans="84:91" s="51" customFormat="1">
      <c r="CF25208" s="239"/>
      <c r="CM25208" s="336"/>
    </row>
    <row r="25209" spans="84:91" s="51" customFormat="1">
      <c r="CF25209" s="239"/>
      <c r="CM25209" s="336"/>
    </row>
    <row r="25210" spans="84:91" s="51" customFormat="1">
      <c r="CF25210" s="239"/>
      <c r="CM25210" s="336"/>
    </row>
    <row r="25211" spans="84:91" s="51" customFormat="1">
      <c r="CF25211" s="239"/>
      <c r="CM25211" s="336"/>
    </row>
    <row r="25212" spans="84:91" s="51" customFormat="1">
      <c r="CF25212" s="239"/>
      <c r="CM25212" s="336"/>
    </row>
    <row r="25213" spans="84:91" s="51" customFormat="1">
      <c r="CF25213" s="239"/>
      <c r="CM25213" s="336"/>
    </row>
    <row r="25214" spans="84:91" s="51" customFormat="1">
      <c r="CF25214" s="239"/>
      <c r="CM25214" s="336"/>
    </row>
    <row r="25215" spans="84:91" s="51" customFormat="1">
      <c r="CF25215" s="239"/>
      <c r="CM25215" s="336"/>
    </row>
    <row r="25216" spans="84:91" s="51" customFormat="1">
      <c r="CF25216" s="239"/>
      <c r="CM25216" s="336"/>
    </row>
    <row r="25217" spans="84:91" s="51" customFormat="1">
      <c r="CF25217" s="239"/>
      <c r="CM25217" s="336"/>
    </row>
    <row r="25218" spans="84:91" s="51" customFormat="1">
      <c r="CF25218" s="239"/>
      <c r="CM25218" s="336"/>
    </row>
    <row r="25219" spans="84:91" s="51" customFormat="1">
      <c r="CF25219" s="239"/>
      <c r="CM25219" s="336"/>
    </row>
    <row r="25220" spans="84:91" s="51" customFormat="1">
      <c r="CF25220" s="239"/>
      <c r="CM25220" s="336"/>
    </row>
    <row r="25221" spans="84:91" s="51" customFormat="1">
      <c r="CF25221" s="239"/>
      <c r="CM25221" s="336"/>
    </row>
    <row r="25222" spans="84:91" s="51" customFormat="1">
      <c r="CF25222" s="239"/>
      <c r="CM25222" s="336"/>
    </row>
    <row r="25223" spans="84:91" s="51" customFormat="1">
      <c r="CF25223" s="239"/>
      <c r="CM25223" s="336"/>
    </row>
    <row r="25224" spans="84:91" s="51" customFormat="1">
      <c r="CF25224" s="239"/>
      <c r="CM25224" s="336"/>
    </row>
    <row r="25225" spans="84:91" s="51" customFormat="1">
      <c r="CF25225" s="239"/>
      <c r="CM25225" s="336"/>
    </row>
    <row r="25226" spans="84:91" s="51" customFormat="1">
      <c r="CF25226" s="239"/>
      <c r="CM25226" s="336"/>
    </row>
    <row r="25227" spans="84:91" s="51" customFormat="1">
      <c r="CF25227" s="239"/>
      <c r="CM25227" s="336"/>
    </row>
    <row r="25228" spans="84:91" s="51" customFormat="1">
      <c r="CF25228" s="239"/>
      <c r="CM25228" s="336"/>
    </row>
    <row r="25229" spans="84:91" s="51" customFormat="1">
      <c r="CF25229" s="239"/>
      <c r="CM25229" s="336"/>
    </row>
    <row r="25230" spans="84:91" s="51" customFormat="1">
      <c r="CF25230" s="239"/>
      <c r="CM25230" s="336"/>
    </row>
    <row r="25231" spans="84:91" s="51" customFormat="1">
      <c r="CF25231" s="239"/>
      <c r="CM25231" s="336"/>
    </row>
    <row r="25232" spans="84:91" s="51" customFormat="1">
      <c r="CF25232" s="239"/>
      <c r="CM25232" s="336"/>
    </row>
    <row r="25233" spans="84:91" s="51" customFormat="1">
      <c r="CF25233" s="239"/>
      <c r="CM25233" s="336"/>
    </row>
    <row r="25234" spans="84:91" s="51" customFormat="1">
      <c r="CF25234" s="239"/>
      <c r="CM25234" s="336"/>
    </row>
    <row r="25235" spans="84:91" s="51" customFormat="1">
      <c r="CF25235" s="239"/>
      <c r="CM25235" s="336"/>
    </row>
    <row r="25236" spans="84:91" s="51" customFormat="1">
      <c r="CF25236" s="239"/>
      <c r="CM25236" s="336"/>
    </row>
    <row r="25237" spans="84:91" s="51" customFormat="1">
      <c r="CF25237" s="239"/>
      <c r="CM25237" s="336"/>
    </row>
    <row r="25238" spans="84:91" s="51" customFormat="1">
      <c r="CF25238" s="239"/>
      <c r="CM25238" s="336"/>
    </row>
    <row r="25239" spans="84:91" s="51" customFormat="1">
      <c r="CF25239" s="239"/>
      <c r="CM25239" s="336"/>
    </row>
    <row r="25240" spans="84:91" s="51" customFormat="1">
      <c r="CF25240" s="239"/>
      <c r="CM25240" s="336"/>
    </row>
    <row r="25241" spans="84:91" s="51" customFormat="1">
      <c r="CF25241" s="239"/>
      <c r="CM25241" s="336"/>
    </row>
    <row r="25242" spans="84:91" s="51" customFormat="1">
      <c r="CF25242" s="239"/>
      <c r="CM25242" s="336"/>
    </row>
    <row r="25243" spans="84:91" s="51" customFormat="1">
      <c r="CF25243" s="239"/>
      <c r="CM25243" s="336"/>
    </row>
    <row r="25244" spans="84:91" s="51" customFormat="1">
      <c r="CF25244" s="239"/>
      <c r="CM25244" s="336"/>
    </row>
    <row r="25245" spans="84:91" s="51" customFormat="1">
      <c r="CF25245" s="239"/>
      <c r="CM25245" s="336"/>
    </row>
    <row r="25246" spans="84:91" s="51" customFormat="1">
      <c r="CF25246" s="239"/>
      <c r="CM25246" s="336"/>
    </row>
    <row r="25247" spans="84:91" s="51" customFormat="1">
      <c r="CF25247" s="239"/>
      <c r="CM25247" s="336"/>
    </row>
    <row r="25248" spans="84:91" s="51" customFormat="1">
      <c r="CF25248" s="239"/>
      <c r="CM25248" s="336"/>
    </row>
    <row r="25249" spans="84:91" s="51" customFormat="1">
      <c r="CF25249" s="239"/>
      <c r="CM25249" s="336"/>
    </row>
    <row r="25250" spans="84:91" s="51" customFormat="1">
      <c r="CF25250" s="239"/>
      <c r="CM25250" s="336"/>
    </row>
    <row r="25251" spans="84:91" s="51" customFormat="1">
      <c r="CF25251" s="239"/>
      <c r="CM25251" s="336"/>
    </row>
    <row r="25252" spans="84:91" s="51" customFormat="1">
      <c r="CF25252" s="239"/>
      <c r="CM25252" s="336"/>
    </row>
    <row r="25253" spans="84:91" s="51" customFormat="1">
      <c r="CF25253" s="239"/>
      <c r="CM25253" s="336"/>
    </row>
    <row r="25254" spans="84:91" s="51" customFormat="1">
      <c r="CF25254" s="239"/>
      <c r="CM25254" s="336"/>
    </row>
    <row r="25255" spans="84:91" s="51" customFormat="1">
      <c r="CF25255" s="239"/>
      <c r="CM25255" s="336"/>
    </row>
    <row r="25256" spans="84:91" s="51" customFormat="1">
      <c r="CF25256" s="239"/>
      <c r="CM25256" s="336"/>
    </row>
    <row r="25257" spans="84:91" s="51" customFormat="1">
      <c r="CF25257" s="239"/>
      <c r="CM25257" s="336"/>
    </row>
    <row r="25258" spans="84:91" s="51" customFormat="1">
      <c r="CF25258" s="239"/>
      <c r="CM25258" s="336"/>
    </row>
    <row r="25259" spans="84:91" s="51" customFormat="1">
      <c r="CF25259" s="239"/>
      <c r="CM25259" s="336"/>
    </row>
    <row r="25260" spans="84:91" s="51" customFormat="1">
      <c r="CF25260" s="239"/>
      <c r="CM25260" s="336"/>
    </row>
    <row r="25261" spans="84:91" s="51" customFormat="1">
      <c r="CF25261" s="239"/>
      <c r="CM25261" s="336"/>
    </row>
    <row r="25262" spans="84:91" s="51" customFormat="1">
      <c r="CF25262" s="239"/>
      <c r="CM25262" s="336"/>
    </row>
    <row r="25263" spans="84:91" s="51" customFormat="1">
      <c r="CF25263" s="239"/>
      <c r="CM25263" s="336"/>
    </row>
    <row r="25264" spans="84:91" s="51" customFormat="1">
      <c r="CF25264" s="239"/>
      <c r="CM25264" s="336"/>
    </row>
    <row r="25265" spans="84:91" s="51" customFormat="1">
      <c r="CF25265" s="239"/>
      <c r="CM25265" s="336"/>
    </row>
    <row r="25266" spans="84:91" s="51" customFormat="1">
      <c r="CF25266" s="239"/>
      <c r="CM25266" s="336"/>
    </row>
    <row r="25267" spans="84:91" s="51" customFormat="1">
      <c r="CF25267" s="239"/>
      <c r="CM25267" s="336"/>
    </row>
    <row r="25268" spans="84:91" s="51" customFormat="1">
      <c r="CF25268" s="239"/>
      <c r="CM25268" s="336"/>
    </row>
    <row r="25269" spans="84:91" s="51" customFormat="1">
      <c r="CF25269" s="239"/>
      <c r="CM25269" s="336"/>
    </row>
    <row r="25270" spans="84:91" s="51" customFormat="1">
      <c r="CF25270" s="239"/>
      <c r="CM25270" s="336"/>
    </row>
    <row r="25271" spans="84:91" s="51" customFormat="1">
      <c r="CF25271" s="239"/>
      <c r="CM25271" s="336"/>
    </row>
    <row r="25272" spans="84:91" s="51" customFormat="1">
      <c r="CF25272" s="239"/>
      <c r="CM25272" s="336"/>
    </row>
    <row r="25273" spans="84:91" s="51" customFormat="1">
      <c r="CF25273" s="239"/>
      <c r="CM25273" s="336"/>
    </row>
    <row r="25274" spans="84:91" s="51" customFormat="1">
      <c r="CF25274" s="239"/>
      <c r="CM25274" s="336"/>
    </row>
    <row r="25275" spans="84:91" s="51" customFormat="1">
      <c r="CF25275" s="239"/>
      <c r="CM25275" s="336"/>
    </row>
    <row r="25276" spans="84:91" s="51" customFormat="1">
      <c r="CF25276" s="239"/>
      <c r="CM25276" s="336"/>
    </row>
    <row r="25277" spans="84:91" s="51" customFormat="1">
      <c r="CF25277" s="239"/>
      <c r="CM25277" s="336"/>
    </row>
    <row r="25278" spans="84:91" s="51" customFormat="1">
      <c r="CF25278" s="239"/>
      <c r="CM25278" s="336"/>
    </row>
    <row r="25279" spans="84:91" s="51" customFormat="1">
      <c r="CF25279" s="239"/>
      <c r="CM25279" s="336"/>
    </row>
    <row r="25280" spans="84:91" s="51" customFormat="1">
      <c r="CF25280" s="239"/>
      <c r="CM25280" s="336"/>
    </row>
    <row r="25281" spans="84:91" s="51" customFormat="1">
      <c r="CF25281" s="239"/>
      <c r="CM25281" s="336"/>
    </row>
    <row r="25282" spans="84:91" s="51" customFormat="1">
      <c r="CF25282" s="239"/>
      <c r="CM25282" s="336"/>
    </row>
    <row r="25283" spans="84:91" s="51" customFormat="1">
      <c r="CF25283" s="239"/>
      <c r="CM25283" s="336"/>
    </row>
    <row r="25284" spans="84:91" s="51" customFormat="1">
      <c r="CF25284" s="239"/>
      <c r="CM25284" s="336"/>
    </row>
    <row r="25285" spans="84:91" s="51" customFormat="1">
      <c r="CF25285" s="239"/>
      <c r="CM25285" s="336"/>
    </row>
    <row r="25286" spans="84:91" s="51" customFormat="1">
      <c r="CF25286" s="239"/>
      <c r="CM25286" s="336"/>
    </row>
    <row r="25287" spans="84:91" s="51" customFormat="1">
      <c r="CF25287" s="239"/>
      <c r="CM25287" s="336"/>
    </row>
    <row r="25288" spans="84:91" s="51" customFormat="1">
      <c r="CF25288" s="239"/>
      <c r="CM25288" s="336"/>
    </row>
    <row r="25289" spans="84:91" s="51" customFormat="1">
      <c r="CF25289" s="239"/>
      <c r="CM25289" s="336"/>
    </row>
    <row r="25290" spans="84:91" s="51" customFormat="1">
      <c r="CF25290" s="239"/>
      <c r="CM25290" s="336"/>
    </row>
    <row r="25291" spans="84:91" s="51" customFormat="1">
      <c r="CF25291" s="239"/>
      <c r="CM25291" s="336"/>
    </row>
    <row r="25292" spans="84:91" s="51" customFormat="1">
      <c r="CF25292" s="239"/>
      <c r="CM25292" s="336"/>
    </row>
    <row r="25293" spans="84:91" s="51" customFormat="1">
      <c r="CF25293" s="239"/>
      <c r="CM25293" s="336"/>
    </row>
    <row r="25294" spans="84:91" s="51" customFormat="1">
      <c r="CF25294" s="239"/>
      <c r="CM25294" s="336"/>
    </row>
    <row r="25295" spans="84:91" s="51" customFormat="1">
      <c r="CF25295" s="239"/>
      <c r="CM25295" s="336"/>
    </row>
    <row r="25296" spans="84:91" s="51" customFormat="1">
      <c r="CF25296" s="239"/>
      <c r="CM25296" s="336"/>
    </row>
    <row r="25297" spans="84:91" s="51" customFormat="1">
      <c r="CF25297" s="239"/>
      <c r="CM25297" s="336"/>
    </row>
    <row r="25298" spans="84:91" s="51" customFormat="1">
      <c r="CF25298" s="239"/>
      <c r="CM25298" s="336"/>
    </row>
    <row r="25299" spans="84:91" s="51" customFormat="1">
      <c r="CF25299" s="239"/>
      <c r="CM25299" s="336"/>
    </row>
    <row r="25300" spans="84:91" s="51" customFormat="1">
      <c r="CF25300" s="239"/>
      <c r="CM25300" s="336"/>
    </row>
    <row r="25301" spans="84:91" s="51" customFormat="1">
      <c r="CF25301" s="239"/>
      <c r="CM25301" s="336"/>
    </row>
    <row r="25302" spans="84:91" s="51" customFormat="1">
      <c r="CF25302" s="239"/>
      <c r="CM25302" s="336"/>
    </row>
    <row r="25303" spans="84:91" s="51" customFormat="1">
      <c r="CF25303" s="239"/>
      <c r="CM25303" s="336"/>
    </row>
    <row r="25304" spans="84:91" s="51" customFormat="1">
      <c r="CF25304" s="239"/>
      <c r="CM25304" s="336"/>
    </row>
    <row r="25305" spans="84:91" s="51" customFormat="1">
      <c r="CF25305" s="239"/>
      <c r="CM25305" s="336"/>
    </row>
    <row r="25306" spans="84:91" s="51" customFormat="1">
      <c r="CF25306" s="239"/>
      <c r="CM25306" s="336"/>
    </row>
    <row r="25307" spans="84:91" s="51" customFormat="1">
      <c r="CF25307" s="239"/>
      <c r="CM25307" s="336"/>
    </row>
    <row r="25308" spans="84:91" s="51" customFormat="1">
      <c r="CF25308" s="239"/>
      <c r="CM25308" s="336"/>
    </row>
    <row r="25309" spans="84:91" s="51" customFormat="1">
      <c r="CF25309" s="239"/>
      <c r="CM25309" s="336"/>
    </row>
    <row r="25310" spans="84:91" s="51" customFormat="1">
      <c r="CF25310" s="239"/>
      <c r="CM25310" s="336"/>
    </row>
    <row r="25311" spans="84:91" s="51" customFormat="1">
      <c r="CF25311" s="239"/>
      <c r="CM25311" s="336"/>
    </row>
    <row r="25312" spans="84:91" s="51" customFormat="1">
      <c r="CF25312" s="239"/>
      <c r="CM25312" s="336"/>
    </row>
    <row r="25313" spans="84:91" s="51" customFormat="1">
      <c r="CF25313" s="239"/>
      <c r="CM25313" s="336"/>
    </row>
    <row r="25314" spans="84:91" s="51" customFormat="1">
      <c r="CF25314" s="239"/>
      <c r="CM25314" s="336"/>
    </row>
    <row r="25315" spans="84:91" s="51" customFormat="1">
      <c r="CF25315" s="239"/>
      <c r="CM25315" s="336"/>
    </row>
    <row r="25316" spans="84:91" s="51" customFormat="1">
      <c r="CF25316" s="239"/>
      <c r="CM25316" s="336"/>
    </row>
    <row r="25317" spans="84:91" s="51" customFormat="1">
      <c r="CF25317" s="239"/>
      <c r="CM25317" s="336"/>
    </row>
    <row r="25318" spans="84:91" s="51" customFormat="1">
      <c r="CF25318" s="239"/>
      <c r="CM25318" s="336"/>
    </row>
    <row r="25319" spans="84:91" s="51" customFormat="1">
      <c r="CF25319" s="239"/>
      <c r="CM25319" s="336"/>
    </row>
    <row r="25320" spans="84:91" s="51" customFormat="1">
      <c r="CF25320" s="239"/>
      <c r="CM25320" s="336"/>
    </row>
    <row r="25321" spans="84:91" s="51" customFormat="1">
      <c r="CF25321" s="239"/>
      <c r="CM25321" s="336"/>
    </row>
    <row r="25322" spans="84:91" s="51" customFormat="1">
      <c r="CF25322" s="239"/>
      <c r="CM25322" s="336"/>
    </row>
    <row r="25323" spans="84:91" s="51" customFormat="1">
      <c r="CF25323" s="239"/>
      <c r="CM25323" s="336"/>
    </row>
    <row r="25324" spans="84:91" s="51" customFormat="1">
      <c r="CF25324" s="239"/>
      <c r="CM25324" s="336"/>
    </row>
    <row r="25325" spans="84:91" s="51" customFormat="1">
      <c r="CF25325" s="239"/>
      <c r="CM25325" s="336"/>
    </row>
    <row r="25326" spans="84:91" s="51" customFormat="1">
      <c r="CF25326" s="239"/>
      <c r="CM25326" s="336"/>
    </row>
    <row r="25327" spans="84:91" s="51" customFormat="1">
      <c r="CF25327" s="239"/>
      <c r="CM25327" s="336"/>
    </row>
    <row r="25328" spans="84:91" s="51" customFormat="1">
      <c r="CF25328" s="239"/>
      <c r="CM25328" s="336"/>
    </row>
    <row r="25329" spans="84:91" s="51" customFormat="1">
      <c r="CF25329" s="239"/>
      <c r="CM25329" s="336"/>
    </row>
    <row r="25330" spans="84:91" s="51" customFormat="1">
      <c r="CF25330" s="239"/>
      <c r="CM25330" s="336"/>
    </row>
    <row r="25331" spans="84:91" s="51" customFormat="1">
      <c r="CF25331" s="239"/>
      <c r="CM25331" s="336"/>
    </row>
    <row r="25332" spans="84:91" s="51" customFormat="1">
      <c r="CF25332" s="239"/>
      <c r="CM25332" s="336"/>
    </row>
    <row r="25333" spans="84:91" s="51" customFormat="1">
      <c r="CF25333" s="239"/>
      <c r="CM25333" s="336"/>
    </row>
    <row r="25334" spans="84:91" s="51" customFormat="1">
      <c r="CF25334" s="239"/>
      <c r="CM25334" s="336"/>
    </row>
    <row r="25335" spans="84:91" s="51" customFormat="1">
      <c r="CF25335" s="239"/>
      <c r="CM25335" s="336"/>
    </row>
    <row r="25336" spans="84:91" s="51" customFormat="1">
      <c r="CF25336" s="239"/>
      <c r="CM25336" s="336"/>
    </row>
    <row r="25337" spans="84:91" s="51" customFormat="1">
      <c r="CF25337" s="239"/>
      <c r="CM25337" s="336"/>
    </row>
    <row r="25338" spans="84:91" s="51" customFormat="1">
      <c r="CF25338" s="239"/>
      <c r="CM25338" s="336"/>
    </row>
    <row r="25339" spans="84:91" s="51" customFormat="1">
      <c r="CF25339" s="239"/>
      <c r="CM25339" s="336"/>
    </row>
    <row r="25340" spans="84:91" s="51" customFormat="1">
      <c r="CF25340" s="239"/>
      <c r="CM25340" s="336"/>
    </row>
    <row r="25341" spans="84:91" s="51" customFormat="1">
      <c r="CF25341" s="239"/>
      <c r="CM25341" s="336"/>
    </row>
    <row r="25342" spans="84:91" s="51" customFormat="1">
      <c r="CF25342" s="239"/>
      <c r="CM25342" s="336"/>
    </row>
    <row r="25343" spans="84:91" s="51" customFormat="1">
      <c r="CF25343" s="239"/>
      <c r="CM25343" s="336"/>
    </row>
    <row r="25344" spans="84:91" s="51" customFormat="1">
      <c r="CF25344" s="239"/>
      <c r="CM25344" s="336"/>
    </row>
    <row r="25345" spans="84:91" s="51" customFormat="1">
      <c r="CF25345" s="239"/>
      <c r="CM25345" s="336"/>
    </row>
    <row r="25346" spans="84:91" s="51" customFormat="1">
      <c r="CF25346" s="239"/>
      <c r="CM25346" s="336"/>
    </row>
    <row r="25347" spans="84:91" s="51" customFormat="1">
      <c r="CF25347" s="239"/>
      <c r="CM25347" s="336"/>
    </row>
    <row r="25348" spans="84:91" s="51" customFormat="1">
      <c r="CF25348" s="239"/>
      <c r="CM25348" s="336"/>
    </row>
    <row r="25349" spans="84:91" s="51" customFormat="1">
      <c r="CF25349" s="239"/>
      <c r="CM25349" s="336"/>
    </row>
    <row r="25350" spans="84:91" s="51" customFormat="1">
      <c r="CF25350" s="239"/>
      <c r="CM25350" s="336"/>
    </row>
    <row r="25351" spans="84:91" s="51" customFormat="1">
      <c r="CF25351" s="239"/>
      <c r="CM25351" s="336"/>
    </row>
    <row r="25352" spans="84:91" s="51" customFormat="1">
      <c r="CF25352" s="239"/>
      <c r="CM25352" s="336"/>
    </row>
    <row r="25353" spans="84:91" s="51" customFormat="1">
      <c r="CF25353" s="239"/>
      <c r="CM25353" s="336"/>
    </row>
    <row r="25354" spans="84:91" s="51" customFormat="1">
      <c r="CF25354" s="239"/>
      <c r="CM25354" s="336"/>
    </row>
    <row r="25355" spans="84:91" s="51" customFormat="1">
      <c r="CF25355" s="239"/>
      <c r="CM25355" s="336"/>
    </row>
    <row r="25356" spans="84:91" s="51" customFormat="1">
      <c r="CF25356" s="239"/>
      <c r="CM25356" s="336"/>
    </row>
    <row r="25357" spans="84:91" s="51" customFormat="1">
      <c r="CF25357" s="239"/>
      <c r="CM25357" s="336"/>
    </row>
    <row r="25358" spans="84:91" s="51" customFormat="1">
      <c r="CF25358" s="239"/>
      <c r="CM25358" s="336"/>
    </row>
    <row r="25359" spans="84:91" s="51" customFormat="1">
      <c r="CF25359" s="239"/>
      <c r="CM25359" s="336"/>
    </row>
    <row r="25360" spans="84:91" s="51" customFormat="1">
      <c r="CF25360" s="239"/>
      <c r="CM25360" s="336"/>
    </row>
    <row r="25361" spans="84:91" s="51" customFormat="1">
      <c r="CF25361" s="239"/>
      <c r="CM25361" s="336"/>
    </row>
    <row r="25362" spans="84:91" s="51" customFormat="1">
      <c r="CF25362" s="239"/>
      <c r="CM25362" s="336"/>
    </row>
    <row r="25363" spans="84:91" s="51" customFormat="1">
      <c r="CF25363" s="239"/>
      <c r="CM25363" s="336"/>
    </row>
    <row r="25364" spans="84:91" s="51" customFormat="1">
      <c r="CF25364" s="239"/>
      <c r="CM25364" s="336"/>
    </row>
    <row r="25365" spans="84:91" s="51" customFormat="1">
      <c r="CF25365" s="239"/>
      <c r="CM25365" s="336"/>
    </row>
    <row r="25366" spans="84:91" s="51" customFormat="1">
      <c r="CF25366" s="239"/>
      <c r="CM25366" s="336"/>
    </row>
    <row r="25367" spans="84:91" s="51" customFormat="1">
      <c r="CF25367" s="239"/>
      <c r="CM25367" s="336"/>
    </row>
    <row r="25368" spans="84:91" s="51" customFormat="1">
      <c r="CF25368" s="239"/>
      <c r="CM25368" s="336"/>
    </row>
    <row r="25369" spans="84:91" s="51" customFormat="1">
      <c r="CF25369" s="239"/>
      <c r="CM25369" s="336"/>
    </row>
    <row r="25370" spans="84:91" s="51" customFormat="1">
      <c r="CF25370" s="239"/>
      <c r="CM25370" s="336"/>
    </row>
    <row r="25371" spans="84:91" s="51" customFormat="1">
      <c r="CF25371" s="239"/>
      <c r="CM25371" s="336"/>
    </row>
    <row r="25372" spans="84:91" s="51" customFormat="1">
      <c r="CF25372" s="239"/>
      <c r="CM25372" s="336"/>
    </row>
    <row r="25373" spans="84:91" s="51" customFormat="1">
      <c r="CF25373" s="239"/>
      <c r="CM25373" s="336"/>
    </row>
    <row r="25374" spans="84:91" s="51" customFormat="1">
      <c r="CF25374" s="239"/>
      <c r="CM25374" s="336"/>
    </row>
    <row r="25375" spans="84:91" s="51" customFormat="1">
      <c r="CF25375" s="239"/>
      <c r="CM25375" s="336"/>
    </row>
    <row r="25376" spans="84:91" s="51" customFormat="1">
      <c r="CF25376" s="239"/>
      <c r="CM25376" s="336"/>
    </row>
    <row r="25377" spans="84:91" s="51" customFormat="1">
      <c r="CF25377" s="239"/>
      <c r="CM25377" s="336"/>
    </row>
    <row r="25378" spans="84:91" s="51" customFormat="1">
      <c r="CF25378" s="239"/>
      <c r="CM25378" s="336"/>
    </row>
    <row r="25379" spans="84:91" s="51" customFormat="1">
      <c r="CF25379" s="239"/>
      <c r="CM25379" s="336"/>
    </row>
    <row r="25380" spans="84:91" s="51" customFormat="1">
      <c r="CF25380" s="239"/>
      <c r="CM25380" s="336"/>
    </row>
    <row r="25381" spans="84:91" s="51" customFormat="1">
      <c r="CF25381" s="239"/>
      <c r="CM25381" s="336"/>
    </row>
    <row r="25382" spans="84:91" s="51" customFormat="1">
      <c r="CF25382" s="239"/>
      <c r="CM25382" s="336"/>
    </row>
    <row r="25383" spans="84:91" s="51" customFormat="1">
      <c r="CF25383" s="239"/>
      <c r="CM25383" s="336"/>
    </row>
    <row r="25384" spans="84:91" s="51" customFormat="1">
      <c r="CF25384" s="239"/>
      <c r="CM25384" s="336"/>
    </row>
    <row r="25385" spans="84:91" s="51" customFormat="1">
      <c r="CF25385" s="239"/>
      <c r="CM25385" s="336"/>
    </row>
    <row r="25386" spans="84:91" s="51" customFormat="1">
      <c r="CF25386" s="239"/>
      <c r="CM25386" s="336"/>
    </row>
    <row r="25387" spans="84:91" s="51" customFormat="1">
      <c r="CF25387" s="239"/>
      <c r="CM25387" s="336"/>
    </row>
    <row r="25388" spans="84:91" s="51" customFormat="1">
      <c r="CF25388" s="239"/>
      <c r="CM25388" s="336"/>
    </row>
    <row r="25389" spans="84:91" s="51" customFormat="1">
      <c r="CF25389" s="239"/>
      <c r="CM25389" s="336"/>
    </row>
    <row r="25390" spans="84:91" s="51" customFormat="1">
      <c r="CF25390" s="239"/>
      <c r="CM25390" s="336"/>
    </row>
    <row r="25391" spans="84:91" s="51" customFormat="1">
      <c r="CF25391" s="239"/>
      <c r="CM25391" s="336"/>
    </row>
    <row r="25392" spans="84:91" s="51" customFormat="1">
      <c r="CF25392" s="239"/>
      <c r="CM25392" s="336"/>
    </row>
    <row r="25393" spans="84:91" s="51" customFormat="1">
      <c r="CF25393" s="239"/>
      <c r="CM25393" s="336"/>
    </row>
    <row r="25394" spans="84:91" s="51" customFormat="1">
      <c r="CF25394" s="239"/>
      <c r="CM25394" s="336"/>
    </row>
    <row r="25395" spans="84:91" s="51" customFormat="1">
      <c r="CF25395" s="239"/>
      <c r="CM25395" s="336"/>
    </row>
    <row r="25396" spans="84:91" s="51" customFormat="1">
      <c r="CF25396" s="239"/>
      <c r="CM25396" s="336"/>
    </row>
    <row r="25397" spans="84:91" s="51" customFormat="1">
      <c r="CF25397" s="239"/>
      <c r="CM25397" s="336"/>
    </row>
    <row r="25398" spans="84:91" s="51" customFormat="1">
      <c r="CF25398" s="239"/>
      <c r="CM25398" s="336"/>
    </row>
    <row r="25399" spans="84:91" s="51" customFormat="1">
      <c r="CF25399" s="239"/>
      <c r="CM25399" s="336"/>
    </row>
    <row r="25400" spans="84:91" s="51" customFormat="1">
      <c r="CF25400" s="239"/>
      <c r="CM25400" s="336"/>
    </row>
    <row r="25401" spans="84:91" s="51" customFormat="1">
      <c r="CF25401" s="239"/>
      <c r="CM25401" s="336"/>
    </row>
    <row r="25402" spans="84:91" s="51" customFormat="1">
      <c r="CF25402" s="239"/>
      <c r="CM25402" s="336"/>
    </row>
    <row r="25403" spans="84:91" s="51" customFormat="1">
      <c r="CF25403" s="239"/>
      <c r="CM25403" s="336"/>
    </row>
    <row r="25404" spans="84:91" s="51" customFormat="1">
      <c r="CF25404" s="239"/>
      <c r="CM25404" s="336"/>
    </row>
    <row r="25405" spans="84:91" s="51" customFormat="1">
      <c r="CF25405" s="239"/>
      <c r="CM25405" s="336"/>
    </row>
    <row r="25406" spans="84:91" s="51" customFormat="1">
      <c r="CF25406" s="239"/>
      <c r="CM25406" s="336"/>
    </row>
    <row r="25407" spans="84:91" s="51" customFormat="1">
      <c r="CF25407" s="239"/>
      <c r="CM25407" s="336"/>
    </row>
    <row r="25408" spans="84:91" s="51" customFormat="1">
      <c r="CF25408" s="239"/>
      <c r="CM25408" s="336"/>
    </row>
    <row r="25409" spans="84:91" s="51" customFormat="1">
      <c r="CF25409" s="239"/>
      <c r="CM25409" s="336"/>
    </row>
    <row r="25410" spans="84:91" s="51" customFormat="1">
      <c r="CF25410" s="239"/>
      <c r="CM25410" s="336"/>
    </row>
    <row r="25411" spans="84:91" s="51" customFormat="1">
      <c r="CF25411" s="239"/>
      <c r="CM25411" s="336"/>
    </row>
    <row r="25412" spans="84:91" s="51" customFormat="1">
      <c r="CF25412" s="239"/>
      <c r="CM25412" s="336"/>
    </row>
    <row r="25413" spans="84:91" s="51" customFormat="1">
      <c r="CF25413" s="239"/>
      <c r="CM25413" s="336"/>
    </row>
    <row r="25414" spans="84:91" s="51" customFormat="1">
      <c r="CF25414" s="239"/>
      <c r="CM25414" s="336"/>
    </row>
    <row r="25415" spans="84:91" s="51" customFormat="1">
      <c r="CF25415" s="239"/>
      <c r="CM25415" s="336"/>
    </row>
    <row r="25416" spans="84:91" s="51" customFormat="1">
      <c r="CF25416" s="239"/>
      <c r="CM25416" s="336"/>
    </row>
    <row r="25417" spans="84:91" s="51" customFormat="1">
      <c r="CF25417" s="239"/>
      <c r="CM25417" s="336"/>
    </row>
    <row r="25418" spans="84:91" s="51" customFormat="1">
      <c r="CF25418" s="239"/>
      <c r="CM25418" s="336"/>
    </row>
    <row r="25419" spans="84:91" s="51" customFormat="1">
      <c r="CF25419" s="239"/>
      <c r="CM25419" s="336"/>
    </row>
    <row r="25420" spans="84:91" s="51" customFormat="1">
      <c r="CF25420" s="239"/>
      <c r="CM25420" s="336"/>
    </row>
    <row r="25421" spans="84:91" s="51" customFormat="1">
      <c r="CF25421" s="239"/>
      <c r="CM25421" s="336"/>
    </row>
    <row r="25422" spans="84:91" s="51" customFormat="1">
      <c r="CF25422" s="239"/>
      <c r="CM25422" s="336"/>
    </row>
    <row r="25423" spans="84:91" s="51" customFormat="1">
      <c r="CF25423" s="239"/>
      <c r="CM25423" s="336"/>
    </row>
    <row r="25424" spans="84:91" s="51" customFormat="1">
      <c r="CF25424" s="239"/>
      <c r="CM25424" s="336"/>
    </row>
    <row r="25425" spans="84:91" s="51" customFormat="1">
      <c r="CF25425" s="239"/>
      <c r="CM25425" s="336"/>
    </row>
    <row r="25426" spans="84:91" s="51" customFormat="1">
      <c r="CF25426" s="239"/>
      <c r="CM25426" s="336"/>
    </row>
    <row r="25427" spans="84:91" s="51" customFormat="1">
      <c r="CF25427" s="239"/>
      <c r="CM25427" s="336"/>
    </row>
    <row r="25428" spans="84:91" s="51" customFormat="1">
      <c r="CF25428" s="239"/>
      <c r="CM25428" s="336"/>
    </row>
    <row r="25429" spans="84:91" s="51" customFormat="1">
      <c r="CF25429" s="239"/>
      <c r="CM25429" s="336"/>
    </row>
    <row r="25430" spans="84:91" s="51" customFormat="1">
      <c r="CF25430" s="239"/>
      <c r="CM25430" s="336"/>
    </row>
    <row r="25431" spans="84:91" s="51" customFormat="1">
      <c r="CF25431" s="239"/>
      <c r="CM25431" s="336"/>
    </row>
    <row r="25432" spans="84:91" s="51" customFormat="1">
      <c r="CF25432" s="239"/>
      <c r="CM25432" s="336"/>
    </row>
    <row r="25433" spans="84:91" s="51" customFormat="1">
      <c r="CF25433" s="239"/>
      <c r="CM25433" s="336"/>
    </row>
    <row r="25434" spans="84:91" s="51" customFormat="1">
      <c r="CF25434" s="239"/>
      <c r="CM25434" s="336"/>
    </row>
    <row r="25435" spans="84:91" s="51" customFormat="1">
      <c r="CF25435" s="239"/>
      <c r="CM25435" s="336"/>
    </row>
    <row r="25436" spans="84:91" s="51" customFormat="1">
      <c r="CF25436" s="239"/>
      <c r="CM25436" s="336"/>
    </row>
    <row r="25437" spans="84:91" s="51" customFormat="1">
      <c r="CF25437" s="239"/>
      <c r="CM25437" s="336"/>
    </row>
    <row r="25438" spans="84:91" s="51" customFormat="1">
      <c r="CF25438" s="239"/>
      <c r="CM25438" s="336"/>
    </row>
    <row r="25439" spans="84:91" s="51" customFormat="1">
      <c r="CF25439" s="239"/>
      <c r="CM25439" s="336"/>
    </row>
    <row r="25440" spans="84:91" s="51" customFormat="1">
      <c r="CF25440" s="239"/>
      <c r="CM25440" s="336"/>
    </row>
    <row r="25441" spans="84:91" s="51" customFormat="1">
      <c r="CF25441" s="239"/>
      <c r="CM25441" s="336"/>
    </row>
    <row r="25442" spans="84:91" s="51" customFormat="1">
      <c r="CF25442" s="239"/>
      <c r="CM25442" s="336"/>
    </row>
    <row r="25443" spans="84:91" s="51" customFormat="1">
      <c r="CF25443" s="239"/>
      <c r="CM25443" s="336"/>
    </row>
    <row r="25444" spans="84:91" s="51" customFormat="1">
      <c r="CF25444" s="239"/>
      <c r="CM25444" s="336"/>
    </row>
    <row r="25445" spans="84:91" s="51" customFormat="1">
      <c r="CF25445" s="239"/>
      <c r="CM25445" s="336"/>
    </row>
    <row r="25446" spans="84:91" s="51" customFormat="1">
      <c r="CF25446" s="239"/>
      <c r="CM25446" s="336"/>
    </row>
    <row r="25447" spans="84:91" s="51" customFormat="1">
      <c r="CF25447" s="239"/>
      <c r="CM25447" s="336"/>
    </row>
    <row r="25448" spans="84:91" s="51" customFormat="1">
      <c r="CF25448" s="239"/>
      <c r="CM25448" s="336"/>
    </row>
    <row r="25449" spans="84:91" s="51" customFormat="1">
      <c r="CF25449" s="239"/>
      <c r="CM25449" s="336"/>
    </row>
    <row r="25450" spans="84:91" s="51" customFormat="1">
      <c r="CF25450" s="239"/>
      <c r="CM25450" s="336"/>
    </row>
    <row r="25451" spans="84:91" s="51" customFormat="1">
      <c r="CF25451" s="239"/>
      <c r="CM25451" s="336"/>
    </row>
    <row r="25452" spans="84:91" s="51" customFormat="1">
      <c r="CF25452" s="239"/>
      <c r="CM25452" s="336"/>
    </row>
    <row r="25453" spans="84:91" s="51" customFormat="1">
      <c r="CF25453" s="239"/>
      <c r="CM25453" s="336"/>
    </row>
    <row r="25454" spans="84:91" s="51" customFormat="1">
      <c r="CF25454" s="239"/>
      <c r="CM25454" s="336"/>
    </row>
    <row r="25455" spans="84:91" s="51" customFormat="1">
      <c r="CF25455" s="239"/>
      <c r="CM25455" s="336"/>
    </row>
    <row r="25456" spans="84:91" s="51" customFormat="1">
      <c r="CF25456" s="239"/>
      <c r="CM25456" s="336"/>
    </row>
    <row r="25457" spans="84:91" s="51" customFormat="1">
      <c r="CF25457" s="239"/>
      <c r="CM25457" s="336"/>
    </row>
    <row r="25458" spans="84:91" s="51" customFormat="1">
      <c r="CF25458" s="239"/>
      <c r="CM25458" s="336"/>
    </row>
    <row r="25459" spans="84:91" s="51" customFormat="1">
      <c r="CF25459" s="239"/>
      <c r="CM25459" s="336"/>
    </row>
    <row r="25460" spans="84:91" s="51" customFormat="1">
      <c r="CF25460" s="239"/>
      <c r="CM25460" s="336"/>
    </row>
    <row r="25461" spans="84:91" s="51" customFormat="1">
      <c r="CF25461" s="239"/>
      <c r="CM25461" s="336"/>
    </row>
    <row r="25462" spans="84:91" s="51" customFormat="1">
      <c r="CF25462" s="239"/>
      <c r="CM25462" s="336"/>
    </row>
    <row r="25463" spans="84:91" s="51" customFormat="1">
      <c r="CF25463" s="239"/>
      <c r="CM25463" s="336"/>
    </row>
    <row r="25464" spans="84:91" s="51" customFormat="1">
      <c r="CF25464" s="239"/>
      <c r="CM25464" s="336"/>
    </row>
    <row r="25465" spans="84:91" s="51" customFormat="1">
      <c r="CF25465" s="239"/>
      <c r="CM25465" s="336"/>
    </row>
    <row r="25466" spans="84:91" s="51" customFormat="1">
      <c r="CF25466" s="239"/>
      <c r="CM25466" s="336"/>
    </row>
    <row r="25467" spans="84:91" s="51" customFormat="1">
      <c r="CF25467" s="239"/>
      <c r="CM25467" s="336"/>
    </row>
    <row r="25468" spans="84:91" s="51" customFormat="1">
      <c r="CF25468" s="239"/>
      <c r="CM25468" s="336"/>
    </row>
    <row r="25469" spans="84:91" s="51" customFormat="1">
      <c r="CF25469" s="239"/>
      <c r="CM25469" s="336"/>
    </row>
    <row r="25470" spans="84:91" s="51" customFormat="1">
      <c r="CF25470" s="239"/>
      <c r="CM25470" s="336"/>
    </row>
    <row r="25471" spans="84:91" s="51" customFormat="1">
      <c r="CF25471" s="239"/>
      <c r="CM25471" s="336"/>
    </row>
    <row r="25472" spans="84:91" s="51" customFormat="1">
      <c r="CF25472" s="239"/>
      <c r="CM25472" s="336"/>
    </row>
    <row r="25473" spans="84:91" s="51" customFormat="1">
      <c r="CF25473" s="239"/>
      <c r="CM25473" s="336"/>
    </row>
    <row r="25474" spans="84:91" s="51" customFormat="1">
      <c r="CF25474" s="239"/>
      <c r="CM25474" s="336"/>
    </row>
    <row r="25475" spans="84:91" s="51" customFormat="1">
      <c r="CF25475" s="239"/>
      <c r="CM25475" s="336"/>
    </row>
    <row r="25476" spans="84:91" s="51" customFormat="1">
      <c r="CF25476" s="239"/>
      <c r="CM25476" s="336"/>
    </row>
    <row r="25477" spans="84:91" s="51" customFormat="1">
      <c r="CF25477" s="239"/>
      <c r="CM25477" s="336"/>
    </row>
    <row r="25478" spans="84:91" s="51" customFormat="1">
      <c r="CF25478" s="239"/>
      <c r="CM25478" s="336"/>
    </row>
    <row r="25479" spans="84:91" s="51" customFormat="1">
      <c r="CF25479" s="239"/>
      <c r="CM25479" s="336"/>
    </row>
    <row r="25480" spans="84:91" s="51" customFormat="1">
      <c r="CF25480" s="239"/>
      <c r="CM25480" s="336"/>
    </row>
    <row r="25481" spans="84:91" s="51" customFormat="1">
      <c r="CF25481" s="239"/>
      <c r="CM25481" s="336"/>
    </row>
    <row r="25482" spans="84:91" s="51" customFormat="1">
      <c r="CF25482" s="239"/>
      <c r="CM25482" s="336"/>
    </row>
    <row r="25483" spans="84:91" s="51" customFormat="1">
      <c r="CF25483" s="239"/>
      <c r="CM25483" s="336"/>
    </row>
    <row r="25484" spans="84:91" s="51" customFormat="1">
      <c r="CF25484" s="239"/>
      <c r="CM25484" s="336"/>
    </row>
    <row r="25485" spans="84:91" s="51" customFormat="1">
      <c r="CF25485" s="239"/>
      <c r="CM25485" s="336"/>
    </row>
    <row r="25486" spans="84:91" s="51" customFormat="1">
      <c r="CF25486" s="239"/>
      <c r="CM25486" s="336"/>
    </row>
    <row r="25487" spans="84:91" s="51" customFormat="1">
      <c r="CF25487" s="239"/>
      <c r="CM25487" s="336"/>
    </row>
    <row r="25488" spans="84:91" s="51" customFormat="1">
      <c r="CF25488" s="239"/>
      <c r="CM25488" s="336"/>
    </row>
    <row r="25489" spans="84:91" s="51" customFormat="1">
      <c r="CF25489" s="239"/>
      <c r="CM25489" s="336"/>
    </row>
    <row r="25490" spans="84:91" s="51" customFormat="1">
      <c r="CF25490" s="239"/>
      <c r="CM25490" s="336"/>
    </row>
    <row r="25491" spans="84:91" s="51" customFormat="1">
      <c r="CF25491" s="239"/>
      <c r="CM25491" s="336"/>
    </row>
    <row r="25492" spans="84:91" s="51" customFormat="1">
      <c r="CF25492" s="239"/>
      <c r="CM25492" s="336"/>
    </row>
    <row r="25493" spans="84:91" s="51" customFormat="1">
      <c r="CF25493" s="239"/>
      <c r="CM25493" s="336"/>
    </row>
    <row r="25494" spans="84:91" s="51" customFormat="1">
      <c r="CF25494" s="239"/>
      <c r="CM25494" s="336"/>
    </row>
    <row r="25495" spans="84:91" s="51" customFormat="1">
      <c r="CF25495" s="239"/>
      <c r="CM25495" s="336"/>
    </row>
    <row r="25496" spans="84:91" s="51" customFormat="1">
      <c r="CF25496" s="239"/>
      <c r="CM25496" s="336"/>
    </row>
    <row r="25497" spans="84:91" s="51" customFormat="1">
      <c r="CF25497" s="239"/>
      <c r="CM25497" s="336"/>
    </row>
    <row r="25498" spans="84:91" s="51" customFormat="1">
      <c r="CF25498" s="239"/>
      <c r="CM25498" s="336"/>
    </row>
    <row r="25499" spans="84:91" s="51" customFormat="1">
      <c r="CF25499" s="239"/>
      <c r="CM25499" s="336"/>
    </row>
    <row r="25500" spans="84:91" s="51" customFormat="1">
      <c r="CF25500" s="239"/>
      <c r="CM25500" s="336"/>
    </row>
    <row r="25501" spans="84:91" s="51" customFormat="1">
      <c r="CF25501" s="239"/>
      <c r="CM25501" s="336"/>
    </row>
    <row r="25502" spans="84:91" s="51" customFormat="1">
      <c r="CF25502" s="239"/>
      <c r="CM25502" s="336"/>
    </row>
    <row r="25503" spans="84:91" s="51" customFormat="1">
      <c r="CF25503" s="239"/>
      <c r="CM25503" s="336"/>
    </row>
    <row r="25504" spans="84:91" s="51" customFormat="1">
      <c r="CF25504" s="239"/>
      <c r="CM25504" s="336"/>
    </row>
    <row r="25505" spans="84:91" s="51" customFormat="1">
      <c r="CF25505" s="239"/>
      <c r="CM25505" s="336"/>
    </row>
    <row r="25506" spans="84:91" s="51" customFormat="1">
      <c r="CF25506" s="239"/>
      <c r="CM25506" s="336"/>
    </row>
    <row r="25507" spans="84:91" s="51" customFormat="1">
      <c r="CF25507" s="239"/>
      <c r="CM25507" s="336"/>
    </row>
    <row r="25508" spans="84:91" s="51" customFormat="1">
      <c r="CF25508" s="239"/>
      <c r="CM25508" s="336"/>
    </row>
    <row r="25509" spans="84:91" s="51" customFormat="1">
      <c r="CF25509" s="239"/>
      <c r="CM25509" s="336"/>
    </row>
    <row r="25510" spans="84:91" s="51" customFormat="1">
      <c r="CF25510" s="239"/>
      <c r="CM25510" s="336"/>
    </row>
    <row r="25511" spans="84:91" s="51" customFormat="1">
      <c r="CF25511" s="239"/>
      <c r="CM25511" s="336"/>
    </row>
    <row r="25512" spans="84:91" s="51" customFormat="1">
      <c r="CF25512" s="239"/>
      <c r="CM25512" s="336"/>
    </row>
    <row r="25513" spans="84:91" s="51" customFormat="1">
      <c r="CF25513" s="239"/>
      <c r="CM25513" s="336"/>
    </row>
    <row r="25514" spans="84:91" s="51" customFormat="1">
      <c r="CF25514" s="239"/>
      <c r="CM25514" s="336"/>
    </row>
    <row r="25515" spans="84:91" s="51" customFormat="1">
      <c r="CF25515" s="239"/>
      <c r="CM25515" s="336"/>
    </row>
    <row r="25516" spans="84:91" s="51" customFormat="1">
      <c r="CF25516" s="239"/>
      <c r="CM25516" s="336"/>
    </row>
    <row r="25517" spans="84:91" s="51" customFormat="1">
      <c r="CF25517" s="239"/>
      <c r="CM25517" s="336"/>
    </row>
    <row r="25518" spans="84:91" s="51" customFormat="1">
      <c r="CF25518" s="239"/>
      <c r="CM25518" s="336"/>
    </row>
    <row r="25519" spans="84:91" s="51" customFormat="1">
      <c r="CF25519" s="239"/>
      <c r="CM25519" s="336"/>
    </row>
    <row r="25520" spans="84:91" s="51" customFormat="1">
      <c r="CF25520" s="239"/>
      <c r="CM25520" s="336"/>
    </row>
    <row r="25521" spans="84:91" s="51" customFormat="1">
      <c r="CF25521" s="239"/>
      <c r="CM25521" s="336"/>
    </row>
    <row r="25522" spans="84:91" s="51" customFormat="1">
      <c r="CF25522" s="239"/>
      <c r="CM25522" s="336"/>
    </row>
    <row r="25523" spans="84:91" s="51" customFormat="1">
      <c r="CF25523" s="239"/>
      <c r="CM25523" s="336"/>
    </row>
    <row r="25524" spans="84:91" s="51" customFormat="1">
      <c r="CF25524" s="239"/>
      <c r="CM25524" s="336"/>
    </row>
    <row r="25525" spans="84:91" s="51" customFormat="1">
      <c r="CF25525" s="239"/>
      <c r="CM25525" s="336"/>
    </row>
    <row r="25526" spans="84:91" s="51" customFormat="1">
      <c r="CF25526" s="239"/>
      <c r="CM25526" s="336"/>
    </row>
    <row r="25527" spans="84:91" s="51" customFormat="1">
      <c r="CF25527" s="239"/>
      <c r="CM25527" s="336"/>
    </row>
    <row r="25528" spans="84:91" s="51" customFormat="1">
      <c r="CF25528" s="239"/>
      <c r="CM25528" s="336"/>
    </row>
    <row r="25529" spans="84:91" s="51" customFormat="1">
      <c r="CF25529" s="239"/>
      <c r="CM25529" s="336"/>
    </row>
    <row r="25530" spans="84:91" s="51" customFormat="1">
      <c r="CF25530" s="239"/>
      <c r="CM25530" s="336"/>
    </row>
    <row r="25531" spans="84:91" s="51" customFormat="1">
      <c r="CF25531" s="239"/>
      <c r="CM25531" s="336"/>
    </row>
    <row r="25532" spans="84:91" s="51" customFormat="1">
      <c r="CF25532" s="239"/>
      <c r="CM25532" s="336"/>
    </row>
    <row r="25533" spans="84:91" s="51" customFormat="1">
      <c r="CF25533" s="239"/>
      <c r="CM25533" s="336"/>
    </row>
    <row r="25534" spans="84:91" s="51" customFormat="1">
      <c r="CF25534" s="239"/>
      <c r="CM25534" s="336"/>
    </row>
    <row r="25535" spans="84:91" s="51" customFormat="1">
      <c r="CF25535" s="239"/>
      <c r="CM25535" s="336"/>
    </row>
    <row r="25536" spans="84:91" s="51" customFormat="1">
      <c r="CF25536" s="239"/>
      <c r="CM25536" s="336"/>
    </row>
    <row r="25537" spans="84:91" s="51" customFormat="1">
      <c r="CF25537" s="239"/>
      <c r="CM25537" s="336"/>
    </row>
    <row r="25538" spans="84:91" s="51" customFormat="1">
      <c r="CF25538" s="239"/>
      <c r="CM25538" s="336"/>
    </row>
    <row r="25539" spans="84:91" s="51" customFormat="1">
      <c r="CF25539" s="239"/>
      <c r="CM25539" s="336"/>
    </row>
    <row r="25540" spans="84:91" s="51" customFormat="1">
      <c r="CF25540" s="239"/>
      <c r="CM25540" s="336"/>
    </row>
    <row r="25541" spans="84:91" s="51" customFormat="1">
      <c r="CF25541" s="239"/>
      <c r="CM25541" s="336"/>
    </row>
    <row r="25542" spans="84:91" s="51" customFormat="1">
      <c r="CF25542" s="239"/>
      <c r="CM25542" s="336"/>
    </row>
    <row r="25543" spans="84:91" s="51" customFormat="1">
      <c r="CF25543" s="239"/>
      <c r="CM25543" s="336"/>
    </row>
    <row r="25544" spans="84:91" s="51" customFormat="1">
      <c r="CF25544" s="239"/>
      <c r="CM25544" s="336"/>
    </row>
    <row r="25545" spans="84:91" s="51" customFormat="1">
      <c r="CF25545" s="239"/>
      <c r="CM25545" s="336"/>
    </row>
    <row r="25546" spans="84:91" s="51" customFormat="1">
      <c r="CF25546" s="239"/>
      <c r="CM25546" s="336"/>
    </row>
    <row r="25547" spans="84:91" s="51" customFormat="1">
      <c r="CF25547" s="239"/>
      <c r="CM25547" s="336"/>
    </row>
    <row r="25548" spans="84:91" s="51" customFormat="1">
      <c r="CF25548" s="239"/>
      <c r="CM25548" s="336"/>
    </row>
    <row r="25549" spans="84:91" s="51" customFormat="1">
      <c r="CF25549" s="239"/>
      <c r="CM25549" s="336"/>
    </row>
    <row r="25550" spans="84:91" s="51" customFormat="1">
      <c r="CF25550" s="239"/>
      <c r="CM25550" s="336"/>
    </row>
    <row r="25551" spans="84:91" s="51" customFormat="1">
      <c r="CF25551" s="239"/>
      <c r="CM25551" s="336"/>
    </row>
    <row r="25552" spans="84:91" s="51" customFormat="1">
      <c r="CF25552" s="239"/>
      <c r="CM25552" s="336"/>
    </row>
    <row r="25553" spans="84:91" s="51" customFormat="1">
      <c r="CF25553" s="239"/>
      <c r="CM25553" s="336"/>
    </row>
    <row r="25554" spans="84:91" s="51" customFormat="1">
      <c r="CF25554" s="239"/>
      <c r="CM25554" s="336"/>
    </row>
    <row r="25555" spans="84:91" s="51" customFormat="1">
      <c r="CF25555" s="239"/>
      <c r="CM25555" s="336"/>
    </row>
    <row r="25556" spans="84:91" s="51" customFormat="1">
      <c r="CF25556" s="239"/>
      <c r="CM25556" s="336"/>
    </row>
    <row r="25557" spans="84:91" s="51" customFormat="1">
      <c r="CF25557" s="239"/>
      <c r="CM25557" s="336"/>
    </row>
    <row r="25558" spans="84:91" s="51" customFormat="1">
      <c r="CF25558" s="239"/>
      <c r="CM25558" s="336"/>
    </row>
    <row r="25559" spans="84:91" s="51" customFormat="1">
      <c r="CF25559" s="239"/>
      <c r="CM25559" s="336"/>
    </row>
    <row r="25560" spans="84:91" s="51" customFormat="1">
      <c r="CF25560" s="239"/>
      <c r="CM25560" s="336"/>
    </row>
    <row r="25561" spans="84:91" s="51" customFormat="1">
      <c r="CF25561" s="239"/>
      <c r="CM25561" s="336"/>
    </row>
    <row r="25562" spans="84:91" s="51" customFormat="1">
      <c r="CF25562" s="239"/>
      <c r="CM25562" s="336"/>
    </row>
    <row r="25563" spans="84:91" s="51" customFormat="1">
      <c r="CF25563" s="239"/>
      <c r="CM25563" s="336"/>
    </row>
    <row r="25564" spans="84:91" s="51" customFormat="1">
      <c r="CF25564" s="239"/>
      <c r="CM25564" s="336"/>
    </row>
    <row r="25565" spans="84:91" s="51" customFormat="1">
      <c r="CF25565" s="239"/>
      <c r="CM25565" s="336"/>
    </row>
    <row r="25566" spans="84:91" s="51" customFormat="1">
      <c r="CF25566" s="239"/>
      <c r="CM25566" s="336"/>
    </row>
    <row r="25567" spans="84:91" s="51" customFormat="1">
      <c r="CF25567" s="239"/>
      <c r="CM25567" s="336"/>
    </row>
    <row r="25568" spans="84:91" s="51" customFormat="1">
      <c r="CF25568" s="239"/>
      <c r="CM25568" s="336"/>
    </row>
    <row r="25569" spans="84:91" s="51" customFormat="1">
      <c r="CF25569" s="239"/>
      <c r="CM25569" s="336"/>
    </row>
    <row r="25570" spans="84:91" s="51" customFormat="1">
      <c r="CF25570" s="239"/>
      <c r="CM25570" s="336"/>
    </row>
    <row r="25571" spans="84:91" s="51" customFormat="1">
      <c r="CF25571" s="239"/>
      <c r="CM25571" s="336"/>
    </row>
    <row r="25572" spans="84:91" s="51" customFormat="1">
      <c r="CF25572" s="239"/>
      <c r="CM25572" s="336"/>
    </row>
    <row r="25573" spans="84:91" s="51" customFormat="1">
      <c r="CF25573" s="239"/>
      <c r="CM25573" s="336"/>
    </row>
    <row r="25574" spans="84:91" s="51" customFormat="1">
      <c r="CF25574" s="239"/>
      <c r="CM25574" s="336"/>
    </row>
    <row r="25575" spans="84:91" s="51" customFormat="1">
      <c r="CF25575" s="239"/>
      <c r="CM25575" s="336"/>
    </row>
    <row r="25576" spans="84:91" s="51" customFormat="1">
      <c r="CF25576" s="239"/>
      <c r="CM25576" s="336"/>
    </row>
    <row r="25577" spans="84:91" s="51" customFormat="1">
      <c r="CF25577" s="239"/>
      <c r="CM25577" s="336"/>
    </row>
    <row r="25578" spans="84:91" s="51" customFormat="1">
      <c r="CF25578" s="239"/>
      <c r="CM25578" s="336"/>
    </row>
    <row r="25579" spans="84:91" s="51" customFormat="1">
      <c r="CF25579" s="239"/>
      <c r="CM25579" s="336"/>
    </row>
    <row r="25580" spans="84:91" s="51" customFormat="1">
      <c r="CF25580" s="239"/>
      <c r="CM25580" s="336"/>
    </row>
    <row r="25581" spans="84:91" s="51" customFormat="1">
      <c r="CF25581" s="239"/>
      <c r="CM25581" s="336"/>
    </row>
    <row r="25582" spans="84:91" s="51" customFormat="1">
      <c r="CF25582" s="239"/>
      <c r="CM25582" s="336"/>
    </row>
    <row r="25583" spans="84:91" s="51" customFormat="1">
      <c r="CF25583" s="239"/>
      <c r="CM25583" s="336"/>
    </row>
    <row r="25584" spans="84:91" s="51" customFormat="1">
      <c r="CF25584" s="239"/>
      <c r="CM25584" s="336"/>
    </row>
    <row r="25585" spans="84:91" s="51" customFormat="1">
      <c r="CF25585" s="239"/>
      <c r="CM25585" s="336"/>
    </row>
    <row r="25586" spans="84:91" s="51" customFormat="1">
      <c r="CF25586" s="239"/>
      <c r="CM25586" s="336"/>
    </row>
    <row r="25587" spans="84:91" s="51" customFormat="1">
      <c r="CF25587" s="239"/>
      <c r="CM25587" s="336"/>
    </row>
    <row r="25588" spans="84:91" s="51" customFormat="1">
      <c r="CF25588" s="239"/>
      <c r="CM25588" s="336"/>
    </row>
    <row r="25589" spans="84:91" s="51" customFormat="1">
      <c r="CF25589" s="239"/>
      <c r="CM25589" s="336"/>
    </row>
    <row r="25590" spans="84:91" s="51" customFormat="1">
      <c r="CF25590" s="239"/>
      <c r="CM25590" s="336"/>
    </row>
    <row r="25591" spans="84:91" s="51" customFormat="1">
      <c r="CF25591" s="239"/>
      <c r="CM25591" s="336"/>
    </row>
    <row r="25592" spans="84:91" s="51" customFormat="1">
      <c r="CF25592" s="239"/>
      <c r="CM25592" s="336"/>
    </row>
    <row r="25593" spans="84:91" s="51" customFormat="1">
      <c r="CF25593" s="239"/>
      <c r="CM25593" s="336"/>
    </row>
    <row r="25594" spans="84:91" s="51" customFormat="1">
      <c r="CF25594" s="239"/>
      <c r="CM25594" s="336"/>
    </row>
    <row r="25595" spans="84:91" s="51" customFormat="1">
      <c r="CF25595" s="239"/>
      <c r="CM25595" s="336"/>
    </row>
    <row r="25596" spans="84:91" s="51" customFormat="1">
      <c r="CF25596" s="239"/>
      <c r="CM25596" s="336"/>
    </row>
    <row r="25597" spans="84:91" s="51" customFormat="1">
      <c r="CF25597" s="239"/>
      <c r="CM25597" s="336"/>
    </row>
    <row r="25598" spans="84:91" s="51" customFormat="1">
      <c r="CF25598" s="239"/>
      <c r="CM25598" s="336"/>
    </row>
    <row r="25599" spans="84:91" s="51" customFormat="1">
      <c r="CF25599" s="239"/>
      <c r="CM25599" s="336"/>
    </row>
    <row r="25600" spans="84:91" s="51" customFormat="1">
      <c r="CF25600" s="239"/>
      <c r="CM25600" s="336"/>
    </row>
    <row r="25601" spans="84:91" s="51" customFormat="1">
      <c r="CF25601" s="239"/>
      <c r="CM25601" s="336"/>
    </row>
    <row r="25602" spans="84:91" s="51" customFormat="1">
      <c r="CF25602" s="239"/>
      <c r="CM25602" s="336"/>
    </row>
    <row r="25603" spans="84:91" s="51" customFormat="1">
      <c r="CF25603" s="239"/>
      <c r="CM25603" s="336"/>
    </row>
    <row r="25604" spans="84:91" s="51" customFormat="1">
      <c r="CF25604" s="239"/>
      <c r="CM25604" s="336"/>
    </row>
    <row r="25605" spans="84:91" s="51" customFormat="1">
      <c r="CF25605" s="239"/>
      <c r="CM25605" s="336"/>
    </row>
    <row r="25606" spans="84:91" s="51" customFormat="1">
      <c r="CF25606" s="239"/>
      <c r="CM25606" s="336"/>
    </row>
    <row r="25607" spans="84:91" s="51" customFormat="1">
      <c r="CF25607" s="239"/>
      <c r="CM25607" s="336"/>
    </row>
    <row r="25608" spans="84:91" s="51" customFormat="1">
      <c r="CF25608" s="239"/>
      <c r="CM25608" s="336"/>
    </row>
    <row r="25609" spans="84:91" s="51" customFormat="1">
      <c r="CF25609" s="239"/>
      <c r="CM25609" s="336"/>
    </row>
    <row r="25610" spans="84:91" s="51" customFormat="1">
      <c r="CF25610" s="239"/>
      <c r="CM25610" s="336"/>
    </row>
    <row r="25611" spans="84:91" s="51" customFormat="1">
      <c r="CF25611" s="239"/>
      <c r="CM25611" s="336"/>
    </row>
    <row r="25612" spans="84:91" s="51" customFormat="1">
      <c r="CF25612" s="239"/>
      <c r="CM25612" s="336"/>
    </row>
    <row r="25613" spans="84:91" s="51" customFormat="1">
      <c r="CF25613" s="239"/>
      <c r="CM25613" s="336"/>
    </row>
    <row r="25614" spans="84:91" s="51" customFormat="1">
      <c r="CF25614" s="239"/>
      <c r="CM25614" s="336"/>
    </row>
    <row r="25615" spans="84:91" s="51" customFormat="1">
      <c r="CF25615" s="239"/>
      <c r="CM25615" s="336"/>
    </row>
    <row r="25616" spans="84:91" s="51" customFormat="1">
      <c r="CF25616" s="239"/>
      <c r="CM25616" s="336"/>
    </row>
    <row r="25617" spans="84:91" s="51" customFormat="1">
      <c r="CF25617" s="239"/>
      <c r="CM25617" s="336"/>
    </row>
    <row r="25618" spans="84:91" s="51" customFormat="1">
      <c r="CF25618" s="239"/>
      <c r="CM25618" s="336"/>
    </row>
    <row r="25619" spans="84:91" s="51" customFormat="1">
      <c r="CF25619" s="239"/>
      <c r="CM25619" s="336"/>
    </row>
    <row r="25620" spans="84:91" s="51" customFormat="1">
      <c r="CF25620" s="239"/>
      <c r="CM25620" s="336"/>
    </row>
    <row r="25621" spans="84:91" s="51" customFormat="1">
      <c r="CF25621" s="239"/>
      <c r="CM25621" s="336"/>
    </row>
    <row r="25622" spans="84:91" s="51" customFormat="1">
      <c r="CF25622" s="239"/>
      <c r="CM25622" s="336"/>
    </row>
    <row r="25623" spans="84:91" s="51" customFormat="1">
      <c r="CF25623" s="239"/>
      <c r="CM25623" s="336"/>
    </row>
    <row r="25624" spans="84:91" s="51" customFormat="1">
      <c r="CF25624" s="239"/>
      <c r="CM25624" s="336"/>
    </row>
    <row r="25625" spans="84:91" s="51" customFormat="1">
      <c r="CF25625" s="239"/>
      <c r="CM25625" s="336"/>
    </row>
    <row r="25626" spans="84:91" s="51" customFormat="1">
      <c r="CF25626" s="239"/>
      <c r="CM25626" s="336"/>
    </row>
    <row r="25627" spans="84:91" s="51" customFormat="1">
      <c r="CF25627" s="239"/>
      <c r="CM25627" s="336"/>
    </row>
    <row r="25628" spans="84:91" s="51" customFormat="1">
      <c r="CF25628" s="239"/>
      <c r="CM25628" s="336"/>
    </row>
    <row r="25629" spans="84:91" s="51" customFormat="1">
      <c r="CF25629" s="239"/>
      <c r="CM25629" s="336"/>
    </row>
    <row r="25630" spans="84:91" s="51" customFormat="1">
      <c r="CF25630" s="239"/>
      <c r="CM25630" s="336"/>
    </row>
    <row r="25631" spans="84:91" s="51" customFormat="1">
      <c r="CF25631" s="239"/>
      <c r="CM25631" s="336"/>
    </row>
    <row r="25632" spans="84:91" s="51" customFormat="1">
      <c r="CF25632" s="239"/>
      <c r="CM25632" s="336"/>
    </row>
    <row r="25633" spans="84:91" s="51" customFormat="1">
      <c r="CF25633" s="239"/>
      <c r="CM25633" s="336"/>
    </row>
    <row r="25634" spans="84:91" s="51" customFormat="1">
      <c r="CF25634" s="239"/>
      <c r="CM25634" s="336"/>
    </row>
    <row r="25635" spans="84:91" s="51" customFormat="1">
      <c r="CF25635" s="239"/>
      <c r="CM25635" s="336"/>
    </row>
    <row r="25636" spans="84:91" s="51" customFormat="1">
      <c r="CF25636" s="239"/>
      <c r="CM25636" s="336"/>
    </row>
    <row r="25637" spans="84:91" s="51" customFormat="1">
      <c r="CF25637" s="239"/>
      <c r="CM25637" s="336"/>
    </row>
    <row r="25638" spans="84:91" s="51" customFormat="1">
      <c r="CF25638" s="239"/>
      <c r="CM25638" s="336"/>
    </row>
    <row r="25639" spans="84:91" s="51" customFormat="1">
      <c r="CF25639" s="239"/>
      <c r="CM25639" s="336"/>
    </row>
    <row r="25640" spans="84:91" s="51" customFormat="1">
      <c r="CF25640" s="239"/>
      <c r="CM25640" s="336"/>
    </row>
    <row r="25641" spans="84:91" s="51" customFormat="1">
      <c r="CF25641" s="239"/>
      <c r="CM25641" s="336"/>
    </row>
    <row r="25642" spans="84:91" s="51" customFormat="1">
      <c r="CF25642" s="239"/>
      <c r="CM25642" s="336"/>
    </row>
    <row r="25643" spans="84:91" s="51" customFormat="1">
      <c r="CF25643" s="239"/>
      <c r="CM25643" s="336"/>
    </row>
    <row r="25644" spans="84:91" s="51" customFormat="1">
      <c r="CF25644" s="239"/>
      <c r="CM25644" s="336"/>
    </row>
    <row r="25645" spans="84:91" s="51" customFormat="1">
      <c r="CF25645" s="239"/>
      <c r="CM25645" s="336"/>
    </row>
    <row r="25646" spans="84:91" s="51" customFormat="1">
      <c r="CF25646" s="239"/>
      <c r="CM25646" s="336"/>
    </row>
    <row r="25647" spans="84:91" s="51" customFormat="1">
      <c r="CF25647" s="239"/>
      <c r="CM25647" s="336"/>
    </row>
    <row r="25648" spans="84:91" s="51" customFormat="1">
      <c r="CF25648" s="239"/>
      <c r="CM25648" s="336"/>
    </row>
    <row r="25649" spans="84:91" s="51" customFormat="1">
      <c r="CF25649" s="239"/>
      <c r="CM25649" s="336"/>
    </row>
    <row r="25650" spans="84:91" s="51" customFormat="1">
      <c r="CF25650" s="239"/>
      <c r="CM25650" s="336"/>
    </row>
    <row r="25651" spans="84:91" s="51" customFormat="1">
      <c r="CF25651" s="239"/>
      <c r="CM25651" s="336"/>
    </row>
    <row r="25652" spans="84:91" s="51" customFormat="1">
      <c r="CF25652" s="239"/>
      <c r="CM25652" s="336"/>
    </row>
    <row r="25653" spans="84:91" s="51" customFormat="1">
      <c r="CF25653" s="239"/>
      <c r="CM25653" s="336"/>
    </row>
    <row r="25654" spans="84:91" s="51" customFormat="1">
      <c r="CF25654" s="239"/>
      <c r="CM25654" s="336"/>
    </row>
    <row r="25655" spans="84:91" s="51" customFormat="1">
      <c r="CF25655" s="239"/>
      <c r="CM25655" s="336"/>
    </row>
    <row r="25656" spans="84:91" s="51" customFormat="1">
      <c r="CF25656" s="239"/>
      <c r="CM25656" s="336"/>
    </row>
    <row r="25657" spans="84:91" s="51" customFormat="1">
      <c r="CF25657" s="239"/>
      <c r="CM25657" s="336"/>
    </row>
    <row r="25658" spans="84:91" s="51" customFormat="1">
      <c r="CF25658" s="239"/>
      <c r="CM25658" s="336"/>
    </row>
    <row r="25659" spans="84:91" s="51" customFormat="1">
      <c r="CF25659" s="239"/>
      <c r="CM25659" s="336"/>
    </row>
    <row r="25660" spans="84:91" s="51" customFormat="1">
      <c r="CF25660" s="239"/>
      <c r="CM25660" s="336"/>
    </row>
    <row r="25661" spans="84:91" s="51" customFormat="1">
      <c r="CF25661" s="239"/>
      <c r="CM25661" s="336"/>
    </row>
    <row r="25662" spans="84:91" s="51" customFormat="1">
      <c r="CF25662" s="239"/>
      <c r="CM25662" s="336"/>
    </row>
    <row r="25663" spans="84:91" s="51" customFormat="1">
      <c r="CF25663" s="239"/>
      <c r="CM25663" s="336"/>
    </row>
    <row r="25664" spans="84:91" s="51" customFormat="1">
      <c r="CF25664" s="239"/>
      <c r="CM25664" s="336"/>
    </row>
    <row r="25665" spans="84:91" s="51" customFormat="1">
      <c r="CF25665" s="239"/>
      <c r="CM25665" s="336"/>
    </row>
    <row r="25666" spans="84:91" s="51" customFormat="1">
      <c r="CF25666" s="239"/>
      <c r="CM25666" s="336"/>
    </row>
    <row r="25667" spans="84:91" s="51" customFormat="1">
      <c r="CF25667" s="239"/>
      <c r="CM25667" s="336"/>
    </row>
    <row r="25668" spans="84:91" s="51" customFormat="1">
      <c r="CF25668" s="239"/>
      <c r="CM25668" s="336"/>
    </row>
    <row r="25669" spans="84:91" s="51" customFormat="1">
      <c r="CF25669" s="239"/>
      <c r="CM25669" s="336"/>
    </row>
    <row r="25670" spans="84:91" s="51" customFormat="1">
      <c r="CF25670" s="239"/>
      <c r="CM25670" s="336"/>
    </row>
    <row r="25671" spans="84:91" s="51" customFormat="1">
      <c r="CF25671" s="239"/>
      <c r="CM25671" s="336"/>
    </row>
    <row r="25672" spans="84:91" s="51" customFormat="1">
      <c r="CF25672" s="239"/>
      <c r="CM25672" s="336"/>
    </row>
    <row r="25673" spans="84:91" s="51" customFormat="1">
      <c r="CF25673" s="239"/>
      <c r="CM25673" s="336"/>
    </row>
    <row r="25674" spans="84:91" s="51" customFormat="1">
      <c r="CF25674" s="239"/>
      <c r="CM25674" s="336"/>
    </row>
    <row r="25675" spans="84:91" s="51" customFormat="1">
      <c r="CF25675" s="239"/>
      <c r="CM25675" s="336"/>
    </row>
    <row r="25676" spans="84:91" s="51" customFormat="1">
      <c r="CF25676" s="239"/>
      <c r="CM25676" s="336"/>
    </row>
    <row r="25677" spans="84:91" s="51" customFormat="1">
      <c r="CF25677" s="239"/>
      <c r="CM25677" s="336"/>
    </row>
    <row r="25678" spans="84:91" s="51" customFormat="1">
      <c r="CF25678" s="239"/>
      <c r="CM25678" s="336"/>
    </row>
    <row r="25679" spans="84:91" s="51" customFormat="1">
      <c r="CF25679" s="239"/>
      <c r="CM25679" s="336"/>
    </row>
    <row r="25680" spans="84:91" s="51" customFormat="1">
      <c r="CF25680" s="239"/>
      <c r="CM25680" s="336"/>
    </row>
    <row r="25681" spans="84:91" s="51" customFormat="1">
      <c r="CF25681" s="239"/>
      <c r="CM25681" s="336"/>
    </row>
    <row r="25682" spans="84:91" s="51" customFormat="1">
      <c r="CF25682" s="239"/>
      <c r="CM25682" s="336"/>
    </row>
    <row r="25683" spans="84:91" s="51" customFormat="1">
      <c r="CF25683" s="239"/>
      <c r="CM25683" s="336"/>
    </row>
    <row r="25684" spans="84:91" s="51" customFormat="1">
      <c r="CF25684" s="239"/>
      <c r="CM25684" s="336"/>
    </row>
    <row r="25685" spans="84:91" s="51" customFormat="1">
      <c r="CF25685" s="239"/>
      <c r="CM25685" s="336"/>
    </row>
    <row r="25686" spans="84:91" s="51" customFormat="1">
      <c r="CF25686" s="239"/>
      <c r="CM25686" s="336"/>
    </row>
    <row r="25687" spans="84:91" s="51" customFormat="1">
      <c r="CF25687" s="239"/>
      <c r="CM25687" s="336"/>
    </row>
    <row r="25688" spans="84:91" s="51" customFormat="1">
      <c r="CF25688" s="239"/>
      <c r="CM25688" s="336"/>
    </row>
    <row r="25689" spans="84:91" s="51" customFormat="1">
      <c r="CF25689" s="239"/>
      <c r="CM25689" s="336"/>
    </row>
    <row r="25690" spans="84:91" s="51" customFormat="1">
      <c r="CF25690" s="239"/>
      <c r="CM25690" s="336"/>
    </row>
    <row r="25691" spans="84:91" s="51" customFormat="1">
      <c r="CF25691" s="239"/>
      <c r="CM25691" s="336"/>
    </row>
    <row r="25692" spans="84:91" s="51" customFormat="1">
      <c r="CF25692" s="239"/>
      <c r="CM25692" s="336"/>
    </row>
    <row r="25693" spans="84:91" s="51" customFormat="1">
      <c r="CF25693" s="239"/>
      <c r="CM25693" s="336"/>
    </row>
    <row r="25694" spans="84:91" s="51" customFormat="1">
      <c r="CF25694" s="239"/>
      <c r="CM25694" s="336"/>
    </row>
    <row r="25695" spans="84:91" s="51" customFormat="1">
      <c r="CF25695" s="239"/>
      <c r="CM25695" s="336"/>
    </row>
    <row r="25696" spans="84:91" s="51" customFormat="1">
      <c r="CF25696" s="239"/>
      <c r="CM25696" s="336"/>
    </row>
    <row r="25697" spans="84:91" s="51" customFormat="1">
      <c r="CF25697" s="239"/>
      <c r="CM25697" s="336"/>
    </row>
    <row r="25698" spans="84:91" s="51" customFormat="1">
      <c r="CF25698" s="239"/>
      <c r="CM25698" s="336"/>
    </row>
    <row r="25699" spans="84:91" s="51" customFormat="1">
      <c r="CF25699" s="239"/>
      <c r="CM25699" s="336"/>
    </row>
    <row r="25700" spans="84:91" s="51" customFormat="1">
      <c r="CF25700" s="239"/>
      <c r="CM25700" s="336"/>
    </row>
    <row r="25701" spans="84:91" s="51" customFormat="1">
      <c r="CF25701" s="239"/>
      <c r="CM25701" s="336"/>
    </row>
    <row r="25702" spans="84:91" s="51" customFormat="1">
      <c r="CF25702" s="239"/>
      <c r="CM25702" s="336"/>
    </row>
    <row r="25703" spans="84:91" s="51" customFormat="1">
      <c r="CF25703" s="239"/>
      <c r="CM25703" s="336"/>
    </row>
    <row r="25704" spans="84:91" s="51" customFormat="1">
      <c r="CF25704" s="239"/>
      <c r="CM25704" s="336"/>
    </row>
    <row r="25705" spans="84:91" s="51" customFormat="1">
      <c r="CF25705" s="239"/>
      <c r="CM25705" s="336"/>
    </row>
    <row r="25706" spans="84:91" s="51" customFormat="1">
      <c r="CF25706" s="239"/>
      <c r="CM25706" s="336"/>
    </row>
    <row r="25707" spans="84:91" s="51" customFormat="1">
      <c r="CF25707" s="239"/>
      <c r="CM25707" s="336"/>
    </row>
    <row r="25708" spans="84:91" s="51" customFormat="1">
      <c r="CF25708" s="239"/>
      <c r="CM25708" s="336"/>
    </row>
    <row r="25709" spans="84:91" s="51" customFormat="1">
      <c r="CF25709" s="239"/>
      <c r="CM25709" s="336"/>
    </row>
    <row r="25710" spans="84:91" s="51" customFormat="1">
      <c r="CF25710" s="239"/>
      <c r="CM25710" s="336"/>
    </row>
    <row r="25711" spans="84:91" s="51" customFormat="1">
      <c r="CF25711" s="239"/>
      <c r="CM25711" s="336"/>
    </row>
    <row r="25712" spans="84:91" s="51" customFormat="1">
      <c r="CF25712" s="239"/>
      <c r="CM25712" s="336"/>
    </row>
    <row r="25713" spans="84:91" s="51" customFormat="1">
      <c r="CF25713" s="239"/>
      <c r="CM25713" s="336"/>
    </row>
    <row r="25714" spans="84:91" s="51" customFormat="1">
      <c r="CF25714" s="239"/>
      <c r="CM25714" s="336"/>
    </row>
    <row r="25715" spans="84:91" s="51" customFormat="1">
      <c r="CF25715" s="239"/>
      <c r="CM25715" s="336"/>
    </row>
    <row r="25716" spans="84:91" s="51" customFormat="1">
      <c r="CF25716" s="239"/>
      <c r="CM25716" s="336"/>
    </row>
    <row r="25717" spans="84:91" s="51" customFormat="1">
      <c r="CF25717" s="239"/>
      <c r="CM25717" s="336"/>
    </row>
    <row r="25718" spans="84:91" s="51" customFormat="1">
      <c r="CF25718" s="239"/>
      <c r="CM25718" s="336"/>
    </row>
    <row r="25719" spans="84:91" s="51" customFormat="1">
      <c r="CF25719" s="239"/>
      <c r="CM25719" s="336"/>
    </row>
    <row r="25720" spans="84:91" s="51" customFormat="1">
      <c r="CF25720" s="239"/>
      <c r="CM25720" s="336"/>
    </row>
    <row r="25721" spans="84:91" s="51" customFormat="1">
      <c r="CF25721" s="239"/>
      <c r="CM25721" s="336"/>
    </row>
    <row r="25722" spans="84:91" s="51" customFormat="1">
      <c r="CF25722" s="239"/>
      <c r="CM25722" s="336"/>
    </row>
    <row r="25723" spans="84:91" s="51" customFormat="1">
      <c r="CF25723" s="239"/>
      <c r="CM25723" s="336"/>
    </row>
    <row r="25724" spans="84:91" s="51" customFormat="1">
      <c r="CF25724" s="239"/>
      <c r="CM25724" s="336"/>
    </row>
    <row r="25725" spans="84:91" s="51" customFormat="1">
      <c r="CF25725" s="239"/>
      <c r="CM25725" s="336"/>
    </row>
    <row r="25726" spans="84:91" s="51" customFormat="1">
      <c r="CF25726" s="239"/>
      <c r="CM25726" s="336"/>
    </row>
    <row r="25727" spans="84:91" s="51" customFormat="1">
      <c r="CF25727" s="239"/>
      <c r="CM25727" s="336"/>
    </row>
    <row r="25728" spans="84:91" s="51" customFormat="1">
      <c r="CF25728" s="239"/>
      <c r="CM25728" s="336"/>
    </row>
    <row r="25729" spans="84:91" s="51" customFormat="1">
      <c r="CF25729" s="239"/>
      <c r="CM25729" s="336"/>
    </row>
    <row r="25730" spans="84:91" s="51" customFormat="1">
      <c r="CF25730" s="239"/>
      <c r="CM25730" s="336"/>
    </row>
    <row r="25731" spans="84:91" s="51" customFormat="1">
      <c r="CF25731" s="239"/>
      <c r="CM25731" s="336"/>
    </row>
    <row r="25732" spans="84:91" s="51" customFormat="1">
      <c r="CF25732" s="239"/>
      <c r="CM25732" s="336"/>
    </row>
    <row r="25733" spans="84:91" s="51" customFormat="1">
      <c r="CF25733" s="239"/>
      <c r="CM25733" s="336"/>
    </row>
    <row r="25734" spans="84:91" s="51" customFormat="1">
      <c r="CF25734" s="239"/>
      <c r="CM25734" s="336"/>
    </row>
    <row r="25735" spans="84:91" s="51" customFormat="1">
      <c r="CF25735" s="239"/>
      <c r="CM25735" s="336"/>
    </row>
    <row r="25736" spans="84:91" s="51" customFormat="1">
      <c r="CF25736" s="239"/>
      <c r="CM25736" s="336"/>
    </row>
    <row r="25737" spans="84:91" s="51" customFormat="1">
      <c r="CF25737" s="239"/>
      <c r="CM25737" s="336"/>
    </row>
    <row r="25738" spans="84:91" s="51" customFormat="1">
      <c r="CF25738" s="239"/>
      <c r="CM25738" s="336"/>
    </row>
    <row r="25739" spans="84:91" s="51" customFormat="1">
      <c r="CF25739" s="239"/>
      <c r="CM25739" s="336"/>
    </row>
    <row r="25740" spans="84:91" s="51" customFormat="1">
      <c r="CF25740" s="239"/>
      <c r="CM25740" s="336"/>
    </row>
    <row r="25741" spans="84:91" s="51" customFormat="1">
      <c r="CF25741" s="239"/>
      <c r="CM25741" s="336"/>
    </row>
    <row r="25742" spans="84:91" s="51" customFormat="1">
      <c r="CF25742" s="239"/>
      <c r="CM25742" s="336"/>
    </row>
    <row r="25743" spans="84:91" s="51" customFormat="1">
      <c r="CF25743" s="239"/>
      <c r="CM25743" s="336"/>
    </row>
    <row r="25744" spans="84:91" s="51" customFormat="1">
      <c r="CF25744" s="239"/>
      <c r="CM25744" s="336"/>
    </row>
    <row r="25745" spans="84:91" s="51" customFormat="1">
      <c r="CF25745" s="239"/>
      <c r="CM25745" s="336"/>
    </row>
    <row r="25746" spans="84:91" s="51" customFormat="1">
      <c r="CF25746" s="239"/>
      <c r="CM25746" s="336"/>
    </row>
    <row r="25747" spans="84:91" s="51" customFormat="1">
      <c r="CF25747" s="239"/>
      <c r="CM25747" s="336"/>
    </row>
    <row r="25748" spans="84:91" s="51" customFormat="1">
      <c r="CF25748" s="239"/>
      <c r="CM25748" s="336"/>
    </row>
    <row r="25749" spans="84:91" s="51" customFormat="1">
      <c r="CF25749" s="239"/>
      <c r="CM25749" s="336"/>
    </row>
    <row r="25750" spans="84:91" s="51" customFormat="1">
      <c r="CF25750" s="239"/>
      <c r="CM25750" s="336"/>
    </row>
    <row r="25751" spans="84:91" s="51" customFormat="1">
      <c r="CF25751" s="239"/>
      <c r="CM25751" s="336"/>
    </row>
    <row r="25752" spans="84:91" s="51" customFormat="1">
      <c r="CF25752" s="239"/>
      <c r="CM25752" s="336"/>
    </row>
    <row r="25753" spans="84:91" s="51" customFormat="1">
      <c r="CF25753" s="239"/>
      <c r="CM25753" s="336"/>
    </row>
    <row r="25754" spans="84:91" s="51" customFormat="1">
      <c r="CF25754" s="239"/>
      <c r="CM25754" s="336"/>
    </row>
    <row r="25755" spans="84:91" s="51" customFormat="1">
      <c r="CF25755" s="239"/>
      <c r="CM25755" s="336"/>
    </row>
    <row r="25756" spans="84:91" s="51" customFormat="1">
      <c r="CF25756" s="239"/>
      <c r="CM25756" s="336"/>
    </row>
    <row r="25757" spans="84:91" s="51" customFormat="1">
      <c r="CF25757" s="239"/>
      <c r="CM25757" s="336"/>
    </row>
    <row r="25758" spans="84:91" s="51" customFormat="1">
      <c r="CF25758" s="239"/>
      <c r="CM25758" s="336"/>
    </row>
    <row r="25759" spans="84:91" s="51" customFormat="1">
      <c r="CF25759" s="239"/>
      <c r="CM25759" s="336"/>
    </row>
    <row r="25760" spans="84:91" s="51" customFormat="1">
      <c r="CF25760" s="239"/>
      <c r="CM25760" s="336"/>
    </row>
    <row r="25761" spans="84:91" s="51" customFormat="1">
      <c r="CF25761" s="239"/>
      <c r="CM25761" s="336"/>
    </row>
    <row r="25762" spans="84:91" s="51" customFormat="1">
      <c r="CF25762" s="239"/>
      <c r="CM25762" s="336"/>
    </row>
    <row r="25763" spans="84:91" s="51" customFormat="1">
      <c r="CF25763" s="239"/>
      <c r="CM25763" s="336"/>
    </row>
    <row r="25764" spans="84:91" s="51" customFormat="1">
      <c r="CF25764" s="239"/>
      <c r="CM25764" s="336"/>
    </row>
    <row r="25765" spans="84:91" s="51" customFormat="1">
      <c r="CF25765" s="239"/>
      <c r="CM25765" s="336"/>
    </row>
    <row r="25766" spans="84:91" s="51" customFormat="1">
      <c r="CF25766" s="239"/>
      <c r="CM25766" s="336"/>
    </row>
    <row r="25767" spans="84:91" s="51" customFormat="1">
      <c r="CF25767" s="239"/>
      <c r="CM25767" s="336"/>
    </row>
    <row r="25768" spans="84:91" s="51" customFormat="1">
      <c r="CF25768" s="239"/>
      <c r="CM25768" s="336"/>
    </row>
    <row r="25769" spans="84:91" s="51" customFormat="1">
      <c r="CF25769" s="239"/>
      <c r="CM25769" s="336"/>
    </row>
    <row r="25770" spans="84:91" s="51" customFormat="1">
      <c r="CF25770" s="239"/>
      <c r="CM25770" s="336"/>
    </row>
    <row r="25771" spans="84:91" s="51" customFormat="1">
      <c r="CF25771" s="239"/>
      <c r="CM25771" s="336"/>
    </row>
    <row r="25772" spans="84:91" s="51" customFormat="1">
      <c r="CF25772" s="239"/>
      <c r="CM25772" s="336"/>
    </row>
    <row r="25773" spans="84:91" s="51" customFormat="1">
      <c r="CF25773" s="239"/>
      <c r="CM25773" s="336"/>
    </row>
    <row r="25774" spans="84:91" s="51" customFormat="1">
      <c r="CF25774" s="239"/>
      <c r="CM25774" s="336"/>
    </row>
    <row r="25775" spans="84:91" s="51" customFormat="1">
      <c r="CF25775" s="239"/>
      <c r="CM25775" s="336"/>
    </row>
    <row r="25776" spans="84:91" s="51" customFormat="1">
      <c r="CF25776" s="239"/>
      <c r="CM25776" s="336"/>
    </row>
    <row r="25777" spans="84:91" s="51" customFormat="1">
      <c r="CF25777" s="239"/>
      <c r="CM25777" s="336"/>
    </row>
    <row r="25778" spans="84:91" s="51" customFormat="1">
      <c r="CF25778" s="239"/>
      <c r="CM25778" s="336"/>
    </row>
    <row r="25779" spans="84:91" s="51" customFormat="1">
      <c r="CF25779" s="239"/>
      <c r="CM25779" s="336"/>
    </row>
    <row r="25780" spans="84:91" s="51" customFormat="1">
      <c r="CF25780" s="239"/>
      <c r="CM25780" s="336"/>
    </row>
    <row r="25781" spans="84:91" s="51" customFormat="1">
      <c r="CF25781" s="239"/>
      <c r="CM25781" s="336"/>
    </row>
    <row r="25782" spans="84:91" s="51" customFormat="1">
      <c r="CF25782" s="239"/>
      <c r="CM25782" s="336"/>
    </row>
    <row r="25783" spans="84:91" s="51" customFormat="1">
      <c r="CF25783" s="239"/>
      <c r="CM25783" s="336"/>
    </row>
    <row r="25784" spans="84:91" s="51" customFormat="1">
      <c r="CF25784" s="239"/>
      <c r="CM25784" s="336"/>
    </row>
    <row r="25785" spans="84:91" s="51" customFormat="1">
      <c r="CF25785" s="239"/>
      <c r="CM25785" s="336"/>
    </row>
    <row r="25786" spans="84:91" s="51" customFormat="1">
      <c r="CF25786" s="239"/>
      <c r="CM25786" s="336"/>
    </row>
    <row r="25787" spans="84:91" s="51" customFormat="1">
      <c r="CF25787" s="239"/>
      <c r="CM25787" s="336"/>
    </row>
    <row r="25788" spans="84:91" s="51" customFormat="1">
      <c r="CF25788" s="239"/>
      <c r="CM25788" s="336"/>
    </row>
    <row r="25789" spans="84:91" s="51" customFormat="1">
      <c r="CF25789" s="239"/>
      <c r="CM25789" s="336"/>
    </row>
    <row r="25790" spans="84:91" s="51" customFormat="1">
      <c r="CF25790" s="239"/>
      <c r="CM25790" s="336"/>
    </row>
    <row r="25791" spans="84:91" s="51" customFormat="1">
      <c r="CF25791" s="239"/>
      <c r="CM25791" s="336"/>
    </row>
    <row r="25792" spans="84:91" s="51" customFormat="1">
      <c r="CF25792" s="239"/>
      <c r="CM25792" s="336"/>
    </row>
    <row r="25793" spans="84:91" s="51" customFormat="1">
      <c r="CF25793" s="239"/>
      <c r="CM25793" s="336"/>
    </row>
    <row r="25794" spans="84:91" s="51" customFormat="1">
      <c r="CF25794" s="239"/>
      <c r="CM25794" s="336"/>
    </row>
    <row r="25795" spans="84:91" s="51" customFormat="1">
      <c r="CF25795" s="239"/>
      <c r="CM25795" s="336"/>
    </row>
    <row r="25796" spans="84:91" s="51" customFormat="1">
      <c r="CF25796" s="239"/>
      <c r="CM25796" s="336"/>
    </row>
    <row r="25797" spans="84:91" s="51" customFormat="1">
      <c r="CF25797" s="239"/>
      <c r="CM25797" s="336"/>
    </row>
    <row r="25798" spans="84:91" s="51" customFormat="1">
      <c r="CF25798" s="239"/>
      <c r="CM25798" s="336"/>
    </row>
    <row r="25799" spans="84:91" s="51" customFormat="1">
      <c r="CF25799" s="239"/>
      <c r="CM25799" s="336"/>
    </row>
    <row r="25800" spans="84:91" s="51" customFormat="1">
      <c r="CF25800" s="239"/>
      <c r="CM25800" s="336"/>
    </row>
    <row r="25801" spans="84:91" s="51" customFormat="1">
      <c r="CF25801" s="239"/>
      <c r="CM25801" s="336"/>
    </row>
    <row r="25802" spans="84:91" s="51" customFormat="1">
      <c r="CF25802" s="239"/>
      <c r="CM25802" s="336"/>
    </row>
    <row r="25803" spans="84:91" s="51" customFormat="1">
      <c r="CF25803" s="239"/>
      <c r="CM25803" s="336"/>
    </row>
    <row r="25804" spans="84:91" s="51" customFormat="1">
      <c r="CF25804" s="239"/>
      <c r="CM25804" s="336"/>
    </row>
    <row r="25805" spans="84:91" s="51" customFormat="1">
      <c r="CF25805" s="239"/>
      <c r="CM25805" s="336"/>
    </row>
    <row r="25806" spans="84:91" s="51" customFormat="1">
      <c r="CF25806" s="239"/>
      <c r="CM25806" s="336"/>
    </row>
    <row r="25807" spans="84:91" s="51" customFormat="1">
      <c r="CF25807" s="239"/>
      <c r="CM25807" s="336"/>
    </row>
    <row r="25808" spans="84:91" s="51" customFormat="1">
      <c r="CF25808" s="239"/>
      <c r="CM25808" s="336"/>
    </row>
    <row r="25809" spans="84:91" s="51" customFormat="1">
      <c r="CF25809" s="239"/>
      <c r="CM25809" s="336"/>
    </row>
    <row r="25810" spans="84:91" s="51" customFormat="1">
      <c r="CF25810" s="239"/>
      <c r="CM25810" s="336"/>
    </row>
    <row r="25811" spans="84:91" s="51" customFormat="1">
      <c r="CF25811" s="239"/>
      <c r="CM25811" s="336"/>
    </row>
    <row r="25812" spans="84:91" s="51" customFormat="1">
      <c r="CF25812" s="239"/>
      <c r="CM25812" s="336"/>
    </row>
    <row r="25813" spans="84:91" s="51" customFormat="1">
      <c r="CF25813" s="239"/>
      <c r="CM25813" s="336"/>
    </row>
    <row r="25814" spans="84:91" s="51" customFormat="1">
      <c r="CF25814" s="239"/>
      <c r="CM25814" s="336"/>
    </row>
    <row r="25815" spans="84:91" s="51" customFormat="1">
      <c r="CF25815" s="239"/>
      <c r="CM25815" s="336"/>
    </row>
    <row r="25816" spans="84:91" s="51" customFormat="1">
      <c r="CF25816" s="239"/>
      <c r="CM25816" s="336"/>
    </row>
    <row r="25817" spans="84:91" s="51" customFormat="1">
      <c r="CF25817" s="239"/>
      <c r="CM25817" s="336"/>
    </row>
    <row r="25818" spans="84:91" s="51" customFormat="1">
      <c r="CF25818" s="239"/>
      <c r="CM25818" s="336"/>
    </row>
    <row r="25819" spans="84:91" s="51" customFormat="1">
      <c r="CF25819" s="239"/>
      <c r="CM25819" s="336"/>
    </row>
    <row r="25820" spans="84:91" s="51" customFormat="1">
      <c r="CF25820" s="239"/>
      <c r="CM25820" s="336"/>
    </row>
    <row r="25821" spans="84:91" s="51" customFormat="1">
      <c r="CF25821" s="239"/>
      <c r="CM25821" s="336"/>
    </row>
    <row r="25822" spans="84:91" s="51" customFormat="1">
      <c r="CF25822" s="239"/>
      <c r="CM25822" s="336"/>
    </row>
    <row r="25823" spans="84:91" s="51" customFormat="1">
      <c r="CF25823" s="239"/>
      <c r="CM25823" s="336"/>
    </row>
    <row r="25824" spans="84:91" s="51" customFormat="1">
      <c r="CF25824" s="239"/>
      <c r="CM25824" s="336"/>
    </row>
    <row r="25825" spans="84:91" s="51" customFormat="1">
      <c r="CF25825" s="239"/>
      <c r="CM25825" s="336"/>
    </row>
    <row r="25826" spans="84:91" s="51" customFormat="1">
      <c r="CF25826" s="239"/>
      <c r="CM25826" s="336"/>
    </row>
    <row r="25827" spans="84:91" s="51" customFormat="1">
      <c r="CF25827" s="239"/>
      <c r="CM25827" s="336"/>
    </row>
    <row r="25828" spans="84:91" s="51" customFormat="1">
      <c r="CF25828" s="239"/>
      <c r="CM25828" s="336"/>
    </row>
    <row r="25829" spans="84:91" s="51" customFormat="1">
      <c r="CF25829" s="239"/>
      <c r="CM25829" s="336"/>
    </row>
    <row r="25830" spans="84:91" s="51" customFormat="1">
      <c r="CF25830" s="239"/>
      <c r="CM25830" s="336"/>
    </row>
    <row r="25831" spans="84:91" s="51" customFormat="1">
      <c r="CF25831" s="239"/>
      <c r="CM25831" s="336"/>
    </row>
    <row r="25832" spans="84:91" s="51" customFormat="1">
      <c r="CF25832" s="239"/>
      <c r="CM25832" s="336"/>
    </row>
    <row r="25833" spans="84:91" s="51" customFormat="1">
      <c r="CF25833" s="239"/>
      <c r="CM25833" s="336"/>
    </row>
    <row r="25834" spans="84:91" s="51" customFormat="1">
      <c r="CF25834" s="239"/>
      <c r="CM25834" s="336"/>
    </row>
    <row r="25835" spans="84:91" s="51" customFormat="1">
      <c r="CF25835" s="239"/>
      <c r="CM25835" s="336"/>
    </row>
    <row r="25836" spans="84:91" s="51" customFormat="1">
      <c r="CF25836" s="239"/>
      <c r="CM25836" s="336"/>
    </row>
    <row r="25837" spans="84:91" s="51" customFormat="1">
      <c r="CF25837" s="239"/>
      <c r="CM25837" s="336"/>
    </row>
    <row r="25838" spans="84:91" s="51" customFormat="1">
      <c r="CF25838" s="239"/>
      <c r="CM25838" s="336"/>
    </row>
    <row r="25839" spans="84:91" s="51" customFormat="1">
      <c r="CF25839" s="239"/>
      <c r="CM25839" s="336"/>
    </row>
    <row r="25840" spans="84:91" s="51" customFormat="1">
      <c r="CF25840" s="239"/>
      <c r="CM25840" s="336"/>
    </row>
    <row r="25841" spans="84:91" s="51" customFormat="1">
      <c r="CF25841" s="239"/>
      <c r="CM25841" s="336"/>
    </row>
    <row r="25842" spans="84:91" s="51" customFormat="1">
      <c r="CF25842" s="239"/>
      <c r="CM25842" s="336"/>
    </row>
    <row r="25843" spans="84:91" s="51" customFormat="1">
      <c r="CF25843" s="239"/>
      <c r="CM25843" s="336"/>
    </row>
    <row r="25844" spans="84:91" s="51" customFormat="1">
      <c r="CF25844" s="239"/>
      <c r="CM25844" s="336"/>
    </row>
    <row r="25845" spans="84:91" s="51" customFormat="1">
      <c r="CF25845" s="239"/>
      <c r="CM25845" s="336"/>
    </row>
    <row r="25846" spans="84:91" s="51" customFormat="1">
      <c r="CF25846" s="239"/>
      <c r="CM25846" s="336"/>
    </row>
    <row r="25847" spans="84:91" s="51" customFormat="1">
      <c r="CF25847" s="239"/>
      <c r="CM25847" s="336"/>
    </row>
    <row r="25848" spans="84:91" s="51" customFormat="1">
      <c r="CF25848" s="239"/>
      <c r="CM25848" s="336"/>
    </row>
    <row r="25849" spans="84:91" s="51" customFormat="1">
      <c r="CF25849" s="239"/>
      <c r="CM25849" s="336"/>
    </row>
    <row r="25850" spans="84:91" s="51" customFormat="1">
      <c r="CF25850" s="239"/>
      <c r="CM25850" s="336"/>
    </row>
    <row r="25851" spans="84:91" s="51" customFormat="1">
      <c r="CF25851" s="239"/>
      <c r="CM25851" s="336"/>
    </row>
    <row r="25852" spans="84:91" s="51" customFormat="1">
      <c r="CF25852" s="239"/>
      <c r="CM25852" s="336"/>
    </row>
    <row r="25853" spans="84:91" s="51" customFormat="1">
      <c r="CF25853" s="239"/>
      <c r="CM25853" s="336"/>
    </row>
    <row r="25854" spans="84:91" s="51" customFormat="1">
      <c r="CF25854" s="239"/>
      <c r="CM25854" s="336"/>
    </row>
    <row r="25855" spans="84:91" s="51" customFormat="1">
      <c r="CF25855" s="239"/>
      <c r="CM25855" s="336"/>
    </row>
    <row r="25856" spans="84:91" s="51" customFormat="1">
      <c r="CF25856" s="239"/>
      <c r="CM25856" s="336"/>
    </row>
    <row r="25857" spans="84:91" s="51" customFormat="1">
      <c r="CF25857" s="239"/>
      <c r="CM25857" s="336"/>
    </row>
    <row r="25858" spans="84:91" s="51" customFormat="1">
      <c r="CF25858" s="239"/>
      <c r="CM25858" s="336"/>
    </row>
    <row r="25859" spans="84:91" s="51" customFormat="1">
      <c r="CF25859" s="239"/>
      <c r="CM25859" s="336"/>
    </row>
    <row r="25860" spans="84:91" s="51" customFormat="1">
      <c r="CF25860" s="239"/>
      <c r="CM25860" s="336"/>
    </row>
    <row r="25861" spans="84:91" s="51" customFormat="1">
      <c r="CF25861" s="239"/>
      <c r="CM25861" s="336"/>
    </row>
    <row r="25862" spans="84:91" s="51" customFormat="1">
      <c r="CF25862" s="239"/>
      <c r="CM25862" s="336"/>
    </row>
    <row r="25863" spans="84:91" s="51" customFormat="1">
      <c r="CF25863" s="239"/>
      <c r="CM25863" s="336"/>
    </row>
    <row r="25864" spans="84:91" s="51" customFormat="1">
      <c r="CF25864" s="239"/>
      <c r="CM25864" s="336"/>
    </row>
    <row r="25865" spans="84:91" s="51" customFormat="1">
      <c r="CF25865" s="239"/>
      <c r="CM25865" s="336"/>
    </row>
    <row r="25866" spans="84:91" s="51" customFormat="1">
      <c r="CF25866" s="239"/>
      <c r="CM25866" s="336"/>
    </row>
    <row r="25867" spans="84:91" s="51" customFormat="1">
      <c r="CF25867" s="239"/>
      <c r="CM25867" s="336"/>
    </row>
    <row r="25868" spans="84:91" s="51" customFormat="1">
      <c r="CF25868" s="239"/>
      <c r="CM25868" s="336"/>
    </row>
    <row r="25869" spans="84:91" s="51" customFormat="1">
      <c r="CF25869" s="239"/>
      <c r="CM25869" s="336"/>
    </row>
    <row r="25870" spans="84:91" s="51" customFormat="1">
      <c r="CF25870" s="239"/>
      <c r="CM25870" s="336"/>
    </row>
    <row r="25871" spans="84:91" s="51" customFormat="1">
      <c r="CF25871" s="239"/>
      <c r="CM25871" s="336"/>
    </row>
    <row r="25872" spans="84:91" s="51" customFormat="1">
      <c r="CF25872" s="239"/>
      <c r="CM25872" s="336"/>
    </row>
    <row r="25873" spans="84:91" s="51" customFormat="1">
      <c r="CF25873" s="239"/>
      <c r="CM25873" s="336"/>
    </row>
    <row r="25874" spans="84:91" s="51" customFormat="1">
      <c r="CF25874" s="239"/>
      <c r="CM25874" s="336"/>
    </row>
    <row r="25875" spans="84:91" s="51" customFormat="1">
      <c r="CF25875" s="239"/>
      <c r="CM25875" s="336"/>
    </row>
    <row r="25876" spans="84:91" s="51" customFormat="1">
      <c r="CF25876" s="239"/>
      <c r="CM25876" s="336"/>
    </row>
    <row r="25877" spans="84:91" s="51" customFormat="1">
      <c r="CF25877" s="239"/>
      <c r="CM25877" s="336"/>
    </row>
    <row r="25878" spans="84:91" s="51" customFormat="1">
      <c r="CF25878" s="239"/>
      <c r="CM25878" s="336"/>
    </row>
    <row r="25879" spans="84:91" s="51" customFormat="1">
      <c r="CF25879" s="239"/>
      <c r="CM25879" s="336"/>
    </row>
    <row r="25880" spans="84:91" s="51" customFormat="1">
      <c r="CF25880" s="239"/>
      <c r="CM25880" s="336"/>
    </row>
    <row r="25881" spans="84:91" s="51" customFormat="1">
      <c r="CF25881" s="239"/>
      <c r="CM25881" s="336"/>
    </row>
    <row r="25882" spans="84:91" s="51" customFormat="1">
      <c r="CF25882" s="239"/>
      <c r="CM25882" s="336"/>
    </row>
    <row r="25883" spans="84:91" s="51" customFormat="1">
      <c r="CF25883" s="239"/>
      <c r="CM25883" s="336"/>
    </row>
    <row r="25884" spans="84:91" s="51" customFormat="1">
      <c r="CF25884" s="239"/>
      <c r="CM25884" s="336"/>
    </row>
    <row r="25885" spans="84:91" s="51" customFormat="1">
      <c r="CF25885" s="239"/>
      <c r="CM25885" s="336"/>
    </row>
    <row r="25886" spans="84:91" s="51" customFormat="1">
      <c r="CF25886" s="239"/>
      <c r="CM25886" s="336"/>
    </row>
    <row r="25887" spans="84:91" s="51" customFormat="1">
      <c r="CF25887" s="239"/>
      <c r="CM25887" s="336"/>
    </row>
    <row r="25888" spans="84:91" s="51" customFormat="1">
      <c r="CF25888" s="239"/>
      <c r="CM25888" s="336"/>
    </row>
    <row r="25889" spans="84:91" s="51" customFormat="1">
      <c r="CF25889" s="239"/>
      <c r="CM25889" s="336"/>
    </row>
    <row r="25890" spans="84:91" s="51" customFormat="1">
      <c r="CF25890" s="239"/>
      <c r="CM25890" s="336"/>
    </row>
    <row r="25891" spans="84:91" s="51" customFormat="1">
      <c r="CF25891" s="239"/>
      <c r="CM25891" s="336"/>
    </row>
    <row r="25892" spans="84:91" s="51" customFormat="1">
      <c r="CF25892" s="239"/>
      <c r="CM25892" s="336"/>
    </row>
    <row r="25893" spans="84:91" s="51" customFormat="1">
      <c r="CF25893" s="239"/>
      <c r="CM25893" s="336"/>
    </row>
    <row r="25894" spans="84:91" s="51" customFormat="1">
      <c r="CF25894" s="239"/>
      <c r="CM25894" s="336"/>
    </row>
    <row r="25895" spans="84:91" s="51" customFormat="1">
      <c r="CF25895" s="239"/>
      <c r="CM25895" s="336"/>
    </row>
    <row r="25896" spans="84:91" s="51" customFormat="1">
      <c r="CF25896" s="239"/>
      <c r="CM25896" s="336"/>
    </row>
    <row r="25897" spans="84:91" s="51" customFormat="1">
      <c r="CF25897" s="239"/>
      <c r="CM25897" s="336"/>
    </row>
    <row r="25898" spans="84:91" s="51" customFormat="1">
      <c r="CF25898" s="239"/>
      <c r="CM25898" s="336"/>
    </row>
    <row r="25899" spans="84:91" s="51" customFormat="1">
      <c r="CF25899" s="239"/>
      <c r="CM25899" s="336"/>
    </row>
    <row r="25900" spans="84:91" s="51" customFormat="1">
      <c r="CF25900" s="239"/>
      <c r="CM25900" s="336"/>
    </row>
    <row r="25901" spans="84:91" s="51" customFormat="1">
      <c r="CF25901" s="239"/>
      <c r="CM25901" s="336"/>
    </row>
    <row r="25902" spans="84:91" s="51" customFormat="1">
      <c r="CF25902" s="239"/>
      <c r="CM25902" s="336"/>
    </row>
    <row r="25903" spans="84:91" s="51" customFormat="1">
      <c r="CF25903" s="239"/>
      <c r="CM25903" s="336"/>
    </row>
    <row r="25904" spans="84:91" s="51" customFormat="1">
      <c r="CF25904" s="239"/>
      <c r="CM25904" s="336"/>
    </row>
    <row r="25905" spans="84:91" s="51" customFormat="1">
      <c r="CF25905" s="239"/>
      <c r="CM25905" s="336"/>
    </row>
    <row r="25906" spans="84:91" s="51" customFormat="1">
      <c r="CF25906" s="239"/>
      <c r="CM25906" s="336"/>
    </row>
    <row r="25907" spans="84:91" s="51" customFormat="1">
      <c r="CF25907" s="239"/>
      <c r="CM25907" s="336"/>
    </row>
    <row r="25908" spans="84:91" s="51" customFormat="1">
      <c r="CF25908" s="239"/>
      <c r="CM25908" s="336"/>
    </row>
    <row r="25909" spans="84:91" s="51" customFormat="1">
      <c r="CF25909" s="239"/>
      <c r="CM25909" s="336"/>
    </row>
    <row r="25910" spans="84:91" s="51" customFormat="1">
      <c r="CF25910" s="239"/>
      <c r="CM25910" s="336"/>
    </row>
    <row r="25911" spans="84:91" s="51" customFormat="1">
      <c r="CF25911" s="239"/>
      <c r="CM25911" s="336"/>
    </row>
    <row r="25912" spans="84:91" s="51" customFormat="1">
      <c r="CF25912" s="239"/>
      <c r="CM25912" s="336"/>
    </row>
    <row r="25913" spans="84:91" s="51" customFormat="1">
      <c r="CF25913" s="239"/>
      <c r="CM25913" s="336"/>
    </row>
    <row r="25914" spans="84:91" s="51" customFormat="1">
      <c r="CF25914" s="239"/>
      <c r="CM25914" s="336"/>
    </row>
    <row r="25915" spans="84:91" s="51" customFormat="1">
      <c r="CF25915" s="239"/>
      <c r="CM25915" s="336"/>
    </row>
    <row r="25916" spans="84:91" s="51" customFormat="1">
      <c r="CF25916" s="239"/>
      <c r="CM25916" s="336"/>
    </row>
    <row r="25917" spans="84:91" s="51" customFormat="1">
      <c r="CF25917" s="239"/>
      <c r="CM25917" s="336"/>
    </row>
    <row r="25918" spans="84:91" s="51" customFormat="1">
      <c r="CF25918" s="239"/>
      <c r="CM25918" s="336"/>
    </row>
    <row r="25919" spans="84:91" s="51" customFormat="1">
      <c r="CF25919" s="239"/>
      <c r="CM25919" s="336"/>
    </row>
    <row r="25920" spans="84:91" s="51" customFormat="1">
      <c r="CF25920" s="239"/>
      <c r="CM25920" s="336"/>
    </row>
    <row r="25921" spans="84:91" s="51" customFormat="1">
      <c r="CF25921" s="239"/>
      <c r="CM25921" s="336"/>
    </row>
    <row r="25922" spans="84:91" s="51" customFormat="1">
      <c r="CF25922" s="239"/>
      <c r="CM25922" s="336"/>
    </row>
    <row r="25923" spans="84:91" s="51" customFormat="1">
      <c r="CF25923" s="239"/>
      <c r="CM25923" s="336"/>
    </row>
    <row r="25924" spans="84:91" s="51" customFormat="1">
      <c r="CF25924" s="239"/>
      <c r="CM25924" s="336"/>
    </row>
    <row r="25925" spans="84:91" s="51" customFormat="1">
      <c r="CF25925" s="239"/>
      <c r="CM25925" s="336"/>
    </row>
    <row r="25926" spans="84:91" s="51" customFormat="1">
      <c r="CF25926" s="239"/>
      <c r="CM25926" s="336"/>
    </row>
    <row r="25927" spans="84:91" s="51" customFormat="1">
      <c r="CF25927" s="239"/>
      <c r="CM25927" s="336"/>
    </row>
    <row r="25928" spans="84:91" s="51" customFormat="1">
      <c r="CF25928" s="239"/>
      <c r="CM25928" s="336"/>
    </row>
    <row r="25929" spans="84:91" s="51" customFormat="1">
      <c r="CF25929" s="239"/>
      <c r="CM25929" s="336"/>
    </row>
    <row r="25930" spans="84:91" s="51" customFormat="1">
      <c r="CF25930" s="239"/>
      <c r="CM25930" s="336"/>
    </row>
    <row r="25931" spans="84:91" s="51" customFormat="1">
      <c r="CF25931" s="239"/>
      <c r="CM25931" s="336"/>
    </row>
    <row r="25932" spans="84:91" s="51" customFormat="1">
      <c r="CF25932" s="239"/>
      <c r="CM25932" s="336"/>
    </row>
    <row r="25933" spans="84:91" s="51" customFormat="1">
      <c r="CF25933" s="239"/>
      <c r="CM25933" s="336"/>
    </row>
    <row r="25934" spans="84:91" s="51" customFormat="1">
      <c r="CF25934" s="239"/>
      <c r="CM25934" s="336"/>
    </row>
    <row r="25935" spans="84:91" s="51" customFormat="1">
      <c r="CF25935" s="239"/>
      <c r="CM25935" s="336"/>
    </row>
    <row r="25936" spans="84:91" s="51" customFormat="1">
      <c r="CF25936" s="239"/>
      <c r="CM25936" s="336"/>
    </row>
    <row r="25937" spans="84:91" s="51" customFormat="1">
      <c r="CF25937" s="239"/>
      <c r="CM25937" s="336"/>
    </row>
    <row r="25938" spans="84:91" s="51" customFormat="1">
      <c r="CF25938" s="239"/>
      <c r="CM25938" s="336"/>
    </row>
    <row r="25939" spans="84:91" s="51" customFormat="1">
      <c r="CF25939" s="239"/>
      <c r="CM25939" s="336"/>
    </row>
    <row r="25940" spans="84:91" s="51" customFormat="1">
      <c r="CF25940" s="239"/>
      <c r="CM25940" s="336"/>
    </row>
    <row r="25941" spans="84:91" s="51" customFormat="1">
      <c r="CF25941" s="239"/>
      <c r="CM25941" s="336"/>
    </row>
    <row r="25942" spans="84:91" s="51" customFormat="1">
      <c r="CF25942" s="239"/>
      <c r="CM25942" s="336"/>
    </row>
    <row r="25943" spans="84:91" s="51" customFormat="1">
      <c r="CF25943" s="239"/>
      <c r="CM25943" s="336"/>
    </row>
    <row r="25944" spans="84:91" s="51" customFormat="1">
      <c r="CF25944" s="239"/>
      <c r="CM25944" s="336"/>
    </row>
    <row r="25945" spans="84:91" s="51" customFormat="1">
      <c r="CF25945" s="239"/>
      <c r="CM25945" s="336"/>
    </row>
    <row r="25946" spans="84:91" s="51" customFormat="1">
      <c r="CF25946" s="239"/>
      <c r="CM25946" s="336"/>
    </row>
    <row r="25947" spans="84:91" s="51" customFormat="1">
      <c r="CF25947" s="239"/>
      <c r="CM25947" s="336"/>
    </row>
    <row r="25948" spans="84:91" s="51" customFormat="1">
      <c r="CF25948" s="239"/>
      <c r="CM25948" s="336"/>
    </row>
    <row r="25949" spans="84:91" s="51" customFormat="1">
      <c r="CF25949" s="239"/>
      <c r="CM25949" s="336"/>
    </row>
    <row r="25950" spans="84:91" s="51" customFormat="1">
      <c r="CF25950" s="239"/>
      <c r="CM25950" s="336"/>
    </row>
    <row r="25951" spans="84:91" s="51" customFormat="1">
      <c r="CF25951" s="239"/>
      <c r="CM25951" s="336"/>
    </row>
    <row r="25952" spans="84:91" s="51" customFormat="1">
      <c r="CF25952" s="239"/>
      <c r="CM25952" s="336"/>
    </row>
    <row r="25953" spans="84:91" s="51" customFormat="1">
      <c r="CF25953" s="239"/>
      <c r="CM25953" s="336"/>
    </row>
    <row r="25954" spans="84:91" s="51" customFormat="1">
      <c r="CF25954" s="239"/>
      <c r="CM25954" s="336"/>
    </row>
    <row r="25955" spans="84:91" s="51" customFormat="1">
      <c r="CF25955" s="239"/>
      <c r="CM25955" s="336"/>
    </row>
    <row r="25956" spans="84:91" s="51" customFormat="1">
      <c r="CF25956" s="239"/>
      <c r="CM25956" s="336"/>
    </row>
    <row r="25957" spans="84:91" s="51" customFormat="1">
      <c r="CF25957" s="239"/>
      <c r="CM25957" s="336"/>
    </row>
    <row r="25958" spans="84:91" s="51" customFormat="1">
      <c r="CF25958" s="239"/>
      <c r="CM25958" s="336"/>
    </row>
    <row r="25959" spans="84:91" s="51" customFormat="1">
      <c r="CF25959" s="239"/>
      <c r="CM25959" s="336"/>
    </row>
    <row r="25960" spans="84:91" s="51" customFormat="1">
      <c r="CF25960" s="239"/>
      <c r="CM25960" s="336"/>
    </row>
    <row r="25961" spans="84:91" s="51" customFormat="1">
      <c r="CF25961" s="239"/>
      <c r="CM25961" s="336"/>
    </row>
    <row r="25962" spans="84:91" s="51" customFormat="1">
      <c r="CF25962" s="239"/>
      <c r="CM25962" s="336"/>
    </row>
    <row r="25963" spans="84:91" s="51" customFormat="1">
      <c r="CF25963" s="239"/>
      <c r="CM25963" s="336"/>
    </row>
    <row r="25964" spans="84:91" s="51" customFormat="1">
      <c r="CF25964" s="239"/>
      <c r="CM25964" s="336"/>
    </row>
    <row r="25965" spans="84:91" s="51" customFormat="1">
      <c r="CF25965" s="239"/>
      <c r="CM25965" s="336"/>
    </row>
    <row r="25966" spans="84:91" s="51" customFormat="1">
      <c r="CF25966" s="239"/>
      <c r="CM25966" s="336"/>
    </row>
    <row r="25967" spans="84:91" s="51" customFormat="1">
      <c r="CF25967" s="239"/>
      <c r="CM25967" s="336"/>
    </row>
    <row r="25968" spans="84:91" s="51" customFormat="1">
      <c r="CF25968" s="239"/>
      <c r="CM25968" s="336"/>
    </row>
    <row r="25969" spans="84:91" s="51" customFormat="1">
      <c r="CF25969" s="239"/>
      <c r="CM25969" s="336"/>
    </row>
    <row r="25970" spans="84:91" s="51" customFormat="1">
      <c r="CF25970" s="239"/>
      <c r="CM25970" s="336"/>
    </row>
    <row r="25971" spans="84:91" s="51" customFormat="1">
      <c r="CF25971" s="239"/>
      <c r="CM25971" s="336"/>
    </row>
    <row r="25972" spans="84:91" s="51" customFormat="1">
      <c r="CF25972" s="239"/>
      <c r="CM25972" s="336"/>
    </row>
    <row r="25973" spans="84:91" s="51" customFormat="1">
      <c r="CF25973" s="239"/>
      <c r="CM25973" s="336"/>
    </row>
    <row r="25974" spans="84:91" s="51" customFormat="1">
      <c r="CF25974" s="239"/>
      <c r="CM25974" s="336"/>
    </row>
    <row r="25975" spans="84:91" s="51" customFormat="1">
      <c r="CF25975" s="239"/>
      <c r="CM25975" s="336"/>
    </row>
    <row r="25976" spans="84:91" s="51" customFormat="1">
      <c r="CF25976" s="239"/>
      <c r="CM25976" s="336"/>
    </row>
    <row r="25977" spans="84:91" s="51" customFormat="1">
      <c r="CF25977" s="239"/>
      <c r="CM25977" s="336"/>
    </row>
    <row r="25978" spans="84:91" s="51" customFormat="1">
      <c r="CF25978" s="239"/>
      <c r="CM25978" s="336"/>
    </row>
    <row r="25979" spans="84:91" s="51" customFormat="1">
      <c r="CF25979" s="239"/>
      <c r="CM25979" s="336"/>
    </row>
    <row r="25980" spans="84:91" s="51" customFormat="1">
      <c r="CF25980" s="239"/>
      <c r="CM25980" s="336"/>
    </row>
    <row r="25981" spans="84:91" s="51" customFormat="1">
      <c r="CF25981" s="239"/>
      <c r="CM25981" s="336"/>
    </row>
    <row r="25982" spans="84:91" s="51" customFormat="1">
      <c r="CF25982" s="239"/>
      <c r="CM25982" s="336"/>
    </row>
    <row r="25983" spans="84:91" s="51" customFormat="1">
      <c r="CF25983" s="239"/>
      <c r="CM25983" s="336"/>
    </row>
    <row r="25984" spans="84:91" s="51" customFormat="1">
      <c r="CF25984" s="239"/>
      <c r="CM25984" s="336"/>
    </row>
    <row r="25985" spans="84:91" s="51" customFormat="1">
      <c r="CF25985" s="239"/>
      <c r="CM25985" s="336"/>
    </row>
    <row r="25986" spans="84:91" s="51" customFormat="1">
      <c r="CF25986" s="239"/>
      <c r="CM25986" s="336"/>
    </row>
    <row r="25987" spans="84:91" s="51" customFormat="1">
      <c r="CF25987" s="239"/>
      <c r="CM25987" s="336"/>
    </row>
    <row r="25988" spans="84:91" s="51" customFormat="1">
      <c r="CF25988" s="239"/>
      <c r="CM25988" s="336"/>
    </row>
    <row r="25989" spans="84:91" s="51" customFormat="1">
      <c r="CF25989" s="239"/>
      <c r="CM25989" s="336"/>
    </row>
    <row r="25990" spans="84:91" s="51" customFormat="1">
      <c r="CF25990" s="239"/>
      <c r="CM25990" s="336"/>
    </row>
    <row r="25991" spans="84:91" s="51" customFormat="1">
      <c r="CF25991" s="239"/>
      <c r="CM25991" s="336"/>
    </row>
    <row r="25992" spans="84:91" s="51" customFormat="1">
      <c r="CF25992" s="239"/>
      <c r="CM25992" s="336"/>
    </row>
    <row r="25993" spans="84:91" s="51" customFormat="1">
      <c r="CF25993" s="239"/>
      <c r="CM25993" s="336"/>
    </row>
    <row r="25994" spans="84:91" s="51" customFormat="1">
      <c r="CF25994" s="239"/>
      <c r="CM25994" s="336"/>
    </row>
    <row r="25995" spans="84:91" s="51" customFormat="1">
      <c r="CF25995" s="239"/>
      <c r="CM25995" s="336"/>
    </row>
    <row r="25996" spans="84:91" s="51" customFormat="1">
      <c r="CF25996" s="239"/>
      <c r="CM25996" s="336"/>
    </row>
    <row r="25997" spans="84:91" s="51" customFormat="1">
      <c r="CF25997" s="239"/>
      <c r="CM25997" s="336"/>
    </row>
    <row r="25998" spans="84:91" s="51" customFormat="1">
      <c r="CF25998" s="239"/>
      <c r="CM25998" s="336"/>
    </row>
    <row r="25999" spans="84:91" s="51" customFormat="1">
      <c r="CF25999" s="239"/>
      <c r="CM25999" s="336"/>
    </row>
    <row r="26000" spans="84:91" s="51" customFormat="1">
      <c r="CF26000" s="239"/>
      <c r="CM26000" s="336"/>
    </row>
    <row r="26001" spans="84:91" s="51" customFormat="1">
      <c r="CF26001" s="239"/>
      <c r="CM26001" s="336"/>
    </row>
    <row r="26002" spans="84:91" s="51" customFormat="1">
      <c r="CF26002" s="239"/>
      <c r="CM26002" s="336"/>
    </row>
    <row r="26003" spans="84:91" s="51" customFormat="1">
      <c r="CF26003" s="239"/>
      <c r="CM26003" s="336"/>
    </row>
    <row r="26004" spans="84:91" s="51" customFormat="1">
      <c r="CF26004" s="239"/>
      <c r="CM26004" s="336"/>
    </row>
    <row r="26005" spans="84:91" s="51" customFormat="1">
      <c r="CF26005" s="239"/>
      <c r="CM26005" s="336"/>
    </row>
    <row r="26006" spans="84:91" s="51" customFormat="1">
      <c r="CF26006" s="239"/>
      <c r="CM26006" s="336"/>
    </row>
    <row r="26007" spans="84:91" s="51" customFormat="1">
      <c r="CF26007" s="239"/>
      <c r="CM26007" s="336"/>
    </row>
    <row r="26008" spans="84:91" s="51" customFormat="1">
      <c r="CF26008" s="239"/>
      <c r="CM26008" s="336"/>
    </row>
    <row r="26009" spans="84:91" s="51" customFormat="1">
      <c r="CF26009" s="239"/>
      <c r="CM26009" s="336"/>
    </row>
    <row r="26010" spans="84:91" s="51" customFormat="1">
      <c r="CF26010" s="239"/>
      <c r="CM26010" s="336"/>
    </row>
    <row r="26011" spans="84:91" s="51" customFormat="1">
      <c r="CF26011" s="239"/>
      <c r="CM26011" s="336"/>
    </row>
    <row r="26012" spans="84:91" s="51" customFormat="1">
      <c r="CF26012" s="239"/>
      <c r="CM26012" s="336"/>
    </row>
    <row r="26013" spans="84:91" s="51" customFormat="1">
      <c r="CF26013" s="239"/>
      <c r="CM26013" s="336"/>
    </row>
    <row r="26014" spans="84:91" s="51" customFormat="1">
      <c r="CF26014" s="239"/>
      <c r="CM26014" s="336"/>
    </row>
    <row r="26015" spans="84:91" s="51" customFormat="1">
      <c r="CF26015" s="239"/>
      <c r="CM26015" s="336"/>
    </row>
    <row r="26016" spans="84:91" s="51" customFormat="1">
      <c r="CF26016" s="239"/>
      <c r="CM26016" s="336"/>
    </row>
    <row r="26017" spans="84:91" s="51" customFormat="1">
      <c r="CF26017" s="239"/>
      <c r="CM26017" s="336"/>
    </row>
    <row r="26018" spans="84:91" s="51" customFormat="1">
      <c r="CF26018" s="239"/>
      <c r="CM26018" s="336"/>
    </row>
    <row r="26019" spans="84:91" s="51" customFormat="1">
      <c r="CF26019" s="239"/>
      <c r="CM26019" s="336"/>
    </row>
    <row r="26020" spans="84:91" s="51" customFormat="1">
      <c r="CF26020" s="239"/>
      <c r="CM26020" s="336"/>
    </row>
    <row r="26021" spans="84:91" s="51" customFormat="1">
      <c r="CF26021" s="239"/>
      <c r="CM26021" s="336"/>
    </row>
    <row r="26022" spans="84:91" s="51" customFormat="1">
      <c r="CF26022" s="239"/>
      <c r="CM26022" s="336"/>
    </row>
    <row r="26023" spans="84:91" s="51" customFormat="1">
      <c r="CF26023" s="239"/>
      <c r="CM26023" s="336"/>
    </row>
    <row r="26024" spans="84:91" s="51" customFormat="1">
      <c r="CF26024" s="239"/>
      <c r="CM26024" s="336"/>
    </row>
    <row r="26025" spans="84:91" s="51" customFormat="1">
      <c r="CF26025" s="239"/>
      <c r="CM26025" s="336"/>
    </row>
    <row r="26026" spans="84:91" s="51" customFormat="1">
      <c r="CF26026" s="239"/>
      <c r="CM26026" s="336"/>
    </row>
    <row r="26027" spans="84:91" s="51" customFormat="1">
      <c r="CF26027" s="239"/>
      <c r="CM26027" s="336"/>
    </row>
    <row r="26028" spans="84:91" s="51" customFormat="1">
      <c r="CF26028" s="239"/>
      <c r="CM26028" s="336"/>
    </row>
    <row r="26029" spans="84:91" s="51" customFormat="1">
      <c r="CF26029" s="239"/>
      <c r="CM26029" s="336"/>
    </row>
    <row r="26030" spans="84:91" s="51" customFormat="1">
      <c r="CF26030" s="239"/>
      <c r="CM26030" s="336"/>
    </row>
    <row r="26031" spans="84:91" s="51" customFormat="1">
      <c r="CF26031" s="239"/>
      <c r="CM26031" s="336"/>
    </row>
    <row r="26032" spans="84:91" s="51" customFormat="1">
      <c r="CF26032" s="239"/>
      <c r="CM26032" s="336"/>
    </row>
    <row r="26033" spans="84:91" s="51" customFormat="1">
      <c r="CF26033" s="239"/>
      <c r="CM26033" s="336"/>
    </row>
    <row r="26034" spans="84:91" s="51" customFormat="1">
      <c r="CF26034" s="239"/>
      <c r="CM26034" s="336"/>
    </row>
    <row r="26035" spans="84:91" s="51" customFormat="1">
      <c r="CF26035" s="239"/>
      <c r="CM26035" s="336"/>
    </row>
    <row r="26036" spans="84:91" s="51" customFormat="1">
      <c r="CF26036" s="239"/>
      <c r="CM26036" s="336"/>
    </row>
    <row r="26037" spans="84:91" s="51" customFormat="1">
      <c r="CF26037" s="239"/>
      <c r="CM26037" s="336"/>
    </row>
    <row r="26038" spans="84:91" s="51" customFormat="1">
      <c r="CF26038" s="239"/>
      <c r="CM26038" s="336"/>
    </row>
    <row r="26039" spans="84:91" s="51" customFormat="1">
      <c r="CF26039" s="239"/>
      <c r="CM26039" s="336"/>
    </row>
    <row r="26040" spans="84:91" s="51" customFormat="1">
      <c r="CF26040" s="239"/>
      <c r="CM26040" s="336"/>
    </row>
    <row r="26041" spans="84:91" s="51" customFormat="1">
      <c r="CF26041" s="239"/>
      <c r="CM26041" s="336"/>
    </row>
    <row r="26042" spans="84:91" s="51" customFormat="1">
      <c r="CF26042" s="239"/>
      <c r="CM26042" s="336"/>
    </row>
    <row r="26043" spans="84:91" s="51" customFormat="1">
      <c r="CF26043" s="239"/>
      <c r="CM26043" s="336"/>
    </row>
    <row r="26044" spans="84:91" s="51" customFormat="1">
      <c r="CF26044" s="239"/>
      <c r="CM26044" s="336"/>
    </row>
    <row r="26045" spans="84:91" s="51" customFormat="1">
      <c r="CF26045" s="239"/>
      <c r="CM26045" s="336"/>
    </row>
    <row r="26046" spans="84:91" s="51" customFormat="1">
      <c r="CF26046" s="239"/>
      <c r="CM26046" s="336"/>
    </row>
    <row r="26047" spans="84:91" s="51" customFormat="1">
      <c r="CF26047" s="239"/>
      <c r="CM26047" s="336"/>
    </row>
    <row r="26048" spans="84:91" s="51" customFormat="1">
      <c r="CF26048" s="239"/>
      <c r="CM26048" s="336"/>
    </row>
    <row r="26049" spans="84:91" s="51" customFormat="1">
      <c r="CF26049" s="239"/>
      <c r="CM26049" s="336"/>
    </row>
    <row r="26050" spans="84:91" s="51" customFormat="1">
      <c r="CF26050" s="239"/>
      <c r="CM26050" s="336"/>
    </row>
    <row r="26051" spans="84:91" s="51" customFormat="1">
      <c r="CF26051" s="239"/>
      <c r="CM26051" s="336"/>
    </row>
    <row r="26052" spans="84:91" s="51" customFormat="1">
      <c r="CF26052" s="239"/>
      <c r="CM26052" s="336"/>
    </row>
    <row r="26053" spans="84:91" s="51" customFormat="1">
      <c r="CF26053" s="239"/>
      <c r="CM26053" s="336"/>
    </row>
    <row r="26054" spans="84:91" s="51" customFormat="1">
      <c r="CF26054" s="239"/>
      <c r="CM26054" s="336"/>
    </row>
    <row r="26055" spans="84:91" s="51" customFormat="1">
      <c r="CF26055" s="239"/>
      <c r="CM26055" s="336"/>
    </row>
    <row r="26056" spans="84:91" s="51" customFormat="1">
      <c r="CF26056" s="239"/>
      <c r="CM26056" s="336"/>
    </row>
    <row r="26057" spans="84:91" s="51" customFormat="1">
      <c r="CF26057" s="239"/>
      <c r="CM26057" s="336"/>
    </row>
    <row r="26058" spans="84:91" s="51" customFormat="1">
      <c r="CF26058" s="239"/>
      <c r="CM26058" s="336"/>
    </row>
    <row r="26059" spans="84:91" s="51" customFormat="1">
      <c r="CF26059" s="239"/>
      <c r="CM26059" s="336"/>
    </row>
    <row r="26060" spans="84:91" s="51" customFormat="1">
      <c r="CF26060" s="239"/>
      <c r="CM26060" s="336"/>
    </row>
    <row r="26061" spans="84:91" s="51" customFormat="1">
      <c r="CF26061" s="239"/>
      <c r="CM26061" s="336"/>
    </row>
    <row r="26062" spans="84:91" s="51" customFormat="1">
      <c r="CF26062" s="239"/>
      <c r="CM26062" s="336"/>
    </row>
    <row r="26063" spans="84:91" s="51" customFormat="1">
      <c r="CF26063" s="239"/>
      <c r="CM26063" s="336"/>
    </row>
    <row r="26064" spans="84:91" s="51" customFormat="1">
      <c r="CF26064" s="239"/>
      <c r="CM26064" s="336"/>
    </row>
    <row r="26065" spans="84:91" s="51" customFormat="1">
      <c r="CF26065" s="239"/>
      <c r="CM26065" s="336"/>
    </row>
    <row r="26066" spans="84:91" s="51" customFormat="1">
      <c r="CF26066" s="239"/>
      <c r="CM26066" s="336"/>
    </row>
    <row r="26067" spans="84:91" s="51" customFormat="1">
      <c r="CF26067" s="239"/>
      <c r="CM26067" s="336"/>
    </row>
    <row r="26068" spans="84:91" s="51" customFormat="1">
      <c r="CF26068" s="239"/>
      <c r="CM26068" s="336"/>
    </row>
    <row r="26069" spans="84:91" s="51" customFormat="1">
      <c r="CF26069" s="239"/>
      <c r="CM26069" s="336"/>
    </row>
    <row r="26070" spans="84:91" s="51" customFormat="1">
      <c r="CF26070" s="239"/>
      <c r="CM26070" s="336"/>
    </row>
    <row r="26071" spans="84:91" s="51" customFormat="1">
      <c r="CF26071" s="239"/>
      <c r="CM26071" s="336"/>
    </row>
    <row r="26072" spans="84:91" s="51" customFormat="1">
      <c r="CF26072" s="239"/>
      <c r="CM26072" s="336"/>
    </row>
    <row r="26073" spans="84:91" s="51" customFormat="1">
      <c r="CF26073" s="239"/>
      <c r="CM26073" s="336"/>
    </row>
    <row r="26074" spans="84:91" s="51" customFormat="1">
      <c r="CF26074" s="239"/>
      <c r="CM26074" s="336"/>
    </row>
    <row r="26075" spans="84:91" s="51" customFormat="1">
      <c r="CF26075" s="239"/>
      <c r="CM26075" s="336"/>
    </row>
    <row r="26076" spans="84:91" s="51" customFormat="1">
      <c r="CF26076" s="239"/>
      <c r="CM26076" s="336"/>
    </row>
    <row r="26077" spans="84:91" s="51" customFormat="1">
      <c r="CF26077" s="239"/>
      <c r="CM26077" s="336"/>
    </row>
    <row r="26078" spans="84:91" s="51" customFormat="1">
      <c r="CF26078" s="239"/>
      <c r="CM26078" s="336"/>
    </row>
    <row r="26079" spans="84:91" s="51" customFormat="1">
      <c r="CF26079" s="239"/>
      <c r="CM26079" s="336"/>
    </row>
    <row r="26080" spans="84:91" s="51" customFormat="1">
      <c r="CF26080" s="239"/>
      <c r="CM26080" s="336"/>
    </row>
    <row r="26081" spans="84:91" s="51" customFormat="1">
      <c r="CF26081" s="239"/>
      <c r="CM26081" s="336"/>
    </row>
    <row r="26082" spans="84:91" s="51" customFormat="1">
      <c r="CF26082" s="239"/>
      <c r="CM26082" s="336"/>
    </row>
    <row r="26083" spans="84:91" s="51" customFormat="1">
      <c r="CF26083" s="239"/>
      <c r="CM26083" s="336"/>
    </row>
    <row r="26084" spans="84:91" s="51" customFormat="1">
      <c r="CF26084" s="239"/>
      <c r="CM26084" s="336"/>
    </row>
    <row r="26085" spans="84:91" s="51" customFormat="1">
      <c r="CF26085" s="239"/>
      <c r="CM26085" s="336"/>
    </row>
    <row r="26086" spans="84:91" s="51" customFormat="1">
      <c r="CF26086" s="239"/>
      <c r="CM26086" s="336"/>
    </row>
    <row r="26087" spans="84:91" s="51" customFormat="1">
      <c r="CF26087" s="239"/>
      <c r="CM26087" s="336"/>
    </row>
    <row r="26088" spans="84:91" s="51" customFormat="1">
      <c r="CF26088" s="239"/>
      <c r="CM26088" s="336"/>
    </row>
    <row r="26089" spans="84:91" s="51" customFormat="1">
      <c r="CF26089" s="239"/>
      <c r="CM26089" s="336"/>
    </row>
    <row r="26090" spans="84:91" s="51" customFormat="1">
      <c r="CF26090" s="239"/>
      <c r="CM26090" s="336"/>
    </row>
    <row r="26091" spans="84:91" s="51" customFormat="1">
      <c r="CF26091" s="239"/>
      <c r="CM26091" s="336"/>
    </row>
    <row r="26092" spans="84:91" s="51" customFormat="1">
      <c r="CF26092" s="239"/>
      <c r="CM26092" s="336"/>
    </row>
    <row r="26093" spans="84:91" s="51" customFormat="1">
      <c r="CF26093" s="239"/>
      <c r="CM26093" s="336"/>
    </row>
    <row r="26094" spans="84:91" s="51" customFormat="1">
      <c r="CF26094" s="239"/>
      <c r="CM26094" s="336"/>
    </row>
    <row r="26095" spans="84:91" s="51" customFormat="1">
      <c r="CF26095" s="239"/>
      <c r="CM26095" s="336"/>
    </row>
    <row r="26096" spans="84:91" s="51" customFormat="1">
      <c r="CF26096" s="239"/>
      <c r="CM26096" s="336"/>
    </row>
    <row r="26097" spans="84:91" s="51" customFormat="1">
      <c r="CF26097" s="239"/>
      <c r="CM26097" s="336"/>
    </row>
    <row r="26098" spans="84:91" s="51" customFormat="1">
      <c r="CF26098" s="239"/>
      <c r="CM26098" s="336"/>
    </row>
    <row r="26099" spans="84:91" s="51" customFormat="1">
      <c r="CF26099" s="239"/>
      <c r="CM26099" s="336"/>
    </row>
    <row r="26100" spans="84:91" s="51" customFormat="1">
      <c r="CF26100" s="239"/>
      <c r="CM26100" s="336"/>
    </row>
    <row r="26101" spans="84:91" s="51" customFormat="1">
      <c r="CF26101" s="239"/>
      <c r="CM26101" s="336"/>
    </row>
    <row r="26102" spans="84:91" s="51" customFormat="1">
      <c r="CF26102" s="239"/>
      <c r="CM26102" s="336"/>
    </row>
    <row r="26103" spans="84:91" s="51" customFormat="1">
      <c r="CF26103" s="239"/>
      <c r="CM26103" s="336"/>
    </row>
    <row r="26104" spans="84:91" s="51" customFormat="1">
      <c r="CF26104" s="239"/>
      <c r="CM26104" s="336"/>
    </row>
    <row r="26105" spans="84:91" s="51" customFormat="1">
      <c r="CF26105" s="239"/>
      <c r="CM26105" s="336"/>
    </row>
    <row r="26106" spans="84:91" s="51" customFormat="1">
      <c r="CF26106" s="239"/>
      <c r="CM26106" s="336"/>
    </row>
    <row r="26107" spans="84:91" s="51" customFormat="1">
      <c r="CF26107" s="239"/>
      <c r="CM26107" s="336"/>
    </row>
    <row r="26108" spans="84:91" s="51" customFormat="1">
      <c r="CF26108" s="239"/>
      <c r="CM26108" s="336"/>
    </row>
    <row r="26109" spans="84:91" s="51" customFormat="1">
      <c r="CF26109" s="239"/>
      <c r="CM26109" s="336"/>
    </row>
    <row r="26110" spans="84:91" s="51" customFormat="1">
      <c r="CF26110" s="239"/>
      <c r="CM26110" s="336"/>
    </row>
    <row r="26111" spans="84:91" s="51" customFormat="1">
      <c r="CF26111" s="239"/>
      <c r="CM26111" s="336"/>
    </row>
    <row r="26112" spans="84:91" s="51" customFormat="1">
      <c r="CF26112" s="239"/>
      <c r="CM26112" s="336"/>
    </row>
    <row r="26113" spans="84:91" s="51" customFormat="1">
      <c r="CF26113" s="239"/>
      <c r="CM26113" s="336"/>
    </row>
    <row r="26114" spans="84:91" s="51" customFormat="1">
      <c r="CF26114" s="239"/>
      <c r="CM26114" s="336"/>
    </row>
    <row r="26115" spans="84:91" s="51" customFormat="1">
      <c r="CF26115" s="239"/>
      <c r="CM26115" s="336"/>
    </row>
    <row r="26116" spans="84:91" s="51" customFormat="1">
      <c r="CF26116" s="239"/>
      <c r="CM26116" s="336"/>
    </row>
    <row r="26117" spans="84:91" s="51" customFormat="1">
      <c r="CF26117" s="239"/>
      <c r="CM26117" s="336"/>
    </row>
    <row r="26118" spans="84:91" s="51" customFormat="1">
      <c r="CF26118" s="239"/>
      <c r="CM26118" s="336"/>
    </row>
    <row r="26119" spans="84:91" s="51" customFormat="1">
      <c r="CF26119" s="239"/>
      <c r="CM26119" s="336"/>
    </row>
    <row r="26120" spans="84:91" s="51" customFormat="1">
      <c r="CF26120" s="239"/>
      <c r="CM26120" s="336"/>
    </row>
    <row r="26121" spans="84:91" s="51" customFormat="1">
      <c r="CF26121" s="239"/>
      <c r="CM26121" s="336"/>
    </row>
    <row r="26122" spans="84:91" s="51" customFormat="1">
      <c r="CF26122" s="239"/>
      <c r="CM26122" s="336"/>
    </row>
    <row r="26123" spans="84:91" s="51" customFormat="1">
      <c r="CF26123" s="239"/>
      <c r="CM26123" s="336"/>
    </row>
    <row r="26124" spans="84:91" s="51" customFormat="1">
      <c r="CF26124" s="239"/>
      <c r="CM26124" s="336"/>
    </row>
    <row r="26125" spans="84:91" s="51" customFormat="1">
      <c r="CF26125" s="239"/>
      <c r="CM26125" s="336"/>
    </row>
    <row r="26126" spans="84:91" s="51" customFormat="1">
      <c r="CF26126" s="239"/>
      <c r="CM26126" s="336"/>
    </row>
    <row r="26127" spans="84:91" s="51" customFormat="1">
      <c r="CF26127" s="239"/>
      <c r="CM26127" s="336"/>
    </row>
    <row r="26128" spans="84:91" s="51" customFormat="1">
      <c r="CF26128" s="239"/>
      <c r="CM26128" s="336"/>
    </row>
    <row r="26129" spans="84:91" s="51" customFormat="1">
      <c r="CF26129" s="239"/>
      <c r="CM26129" s="336"/>
    </row>
    <row r="26130" spans="84:91" s="51" customFormat="1">
      <c r="CF26130" s="239"/>
      <c r="CM26130" s="336"/>
    </row>
    <row r="26131" spans="84:91" s="51" customFormat="1">
      <c r="CF26131" s="239"/>
      <c r="CM26131" s="336"/>
    </row>
    <row r="26132" spans="84:91" s="51" customFormat="1">
      <c r="CF26132" s="239"/>
      <c r="CM26132" s="336"/>
    </row>
    <row r="26133" spans="84:91" s="51" customFormat="1">
      <c r="CF26133" s="239"/>
      <c r="CM26133" s="336"/>
    </row>
    <row r="26134" spans="84:91" s="51" customFormat="1">
      <c r="CF26134" s="239"/>
      <c r="CM26134" s="336"/>
    </row>
    <row r="26135" spans="84:91" s="51" customFormat="1">
      <c r="CF26135" s="239"/>
      <c r="CM26135" s="336"/>
    </row>
    <row r="26136" spans="84:91" s="51" customFormat="1">
      <c r="CF26136" s="239"/>
      <c r="CM26136" s="336"/>
    </row>
    <row r="26137" spans="84:91" s="51" customFormat="1">
      <c r="CF26137" s="239"/>
      <c r="CM26137" s="336"/>
    </row>
    <row r="26138" spans="84:91" s="51" customFormat="1">
      <c r="CF26138" s="239"/>
      <c r="CM26138" s="336"/>
    </row>
    <row r="26139" spans="84:91" s="51" customFormat="1">
      <c r="CF26139" s="239"/>
      <c r="CM26139" s="336"/>
    </row>
    <row r="26140" spans="84:91" s="51" customFormat="1">
      <c r="CF26140" s="239"/>
      <c r="CM26140" s="336"/>
    </row>
    <row r="26141" spans="84:91" s="51" customFormat="1">
      <c r="CF26141" s="239"/>
      <c r="CM26141" s="336"/>
    </row>
    <row r="26142" spans="84:91" s="51" customFormat="1">
      <c r="CF26142" s="239"/>
      <c r="CM26142" s="336"/>
    </row>
    <row r="26143" spans="84:91" s="51" customFormat="1">
      <c r="CF26143" s="239"/>
      <c r="CM26143" s="336"/>
    </row>
    <row r="26144" spans="84:91" s="51" customFormat="1">
      <c r="CF26144" s="239"/>
      <c r="CM26144" s="336"/>
    </row>
    <row r="26145" spans="84:91" s="51" customFormat="1">
      <c r="CF26145" s="239"/>
      <c r="CM26145" s="336"/>
    </row>
    <row r="26146" spans="84:91" s="51" customFormat="1">
      <c r="CF26146" s="239"/>
      <c r="CM26146" s="336"/>
    </row>
    <row r="26147" spans="84:91" s="51" customFormat="1">
      <c r="CF26147" s="239"/>
      <c r="CM26147" s="336"/>
    </row>
    <row r="26148" spans="84:91" s="51" customFormat="1">
      <c r="CF26148" s="239"/>
      <c r="CM26148" s="336"/>
    </row>
    <row r="26149" spans="84:91" s="51" customFormat="1">
      <c r="CF26149" s="239"/>
      <c r="CM26149" s="336"/>
    </row>
    <row r="26150" spans="84:91" s="51" customFormat="1">
      <c r="CF26150" s="239"/>
      <c r="CM26150" s="336"/>
    </row>
    <row r="26151" spans="84:91" s="51" customFormat="1">
      <c r="CF26151" s="239"/>
      <c r="CM26151" s="336"/>
    </row>
    <row r="26152" spans="84:91" s="51" customFormat="1">
      <c r="CF26152" s="239"/>
      <c r="CM26152" s="336"/>
    </row>
    <row r="26153" spans="84:91" s="51" customFormat="1">
      <c r="CF26153" s="239"/>
      <c r="CM26153" s="336"/>
    </row>
    <row r="26154" spans="84:91" s="51" customFormat="1">
      <c r="CF26154" s="239"/>
      <c r="CM26154" s="336"/>
    </row>
    <row r="26155" spans="84:91" s="51" customFormat="1">
      <c r="CF26155" s="239"/>
      <c r="CM26155" s="336"/>
    </row>
    <row r="26156" spans="84:91" s="51" customFormat="1">
      <c r="CF26156" s="239"/>
      <c r="CM26156" s="336"/>
    </row>
    <row r="26157" spans="84:91" s="51" customFormat="1">
      <c r="CF26157" s="239"/>
      <c r="CM26157" s="336"/>
    </row>
    <row r="26158" spans="84:91" s="51" customFormat="1">
      <c r="CF26158" s="239"/>
      <c r="CM26158" s="336"/>
    </row>
    <row r="26159" spans="84:91" s="51" customFormat="1">
      <c r="CF26159" s="239"/>
      <c r="CM26159" s="336"/>
    </row>
    <row r="26160" spans="84:91" s="51" customFormat="1">
      <c r="CF26160" s="239"/>
      <c r="CM26160" s="336"/>
    </row>
    <row r="26161" spans="84:91" s="51" customFormat="1">
      <c r="CF26161" s="239"/>
      <c r="CM26161" s="336"/>
    </row>
    <row r="26162" spans="84:91" s="51" customFormat="1">
      <c r="CF26162" s="239"/>
      <c r="CM26162" s="336"/>
    </row>
    <row r="26163" spans="84:91" s="51" customFormat="1">
      <c r="CF26163" s="239"/>
      <c r="CM26163" s="336"/>
    </row>
    <row r="26164" spans="84:91" s="51" customFormat="1">
      <c r="CF26164" s="239"/>
      <c r="CM26164" s="336"/>
    </row>
    <row r="26165" spans="84:91" s="51" customFormat="1">
      <c r="CF26165" s="239"/>
      <c r="CM26165" s="336"/>
    </row>
    <row r="26166" spans="84:91" s="51" customFormat="1">
      <c r="CF26166" s="239"/>
      <c r="CM26166" s="336"/>
    </row>
    <row r="26167" spans="84:91" s="51" customFormat="1">
      <c r="CF26167" s="239"/>
      <c r="CM26167" s="336"/>
    </row>
    <row r="26168" spans="84:91" s="51" customFormat="1">
      <c r="CF26168" s="239"/>
      <c r="CM26168" s="336"/>
    </row>
    <row r="26169" spans="84:91" s="51" customFormat="1">
      <c r="CF26169" s="239"/>
      <c r="CM26169" s="336"/>
    </row>
    <row r="26170" spans="84:91" s="51" customFormat="1">
      <c r="CF26170" s="239"/>
      <c r="CM26170" s="336"/>
    </row>
    <row r="26171" spans="84:91" s="51" customFormat="1">
      <c r="CF26171" s="239"/>
      <c r="CM26171" s="336"/>
    </row>
    <row r="26172" spans="84:91" s="51" customFormat="1">
      <c r="CF26172" s="239"/>
      <c r="CM26172" s="336"/>
    </row>
    <row r="26173" spans="84:91" s="51" customFormat="1">
      <c r="CF26173" s="239"/>
      <c r="CM26173" s="336"/>
    </row>
    <row r="26174" spans="84:91" s="51" customFormat="1">
      <c r="CF26174" s="239"/>
      <c r="CM26174" s="336"/>
    </row>
    <row r="26175" spans="84:91" s="51" customFormat="1">
      <c r="CF26175" s="239"/>
      <c r="CM26175" s="336"/>
    </row>
    <row r="26176" spans="84:91" s="51" customFormat="1">
      <c r="CF26176" s="239"/>
      <c r="CM26176" s="336"/>
    </row>
    <row r="26177" spans="84:91" s="51" customFormat="1">
      <c r="CF26177" s="239"/>
      <c r="CM26177" s="336"/>
    </row>
    <row r="26178" spans="84:91" s="51" customFormat="1">
      <c r="CF26178" s="239"/>
      <c r="CM26178" s="336"/>
    </row>
    <row r="26179" spans="84:91" s="51" customFormat="1">
      <c r="CF26179" s="239"/>
      <c r="CM26179" s="336"/>
    </row>
    <row r="26180" spans="84:91" s="51" customFormat="1">
      <c r="CF26180" s="239"/>
      <c r="CM26180" s="336"/>
    </row>
    <row r="26181" spans="84:91" s="51" customFormat="1">
      <c r="CF26181" s="239"/>
      <c r="CM26181" s="336"/>
    </row>
    <row r="26182" spans="84:91" s="51" customFormat="1">
      <c r="CF26182" s="239"/>
      <c r="CM26182" s="336"/>
    </row>
    <row r="26183" spans="84:91" s="51" customFormat="1">
      <c r="CF26183" s="239"/>
      <c r="CM26183" s="336"/>
    </row>
    <row r="26184" spans="84:91" s="51" customFormat="1">
      <c r="CF26184" s="239"/>
      <c r="CM26184" s="336"/>
    </row>
    <row r="26185" spans="84:91" s="51" customFormat="1">
      <c r="CF26185" s="239"/>
      <c r="CM26185" s="336"/>
    </row>
    <row r="26186" spans="84:91" s="51" customFormat="1">
      <c r="CF26186" s="239"/>
      <c r="CM26186" s="336"/>
    </row>
    <row r="26187" spans="84:91" s="51" customFormat="1">
      <c r="CF26187" s="239"/>
      <c r="CM26187" s="336"/>
    </row>
    <row r="26188" spans="84:91" s="51" customFormat="1">
      <c r="CF26188" s="239"/>
      <c r="CM26188" s="336"/>
    </row>
    <row r="26189" spans="84:91" s="51" customFormat="1">
      <c r="CF26189" s="239"/>
      <c r="CM26189" s="336"/>
    </row>
    <row r="26190" spans="84:91" s="51" customFormat="1">
      <c r="CF26190" s="239"/>
      <c r="CM26190" s="336"/>
    </row>
    <row r="26191" spans="84:91" s="51" customFormat="1">
      <c r="CF26191" s="239"/>
      <c r="CM26191" s="336"/>
    </row>
    <row r="26192" spans="84:91" s="51" customFormat="1">
      <c r="CF26192" s="239"/>
      <c r="CM26192" s="336"/>
    </row>
    <row r="26193" spans="84:91" s="51" customFormat="1">
      <c r="CF26193" s="239"/>
      <c r="CM26193" s="336"/>
    </row>
    <row r="26194" spans="84:91" s="51" customFormat="1">
      <c r="CF26194" s="239"/>
      <c r="CM26194" s="336"/>
    </row>
    <row r="26195" spans="84:91" s="51" customFormat="1">
      <c r="CF26195" s="239"/>
      <c r="CM26195" s="336"/>
    </row>
    <row r="26196" spans="84:91" s="51" customFormat="1">
      <c r="CF26196" s="239"/>
      <c r="CM26196" s="336"/>
    </row>
    <row r="26197" spans="84:91" s="51" customFormat="1">
      <c r="CF26197" s="239"/>
      <c r="CM26197" s="336"/>
    </row>
    <row r="26198" spans="84:91" s="51" customFormat="1">
      <c r="CF26198" s="239"/>
      <c r="CM26198" s="336"/>
    </row>
    <row r="26199" spans="84:91" s="51" customFormat="1">
      <c r="CF26199" s="239"/>
      <c r="CM26199" s="336"/>
    </row>
    <row r="26200" spans="84:91" s="51" customFormat="1">
      <c r="CF26200" s="239"/>
      <c r="CM26200" s="336"/>
    </row>
    <row r="26201" spans="84:91" s="51" customFormat="1">
      <c r="CF26201" s="239"/>
      <c r="CM26201" s="336"/>
    </row>
    <row r="26202" spans="84:91" s="51" customFormat="1">
      <c r="CF26202" s="239"/>
      <c r="CM26202" s="336"/>
    </row>
    <row r="26203" spans="84:91" s="51" customFormat="1">
      <c r="CF26203" s="239"/>
      <c r="CM26203" s="336"/>
    </row>
    <row r="26204" spans="84:91" s="51" customFormat="1">
      <c r="CF26204" s="239"/>
      <c r="CM26204" s="336"/>
    </row>
    <row r="26205" spans="84:91" s="51" customFormat="1">
      <c r="CF26205" s="239"/>
      <c r="CM26205" s="336"/>
    </row>
    <row r="26206" spans="84:91" s="51" customFormat="1">
      <c r="CF26206" s="239"/>
      <c r="CM26206" s="336"/>
    </row>
    <row r="26207" spans="84:91" s="51" customFormat="1">
      <c r="CF26207" s="239"/>
      <c r="CM26207" s="336"/>
    </row>
    <row r="26208" spans="84:91" s="51" customFormat="1">
      <c r="CF26208" s="239"/>
      <c r="CM26208" s="336"/>
    </row>
    <row r="26209" spans="84:91" s="51" customFormat="1">
      <c r="CF26209" s="239"/>
      <c r="CM26209" s="336"/>
    </row>
    <row r="26210" spans="84:91" s="51" customFormat="1">
      <c r="CF26210" s="239"/>
      <c r="CM26210" s="336"/>
    </row>
    <row r="26211" spans="84:91" s="51" customFormat="1">
      <c r="CF26211" s="239"/>
      <c r="CM26211" s="336"/>
    </row>
    <row r="26212" spans="84:91" s="51" customFormat="1">
      <c r="CF26212" s="239"/>
      <c r="CM26212" s="336"/>
    </row>
    <row r="26213" spans="84:91" s="51" customFormat="1">
      <c r="CF26213" s="239"/>
      <c r="CM26213" s="336"/>
    </row>
    <row r="26214" spans="84:91" s="51" customFormat="1">
      <c r="CF26214" s="239"/>
      <c r="CM26214" s="336"/>
    </row>
    <row r="26215" spans="84:91" s="51" customFormat="1">
      <c r="CF26215" s="239"/>
      <c r="CM26215" s="336"/>
    </row>
    <row r="26216" spans="84:91" s="51" customFormat="1">
      <c r="CF26216" s="239"/>
      <c r="CM26216" s="336"/>
    </row>
    <row r="26217" spans="84:91" s="51" customFormat="1">
      <c r="CF26217" s="239"/>
      <c r="CM26217" s="336"/>
    </row>
    <row r="26218" spans="84:91" s="51" customFormat="1">
      <c r="CF26218" s="239"/>
      <c r="CM26218" s="336"/>
    </row>
    <row r="26219" spans="84:91" s="51" customFormat="1">
      <c r="CF26219" s="239"/>
      <c r="CM26219" s="336"/>
    </row>
    <row r="26220" spans="84:91" s="51" customFormat="1">
      <c r="CF26220" s="239"/>
      <c r="CM26220" s="336"/>
    </row>
    <row r="26221" spans="84:91" s="51" customFormat="1">
      <c r="CF26221" s="239"/>
      <c r="CM26221" s="336"/>
    </row>
    <row r="26222" spans="84:91" s="51" customFormat="1">
      <c r="CF26222" s="239"/>
      <c r="CM26222" s="336"/>
    </row>
    <row r="26223" spans="84:91" s="51" customFormat="1">
      <c r="CF26223" s="239"/>
      <c r="CM26223" s="336"/>
    </row>
    <row r="26224" spans="84:91" s="51" customFormat="1">
      <c r="CF26224" s="239"/>
      <c r="CM26224" s="336"/>
    </row>
    <row r="26225" spans="84:91" s="51" customFormat="1">
      <c r="CF26225" s="239"/>
      <c r="CM26225" s="336"/>
    </row>
    <row r="26226" spans="84:91" s="51" customFormat="1">
      <c r="CF26226" s="239"/>
      <c r="CM26226" s="336"/>
    </row>
    <row r="26227" spans="84:91" s="51" customFormat="1">
      <c r="CF26227" s="239"/>
      <c r="CM26227" s="336"/>
    </row>
    <row r="26228" spans="84:91" s="51" customFormat="1">
      <c r="CF26228" s="239"/>
      <c r="CM26228" s="336"/>
    </row>
    <row r="26229" spans="84:91" s="51" customFormat="1">
      <c r="CF26229" s="239"/>
      <c r="CM26229" s="336"/>
    </row>
    <row r="26230" spans="84:91" s="51" customFormat="1">
      <c r="CF26230" s="239"/>
      <c r="CM26230" s="336"/>
    </row>
    <row r="26231" spans="84:91" s="51" customFormat="1">
      <c r="CF26231" s="239"/>
      <c r="CM26231" s="336"/>
    </row>
    <row r="26232" spans="84:91" s="51" customFormat="1">
      <c r="CF26232" s="239"/>
      <c r="CM26232" s="336"/>
    </row>
    <row r="26233" spans="84:91" s="51" customFormat="1">
      <c r="CF26233" s="239"/>
      <c r="CM26233" s="336"/>
    </row>
    <row r="26234" spans="84:91" s="51" customFormat="1">
      <c r="CF26234" s="239"/>
      <c r="CM26234" s="336"/>
    </row>
    <row r="26235" spans="84:91" s="51" customFormat="1">
      <c r="CF26235" s="239"/>
      <c r="CM26235" s="336"/>
    </row>
    <row r="26236" spans="84:91" s="51" customFormat="1">
      <c r="CF26236" s="239"/>
      <c r="CM26236" s="336"/>
    </row>
    <row r="26237" spans="84:91" s="51" customFormat="1">
      <c r="CF26237" s="239"/>
      <c r="CM26237" s="336"/>
    </row>
    <row r="26238" spans="84:91" s="51" customFormat="1">
      <c r="CF26238" s="239"/>
      <c r="CM26238" s="336"/>
    </row>
    <row r="26239" spans="84:91" s="51" customFormat="1">
      <c r="CF26239" s="239"/>
      <c r="CM26239" s="336"/>
    </row>
    <row r="26240" spans="84:91" s="51" customFormat="1">
      <c r="CF26240" s="239"/>
      <c r="CM26240" s="336"/>
    </row>
    <row r="26241" spans="84:91" s="51" customFormat="1">
      <c r="CF26241" s="239"/>
      <c r="CM26241" s="336"/>
    </row>
    <row r="26242" spans="84:91" s="51" customFormat="1">
      <c r="CF26242" s="239"/>
      <c r="CM26242" s="336"/>
    </row>
    <row r="26243" spans="84:91" s="51" customFormat="1">
      <c r="CF26243" s="239"/>
      <c r="CM26243" s="336"/>
    </row>
    <row r="26244" spans="84:91" s="51" customFormat="1">
      <c r="CF26244" s="239"/>
      <c r="CM26244" s="336"/>
    </row>
    <row r="26245" spans="84:91" s="51" customFormat="1">
      <c r="CF26245" s="239"/>
      <c r="CM26245" s="336"/>
    </row>
    <row r="26246" spans="84:91" s="51" customFormat="1">
      <c r="CF26246" s="239"/>
      <c r="CM26246" s="336"/>
    </row>
    <row r="26247" spans="84:91" s="51" customFormat="1">
      <c r="CF26247" s="239"/>
      <c r="CM26247" s="336"/>
    </row>
    <row r="26248" spans="84:91" s="51" customFormat="1">
      <c r="CF26248" s="239"/>
      <c r="CM26248" s="336"/>
    </row>
    <row r="26249" spans="84:91" s="51" customFormat="1">
      <c r="CF26249" s="239"/>
      <c r="CM26249" s="336"/>
    </row>
    <row r="26250" spans="84:91" s="51" customFormat="1">
      <c r="CF26250" s="239"/>
      <c r="CM26250" s="336"/>
    </row>
    <row r="26251" spans="84:91" s="51" customFormat="1">
      <c r="CF26251" s="239"/>
      <c r="CM26251" s="336"/>
    </row>
    <row r="26252" spans="84:91" s="51" customFormat="1">
      <c r="CF26252" s="239"/>
      <c r="CM26252" s="336"/>
    </row>
    <row r="26253" spans="84:91" s="51" customFormat="1">
      <c r="CF26253" s="239"/>
      <c r="CM26253" s="336"/>
    </row>
    <row r="26254" spans="84:91" s="51" customFormat="1">
      <c r="CF26254" s="239"/>
      <c r="CM26254" s="336"/>
    </row>
    <row r="26255" spans="84:91" s="51" customFormat="1">
      <c r="CF26255" s="239"/>
      <c r="CM26255" s="336"/>
    </row>
    <row r="26256" spans="84:91" s="51" customFormat="1">
      <c r="CF26256" s="239"/>
      <c r="CM26256" s="336"/>
    </row>
    <row r="26257" spans="84:91" s="51" customFormat="1">
      <c r="CF26257" s="239"/>
      <c r="CM26257" s="336"/>
    </row>
    <row r="26258" spans="84:91" s="51" customFormat="1">
      <c r="CF26258" s="239"/>
      <c r="CM26258" s="336"/>
    </row>
    <row r="26259" spans="84:91" s="51" customFormat="1">
      <c r="CF26259" s="239"/>
      <c r="CM26259" s="336"/>
    </row>
    <row r="26260" spans="84:91" s="51" customFormat="1">
      <c r="CF26260" s="239"/>
      <c r="CM26260" s="336"/>
    </row>
    <row r="26261" spans="84:91" s="51" customFormat="1">
      <c r="CF26261" s="239"/>
      <c r="CM26261" s="336"/>
    </row>
    <row r="26262" spans="84:91" s="51" customFormat="1">
      <c r="CF26262" s="239"/>
      <c r="CM26262" s="336"/>
    </row>
    <row r="26263" spans="84:91" s="51" customFormat="1">
      <c r="CF26263" s="239"/>
      <c r="CM26263" s="336"/>
    </row>
    <row r="26264" spans="84:91" s="51" customFormat="1">
      <c r="CF26264" s="239"/>
      <c r="CM26264" s="336"/>
    </row>
    <row r="26265" spans="84:91" s="51" customFormat="1">
      <c r="CF26265" s="239"/>
      <c r="CM26265" s="336"/>
    </row>
    <row r="26266" spans="84:91" s="51" customFormat="1">
      <c r="CF26266" s="239"/>
      <c r="CM26266" s="336"/>
    </row>
    <row r="26267" spans="84:91" s="51" customFormat="1">
      <c r="CF26267" s="239"/>
      <c r="CM26267" s="336"/>
    </row>
    <row r="26268" spans="84:91" s="51" customFormat="1">
      <c r="CF26268" s="239"/>
      <c r="CM26268" s="336"/>
    </row>
    <row r="26269" spans="84:91" s="51" customFormat="1">
      <c r="CF26269" s="239"/>
      <c r="CM26269" s="336"/>
    </row>
    <row r="26270" spans="84:91" s="51" customFormat="1">
      <c r="CF26270" s="239"/>
      <c r="CM26270" s="336"/>
    </row>
    <row r="26271" spans="84:91" s="51" customFormat="1">
      <c r="CF26271" s="239"/>
      <c r="CM26271" s="336"/>
    </row>
    <row r="26272" spans="84:91" s="51" customFormat="1">
      <c r="CF26272" s="239"/>
      <c r="CM26272" s="336"/>
    </row>
    <row r="26273" spans="84:91" s="51" customFormat="1">
      <c r="CF26273" s="239"/>
      <c r="CM26273" s="336"/>
    </row>
    <row r="26274" spans="84:91" s="51" customFormat="1">
      <c r="CF26274" s="239"/>
      <c r="CM26274" s="336"/>
    </row>
    <row r="26275" spans="84:91" s="51" customFormat="1">
      <c r="CF26275" s="239"/>
      <c r="CM26275" s="336"/>
    </row>
    <row r="26276" spans="84:91" s="51" customFormat="1">
      <c r="CF26276" s="239"/>
      <c r="CM26276" s="336"/>
    </row>
    <row r="26277" spans="84:91" s="51" customFormat="1">
      <c r="CF26277" s="239"/>
      <c r="CM26277" s="336"/>
    </row>
    <row r="26278" spans="84:91" s="51" customFormat="1">
      <c r="CF26278" s="239"/>
      <c r="CM26278" s="336"/>
    </row>
    <row r="26279" spans="84:91" s="51" customFormat="1">
      <c r="CF26279" s="239"/>
      <c r="CM26279" s="336"/>
    </row>
    <row r="26280" spans="84:91" s="51" customFormat="1">
      <c r="CF26280" s="239"/>
      <c r="CM26280" s="336"/>
    </row>
    <row r="26281" spans="84:91" s="51" customFormat="1">
      <c r="CF26281" s="239"/>
      <c r="CM26281" s="336"/>
    </row>
    <row r="26282" spans="84:91" s="51" customFormat="1">
      <c r="CF26282" s="239"/>
      <c r="CM26282" s="336"/>
    </row>
    <row r="26283" spans="84:91" s="51" customFormat="1">
      <c r="CF26283" s="239"/>
      <c r="CM26283" s="336"/>
    </row>
    <row r="26284" spans="84:91" s="51" customFormat="1">
      <c r="CF26284" s="239"/>
      <c r="CM26284" s="336"/>
    </row>
    <row r="26285" spans="84:91" s="51" customFormat="1">
      <c r="CF26285" s="239"/>
      <c r="CM26285" s="336"/>
    </row>
    <row r="26286" spans="84:91" s="51" customFormat="1">
      <c r="CF26286" s="239"/>
      <c r="CM26286" s="336"/>
    </row>
    <row r="26287" spans="84:91" s="51" customFormat="1">
      <c r="CF26287" s="239"/>
      <c r="CM26287" s="336"/>
    </row>
    <row r="26288" spans="84:91" s="51" customFormat="1">
      <c r="CF26288" s="239"/>
      <c r="CM26288" s="336"/>
    </row>
    <row r="26289" spans="84:91" s="51" customFormat="1">
      <c r="CF26289" s="239"/>
      <c r="CM26289" s="336"/>
    </row>
    <row r="26290" spans="84:91" s="51" customFormat="1">
      <c r="CF26290" s="239"/>
      <c r="CM26290" s="336"/>
    </row>
    <row r="26291" spans="84:91" s="51" customFormat="1">
      <c r="CF26291" s="239"/>
      <c r="CM26291" s="336"/>
    </row>
    <row r="26292" spans="84:91" s="51" customFormat="1">
      <c r="CF26292" s="239"/>
      <c r="CM26292" s="336"/>
    </row>
    <row r="26293" spans="84:91" s="51" customFormat="1">
      <c r="CF26293" s="239"/>
      <c r="CM26293" s="336"/>
    </row>
    <row r="26294" spans="84:91" s="51" customFormat="1">
      <c r="CF26294" s="239"/>
      <c r="CM26294" s="336"/>
    </row>
    <row r="26295" spans="84:91" s="51" customFormat="1">
      <c r="CF26295" s="239"/>
      <c r="CM26295" s="336"/>
    </row>
    <row r="26296" spans="84:91" s="51" customFormat="1">
      <c r="CF26296" s="239"/>
      <c r="CM26296" s="336"/>
    </row>
    <row r="26297" spans="84:91" s="51" customFormat="1">
      <c r="CF26297" s="239"/>
      <c r="CM26297" s="336"/>
    </row>
    <row r="26298" spans="84:91" s="51" customFormat="1">
      <c r="CF26298" s="239"/>
      <c r="CM26298" s="336"/>
    </row>
    <row r="26299" spans="84:91" s="51" customFormat="1">
      <c r="CF26299" s="239"/>
      <c r="CM26299" s="336"/>
    </row>
    <row r="26300" spans="84:91" s="51" customFormat="1">
      <c r="CF26300" s="239"/>
      <c r="CM26300" s="336"/>
    </row>
    <row r="26301" spans="84:91" s="51" customFormat="1">
      <c r="CF26301" s="239"/>
      <c r="CM26301" s="336"/>
    </row>
    <row r="26302" spans="84:91" s="51" customFormat="1">
      <c r="CF26302" s="239"/>
      <c r="CM26302" s="336"/>
    </row>
    <row r="26303" spans="84:91" s="51" customFormat="1">
      <c r="CF26303" s="239"/>
      <c r="CM26303" s="336"/>
    </row>
    <row r="26304" spans="84:91" s="51" customFormat="1">
      <c r="CF26304" s="239"/>
      <c r="CM26304" s="336"/>
    </row>
    <row r="26305" spans="84:91" s="51" customFormat="1">
      <c r="CF26305" s="239"/>
      <c r="CM26305" s="336"/>
    </row>
    <row r="26306" spans="84:91" s="51" customFormat="1">
      <c r="CF26306" s="239"/>
      <c r="CM26306" s="336"/>
    </row>
    <row r="26307" spans="84:91" s="51" customFormat="1">
      <c r="CF26307" s="239"/>
      <c r="CM26307" s="336"/>
    </row>
    <row r="26308" spans="84:91" s="51" customFormat="1">
      <c r="CF26308" s="239"/>
      <c r="CM26308" s="336"/>
    </row>
    <row r="26309" spans="84:91" s="51" customFormat="1">
      <c r="CF26309" s="239"/>
      <c r="CM26309" s="336"/>
    </row>
    <row r="26310" spans="84:91" s="51" customFormat="1">
      <c r="CF26310" s="239"/>
      <c r="CM26310" s="336"/>
    </row>
    <row r="26311" spans="84:91" s="51" customFormat="1">
      <c r="CF26311" s="239"/>
      <c r="CM26311" s="336"/>
    </row>
    <row r="26312" spans="84:91" s="51" customFormat="1">
      <c r="CF26312" s="239"/>
      <c r="CM26312" s="336"/>
    </row>
    <row r="26313" spans="84:91" s="51" customFormat="1">
      <c r="CF26313" s="239"/>
      <c r="CM26313" s="336"/>
    </row>
    <row r="26314" spans="84:91" s="51" customFormat="1">
      <c r="CF26314" s="239"/>
      <c r="CM26314" s="336"/>
    </row>
    <row r="26315" spans="84:91" s="51" customFormat="1">
      <c r="CF26315" s="239"/>
      <c r="CM26315" s="336"/>
    </row>
    <row r="26316" spans="84:91" s="51" customFormat="1">
      <c r="CF26316" s="239"/>
      <c r="CM26316" s="336"/>
    </row>
    <row r="26317" spans="84:91" s="51" customFormat="1">
      <c r="CF26317" s="239"/>
      <c r="CM26317" s="336"/>
    </row>
    <row r="26318" spans="84:91" s="51" customFormat="1">
      <c r="CF26318" s="239"/>
      <c r="CM26318" s="336"/>
    </row>
    <row r="26319" spans="84:91" s="51" customFormat="1">
      <c r="CF26319" s="239"/>
      <c r="CM26319" s="336"/>
    </row>
    <row r="26320" spans="84:91" s="51" customFormat="1">
      <c r="CF26320" s="239"/>
      <c r="CM26320" s="336"/>
    </row>
    <row r="26321" spans="84:91" s="51" customFormat="1">
      <c r="CF26321" s="239"/>
      <c r="CM26321" s="336"/>
    </row>
    <row r="26322" spans="84:91" s="51" customFormat="1">
      <c r="CF26322" s="239"/>
      <c r="CM26322" s="336"/>
    </row>
    <row r="26323" spans="84:91" s="51" customFormat="1">
      <c r="CF26323" s="239"/>
      <c r="CM26323" s="336"/>
    </row>
    <row r="26324" spans="84:91" s="51" customFormat="1">
      <c r="CF26324" s="239"/>
      <c r="CM26324" s="336"/>
    </row>
    <row r="26325" spans="84:91" s="51" customFormat="1">
      <c r="CF26325" s="239"/>
      <c r="CM26325" s="336"/>
    </row>
    <row r="26326" spans="84:91" s="51" customFormat="1">
      <c r="CF26326" s="239"/>
      <c r="CM26326" s="336"/>
    </row>
    <row r="26327" spans="84:91" s="51" customFormat="1">
      <c r="CF26327" s="239"/>
      <c r="CM26327" s="336"/>
    </row>
    <row r="26328" spans="84:91" s="51" customFormat="1">
      <c r="CF26328" s="239"/>
      <c r="CM26328" s="336"/>
    </row>
    <row r="26329" spans="84:91" s="51" customFormat="1">
      <c r="CF26329" s="239"/>
      <c r="CM26329" s="336"/>
    </row>
    <row r="26330" spans="84:91" s="51" customFormat="1">
      <c r="CF26330" s="239"/>
      <c r="CM26330" s="336"/>
    </row>
    <row r="26331" spans="84:91" s="51" customFormat="1">
      <c r="CF26331" s="239"/>
      <c r="CM26331" s="336"/>
    </row>
    <row r="26332" spans="84:91" s="51" customFormat="1">
      <c r="CF26332" s="239"/>
      <c r="CM26332" s="336"/>
    </row>
    <row r="26333" spans="84:91" s="51" customFormat="1">
      <c r="CF26333" s="239"/>
      <c r="CM26333" s="336"/>
    </row>
    <row r="26334" spans="84:91" s="51" customFormat="1">
      <c r="CF26334" s="239"/>
      <c r="CM26334" s="336"/>
    </row>
    <row r="26335" spans="84:91" s="51" customFormat="1">
      <c r="CF26335" s="239"/>
      <c r="CM26335" s="336"/>
    </row>
    <row r="26336" spans="84:91" s="51" customFormat="1">
      <c r="CF26336" s="239"/>
      <c r="CM26336" s="336"/>
    </row>
    <row r="26337" spans="84:91" s="51" customFormat="1">
      <c r="CF26337" s="239"/>
      <c r="CM26337" s="336"/>
    </row>
    <row r="26338" spans="84:91" s="51" customFormat="1">
      <c r="CF26338" s="239"/>
      <c r="CM26338" s="336"/>
    </row>
    <row r="26339" spans="84:91" s="51" customFormat="1">
      <c r="CF26339" s="239"/>
      <c r="CM26339" s="336"/>
    </row>
    <row r="26340" spans="84:91" s="51" customFormat="1">
      <c r="CF26340" s="239"/>
      <c r="CM26340" s="336"/>
    </row>
    <row r="26341" spans="84:91" s="51" customFormat="1">
      <c r="CF26341" s="239"/>
      <c r="CM26341" s="336"/>
    </row>
    <row r="26342" spans="84:91" s="51" customFormat="1">
      <c r="CF26342" s="239"/>
      <c r="CM26342" s="336"/>
    </row>
    <row r="26343" spans="84:91" s="51" customFormat="1">
      <c r="CF26343" s="239"/>
      <c r="CM26343" s="336"/>
    </row>
    <row r="26344" spans="84:91" s="51" customFormat="1">
      <c r="CF26344" s="239"/>
      <c r="CM26344" s="336"/>
    </row>
    <row r="26345" spans="84:91" s="51" customFormat="1">
      <c r="CF26345" s="239"/>
      <c r="CM26345" s="336"/>
    </row>
    <row r="26346" spans="84:91" s="51" customFormat="1">
      <c r="CF26346" s="239"/>
      <c r="CM26346" s="336"/>
    </row>
    <row r="26347" spans="84:91" s="51" customFormat="1">
      <c r="CF26347" s="239"/>
      <c r="CM26347" s="336"/>
    </row>
    <row r="26348" spans="84:91" s="51" customFormat="1">
      <c r="CF26348" s="239"/>
      <c r="CM26348" s="336"/>
    </row>
    <row r="26349" spans="84:91" s="51" customFormat="1">
      <c r="CF26349" s="239"/>
      <c r="CM26349" s="336"/>
    </row>
    <row r="26350" spans="84:91" s="51" customFormat="1">
      <c r="CF26350" s="239"/>
      <c r="CM26350" s="336"/>
    </row>
    <row r="26351" spans="84:91" s="51" customFormat="1">
      <c r="CF26351" s="239"/>
      <c r="CM26351" s="336"/>
    </row>
    <row r="26352" spans="84:91" s="51" customFormat="1">
      <c r="CF26352" s="239"/>
      <c r="CM26352" s="336"/>
    </row>
    <row r="26353" spans="84:91" s="51" customFormat="1">
      <c r="CF26353" s="239"/>
      <c r="CM26353" s="336"/>
    </row>
    <row r="26354" spans="84:91" s="51" customFormat="1">
      <c r="CF26354" s="239"/>
      <c r="CM26354" s="336"/>
    </row>
    <row r="26355" spans="84:91" s="51" customFormat="1">
      <c r="CF26355" s="239"/>
      <c r="CM26355" s="336"/>
    </row>
    <row r="26356" spans="84:91" s="51" customFormat="1">
      <c r="CF26356" s="239"/>
      <c r="CM26356" s="336"/>
    </row>
    <row r="26357" spans="84:91" s="51" customFormat="1">
      <c r="CF26357" s="239"/>
      <c r="CM26357" s="336"/>
    </row>
    <row r="26358" spans="84:91" s="51" customFormat="1">
      <c r="CF26358" s="239"/>
      <c r="CM26358" s="336"/>
    </row>
    <row r="26359" spans="84:91" s="51" customFormat="1">
      <c r="CF26359" s="239"/>
      <c r="CM26359" s="336"/>
    </row>
    <row r="26360" spans="84:91" s="51" customFormat="1">
      <c r="CF26360" s="239"/>
      <c r="CM26360" s="336"/>
    </row>
    <row r="26361" spans="84:91" s="51" customFormat="1">
      <c r="CF26361" s="239"/>
      <c r="CM26361" s="336"/>
    </row>
    <row r="26362" spans="84:91" s="51" customFormat="1">
      <c r="CF26362" s="239"/>
      <c r="CM26362" s="336"/>
    </row>
    <row r="26363" spans="84:91" s="51" customFormat="1">
      <c r="CF26363" s="239"/>
      <c r="CM26363" s="336"/>
    </row>
    <row r="26364" spans="84:91" s="51" customFormat="1">
      <c r="CF26364" s="239"/>
      <c r="CM26364" s="336"/>
    </row>
    <row r="26365" spans="84:91" s="51" customFormat="1">
      <c r="CF26365" s="239"/>
      <c r="CM26365" s="336"/>
    </row>
    <row r="26366" spans="84:91" s="51" customFormat="1">
      <c r="CF26366" s="239"/>
      <c r="CM26366" s="336"/>
    </row>
    <row r="26367" spans="84:91" s="51" customFormat="1">
      <c r="CF26367" s="239"/>
      <c r="CM26367" s="336"/>
    </row>
    <row r="26368" spans="84:91" s="51" customFormat="1">
      <c r="CF26368" s="239"/>
      <c r="CM26368" s="336"/>
    </row>
    <row r="26369" spans="84:91" s="51" customFormat="1">
      <c r="CF26369" s="239"/>
      <c r="CM26369" s="336"/>
    </row>
    <row r="26370" spans="84:91" s="51" customFormat="1">
      <c r="CF26370" s="239"/>
      <c r="CM26370" s="336"/>
    </row>
    <row r="26371" spans="84:91" s="51" customFormat="1">
      <c r="CF26371" s="239"/>
      <c r="CM26371" s="336"/>
    </row>
    <row r="26372" spans="84:91" s="51" customFormat="1">
      <c r="CF26372" s="239"/>
      <c r="CM26372" s="336"/>
    </row>
    <row r="26373" spans="84:91" s="51" customFormat="1">
      <c r="CF26373" s="239"/>
      <c r="CM26373" s="336"/>
    </row>
    <row r="26374" spans="84:91" s="51" customFormat="1">
      <c r="CF26374" s="239"/>
      <c r="CM26374" s="336"/>
    </row>
    <row r="26375" spans="84:91" s="51" customFormat="1">
      <c r="CF26375" s="239"/>
      <c r="CM26375" s="336"/>
    </row>
    <row r="26376" spans="84:91" s="51" customFormat="1">
      <c r="CF26376" s="239"/>
      <c r="CM26376" s="336"/>
    </row>
    <row r="26377" spans="84:91" s="51" customFormat="1">
      <c r="CF26377" s="239"/>
      <c r="CM26377" s="336"/>
    </row>
    <row r="26378" spans="84:91" s="51" customFormat="1">
      <c r="CF26378" s="239"/>
      <c r="CM26378" s="336"/>
    </row>
    <row r="26379" spans="84:91" s="51" customFormat="1">
      <c r="CF26379" s="239"/>
      <c r="CM26379" s="336"/>
    </row>
    <row r="26380" spans="84:91" s="51" customFormat="1">
      <c r="CF26380" s="239"/>
      <c r="CM26380" s="336"/>
    </row>
    <row r="26381" spans="84:91" s="51" customFormat="1">
      <c r="CF26381" s="239"/>
      <c r="CM26381" s="336"/>
    </row>
    <row r="26382" spans="84:91" s="51" customFormat="1">
      <c r="CF26382" s="239"/>
      <c r="CM26382" s="336"/>
    </row>
    <row r="26383" spans="84:91" s="51" customFormat="1">
      <c r="CF26383" s="239"/>
      <c r="CM26383" s="336"/>
    </row>
    <row r="26384" spans="84:91" s="51" customFormat="1">
      <c r="CF26384" s="239"/>
      <c r="CM26384" s="336"/>
    </row>
    <row r="26385" spans="84:91" s="51" customFormat="1">
      <c r="CF26385" s="239"/>
      <c r="CM26385" s="336"/>
    </row>
    <row r="26386" spans="84:91" s="51" customFormat="1">
      <c r="CF26386" s="239"/>
      <c r="CM26386" s="336"/>
    </row>
    <row r="26387" spans="84:91" s="51" customFormat="1">
      <c r="CF26387" s="239"/>
      <c r="CM26387" s="336"/>
    </row>
    <row r="26388" spans="84:91" s="51" customFormat="1">
      <c r="CF26388" s="239"/>
      <c r="CM26388" s="336"/>
    </row>
    <row r="26389" spans="84:91" s="51" customFormat="1">
      <c r="CF26389" s="239"/>
      <c r="CM26389" s="336"/>
    </row>
    <row r="26390" spans="84:91" s="51" customFormat="1">
      <c r="CF26390" s="239"/>
      <c r="CM26390" s="336"/>
    </row>
    <row r="26391" spans="84:91" s="51" customFormat="1">
      <c r="CF26391" s="239"/>
      <c r="CM26391" s="336"/>
    </row>
    <row r="26392" spans="84:91" s="51" customFormat="1">
      <c r="CF26392" s="239"/>
      <c r="CM26392" s="336"/>
    </row>
    <row r="26393" spans="84:91" s="51" customFormat="1">
      <c r="CF26393" s="239"/>
      <c r="CM26393" s="336"/>
    </row>
    <row r="26394" spans="84:91" s="51" customFormat="1">
      <c r="CF26394" s="239"/>
      <c r="CM26394" s="336"/>
    </row>
    <row r="26395" spans="84:91" s="51" customFormat="1">
      <c r="CF26395" s="239"/>
      <c r="CM26395" s="336"/>
    </row>
    <row r="26396" spans="84:91" s="51" customFormat="1">
      <c r="CF26396" s="239"/>
      <c r="CM26396" s="336"/>
    </row>
    <row r="26397" spans="84:91" s="51" customFormat="1">
      <c r="CF26397" s="239"/>
      <c r="CM26397" s="336"/>
    </row>
    <row r="26398" spans="84:91" s="51" customFormat="1">
      <c r="CF26398" s="239"/>
      <c r="CM26398" s="336"/>
    </row>
    <row r="26399" spans="84:91" s="51" customFormat="1">
      <c r="CF26399" s="239"/>
      <c r="CM26399" s="336"/>
    </row>
    <row r="26400" spans="84:91" s="51" customFormat="1">
      <c r="CF26400" s="239"/>
      <c r="CM26400" s="336"/>
    </row>
    <row r="26401" spans="84:91" s="51" customFormat="1">
      <c r="CF26401" s="239"/>
      <c r="CM26401" s="336"/>
    </row>
    <row r="26402" spans="84:91" s="51" customFormat="1">
      <c r="CF26402" s="239"/>
      <c r="CM26402" s="336"/>
    </row>
    <row r="26403" spans="84:91" s="51" customFormat="1">
      <c r="CF26403" s="239"/>
      <c r="CM26403" s="336"/>
    </row>
    <row r="26404" spans="84:91" s="51" customFormat="1">
      <c r="CF26404" s="239"/>
      <c r="CM26404" s="336"/>
    </row>
    <row r="26405" spans="84:91" s="51" customFormat="1">
      <c r="CF26405" s="239"/>
      <c r="CM26405" s="336"/>
    </row>
    <row r="26406" spans="84:91" s="51" customFormat="1">
      <c r="CF26406" s="239"/>
      <c r="CM26406" s="336"/>
    </row>
    <row r="26407" spans="84:91" s="51" customFormat="1">
      <c r="CF26407" s="239"/>
      <c r="CM26407" s="336"/>
    </row>
    <row r="26408" spans="84:91" s="51" customFormat="1">
      <c r="CF26408" s="239"/>
      <c r="CM26408" s="336"/>
    </row>
    <row r="26409" spans="84:91" s="51" customFormat="1">
      <c r="CF26409" s="239"/>
      <c r="CM26409" s="336"/>
    </row>
    <row r="26410" spans="84:91" s="51" customFormat="1">
      <c r="CF26410" s="239"/>
      <c r="CM26410" s="336"/>
    </row>
    <row r="26411" spans="84:91" s="51" customFormat="1">
      <c r="CF26411" s="239"/>
      <c r="CM26411" s="336"/>
    </row>
    <row r="26412" spans="84:91" s="51" customFormat="1">
      <c r="CF26412" s="239"/>
      <c r="CM26412" s="336"/>
    </row>
    <row r="26413" spans="84:91" s="51" customFormat="1">
      <c r="CF26413" s="239"/>
      <c r="CM26413" s="336"/>
    </row>
    <row r="26414" spans="84:91" s="51" customFormat="1">
      <c r="CF26414" s="239"/>
      <c r="CM26414" s="336"/>
    </row>
    <row r="26415" spans="84:91" s="51" customFormat="1">
      <c r="CF26415" s="239"/>
      <c r="CM26415" s="336"/>
    </row>
    <row r="26416" spans="84:91" s="51" customFormat="1">
      <c r="CF26416" s="239"/>
      <c r="CM26416" s="336"/>
    </row>
    <row r="26417" spans="84:91" s="51" customFormat="1">
      <c r="CF26417" s="239"/>
      <c r="CM26417" s="336"/>
    </row>
    <row r="26418" spans="84:91" s="51" customFormat="1">
      <c r="CF26418" s="239"/>
      <c r="CM26418" s="336"/>
    </row>
    <row r="26419" spans="84:91" s="51" customFormat="1">
      <c r="CF26419" s="239"/>
      <c r="CM26419" s="336"/>
    </row>
    <row r="26420" spans="84:91" s="51" customFormat="1">
      <c r="CF26420" s="239"/>
      <c r="CM26420" s="336"/>
    </row>
    <row r="26421" spans="84:91" s="51" customFormat="1">
      <c r="CF26421" s="239"/>
      <c r="CM26421" s="336"/>
    </row>
    <row r="26422" spans="84:91" s="51" customFormat="1">
      <c r="CF26422" s="239"/>
      <c r="CM26422" s="336"/>
    </row>
    <row r="26423" spans="84:91" s="51" customFormat="1">
      <c r="CF26423" s="239"/>
      <c r="CM26423" s="336"/>
    </row>
    <row r="26424" spans="84:91" s="51" customFormat="1">
      <c r="CF26424" s="239"/>
      <c r="CM26424" s="336"/>
    </row>
    <row r="26425" spans="84:91" s="51" customFormat="1">
      <c r="CF26425" s="239"/>
      <c r="CM26425" s="336"/>
    </row>
    <row r="26426" spans="84:91" s="51" customFormat="1">
      <c r="CF26426" s="239"/>
      <c r="CM26426" s="336"/>
    </row>
    <row r="26427" spans="84:91" s="51" customFormat="1">
      <c r="CF26427" s="239"/>
      <c r="CM26427" s="336"/>
    </row>
    <row r="26428" spans="84:91" s="51" customFormat="1">
      <c r="CF26428" s="239"/>
      <c r="CM26428" s="336"/>
    </row>
    <row r="26429" spans="84:91" s="51" customFormat="1">
      <c r="CF26429" s="239"/>
      <c r="CM26429" s="336"/>
    </row>
    <row r="26430" spans="84:91" s="51" customFormat="1">
      <c r="CF26430" s="239"/>
      <c r="CM26430" s="336"/>
    </row>
    <row r="26431" spans="84:91" s="51" customFormat="1">
      <c r="CF26431" s="239"/>
      <c r="CM26431" s="336"/>
    </row>
    <row r="26432" spans="84:91" s="51" customFormat="1">
      <c r="CF26432" s="239"/>
      <c r="CM26432" s="336"/>
    </row>
    <row r="26433" spans="84:91" s="51" customFormat="1">
      <c r="CF26433" s="239"/>
      <c r="CM26433" s="336"/>
    </row>
    <row r="26434" spans="84:91" s="51" customFormat="1">
      <c r="CF26434" s="239"/>
      <c r="CM26434" s="336"/>
    </row>
    <row r="26435" spans="84:91" s="51" customFormat="1">
      <c r="CF26435" s="239"/>
      <c r="CM26435" s="336"/>
    </row>
    <row r="26436" spans="84:91" s="51" customFormat="1">
      <c r="CF26436" s="239"/>
      <c r="CM26436" s="336"/>
    </row>
    <row r="26437" spans="84:91" s="51" customFormat="1">
      <c r="CF26437" s="239"/>
      <c r="CM26437" s="336"/>
    </row>
    <row r="26438" spans="84:91" s="51" customFormat="1">
      <c r="CF26438" s="239"/>
      <c r="CM26438" s="336"/>
    </row>
    <row r="26439" spans="84:91" s="51" customFormat="1">
      <c r="CF26439" s="239"/>
      <c r="CM26439" s="336"/>
    </row>
    <row r="26440" spans="84:91" s="51" customFormat="1">
      <c r="CF26440" s="239"/>
      <c r="CM26440" s="336"/>
    </row>
    <row r="26441" spans="84:91" s="51" customFormat="1">
      <c r="CF26441" s="239"/>
      <c r="CM26441" s="336"/>
    </row>
    <row r="26442" spans="84:91" s="51" customFormat="1">
      <c r="CF26442" s="239"/>
      <c r="CM26442" s="336"/>
    </row>
    <row r="26443" spans="84:91" s="51" customFormat="1">
      <c r="CF26443" s="239"/>
      <c r="CM26443" s="336"/>
    </row>
    <row r="26444" spans="84:91" s="51" customFormat="1">
      <c r="CF26444" s="239"/>
      <c r="CM26444" s="336"/>
    </row>
    <row r="26445" spans="84:91" s="51" customFormat="1">
      <c r="CF26445" s="239"/>
      <c r="CM26445" s="336"/>
    </row>
    <row r="26446" spans="84:91" s="51" customFormat="1">
      <c r="CF26446" s="239"/>
      <c r="CM26446" s="336"/>
    </row>
    <row r="26447" spans="84:91" s="51" customFormat="1">
      <c r="CF26447" s="239"/>
      <c r="CM26447" s="336"/>
    </row>
    <row r="26448" spans="84:91" s="51" customFormat="1">
      <c r="CF26448" s="239"/>
      <c r="CM26448" s="336"/>
    </row>
    <row r="26449" spans="84:91" s="51" customFormat="1">
      <c r="CF26449" s="239"/>
      <c r="CM26449" s="336"/>
    </row>
    <row r="26450" spans="84:91" s="51" customFormat="1">
      <c r="CF26450" s="239"/>
      <c r="CM26450" s="336"/>
    </row>
    <row r="26451" spans="84:91" s="51" customFormat="1">
      <c r="CF26451" s="239"/>
      <c r="CM26451" s="336"/>
    </row>
    <row r="26452" spans="84:91" s="51" customFormat="1">
      <c r="CF26452" s="239"/>
      <c r="CM26452" s="336"/>
    </row>
    <row r="26453" spans="84:91" s="51" customFormat="1">
      <c r="CF26453" s="239"/>
      <c r="CM26453" s="336"/>
    </row>
    <row r="26454" spans="84:91" s="51" customFormat="1">
      <c r="CF26454" s="239"/>
      <c r="CM26454" s="336"/>
    </row>
    <row r="26455" spans="84:91" s="51" customFormat="1">
      <c r="CF26455" s="239"/>
      <c r="CM26455" s="336"/>
    </row>
    <row r="26456" spans="84:91" s="51" customFormat="1">
      <c r="CF26456" s="239"/>
      <c r="CM26456" s="336"/>
    </row>
    <row r="26457" spans="84:91" s="51" customFormat="1">
      <c r="CF26457" s="239"/>
      <c r="CM26457" s="336"/>
    </row>
    <row r="26458" spans="84:91" s="51" customFormat="1">
      <c r="CF26458" s="239"/>
      <c r="CM26458" s="336"/>
    </row>
    <row r="26459" spans="84:91" s="51" customFormat="1">
      <c r="CF26459" s="239"/>
      <c r="CM26459" s="336"/>
    </row>
    <row r="26460" spans="84:91" s="51" customFormat="1">
      <c r="CF26460" s="239"/>
      <c r="CM26460" s="336"/>
    </row>
    <row r="26461" spans="84:91" s="51" customFormat="1">
      <c r="CF26461" s="239"/>
      <c r="CM26461" s="336"/>
    </row>
    <row r="26462" spans="84:91" s="51" customFormat="1">
      <c r="CF26462" s="239"/>
      <c r="CM26462" s="336"/>
    </row>
    <row r="26463" spans="84:91" s="51" customFormat="1">
      <c r="CF26463" s="239"/>
      <c r="CM26463" s="336"/>
    </row>
    <row r="26464" spans="84:91" s="51" customFormat="1">
      <c r="CF26464" s="239"/>
      <c r="CM26464" s="336"/>
    </row>
    <row r="26465" spans="84:91" s="51" customFormat="1">
      <c r="CF26465" s="239"/>
      <c r="CM26465" s="336"/>
    </row>
    <row r="26466" spans="84:91" s="51" customFormat="1">
      <c r="CF26466" s="239"/>
      <c r="CM26466" s="336"/>
    </row>
    <row r="26467" spans="84:91" s="51" customFormat="1">
      <c r="CF26467" s="239"/>
      <c r="CM26467" s="336"/>
    </row>
    <row r="26468" spans="84:91" s="51" customFormat="1">
      <c r="CF26468" s="239"/>
      <c r="CM26468" s="336"/>
    </row>
    <row r="26469" spans="84:91" s="51" customFormat="1">
      <c r="CF26469" s="239"/>
      <c r="CM26469" s="336"/>
    </row>
    <row r="26470" spans="84:91" s="51" customFormat="1">
      <c r="CF26470" s="239"/>
      <c r="CM26470" s="336"/>
    </row>
    <row r="26471" spans="84:91" s="51" customFormat="1">
      <c r="CF26471" s="239"/>
      <c r="CM26471" s="336"/>
    </row>
    <row r="26472" spans="84:91" s="51" customFormat="1">
      <c r="CF26472" s="239"/>
      <c r="CM26472" s="336"/>
    </row>
    <row r="26473" spans="84:91" s="51" customFormat="1">
      <c r="CF26473" s="239"/>
      <c r="CM26473" s="336"/>
    </row>
    <row r="26474" spans="84:91" s="51" customFormat="1">
      <c r="CF26474" s="239"/>
      <c r="CM26474" s="336"/>
    </row>
    <row r="26475" spans="84:91" s="51" customFormat="1">
      <c r="CF26475" s="239"/>
      <c r="CM26475" s="336"/>
    </row>
    <row r="26476" spans="84:91" s="51" customFormat="1">
      <c r="CF26476" s="239"/>
      <c r="CM26476" s="336"/>
    </row>
    <row r="26477" spans="84:91" s="51" customFormat="1">
      <c r="CF26477" s="239"/>
      <c r="CM26477" s="336"/>
    </row>
    <row r="26478" spans="84:91" s="51" customFormat="1">
      <c r="CF26478" s="239"/>
      <c r="CM26478" s="336"/>
    </row>
    <row r="26479" spans="84:91" s="51" customFormat="1">
      <c r="CF26479" s="239"/>
      <c r="CM26479" s="336"/>
    </row>
    <row r="26480" spans="84:91" s="51" customFormat="1">
      <c r="CF26480" s="239"/>
      <c r="CM26480" s="336"/>
    </row>
    <row r="26481" spans="84:91" s="51" customFormat="1">
      <c r="CF26481" s="239"/>
      <c r="CM26481" s="336"/>
    </row>
    <row r="26482" spans="84:91" s="51" customFormat="1">
      <c r="CF26482" s="239"/>
      <c r="CM26482" s="336"/>
    </row>
    <row r="26483" spans="84:91" s="51" customFormat="1">
      <c r="CF26483" s="239"/>
      <c r="CM26483" s="336"/>
    </row>
    <row r="26484" spans="84:91" s="51" customFormat="1">
      <c r="CF26484" s="239"/>
      <c r="CM26484" s="336"/>
    </row>
    <row r="26485" spans="84:91" s="51" customFormat="1">
      <c r="CF26485" s="239"/>
      <c r="CM26485" s="336"/>
    </row>
    <row r="26486" spans="84:91" s="51" customFormat="1">
      <c r="CF26486" s="239"/>
      <c r="CM26486" s="336"/>
    </row>
    <row r="26487" spans="84:91" s="51" customFormat="1">
      <c r="CF26487" s="239"/>
      <c r="CM26487" s="336"/>
    </row>
    <row r="26488" spans="84:91" s="51" customFormat="1">
      <c r="CF26488" s="239"/>
      <c r="CM26488" s="336"/>
    </row>
    <row r="26489" spans="84:91" s="51" customFormat="1">
      <c r="CF26489" s="239"/>
      <c r="CM26489" s="336"/>
    </row>
    <row r="26490" spans="84:91" s="51" customFormat="1">
      <c r="CF26490" s="239"/>
      <c r="CM26490" s="336"/>
    </row>
    <row r="26491" spans="84:91" s="51" customFormat="1">
      <c r="CF26491" s="239"/>
      <c r="CM26491" s="336"/>
    </row>
    <row r="26492" spans="84:91" s="51" customFormat="1">
      <c r="CF26492" s="239"/>
      <c r="CM26492" s="336"/>
    </row>
    <row r="26493" spans="84:91" s="51" customFormat="1">
      <c r="CF26493" s="239"/>
      <c r="CM26493" s="336"/>
    </row>
    <row r="26494" spans="84:91" s="51" customFormat="1">
      <c r="CF26494" s="239"/>
      <c r="CM26494" s="336"/>
    </row>
    <row r="26495" spans="84:91" s="51" customFormat="1">
      <c r="CF26495" s="239"/>
      <c r="CM26495" s="336"/>
    </row>
    <row r="26496" spans="84:91" s="51" customFormat="1">
      <c r="CF26496" s="239"/>
      <c r="CM26496" s="336"/>
    </row>
    <row r="26497" spans="84:91" s="51" customFormat="1">
      <c r="CF26497" s="239"/>
      <c r="CM26497" s="336"/>
    </row>
    <row r="26498" spans="84:91" s="51" customFormat="1">
      <c r="CF26498" s="239"/>
      <c r="CM26498" s="336"/>
    </row>
    <row r="26499" spans="84:91" s="51" customFormat="1">
      <c r="CF26499" s="239"/>
      <c r="CM26499" s="336"/>
    </row>
    <row r="26500" spans="84:91" s="51" customFormat="1">
      <c r="CF26500" s="239"/>
      <c r="CM26500" s="336"/>
    </row>
    <row r="26501" spans="84:91" s="51" customFormat="1">
      <c r="CF26501" s="239"/>
      <c r="CM26501" s="336"/>
    </row>
    <row r="26502" spans="84:91" s="51" customFormat="1">
      <c r="CF26502" s="239"/>
      <c r="CM26502" s="336"/>
    </row>
    <row r="26503" spans="84:91" s="51" customFormat="1">
      <c r="CF26503" s="239"/>
      <c r="CM26503" s="336"/>
    </row>
    <row r="26504" spans="84:91" s="51" customFormat="1">
      <c r="CF26504" s="239"/>
      <c r="CM26504" s="336"/>
    </row>
    <row r="26505" spans="84:91" s="51" customFormat="1">
      <c r="CF26505" s="239"/>
      <c r="CM26505" s="336"/>
    </row>
    <row r="26506" spans="84:91" s="51" customFormat="1">
      <c r="CF26506" s="239"/>
      <c r="CM26506" s="336"/>
    </row>
    <row r="26507" spans="84:91" s="51" customFormat="1">
      <c r="CF26507" s="239"/>
      <c r="CM26507" s="336"/>
    </row>
    <row r="26508" spans="84:91" s="51" customFormat="1">
      <c r="CF26508" s="239"/>
      <c r="CM26508" s="336"/>
    </row>
    <row r="26509" spans="84:91" s="51" customFormat="1">
      <c r="CF26509" s="239"/>
      <c r="CM26509" s="336"/>
    </row>
    <row r="26510" spans="84:91" s="51" customFormat="1">
      <c r="CF26510" s="239"/>
      <c r="CM26510" s="336"/>
    </row>
    <row r="26511" spans="84:91" s="51" customFormat="1">
      <c r="CF26511" s="239"/>
      <c r="CM26511" s="336"/>
    </row>
    <row r="26512" spans="84:91" s="51" customFormat="1">
      <c r="CF26512" s="239"/>
      <c r="CM26512" s="336"/>
    </row>
    <row r="26513" spans="84:91" s="51" customFormat="1">
      <c r="CF26513" s="239"/>
      <c r="CM26513" s="336"/>
    </row>
    <row r="26514" spans="84:91" s="51" customFormat="1">
      <c r="CF26514" s="239"/>
      <c r="CM26514" s="336"/>
    </row>
    <row r="26515" spans="84:91" s="51" customFormat="1">
      <c r="CF26515" s="239"/>
      <c r="CM26515" s="336"/>
    </row>
    <row r="26516" spans="84:91" s="51" customFormat="1">
      <c r="CF26516" s="239"/>
      <c r="CM26516" s="336"/>
    </row>
    <row r="26517" spans="84:91" s="51" customFormat="1">
      <c r="CF26517" s="239"/>
      <c r="CM26517" s="336"/>
    </row>
    <row r="26518" spans="84:91" s="51" customFormat="1">
      <c r="CF26518" s="239"/>
      <c r="CM26518" s="336"/>
    </row>
    <row r="26519" spans="84:91" s="51" customFormat="1">
      <c r="CF26519" s="239"/>
      <c r="CM26519" s="336"/>
    </row>
    <row r="26520" spans="84:91" s="51" customFormat="1">
      <c r="CF26520" s="239"/>
      <c r="CM26520" s="336"/>
    </row>
    <row r="26521" spans="84:91" s="51" customFormat="1">
      <c r="CF26521" s="239"/>
      <c r="CM26521" s="336"/>
    </row>
    <row r="26522" spans="84:91" s="51" customFormat="1">
      <c r="CF26522" s="239"/>
      <c r="CM26522" s="336"/>
    </row>
    <row r="26523" spans="84:91" s="51" customFormat="1">
      <c r="CF26523" s="239"/>
      <c r="CM26523" s="336"/>
    </row>
    <row r="26524" spans="84:91" s="51" customFormat="1">
      <c r="CF26524" s="239"/>
      <c r="CM26524" s="336"/>
    </row>
    <row r="26525" spans="84:91" s="51" customFormat="1">
      <c r="CF26525" s="239"/>
      <c r="CM26525" s="336"/>
    </row>
    <row r="26526" spans="84:91" s="51" customFormat="1">
      <c r="CF26526" s="239"/>
      <c r="CM26526" s="336"/>
    </row>
    <row r="26527" spans="84:91" s="51" customFormat="1">
      <c r="CF26527" s="239"/>
      <c r="CM26527" s="336"/>
    </row>
    <row r="26528" spans="84:91" s="51" customFormat="1">
      <c r="CF26528" s="239"/>
      <c r="CM26528" s="336"/>
    </row>
    <row r="26529" spans="84:91" s="51" customFormat="1">
      <c r="CF26529" s="239"/>
      <c r="CM26529" s="336"/>
    </row>
    <row r="26530" spans="84:91" s="51" customFormat="1">
      <c r="CF26530" s="239"/>
      <c r="CM26530" s="336"/>
    </row>
    <row r="26531" spans="84:91" s="51" customFormat="1">
      <c r="CF26531" s="239"/>
      <c r="CM26531" s="336"/>
    </row>
    <row r="26532" spans="84:91" s="51" customFormat="1">
      <c r="CF26532" s="239"/>
      <c r="CM26532" s="336"/>
    </row>
    <row r="26533" spans="84:91" s="51" customFormat="1">
      <c r="CF26533" s="239"/>
      <c r="CM26533" s="336"/>
    </row>
    <row r="26534" spans="84:91" s="51" customFormat="1">
      <c r="CF26534" s="239"/>
      <c r="CM26534" s="336"/>
    </row>
    <row r="26535" spans="84:91" s="51" customFormat="1">
      <c r="CF26535" s="239"/>
      <c r="CM26535" s="336"/>
    </row>
    <row r="26536" spans="84:91" s="51" customFormat="1">
      <c r="CF26536" s="239"/>
      <c r="CM26536" s="336"/>
    </row>
    <row r="26537" spans="84:91" s="51" customFormat="1">
      <c r="CF26537" s="239"/>
      <c r="CM26537" s="336"/>
    </row>
    <row r="26538" spans="84:91" s="51" customFormat="1">
      <c r="CF26538" s="239"/>
      <c r="CM26538" s="336"/>
    </row>
    <row r="26539" spans="84:91" s="51" customFormat="1">
      <c r="CF26539" s="239"/>
      <c r="CM26539" s="336"/>
    </row>
    <row r="26540" spans="84:91" s="51" customFormat="1">
      <c r="CF26540" s="239"/>
      <c r="CM26540" s="336"/>
    </row>
    <row r="26541" spans="84:91" s="51" customFormat="1">
      <c r="CF26541" s="239"/>
      <c r="CM26541" s="336"/>
    </row>
    <row r="26542" spans="84:91" s="51" customFormat="1">
      <c r="CF26542" s="239"/>
      <c r="CM26542" s="336"/>
    </row>
    <row r="26543" spans="84:91" s="51" customFormat="1">
      <c r="CF26543" s="239"/>
      <c r="CM26543" s="336"/>
    </row>
    <row r="26544" spans="84:91" s="51" customFormat="1">
      <c r="CF26544" s="239"/>
      <c r="CM26544" s="336"/>
    </row>
    <row r="26545" spans="84:91" s="51" customFormat="1">
      <c r="CF26545" s="239"/>
      <c r="CM26545" s="336"/>
    </row>
    <row r="26546" spans="84:91" s="51" customFormat="1">
      <c r="CF26546" s="239"/>
      <c r="CM26546" s="336"/>
    </row>
    <row r="26547" spans="84:91" s="51" customFormat="1">
      <c r="CF26547" s="239"/>
      <c r="CM26547" s="336"/>
    </row>
    <row r="26548" spans="84:91" s="51" customFormat="1">
      <c r="CF26548" s="239"/>
      <c r="CM26548" s="336"/>
    </row>
    <row r="26549" spans="84:91" s="51" customFormat="1">
      <c r="CF26549" s="239"/>
      <c r="CM26549" s="336"/>
    </row>
    <row r="26550" spans="84:91" s="51" customFormat="1">
      <c r="CF26550" s="239"/>
      <c r="CM26550" s="336"/>
    </row>
    <row r="26551" spans="84:91" s="51" customFormat="1">
      <c r="CF26551" s="239"/>
      <c r="CM26551" s="336"/>
    </row>
    <row r="26552" spans="84:91" s="51" customFormat="1">
      <c r="CF26552" s="239"/>
      <c r="CM26552" s="336"/>
    </row>
    <row r="26553" spans="84:91" s="51" customFormat="1">
      <c r="CF26553" s="239"/>
      <c r="CM26553" s="336"/>
    </row>
    <row r="26554" spans="84:91" s="51" customFormat="1">
      <c r="CF26554" s="239"/>
      <c r="CM26554" s="336"/>
    </row>
    <row r="26555" spans="84:91" s="51" customFormat="1">
      <c r="CF26555" s="239"/>
      <c r="CM26555" s="336"/>
    </row>
    <row r="26556" spans="84:91" s="51" customFormat="1">
      <c r="CF26556" s="239"/>
      <c r="CM26556" s="336"/>
    </row>
    <row r="26557" spans="84:91" s="51" customFormat="1">
      <c r="CF26557" s="239"/>
      <c r="CM26557" s="336"/>
    </row>
    <row r="26558" spans="84:91" s="51" customFormat="1">
      <c r="CF26558" s="239"/>
      <c r="CM26558" s="336"/>
    </row>
    <row r="26559" spans="84:91" s="51" customFormat="1">
      <c r="CF26559" s="239"/>
      <c r="CM26559" s="336"/>
    </row>
    <row r="26560" spans="84:91" s="51" customFormat="1">
      <c r="CF26560" s="239"/>
      <c r="CM26560" s="336"/>
    </row>
    <row r="26561" spans="84:91" s="51" customFormat="1">
      <c r="CF26561" s="239"/>
      <c r="CM26561" s="336"/>
    </row>
    <row r="26562" spans="84:91" s="51" customFormat="1">
      <c r="CF26562" s="239"/>
      <c r="CM26562" s="336"/>
    </row>
    <row r="26563" spans="84:91" s="51" customFormat="1">
      <c r="CF26563" s="239"/>
      <c r="CM26563" s="336"/>
    </row>
    <row r="26564" spans="84:91" s="51" customFormat="1">
      <c r="CF26564" s="239"/>
      <c r="CM26564" s="336"/>
    </row>
    <row r="26565" spans="84:91" s="51" customFormat="1">
      <c r="CF26565" s="239"/>
      <c r="CM26565" s="336"/>
    </row>
    <row r="26566" spans="84:91" s="51" customFormat="1">
      <c r="CF26566" s="239"/>
      <c r="CM26566" s="336"/>
    </row>
    <row r="26567" spans="84:91" s="51" customFormat="1">
      <c r="CF26567" s="239"/>
      <c r="CM26567" s="336"/>
    </row>
    <row r="26568" spans="84:91" s="51" customFormat="1">
      <c r="CF26568" s="239"/>
      <c r="CM26568" s="336"/>
    </row>
    <row r="26569" spans="84:91" s="51" customFormat="1">
      <c r="CF26569" s="239"/>
      <c r="CM26569" s="336"/>
    </row>
    <row r="26570" spans="84:91" s="51" customFormat="1">
      <c r="CF26570" s="239"/>
      <c r="CM26570" s="336"/>
    </row>
    <row r="26571" spans="84:91" s="51" customFormat="1">
      <c r="CF26571" s="239"/>
      <c r="CM26571" s="336"/>
    </row>
    <row r="26572" spans="84:91" s="51" customFormat="1">
      <c r="CF26572" s="239"/>
      <c r="CM26572" s="336"/>
    </row>
    <row r="26573" spans="84:91" s="51" customFormat="1">
      <c r="CF26573" s="239"/>
      <c r="CM26573" s="336"/>
    </row>
    <row r="26574" spans="84:91" s="51" customFormat="1">
      <c r="CF26574" s="239"/>
      <c r="CM26574" s="336"/>
    </row>
    <row r="26575" spans="84:91" s="51" customFormat="1">
      <c r="CF26575" s="239"/>
      <c r="CM26575" s="336"/>
    </row>
    <row r="26576" spans="84:91" s="51" customFormat="1">
      <c r="CF26576" s="239"/>
      <c r="CM26576" s="336"/>
    </row>
    <row r="26577" spans="84:91" s="51" customFormat="1">
      <c r="CF26577" s="239"/>
      <c r="CM26577" s="336"/>
    </row>
    <row r="26578" spans="84:91" s="51" customFormat="1">
      <c r="CF26578" s="239"/>
      <c r="CM26578" s="336"/>
    </row>
    <row r="26579" spans="84:91" s="51" customFormat="1">
      <c r="CF26579" s="239"/>
      <c r="CM26579" s="336"/>
    </row>
    <row r="26580" spans="84:91" s="51" customFormat="1">
      <c r="CF26580" s="239"/>
      <c r="CM26580" s="336"/>
    </row>
    <row r="26581" spans="84:91" s="51" customFormat="1">
      <c r="CF26581" s="239"/>
      <c r="CM26581" s="336"/>
    </row>
    <row r="26582" spans="84:91" s="51" customFormat="1">
      <c r="CF26582" s="239"/>
      <c r="CM26582" s="336"/>
    </row>
    <row r="26583" spans="84:91" s="51" customFormat="1">
      <c r="CF26583" s="239"/>
      <c r="CM26583" s="336"/>
    </row>
    <row r="26584" spans="84:91" s="51" customFormat="1">
      <c r="CF26584" s="239"/>
      <c r="CM26584" s="336"/>
    </row>
    <row r="26585" spans="84:91" s="51" customFormat="1">
      <c r="CF26585" s="239"/>
      <c r="CM26585" s="336"/>
    </row>
    <row r="26586" spans="84:91" s="51" customFormat="1">
      <c r="CF26586" s="239"/>
      <c r="CM26586" s="336"/>
    </row>
    <row r="26587" spans="84:91" s="51" customFormat="1">
      <c r="CF26587" s="239"/>
      <c r="CM26587" s="336"/>
    </row>
    <row r="26588" spans="84:91" s="51" customFormat="1">
      <c r="CF26588" s="239"/>
      <c r="CM26588" s="336"/>
    </row>
    <row r="26589" spans="84:91" s="51" customFormat="1">
      <c r="CF26589" s="239"/>
      <c r="CM26589" s="336"/>
    </row>
    <row r="26590" spans="84:91" s="51" customFormat="1">
      <c r="CF26590" s="239"/>
      <c r="CM26590" s="336"/>
    </row>
    <row r="26591" spans="84:91" s="51" customFormat="1">
      <c r="CF26591" s="239"/>
      <c r="CM26591" s="336"/>
    </row>
    <row r="26592" spans="84:91" s="51" customFormat="1">
      <c r="CF26592" s="239"/>
      <c r="CM26592" s="336"/>
    </row>
    <row r="26593" spans="84:91" s="51" customFormat="1">
      <c r="CF26593" s="239"/>
      <c r="CM26593" s="336"/>
    </row>
    <row r="26594" spans="84:91" s="51" customFormat="1">
      <c r="CF26594" s="239"/>
      <c r="CM26594" s="336"/>
    </row>
    <row r="26595" spans="84:91" s="51" customFormat="1">
      <c r="CF26595" s="239"/>
      <c r="CM26595" s="336"/>
    </row>
    <row r="26596" spans="84:91" s="51" customFormat="1">
      <c r="CF26596" s="239"/>
      <c r="CM26596" s="336"/>
    </row>
    <row r="26597" spans="84:91" s="51" customFormat="1">
      <c r="CF26597" s="239"/>
      <c r="CM26597" s="336"/>
    </row>
    <row r="26598" spans="84:91" s="51" customFormat="1">
      <c r="CF26598" s="239"/>
      <c r="CM26598" s="336"/>
    </row>
    <row r="26599" spans="84:91" s="51" customFormat="1">
      <c r="CF26599" s="239"/>
      <c r="CM26599" s="336"/>
    </row>
    <row r="26600" spans="84:91" s="51" customFormat="1">
      <c r="CF26600" s="239"/>
      <c r="CM26600" s="336"/>
    </row>
    <row r="26601" spans="84:91" s="51" customFormat="1">
      <c r="CF26601" s="239"/>
      <c r="CM26601" s="336"/>
    </row>
    <row r="26602" spans="84:91" s="51" customFormat="1">
      <c r="CF26602" s="239"/>
      <c r="CM26602" s="336"/>
    </row>
    <row r="26603" spans="84:91" s="51" customFormat="1">
      <c r="CF26603" s="239"/>
      <c r="CM26603" s="336"/>
    </row>
    <row r="26604" spans="84:91" s="51" customFormat="1">
      <c r="CF26604" s="239"/>
      <c r="CM26604" s="336"/>
    </row>
    <row r="26605" spans="84:91" s="51" customFormat="1">
      <c r="CF26605" s="239"/>
      <c r="CM26605" s="336"/>
    </row>
    <row r="26606" spans="84:91" s="51" customFormat="1">
      <c r="CF26606" s="239"/>
      <c r="CM26606" s="336"/>
    </row>
    <row r="26607" spans="84:91" s="51" customFormat="1">
      <c r="CF26607" s="239"/>
      <c r="CM26607" s="336"/>
    </row>
    <row r="26608" spans="84:91" s="51" customFormat="1">
      <c r="CF26608" s="239"/>
      <c r="CM26608" s="336"/>
    </row>
    <row r="26609" spans="84:91" s="51" customFormat="1">
      <c r="CF26609" s="239"/>
      <c r="CM26609" s="336"/>
    </row>
    <row r="26610" spans="84:91" s="51" customFormat="1">
      <c r="CF26610" s="239"/>
      <c r="CM26610" s="336"/>
    </row>
    <row r="26611" spans="84:91" s="51" customFormat="1">
      <c r="CF26611" s="239"/>
      <c r="CM26611" s="336"/>
    </row>
    <row r="26612" spans="84:91" s="51" customFormat="1">
      <c r="CF26612" s="239"/>
      <c r="CM26612" s="336"/>
    </row>
    <row r="26613" spans="84:91" s="51" customFormat="1">
      <c r="CF26613" s="239"/>
      <c r="CM26613" s="336"/>
    </row>
    <row r="26614" spans="84:91" s="51" customFormat="1">
      <c r="CF26614" s="239"/>
      <c r="CM26614" s="336"/>
    </row>
    <row r="26615" spans="84:91" s="51" customFormat="1">
      <c r="CF26615" s="239"/>
      <c r="CM26615" s="336"/>
    </row>
    <row r="26616" spans="84:91" s="51" customFormat="1">
      <c r="CF26616" s="239"/>
      <c r="CM26616" s="336"/>
    </row>
    <row r="26617" spans="84:91" s="51" customFormat="1">
      <c r="CF26617" s="239"/>
      <c r="CM26617" s="336"/>
    </row>
    <row r="26618" spans="84:91" s="51" customFormat="1">
      <c r="CF26618" s="239"/>
      <c r="CM26618" s="336"/>
    </row>
    <row r="26619" spans="84:91" s="51" customFormat="1">
      <c r="CF26619" s="239"/>
      <c r="CM26619" s="336"/>
    </row>
    <row r="26620" spans="84:91" s="51" customFormat="1">
      <c r="CF26620" s="239"/>
      <c r="CM26620" s="336"/>
    </row>
    <row r="26621" spans="84:91" s="51" customFormat="1">
      <c r="CF26621" s="239"/>
      <c r="CM26621" s="336"/>
    </row>
    <row r="26622" spans="84:91" s="51" customFormat="1">
      <c r="CF26622" s="239"/>
      <c r="CM26622" s="336"/>
    </row>
    <row r="26623" spans="84:91" s="51" customFormat="1">
      <c r="CF26623" s="239"/>
      <c r="CM26623" s="336"/>
    </row>
    <row r="26624" spans="84:91" s="51" customFormat="1">
      <c r="CF26624" s="239"/>
      <c r="CM26624" s="336"/>
    </row>
    <row r="26625" spans="84:91" s="51" customFormat="1">
      <c r="CF26625" s="239"/>
      <c r="CM26625" s="336"/>
    </row>
    <row r="26626" spans="84:91" s="51" customFormat="1">
      <c r="CF26626" s="239"/>
      <c r="CM26626" s="336"/>
    </row>
    <row r="26627" spans="84:91" s="51" customFormat="1">
      <c r="CF26627" s="239"/>
      <c r="CM26627" s="336"/>
    </row>
    <row r="26628" spans="84:91" s="51" customFormat="1">
      <c r="CF26628" s="239"/>
      <c r="CM26628" s="336"/>
    </row>
    <row r="26629" spans="84:91" s="51" customFormat="1">
      <c r="CF26629" s="239"/>
      <c r="CM26629" s="336"/>
    </row>
    <row r="26630" spans="84:91" s="51" customFormat="1">
      <c r="CF26630" s="239"/>
      <c r="CM26630" s="336"/>
    </row>
    <row r="26631" spans="84:91" s="51" customFormat="1">
      <c r="CF26631" s="239"/>
      <c r="CM26631" s="336"/>
    </row>
    <row r="26632" spans="84:91" s="51" customFormat="1">
      <c r="CF26632" s="239"/>
      <c r="CM26632" s="336"/>
    </row>
    <row r="26633" spans="84:91" s="51" customFormat="1">
      <c r="CF26633" s="239"/>
      <c r="CM26633" s="336"/>
    </row>
    <row r="26634" spans="84:91" s="51" customFormat="1">
      <c r="CF26634" s="239"/>
      <c r="CM26634" s="336"/>
    </row>
    <row r="26635" spans="84:91" s="51" customFormat="1">
      <c r="CF26635" s="239"/>
      <c r="CM26635" s="336"/>
    </row>
    <row r="26636" spans="84:91" s="51" customFormat="1">
      <c r="CF26636" s="239"/>
      <c r="CM26636" s="336"/>
    </row>
    <row r="26637" spans="84:91" s="51" customFormat="1">
      <c r="CF26637" s="239"/>
      <c r="CM26637" s="336"/>
    </row>
    <row r="26638" spans="84:91" s="51" customFormat="1">
      <c r="CF26638" s="239"/>
      <c r="CM26638" s="336"/>
    </row>
    <row r="26639" spans="84:91" s="51" customFormat="1">
      <c r="CF26639" s="239"/>
      <c r="CM26639" s="336"/>
    </row>
    <row r="26640" spans="84:91" s="51" customFormat="1">
      <c r="CF26640" s="239"/>
      <c r="CM26640" s="336"/>
    </row>
    <row r="26641" spans="84:91" s="51" customFormat="1">
      <c r="CF26641" s="239"/>
      <c r="CM26641" s="336"/>
    </row>
    <row r="26642" spans="84:91" s="51" customFormat="1">
      <c r="CF26642" s="239"/>
      <c r="CM26642" s="336"/>
    </row>
    <row r="26643" spans="84:91" s="51" customFormat="1">
      <c r="CF26643" s="239"/>
      <c r="CM26643" s="336"/>
    </row>
    <row r="26644" spans="84:91" s="51" customFormat="1">
      <c r="CF26644" s="239"/>
      <c r="CM26644" s="336"/>
    </row>
    <row r="26645" spans="84:91" s="51" customFormat="1">
      <c r="CF26645" s="239"/>
      <c r="CM26645" s="336"/>
    </row>
    <row r="26646" spans="84:91" s="51" customFormat="1">
      <c r="CF26646" s="239"/>
      <c r="CM26646" s="336"/>
    </row>
    <row r="26647" spans="84:91" s="51" customFormat="1">
      <c r="CF26647" s="239"/>
      <c r="CM26647" s="336"/>
    </row>
    <row r="26648" spans="84:91" s="51" customFormat="1">
      <c r="CF26648" s="239"/>
      <c r="CM26648" s="336"/>
    </row>
    <row r="26649" spans="84:91" s="51" customFormat="1">
      <c r="CF26649" s="239"/>
      <c r="CM26649" s="336"/>
    </row>
    <row r="26650" spans="84:91" s="51" customFormat="1">
      <c r="CF26650" s="239"/>
      <c r="CM26650" s="336"/>
    </row>
    <row r="26651" spans="84:91" s="51" customFormat="1">
      <c r="CF26651" s="239"/>
      <c r="CM26651" s="336"/>
    </row>
    <row r="26652" spans="84:91" s="51" customFormat="1">
      <c r="CF26652" s="239"/>
      <c r="CM26652" s="336"/>
    </row>
    <row r="26653" spans="84:91" s="51" customFormat="1">
      <c r="CF26653" s="239"/>
      <c r="CM26653" s="336"/>
    </row>
    <row r="26654" spans="84:91" s="51" customFormat="1">
      <c r="CF26654" s="239"/>
      <c r="CM26654" s="336"/>
    </row>
    <row r="26655" spans="84:91" s="51" customFormat="1">
      <c r="CF26655" s="239"/>
      <c r="CM26655" s="336"/>
    </row>
    <row r="26656" spans="84:91" s="51" customFormat="1">
      <c r="CF26656" s="239"/>
      <c r="CM26656" s="336"/>
    </row>
    <row r="26657" spans="84:91" s="51" customFormat="1">
      <c r="CF26657" s="239"/>
      <c r="CM26657" s="336"/>
    </row>
    <row r="26658" spans="84:91" s="51" customFormat="1">
      <c r="CF26658" s="239"/>
      <c r="CM26658" s="336"/>
    </row>
    <row r="26659" spans="84:91" s="51" customFormat="1">
      <c r="CF26659" s="239"/>
      <c r="CM26659" s="336"/>
    </row>
    <row r="26660" spans="84:91" s="51" customFormat="1">
      <c r="CF26660" s="239"/>
      <c r="CM26660" s="336"/>
    </row>
    <row r="26661" spans="84:91" s="51" customFormat="1">
      <c r="CF26661" s="239"/>
      <c r="CM26661" s="336"/>
    </row>
    <row r="26662" spans="84:91" s="51" customFormat="1">
      <c r="CF26662" s="239"/>
      <c r="CM26662" s="336"/>
    </row>
    <row r="26663" spans="84:91" s="51" customFormat="1">
      <c r="CF26663" s="239"/>
      <c r="CM26663" s="336"/>
    </row>
    <row r="26664" spans="84:91" s="51" customFormat="1">
      <c r="CF26664" s="239"/>
      <c r="CM26664" s="336"/>
    </row>
    <row r="26665" spans="84:91" s="51" customFormat="1">
      <c r="CF26665" s="239"/>
      <c r="CM26665" s="336"/>
    </row>
    <row r="26666" spans="84:91" s="51" customFormat="1">
      <c r="CF26666" s="239"/>
      <c r="CM26666" s="336"/>
    </row>
    <row r="26667" spans="84:91" s="51" customFormat="1">
      <c r="CF26667" s="239"/>
      <c r="CM26667" s="336"/>
    </row>
    <row r="26668" spans="84:91" s="51" customFormat="1">
      <c r="CF26668" s="239"/>
      <c r="CM26668" s="336"/>
    </row>
    <row r="26669" spans="84:91" s="51" customFormat="1">
      <c r="CF26669" s="239"/>
      <c r="CM26669" s="336"/>
    </row>
    <row r="26670" spans="84:91" s="51" customFormat="1">
      <c r="CF26670" s="239"/>
      <c r="CM26670" s="336"/>
    </row>
    <row r="26671" spans="84:91" s="51" customFormat="1">
      <c r="CF26671" s="239"/>
      <c r="CM26671" s="336"/>
    </row>
    <row r="26672" spans="84:91" s="51" customFormat="1">
      <c r="CF26672" s="239"/>
      <c r="CM26672" s="336"/>
    </row>
    <row r="26673" spans="84:91" s="51" customFormat="1">
      <c r="CF26673" s="239"/>
      <c r="CM26673" s="336"/>
    </row>
    <row r="26674" spans="84:91" s="51" customFormat="1">
      <c r="CF26674" s="239"/>
      <c r="CM26674" s="336"/>
    </row>
    <row r="26675" spans="84:91" s="51" customFormat="1">
      <c r="CF26675" s="239"/>
      <c r="CM26675" s="336"/>
    </row>
    <row r="26676" spans="84:91" s="51" customFormat="1">
      <c r="CF26676" s="239"/>
      <c r="CM26676" s="336"/>
    </row>
    <row r="26677" spans="84:91" s="51" customFormat="1">
      <c r="CF26677" s="239"/>
      <c r="CM26677" s="336"/>
    </row>
    <row r="26678" spans="84:91" s="51" customFormat="1">
      <c r="CF26678" s="239"/>
      <c r="CM26678" s="336"/>
    </row>
    <row r="26679" spans="84:91" s="51" customFormat="1">
      <c r="CF26679" s="239"/>
      <c r="CM26679" s="336"/>
    </row>
    <row r="26680" spans="84:91" s="51" customFormat="1">
      <c r="CF26680" s="239"/>
      <c r="CM26680" s="336"/>
    </row>
    <row r="26681" spans="84:91" s="51" customFormat="1">
      <c r="CF26681" s="239"/>
      <c r="CM26681" s="336"/>
    </row>
    <row r="26682" spans="84:91" s="51" customFormat="1">
      <c r="CF26682" s="239"/>
      <c r="CM26682" s="336"/>
    </row>
    <row r="26683" spans="84:91" s="51" customFormat="1">
      <c r="CF26683" s="239"/>
      <c r="CM26683" s="336"/>
    </row>
    <row r="26684" spans="84:91" s="51" customFormat="1">
      <c r="CF26684" s="239"/>
      <c r="CM26684" s="336"/>
    </row>
    <row r="26685" spans="84:91" s="51" customFormat="1">
      <c r="CF26685" s="239"/>
      <c r="CM26685" s="336"/>
    </row>
    <row r="26686" spans="84:91" s="51" customFormat="1">
      <c r="CF26686" s="239"/>
      <c r="CM26686" s="336"/>
    </row>
    <row r="26687" spans="84:91" s="51" customFormat="1">
      <c r="CF26687" s="239"/>
      <c r="CM26687" s="336"/>
    </row>
    <row r="26688" spans="84:91" s="51" customFormat="1">
      <c r="CF26688" s="239"/>
      <c r="CM26688" s="336"/>
    </row>
    <row r="26689" spans="84:91" s="51" customFormat="1">
      <c r="CF26689" s="239"/>
      <c r="CM26689" s="336"/>
    </row>
    <row r="26690" spans="84:91" s="51" customFormat="1">
      <c r="CF26690" s="239"/>
      <c r="CM26690" s="336"/>
    </row>
    <row r="26691" spans="84:91" s="51" customFormat="1">
      <c r="CF26691" s="239"/>
      <c r="CM26691" s="336"/>
    </row>
    <row r="26692" spans="84:91" s="51" customFormat="1">
      <c r="CF26692" s="239"/>
      <c r="CM26692" s="336"/>
    </row>
    <row r="26693" spans="84:91" s="51" customFormat="1">
      <c r="CF26693" s="239"/>
      <c r="CM26693" s="336"/>
    </row>
    <row r="26694" spans="84:91" s="51" customFormat="1">
      <c r="CF26694" s="239"/>
      <c r="CM26694" s="336"/>
    </row>
    <row r="26695" spans="84:91" s="51" customFormat="1">
      <c r="CF26695" s="239"/>
      <c r="CM26695" s="336"/>
    </row>
    <row r="26696" spans="84:91" s="51" customFormat="1">
      <c r="CF26696" s="239"/>
      <c r="CM26696" s="336"/>
    </row>
    <row r="26697" spans="84:91" s="51" customFormat="1">
      <c r="CF26697" s="239"/>
      <c r="CM26697" s="336"/>
    </row>
    <row r="26698" spans="84:91" s="51" customFormat="1">
      <c r="CF26698" s="239"/>
      <c r="CM26698" s="336"/>
    </row>
    <row r="26699" spans="84:91" s="51" customFormat="1">
      <c r="CF26699" s="239"/>
      <c r="CM26699" s="336"/>
    </row>
    <row r="26700" spans="84:91" s="51" customFormat="1">
      <c r="CF26700" s="239"/>
      <c r="CM26700" s="336"/>
    </row>
    <row r="26701" spans="84:91" s="51" customFormat="1">
      <c r="CF26701" s="239"/>
      <c r="CM26701" s="336"/>
    </row>
    <row r="26702" spans="84:91" s="51" customFormat="1">
      <c r="CF26702" s="239"/>
      <c r="CM26702" s="336"/>
    </row>
    <row r="26703" spans="84:91" s="51" customFormat="1">
      <c r="CF26703" s="239"/>
      <c r="CM26703" s="336"/>
    </row>
    <row r="26704" spans="84:91" s="51" customFormat="1">
      <c r="CF26704" s="239"/>
      <c r="CM26704" s="336"/>
    </row>
    <row r="26705" spans="84:91" s="51" customFormat="1">
      <c r="CF26705" s="239"/>
      <c r="CM26705" s="336"/>
    </row>
    <row r="26706" spans="84:91" s="51" customFormat="1">
      <c r="CF26706" s="239"/>
      <c r="CM26706" s="336"/>
    </row>
    <row r="26707" spans="84:91" s="51" customFormat="1">
      <c r="CF26707" s="239"/>
      <c r="CM26707" s="336"/>
    </row>
    <row r="26708" spans="84:91" s="51" customFormat="1">
      <c r="CF26708" s="239"/>
      <c r="CM26708" s="336"/>
    </row>
    <row r="26709" spans="84:91" s="51" customFormat="1">
      <c r="CF26709" s="239"/>
      <c r="CM26709" s="336"/>
    </row>
    <row r="26710" spans="84:91" s="51" customFormat="1">
      <c r="CF26710" s="239"/>
      <c r="CM26710" s="336"/>
    </row>
    <row r="26711" spans="84:91" s="51" customFormat="1">
      <c r="CF26711" s="239"/>
      <c r="CM26711" s="336"/>
    </row>
    <row r="26712" spans="84:91" s="51" customFormat="1">
      <c r="CF26712" s="239"/>
      <c r="CM26712" s="336"/>
    </row>
    <row r="26713" spans="84:91" s="51" customFormat="1">
      <c r="CF26713" s="239"/>
      <c r="CM26713" s="336"/>
    </row>
    <row r="26714" spans="84:91" s="51" customFormat="1">
      <c r="CF26714" s="239"/>
      <c r="CM26714" s="336"/>
    </row>
    <row r="26715" spans="84:91" s="51" customFormat="1">
      <c r="CF26715" s="239"/>
      <c r="CM26715" s="336"/>
    </row>
    <row r="26716" spans="84:91" s="51" customFormat="1">
      <c r="CF26716" s="239"/>
      <c r="CM26716" s="336"/>
    </row>
    <row r="26717" spans="84:91" s="51" customFormat="1">
      <c r="CF26717" s="239"/>
      <c r="CM26717" s="336"/>
    </row>
    <row r="26718" spans="84:91" s="51" customFormat="1">
      <c r="CF26718" s="239"/>
      <c r="CM26718" s="336"/>
    </row>
    <row r="26719" spans="84:91" s="51" customFormat="1">
      <c r="CF26719" s="239"/>
      <c r="CM26719" s="336"/>
    </row>
    <row r="26720" spans="84:91" s="51" customFormat="1">
      <c r="CF26720" s="239"/>
      <c r="CM26720" s="336"/>
    </row>
    <row r="26721" spans="84:91" s="51" customFormat="1">
      <c r="CF26721" s="239"/>
      <c r="CM26721" s="336"/>
    </row>
    <row r="26722" spans="84:91" s="51" customFormat="1">
      <c r="CF26722" s="239"/>
      <c r="CM26722" s="336"/>
    </row>
    <row r="26723" spans="84:91" s="51" customFormat="1">
      <c r="CF26723" s="239"/>
      <c r="CM26723" s="336"/>
    </row>
    <row r="26724" spans="84:91" s="51" customFormat="1">
      <c r="CF26724" s="239"/>
      <c r="CM26724" s="336"/>
    </row>
    <row r="26725" spans="84:91" s="51" customFormat="1">
      <c r="CF26725" s="239"/>
      <c r="CM26725" s="336"/>
    </row>
    <row r="26726" spans="84:91" s="51" customFormat="1">
      <c r="CF26726" s="239"/>
      <c r="CM26726" s="336"/>
    </row>
    <row r="26727" spans="84:91" s="51" customFormat="1">
      <c r="CF26727" s="239"/>
      <c r="CM26727" s="336"/>
    </row>
    <row r="26728" spans="84:91" s="51" customFormat="1">
      <c r="CF26728" s="239"/>
      <c r="CM26728" s="336"/>
    </row>
    <row r="26729" spans="84:91" s="51" customFormat="1">
      <c r="CF26729" s="239"/>
      <c r="CM26729" s="336"/>
    </row>
    <row r="26730" spans="84:91" s="51" customFormat="1">
      <c r="CF26730" s="239"/>
      <c r="CM26730" s="336"/>
    </row>
    <row r="26731" spans="84:91" s="51" customFormat="1">
      <c r="CF26731" s="239"/>
      <c r="CM26731" s="336"/>
    </row>
    <row r="26732" spans="84:91" s="51" customFormat="1">
      <c r="CF26732" s="239"/>
      <c r="CM26732" s="336"/>
    </row>
    <row r="26733" spans="84:91" s="51" customFormat="1">
      <c r="CF26733" s="239"/>
      <c r="CM26733" s="336"/>
    </row>
    <row r="26734" spans="84:91" s="51" customFormat="1">
      <c r="CF26734" s="239"/>
      <c r="CM26734" s="336"/>
    </row>
    <row r="26735" spans="84:91" s="51" customFormat="1">
      <c r="CF26735" s="239"/>
      <c r="CM26735" s="336"/>
    </row>
    <row r="26736" spans="84:91" s="51" customFormat="1">
      <c r="CF26736" s="239"/>
      <c r="CM26736" s="336"/>
    </row>
    <row r="26737" spans="84:91" s="51" customFormat="1">
      <c r="CF26737" s="239"/>
      <c r="CM26737" s="336"/>
    </row>
    <row r="26738" spans="84:91" s="51" customFormat="1">
      <c r="CF26738" s="239"/>
      <c r="CM26738" s="336"/>
    </row>
    <row r="26739" spans="84:91" s="51" customFormat="1">
      <c r="CF26739" s="239"/>
      <c r="CM26739" s="336"/>
    </row>
    <row r="26740" spans="84:91" s="51" customFormat="1">
      <c r="CF26740" s="239"/>
      <c r="CM26740" s="336"/>
    </row>
    <row r="26741" spans="84:91" s="51" customFormat="1">
      <c r="CF26741" s="239"/>
      <c r="CM26741" s="336"/>
    </row>
    <row r="26742" spans="84:91" s="51" customFormat="1">
      <c r="CF26742" s="239"/>
      <c r="CM26742" s="336"/>
    </row>
    <row r="26743" spans="84:91" s="51" customFormat="1">
      <c r="CF26743" s="239"/>
      <c r="CM26743" s="336"/>
    </row>
    <row r="26744" spans="84:91" s="51" customFormat="1">
      <c r="CF26744" s="239"/>
      <c r="CM26744" s="336"/>
    </row>
    <row r="26745" spans="84:91" s="51" customFormat="1">
      <c r="CF26745" s="239"/>
      <c r="CM26745" s="336"/>
    </row>
    <row r="26746" spans="84:91" s="51" customFormat="1">
      <c r="CF26746" s="239"/>
      <c r="CM26746" s="336"/>
    </row>
    <row r="26747" spans="84:91" s="51" customFormat="1">
      <c r="CF26747" s="239"/>
      <c r="CM26747" s="336"/>
    </row>
    <row r="26748" spans="84:91" s="51" customFormat="1">
      <c r="CF26748" s="239"/>
      <c r="CM26748" s="336"/>
    </row>
    <row r="26749" spans="84:91" s="51" customFormat="1">
      <c r="CF26749" s="239"/>
      <c r="CM26749" s="336"/>
    </row>
    <row r="26750" spans="84:91" s="51" customFormat="1">
      <c r="CF26750" s="239"/>
      <c r="CM26750" s="336"/>
    </row>
    <row r="26751" spans="84:91" s="51" customFormat="1">
      <c r="CF26751" s="239"/>
      <c r="CM26751" s="336"/>
    </row>
    <row r="26752" spans="84:91" s="51" customFormat="1">
      <c r="CF26752" s="239"/>
      <c r="CM26752" s="336"/>
    </row>
    <row r="26753" spans="84:91" s="51" customFormat="1">
      <c r="CF26753" s="239"/>
      <c r="CM26753" s="336"/>
    </row>
    <row r="26754" spans="84:91" s="51" customFormat="1">
      <c r="CF26754" s="239"/>
      <c r="CM26754" s="336"/>
    </row>
    <row r="26755" spans="84:91" s="51" customFormat="1">
      <c r="CF26755" s="239"/>
      <c r="CM26755" s="336"/>
    </row>
    <row r="26756" spans="84:91" s="51" customFormat="1">
      <c r="CF26756" s="239"/>
      <c r="CM26756" s="336"/>
    </row>
    <row r="26757" spans="84:91" s="51" customFormat="1">
      <c r="CF26757" s="239"/>
      <c r="CM26757" s="336"/>
    </row>
    <row r="26758" spans="84:91" s="51" customFormat="1">
      <c r="CF26758" s="239"/>
      <c r="CM26758" s="336"/>
    </row>
    <row r="26759" spans="84:91" s="51" customFormat="1">
      <c r="CF26759" s="239"/>
      <c r="CM26759" s="336"/>
    </row>
    <row r="26760" spans="84:91" s="51" customFormat="1">
      <c r="CF26760" s="239"/>
      <c r="CM26760" s="336"/>
    </row>
    <row r="26761" spans="84:91" s="51" customFormat="1">
      <c r="CF26761" s="239"/>
      <c r="CM26761" s="336"/>
    </row>
    <row r="26762" spans="84:91" s="51" customFormat="1">
      <c r="CF26762" s="239"/>
      <c r="CM26762" s="336"/>
    </row>
    <row r="26763" spans="84:91" s="51" customFormat="1">
      <c r="CF26763" s="239"/>
      <c r="CM26763" s="336"/>
    </row>
    <row r="26764" spans="84:91" s="51" customFormat="1">
      <c r="CF26764" s="239"/>
      <c r="CM26764" s="336"/>
    </row>
    <row r="26765" spans="84:91" s="51" customFormat="1">
      <c r="CF26765" s="239"/>
      <c r="CM26765" s="336"/>
    </row>
    <row r="26766" spans="84:91" s="51" customFormat="1">
      <c r="CF26766" s="239"/>
      <c r="CM26766" s="336"/>
    </row>
    <row r="26767" spans="84:91" s="51" customFormat="1">
      <c r="CF26767" s="239"/>
      <c r="CM26767" s="336"/>
    </row>
    <row r="26768" spans="84:91" s="51" customFormat="1">
      <c r="CF26768" s="239"/>
      <c r="CM26768" s="336"/>
    </row>
    <row r="26769" spans="84:91" s="51" customFormat="1">
      <c r="CF26769" s="239"/>
      <c r="CM26769" s="336"/>
    </row>
    <row r="26770" spans="84:91" s="51" customFormat="1">
      <c r="CF26770" s="239"/>
      <c r="CM26770" s="336"/>
    </row>
    <row r="26771" spans="84:91" s="51" customFormat="1">
      <c r="CF26771" s="239"/>
      <c r="CM26771" s="336"/>
    </row>
    <row r="26772" spans="84:91" s="51" customFormat="1">
      <c r="CF26772" s="239"/>
      <c r="CM26772" s="336"/>
    </row>
    <row r="26773" spans="84:91" s="51" customFormat="1">
      <c r="CF26773" s="239"/>
      <c r="CM26773" s="336"/>
    </row>
    <row r="26774" spans="84:91" s="51" customFormat="1">
      <c r="CF26774" s="239"/>
      <c r="CM26774" s="336"/>
    </row>
    <row r="26775" spans="84:91" s="51" customFormat="1">
      <c r="CF26775" s="239"/>
      <c r="CM26775" s="336"/>
    </row>
    <row r="26776" spans="84:91" s="51" customFormat="1">
      <c r="CF26776" s="239"/>
      <c r="CM26776" s="336"/>
    </row>
    <row r="26777" spans="84:91" s="51" customFormat="1">
      <c r="CF26777" s="239"/>
      <c r="CM26777" s="336"/>
    </row>
    <row r="26778" spans="84:91" s="51" customFormat="1">
      <c r="CF26778" s="239"/>
      <c r="CM26778" s="336"/>
    </row>
    <row r="26779" spans="84:91" s="51" customFormat="1">
      <c r="CF26779" s="239"/>
      <c r="CM26779" s="336"/>
    </row>
    <row r="26780" spans="84:91" s="51" customFormat="1">
      <c r="CF26780" s="239"/>
      <c r="CM26780" s="336"/>
    </row>
    <row r="26781" spans="84:91" s="51" customFormat="1">
      <c r="CF26781" s="239"/>
      <c r="CM26781" s="336"/>
    </row>
    <row r="26782" spans="84:91" s="51" customFormat="1">
      <c r="CF26782" s="239"/>
      <c r="CM26782" s="336"/>
    </row>
    <row r="26783" spans="84:91" s="51" customFormat="1">
      <c r="CF26783" s="239"/>
      <c r="CM26783" s="336"/>
    </row>
    <row r="26784" spans="84:91" s="51" customFormat="1">
      <c r="CF26784" s="239"/>
      <c r="CM26784" s="336"/>
    </row>
    <row r="26785" spans="84:91" s="51" customFormat="1">
      <c r="CF26785" s="239"/>
      <c r="CM26785" s="336"/>
    </row>
    <row r="26786" spans="84:91" s="51" customFormat="1">
      <c r="CF26786" s="239"/>
      <c r="CM26786" s="336"/>
    </row>
    <row r="26787" spans="84:91" s="51" customFormat="1">
      <c r="CF26787" s="239"/>
      <c r="CM26787" s="336"/>
    </row>
    <row r="26788" spans="84:91" s="51" customFormat="1">
      <c r="CF26788" s="239"/>
      <c r="CM26788" s="336"/>
    </row>
    <row r="26789" spans="84:91" s="51" customFormat="1">
      <c r="CF26789" s="239"/>
      <c r="CM26789" s="336"/>
    </row>
    <row r="26790" spans="84:91" s="51" customFormat="1">
      <c r="CF26790" s="239"/>
      <c r="CM26790" s="336"/>
    </row>
    <row r="26791" spans="84:91" s="51" customFormat="1">
      <c r="CF26791" s="239"/>
      <c r="CM26791" s="336"/>
    </row>
    <row r="26792" spans="84:91" s="51" customFormat="1">
      <c r="CF26792" s="239"/>
      <c r="CM26792" s="336"/>
    </row>
    <row r="26793" spans="84:91" s="51" customFormat="1">
      <c r="CF26793" s="239"/>
      <c r="CM26793" s="336"/>
    </row>
    <row r="26794" spans="84:91" s="51" customFormat="1">
      <c r="CF26794" s="239"/>
      <c r="CM26794" s="336"/>
    </row>
    <row r="26795" spans="84:91" s="51" customFormat="1">
      <c r="CF26795" s="239"/>
      <c r="CM26795" s="336"/>
    </row>
    <row r="26796" spans="84:91" s="51" customFormat="1">
      <c r="CF26796" s="239"/>
      <c r="CM26796" s="336"/>
    </row>
    <row r="26797" spans="84:91" s="51" customFormat="1">
      <c r="CF26797" s="239"/>
      <c r="CM26797" s="336"/>
    </row>
    <row r="26798" spans="84:91" s="51" customFormat="1">
      <c r="CF26798" s="239"/>
      <c r="CM26798" s="336"/>
    </row>
    <row r="26799" spans="84:91" s="51" customFormat="1">
      <c r="CF26799" s="239"/>
      <c r="CM26799" s="336"/>
    </row>
    <row r="26800" spans="84:91" s="51" customFormat="1">
      <c r="CF26800" s="239"/>
      <c r="CM26800" s="336"/>
    </row>
    <row r="26801" spans="84:91" s="51" customFormat="1">
      <c r="CF26801" s="239"/>
      <c r="CM26801" s="336"/>
    </row>
    <row r="26802" spans="84:91" s="51" customFormat="1">
      <c r="CF26802" s="239"/>
      <c r="CM26802" s="336"/>
    </row>
    <row r="26803" spans="84:91" s="51" customFormat="1">
      <c r="CF26803" s="239"/>
      <c r="CM26803" s="336"/>
    </row>
    <row r="26804" spans="84:91" s="51" customFormat="1">
      <c r="CF26804" s="239"/>
      <c r="CM26804" s="336"/>
    </row>
    <row r="26805" spans="84:91" s="51" customFormat="1">
      <c r="CF26805" s="239"/>
      <c r="CM26805" s="336"/>
    </row>
    <row r="26806" spans="84:91" s="51" customFormat="1">
      <c r="CF26806" s="239"/>
      <c r="CM26806" s="336"/>
    </row>
    <row r="26807" spans="84:91" s="51" customFormat="1">
      <c r="CF26807" s="239"/>
      <c r="CM26807" s="336"/>
    </row>
    <row r="26808" spans="84:91" s="51" customFormat="1">
      <c r="CF26808" s="239"/>
      <c r="CM26808" s="336"/>
    </row>
    <row r="26809" spans="84:91" s="51" customFormat="1">
      <c r="CF26809" s="239"/>
      <c r="CM26809" s="336"/>
    </row>
    <row r="26810" spans="84:91" s="51" customFormat="1">
      <c r="CF26810" s="239"/>
      <c r="CM26810" s="336"/>
    </row>
    <row r="26811" spans="84:91" s="51" customFormat="1">
      <c r="CF26811" s="239"/>
      <c r="CM26811" s="336"/>
    </row>
    <row r="26812" spans="84:91" s="51" customFormat="1">
      <c r="CF26812" s="239"/>
      <c r="CM26812" s="336"/>
    </row>
    <row r="26813" spans="84:91" s="51" customFormat="1">
      <c r="CF26813" s="239"/>
      <c r="CM26813" s="336"/>
    </row>
    <row r="26814" spans="84:91" s="51" customFormat="1">
      <c r="CF26814" s="239"/>
      <c r="CM26814" s="336"/>
    </row>
    <row r="26815" spans="84:91" s="51" customFormat="1">
      <c r="CF26815" s="239"/>
      <c r="CM26815" s="336"/>
    </row>
    <row r="26816" spans="84:91" s="51" customFormat="1">
      <c r="CF26816" s="239"/>
      <c r="CM26816" s="336"/>
    </row>
    <row r="26817" spans="84:91" s="51" customFormat="1">
      <c r="CF26817" s="239"/>
      <c r="CM26817" s="336"/>
    </row>
    <row r="26818" spans="84:91" s="51" customFormat="1">
      <c r="CF26818" s="239"/>
      <c r="CM26818" s="336"/>
    </row>
    <row r="26819" spans="84:91" s="51" customFormat="1">
      <c r="CF26819" s="239"/>
      <c r="CM26819" s="336"/>
    </row>
    <row r="26820" spans="84:91" s="51" customFormat="1">
      <c r="CF26820" s="239"/>
      <c r="CM26820" s="336"/>
    </row>
    <row r="26821" spans="84:91" s="51" customFormat="1">
      <c r="CF26821" s="239"/>
      <c r="CM26821" s="336"/>
    </row>
    <row r="26822" spans="84:91" s="51" customFormat="1">
      <c r="CF26822" s="239"/>
      <c r="CM26822" s="336"/>
    </row>
    <row r="26823" spans="84:91" s="51" customFormat="1">
      <c r="CF26823" s="239"/>
      <c r="CM26823" s="336"/>
    </row>
    <row r="26824" spans="84:91" s="51" customFormat="1">
      <c r="CF26824" s="239"/>
      <c r="CM26824" s="336"/>
    </row>
    <row r="26825" spans="84:91" s="51" customFormat="1">
      <c r="CF26825" s="239"/>
      <c r="CM26825" s="336"/>
    </row>
    <row r="26826" spans="84:91" s="51" customFormat="1">
      <c r="CF26826" s="239"/>
      <c r="CM26826" s="336"/>
    </row>
    <row r="26827" spans="84:91" s="51" customFormat="1">
      <c r="CF26827" s="239"/>
      <c r="CM26827" s="336"/>
    </row>
    <row r="26828" spans="84:91" s="51" customFormat="1">
      <c r="CF26828" s="239"/>
      <c r="CM26828" s="336"/>
    </row>
    <row r="26829" spans="84:91" s="51" customFormat="1">
      <c r="CF26829" s="239"/>
      <c r="CM26829" s="336"/>
    </row>
    <row r="26830" spans="84:91" s="51" customFormat="1">
      <c r="CF26830" s="239"/>
      <c r="CM26830" s="336"/>
    </row>
    <row r="26831" spans="84:91" s="51" customFormat="1">
      <c r="CF26831" s="239"/>
      <c r="CM26831" s="336"/>
    </row>
    <row r="26832" spans="84:91" s="51" customFormat="1">
      <c r="CF26832" s="239"/>
      <c r="CM26832" s="336"/>
    </row>
    <row r="26833" spans="84:91" s="51" customFormat="1">
      <c r="CF26833" s="239"/>
      <c r="CM26833" s="336"/>
    </row>
    <row r="26834" spans="84:91" s="51" customFormat="1">
      <c r="CF26834" s="239"/>
      <c r="CM26834" s="336"/>
    </row>
    <row r="26835" spans="84:91" s="51" customFormat="1">
      <c r="CF26835" s="239"/>
      <c r="CM26835" s="336"/>
    </row>
    <row r="26836" spans="84:91" s="51" customFormat="1">
      <c r="CF26836" s="239"/>
      <c r="CM26836" s="336"/>
    </row>
    <row r="26837" spans="84:91" s="51" customFormat="1">
      <c r="CF26837" s="239"/>
      <c r="CM26837" s="336"/>
    </row>
    <row r="26838" spans="84:91" s="51" customFormat="1">
      <c r="CF26838" s="239"/>
      <c r="CM26838" s="336"/>
    </row>
    <row r="26839" spans="84:91" s="51" customFormat="1">
      <c r="CF26839" s="239"/>
      <c r="CM26839" s="336"/>
    </row>
    <row r="26840" spans="84:91" s="51" customFormat="1">
      <c r="CF26840" s="239"/>
      <c r="CM26840" s="336"/>
    </row>
    <row r="26841" spans="84:91" s="51" customFormat="1">
      <c r="CF26841" s="239"/>
      <c r="CM26841" s="336"/>
    </row>
    <row r="26842" spans="84:91" s="51" customFormat="1">
      <c r="CF26842" s="239"/>
      <c r="CM26842" s="336"/>
    </row>
    <row r="26843" spans="84:91" s="51" customFormat="1">
      <c r="CF26843" s="239"/>
      <c r="CM26843" s="336"/>
    </row>
    <row r="26844" spans="84:91" s="51" customFormat="1">
      <c r="CF26844" s="239"/>
      <c r="CM26844" s="336"/>
    </row>
    <row r="26845" spans="84:91" s="51" customFormat="1">
      <c r="CF26845" s="239"/>
      <c r="CM26845" s="336"/>
    </row>
    <row r="26846" spans="84:91" s="51" customFormat="1">
      <c r="CF26846" s="239"/>
      <c r="CM26846" s="336"/>
    </row>
    <row r="26847" spans="84:91" s="51" customFormat="1">
      <c r="CF26847" s="239"/>
      <c r="CM26847" s="336"/>
    </row>
    <row r="26848" spans="84:91" s="51" customFormat="1">
      <c r="CF26848" s="239"/>
      <c r="CM26848" s="336"/>
    </row>
    <row r="26849" spans="84:91" s="51" customFormat="1">
      <c r="CF26849" s="239"/>
      <c r="CM26849" s="336"/>
    </row>
    <row r="26850" spans="84:91" s="51" customFormat="1">
      <c r="CF26850" s="239"/>
      <c r="CM26850" s="336"/>
    </row>
    <row r="26851" spans="84:91" s="51" customFormat="1">
      <c r="CF26851" s="239"/>
      <c r="CM26851" s="336"/>
    </row>
    <row r="26852" spans="84:91" s="51" customFormat="1">
      <c r="CF26852" s="239"/>
      <c r="CM26852" s="336"/>
    </row>
    <row r="26853" spans="84:91" s="51" customFormat="1">
      <c r="CF26853" s="239"/>
      <c r="CM26853" s="336"/>
    </row>
    <row r="26854" spans="84:91" s="51" customFormat="1">
      <c r="CF26854" s="239"/>
      <c r="CM26854" s="336"/>
    </row>
    <row r="26855" spans="84:91" s="51" customFormat="1">
      <c r="CF26855" s="239"/>
      <c r="CM26855" s="336"/>
    </row>
    <row r="26856" spans="84:91" s="51" customFormat="1">
      <c r="CF26856" s="239"/>
      <c r="CM26856" s="336"/>
    </row>
    <row r="26857" spans="84:91" s="51" customFormat="1">
      <c r="CF26857" s="239"/>
      <c r="CM26857" s="336"/>
    </row>
    <row r="26858" spans="84:91" s="51" customFormat="1">
      <c r="CF26858" s="239"/>
      <c r="CM26858" s="336"/>
    </row>
    <row r="26859" spans="84:91" s="51" customFormat="1">
      <c r="CF26859" s="239"/>
      <c r="CM26859" s="336"/>
    </row>
    <row r="26860" spans="84:91" s="51" customFormat="1">
      <c r="CF26860" s="239"/>
      <c r="CM26860" s="336"/>
    </row>
    <row r="26861" spans="84:91" s="51" customFormat="1">
      <c r="CF26861" s="239"/>
      <c r="CM26861" s="336"/>
    </row>
    <row r="26862" spans="84:91" s="51" customFormat="1">
      <c r="CF26862" s="239"/>
      <c r="CM26862" s="336"/>
    </row>
    <row r="26863" spans="84:91" s="51" customFormat="1">
      <c r="CF26863" s="239"/>
      <c r="CM26863" s="336"/>
    </row>
    <row r="26864" spans="84:91" s="51" customFormat="1">
      <c r="CF26864" s="239"/>
      <c r="CM26864" s="336"/>
    </row>
    <row r="26865" spans="84:91" s="51" customFormat="1">
      <c r="CF26865" s="239"/>
      <c r="CM26865" s="336"/>
    </row>
    <row r="26866" spans="84:91" s="51" customFormat="1">
      <c r="CF26866" s="239"/>
      <c r="CM26866" s="336"/>
    </row>
    <row r="26867" spans="84:91" s="51" customFormat="1">
      <c r="CF26867" s="239"/>
      <c r="CM26867" s="336"/>
    </row>
    <row r="26868" spans="84:91" s="51" customFormat="1">
      <c r="CF26868" s="239"/>
      <c r="CM26868" s="336"/>
    </row>
    <row r="26869" spans="84:91" s="51" customFormat="1">
      <c r="CF26869" s="239"/>
      <c r="CM26869" s="336"/>
    </row>
    <row r="26870" spans="84:91" s="51" customFormat="1">
      <c r="CF26870" s="239"/>
      <c r="CM26870" s="336"/>
    </row>
    <row r="26871" spans="84:91" s="51" customFormat="1">
      <c r="CF26871" s="239"/>
      <c r="CM26871" s="336"/>
    </row>
    <row r="26872" spans="84:91" s="51" customFormat="1">
      <c r="CF26872" s="239"/>
      <c r="CM26872" s="336"/>
    </row>
    <row r="26873" spans="84:91" s="51" customFormat="1">
      <c r="CF26873" s="239"/>
      <c r="CM26873" s="336"/>
    </row>
    <row r="26874" spans="84:91" s="51" customFormat="1">
      <c r="CF26874" s="239"/>
      <c r="CM26874" s="336"/>
    </row>
    <row r="26875" spans="84:91" s="51" customFormat="1">
      <c r="CF26875" s="239"/>
      <c r="CM26875" s="336"/>
    </row>
    <row r="26876" spans="84:91" s="51" customFormat="1">
      <c r="CF26876" s="239"/>
      <c r="CM26876" s="336"/>
    </row>
    <row r="26877" spans="84:91" s="51" customFormat="1">
      <c r="CF26877" s="239"/>
      <c r="CM26877" s="336"/>
    </row>
    <row r="26878" spans="84:91" s="51" customFormat="1">
      <c r="CF26878" s="239"/>
      <c r="CM26878" s="336"/>
    </row>
    <row r="26879" spans="84:91" s="51" customFormat="1">
      <c r="CF26879" s="239"/>
      <c r="CM26879" s="336"/>
    </row>
    <row r="26880" spans="84:91" s="51" customFormat="1">
      <c r="CF26880" s="239"/>
      <c r="CM26880" s="336"/>
    </row>
    <row r="26881" spans="84:91" s="51" customFormat="1">
      <c r="CF26881" s="239"/>
      <c r="CM26881" s="336"/>
    </row>
    <row r="26882" spans="84:91" s="51" customFormat="1">
      <c r="CF26882" s="239"/>
      <c r="CM26882" s="336"/>
    </row>
    <row r="26883" spans="84:91" s="51" customFormat="1">
      <c r="CF26883" s="239"/>
      <c r="CM26883" s="336"/>
    </row>
    <row r="26884" spans="84:91" s="51" customFormat="1">
      <c r="CF26884" s="239"/>
      <c r="CM26884" s="336"/>
    </row>
    <row r="26885" spans="84:91" s="51" customFormat="1">
      <c r="CF26885" s="239"/>
      <c r="CM26885" s="336"/>
    </row>
    <row r="26886" spans="84:91" s="51" customFormat="1">
      <c r="CF26886" s="239"/>
      <c r="CM26886" s="336"/>
    </row>
    <row r="26887" spans="84:91" s="51" customFormat="1">
      <c r="CF26887" s="239"/>
      <c r="CM26887" s="336"/>
    </row>
    <row r="26888" spans="84:91" s="51" customFormat="1">
      <c r="CF26888" s="239"/>
      <c r="CM26888" s="336"/>
    </row>
    <row r="26889" spans="84:91" s="51" customFormat="1">
      <c r="CF26889" s="239"/>
      <c r="CM26889" s="336"/>
    </row>
    <row r="26890" spans="84:91" s="51" customFormat="1">
      <c r="CF26890" s="239"/>
      <c r="CM26890" s="336"/>
    </row>
    <row r="26891" spans="84:91" s="51" customFormat="1">
      <c r="CF26891" s="239"/>
      <c r="CM26891" s="336"/>
    </row>
    <row r="26892" spans="84:91" s="51" customFormat="1">
      <c r="CF26892" s="239"/>
      <c r="CM26892" s="336"/>
    </row>
    <row r="26893" spans="84:91" s="51" customFormat="1">
      <c r="CF26893" s="239"/>
      <c r="CM26893" s="336"/>
    </row>
    <row r="26894" spans="84:91" s="51" customFormat="1">
      <c r="CF26894" s="239"/>
      <c r="CM26894" s="336"/>
    </row>
    <row r="26895" spans="84:91" s="51" customFormat="1">
      <c r="CF26895" s="239"/>
      <c r="CM26895" s="336"/>
    </row>
    <row r="26896" spans="84:91" s="51" customFormat="1">
      <c r="CF26896" s="239"/>
      <c r="CM26896" s="336"/>
    </row>
    <row r="26897" spans="84:91" s="51" customFormat="1">
      <c r="CF26897" s="239"/>
      <c r="CM26897" s="336"/>
    </row>
    <row r="26898" spans="84:91" s="51" customFormat="1">
      <c r="CF26898" s="239"/>
      <c r="CM26898" s="336"/>
    </row>
    <row r="26899" spans="84:91" s="51" customFormat="1">
      <c r="CF26899" s="239"/>
      <c r="CM26899" s="336"/>
    </row>
    <row r="26900" spans="84:91" s="51" customFormat="1">
      <c r="CF26900" s="239"/>
      <c r="CM26900" s="336"/>
    </row>
    <row r="26901" spans="84:91" s="51" customFormat="1">
      <c r="CF26901" s="239"/>
      <c r="CM26901" s="336"/>
    </row>
    <row r="26902" spans="84:91" s="51" customFormat="1">
      <c r="CF26902" s="239"/>
      <c r="CM26902" s="336"/>
    </row>
    <row r="26903" spans="84:91" s="51" customFormat="1">
      <c r="CF26903" s="239"/>
      <c r="CM26903" s="336"/>
    </row>
    <row r="26904" spans="84:91" s="51" customFormat="1">
      <c r="CF26904" s="239"/>
      <c r="CM26904" s="336"/>
    </row>
    <row r="26905" spans="84:91" s="51" customFormat="1">
      <c r="CF26905" s="239"/>
      <c r="CM26905" s="336"/>
    </row>
    <row r="26906" spans="84:91" s="51" customFormat="1">
      <c r="CF26906" s="239"/>
      <c r="CM26906" s="336"/>
    </row>
    <row r="26907" spans="84:91" s="51" customFormat="1">
      <c r="CF26907" s="239"/>
      <c r="CM26907" s="336"/>
    </row>
    <row r="26908" spans="84:91" s="51" customFormat="1">
      <c r="CF26908" s="239"/>
      <c r="CM26908" s="336"/>
    </row>
    <row r="26909" spans="84:91" s="51" customFormat="1">
      <c r="CF26909" s="239"/>
      <c r="CM26909" s="336"/>
    </row>
    <row r="26910" spans="84:91" s="51" customFormat="1">
      <c r="CF26910" s="239"/>
      <c r="CM26910" s="336"/>
    </row>
    <row r="26911" spans="84:91" s="51" customFormat="1">
      <c r="CF26911" s="239"/>
      <c r="CM26911" s="336"/>
    </row>
    <row r="26912" spans="84:91" s="51" customFormat="1">
      <c r="CF26912" s="239"/>
      <c r="CM26912" s="336"/>
    </row>
    <row r="26913" spans="84:91" s="51" customFormat="1">
      <c r="CF26913" s="239"/>
      <c r="CM26913" s="336"/>
    </row>
    <row r="26914" spans="84:91" s="51" customFormat="1">
      <c r="CF26914" s="239"/>
      <c r="CM26914" s="336"/>
    </row>
    <row r="26915" spans="84:91" s="51" customFormat="1">
      <c r="CF26915" s="239"/>
      <c r="CM26915" s="336"/>
    </row>
    <row r="26916" spans="84:91" s="51" customFormat="1">
      <c r="CF26916" s="239"/>
      <c r="CM26916" s="336"/>
    </row>
    <row r="26917" spans="84:91" s="51" customFormat="1">
      <c r="CF26917" s="239"/>
      <c r="CM26917" s="336"/>
    </row>
    <row r="26918" spans="84:91" s="51" customFormat="1">
      <c r="CF26918" s="239"/>
      <c r="CM26918" s="336"/>
    </row>
    <row r="26919" spans="84:91" s="51" customFormat="1">
      <c r="CF26919" s="239"/>
      <c r="CM26919" s="336"/>
    </row>
    <row r="26920" spans="84:91" s="51" customFormat="1">
      <c r="CF26920" s="239"/>
      <c r="CM26920" s="336"/>
    </row>
    <row r="26921" spans="84:91" s="51" customFormat="1">
      <c r="CF26921" s="239"/>
      <c r="CM26921" s="336"/>
    </row>
    <row r="26922" spans="84:91" s="51" customFormat="1">
      <c r="CF26922" s="239"/>
      <c r="CM26922" s="336"/>
    </row>
    <row r="26923" spans="84:91" s="51" customFormat="1">
      <c r="CF26923" s="239"/>
      <c r="CM26923" s="336"/>
    </row>
    <row r="26924" spans="84:91" s="51" customFormat="1">
      <c r="CF26924" s="239"/>
      <c r="CM26924" s="336"/>
    </row>
    <row r="26925" spans="84:91" s="51" customFormat="1">
      <c r="CF26925" s="239"/>
      <c r="CM26925" s="336"/>
    </row>
    <row r="26926" spans="84:91" s="51" customFormat="1">
      <c r="CF26926" s="239"/>
      <c r="CM26926" s="336"/>
    </row>
    <row r="26927" spans="84:91" s="51" customFormat="1">
      <c r="CF26927" s="239"/>
      <c r="CM26927" s="336"/>
    </row>
    <row r="26928" spans="84:91" s="51" customFormat="1">
      <c r="CF26928" s="239"/>
      <c r="CM26928" s="336"/>
    </row>
    <row r="26929" spans="84:91" s="51" customFormat="1">
      <c r="CF26929" s="239"/>
      <c r="CM26929" s="336"/>
    </row>
    <row r="26930" spans="84:91" s="51" customFormat="1">
      <c r="CF26930" s="239"/>
      <c r="CM26930" s="336"/>
    </row>
    <row r="26931" spans="84:91" s="51" customFormat="1">
      <c r="CF26931" s="239"/>
      <c r="CM26931" s="336"/>
    </row>
    <row r="26932" spans="84:91" s="51" customFormat="1">
      <c r="CF26932" s="239"/>
      <c r="CM26932" s="336"/>
    </row>
    <row r="26933" spans="84:91" s="51" customFormat="1">
      <c r="CF26933" s="239"/>
      <c r="CM26933" s="336"/>
    </row>
    <row r="26934" spans="84:91" s="51" customFormat="1">
      <c r="CF26934" s="239"/>
      <c r="CM26934" s="336"/>
    </row>
    <row r="26935" spans="84:91" s="51" customFormat="1">
      <c r="CF26935" s="239"/>
      <c r="CM26935" s="336"/>
    </row>
    <row r="26936" spans="84:91" s="51" customFormat="1">
      <c r="CF26936" s="239"/>
      <c r="CM26936" s="336"/>
    </row>
    <row r="26937" spans="84:91" s="51" customFormat="1">
      <c r="CF26937" s="239"/>
      <c r="CM26937" s="336"/>
    </row>
    <row r="26938" spans="84:91" s="51" customFormat="1">
      <c r="CF26938" s="239"/>
      <c r="CM26938" s="336"/>
    </row>
    <row r="26939" spans="84:91" s="51" customFormat="1">
      <c r="CF26939" s="239"/>
      <c r="CM26939" s="336"/>
    </row>
    <row r="26940" spans="84:91" s="51" customFormat="1">
      <c r="CF26940" s="239"/>
      <c r="CM26940" s="336"/>
    </row>
    <row r="26941" spans="84:91" s="51" customFormat="1">
      <c r="CF26941" s="239"/>
      <c r="CM26941" s="336"/>
    </row>
    <row r="26942" spans="84:91" s="51" customFormat="1">
      <c r="CF26942" s="239"/>
      <c r="CM26942" s="336"/>
    </row>
    <row r="26943" spans="84:91" s="51" customFormat="1">
      <c r="CF26943" s="239"/>
      <c r="CM26943" s="336"/>
    </row>
    <row r="26944" spans="84:91" s="51" customFormat="1">
      <c r="CF26944" s="239"/>
      <c r="CM26944" s="336"/>
    </row>
    <row r="26945" spans="84:91" s="51" customFormat="1">
      <c r="CF26945" s="239"/>
      <c r="CM26945" s="336"/>
    </row>
    <row r="26946" spans="84:91" s="51" customFormat="1">
      <c r="CF26946" s="239"/>
      <c r="CM26946" s="336"/>
    </row>
    <row r="26947" spans="84:91" s="51" customFormat="1">
      <c r="CF26947" s="239"/>
      <c r="CM26947" s="336"/>
    </row>
    <row r="26948" spans="84:91" s="51" customFormat="1">
      <c r="CF26948" s="239"/>
      <c r="CM26948" s="336"/>
    </row>
    <row r="26949" spans="84:91" s="51" customFormat="1">
      <c r="CF26949" s="239"/>
      <c r="CM26949" s="336"/>
    </row>
    <row r="26950" spans="84:91" s="51" customFormat="1">
      <c r="CF26950" s="239"/>
      <c r="CM26950" s="336"/>
    </row>
    <row r="26951" spans="84:91" s="51" customFormat="1">
      <c r="CF26951" s="239"/>
      <c r="CM26951" s="336"/>
    </row>
    <row r="26952" spans="84:91" s="51" customFormat="1">
      <c r="CF26952" s="239"/>
      <c r="CM26952" s="336"/>
    </row>
    <row r="26953" spans="84:91" s="51" customFormat="1">
      <c r="CF26953" s="239"/>
      <c r="CM26953" s="336"/>
    </row>
    <row r="26954" spans="84:91" s="51" customFormat="1">
      <c r="CF26954" s="239"/>
      <c r="CM26954" s="336"/>
    </row>
    <row r="26955" spans="84:91" s="51" customFormat="1">
      <c r="CF26955" s="239"/>
      <c r="CM26955" s="336"/>
    </row>
    <row r="26956" spans="84:91" s="51" customFormat="1">
      <c r="CF26956" s="239"/>
      <c r="CM26956" s="336"/>
    </row>
    <row r="26957" spans="84:91" s="51" customFormat="1">
      <c r="CF26957" s="239"/>
      <c r="CM26957" s="336"/>
    </row>
    <row r="26958" spans="84:91" s="51" customFormat="1">
      <c r="CF26958" s="239"/>
      <c r="CM26958" s="336"/>
    </row>
    <row r="26959" spans="84:91" s="51" customFormat="1">
      <c r="CF26959" s="239"/>
      <c r="CM26959" s="336"/>
    </row>
    <row r="26960" spans="84:91" s="51" customFormat="1">
      <c r="CF26960" s="239"/>
      <c r="CM26960" s="336"/>
    </row>
    <row r="26961" spans="84:91" s="51" customFormat="1">
      <c r="CF26961" s="239"/>
      <c r="CM26961" s="336"/>
    </row>
    <row r="26962" spans="84:91" s="51" customFormat="1">
      <c r="CF26962" s="239"/>
      <c r="CM26962" s="336"/>
    </row>
    <row r="26963" spans="84:91" s="51" customFormat="1">
      <c r="CF26963" s="239"/>
      <c r="CM26963" s="336"/>
    </row>
    <row r="26964" spans="84:91" s="51" customFormat="1">
      <c r="CF26964" s="239"/>
      <c r="CM26964" s="336"/>
    </row>
    <row r="26965" spans="84:91" s="51" customFormat="1">
      <c r="CF26965" s="239"/>
      <c r="CM26965" s="336"/>
    </row>
    <row r="26966" spans="84:91" s="51" customFormat="1">
      <c r="CF26966" s="239"/>
      <c r="CM26966" s="336"/>
    </row>
    <row r="26967" spans="84:91" s="51" customFormat="1">
      <c r="CF26967" s="239"/>
      <c r="CM26967" s="336"/>
    </row>
    <row r="26968" spans="84:91" s="51" customFormat="1">
      <c r="CF26968" s="239"/>
      <c r="CM26968" s="336"/>
    </row>
    <row r="26969" spans="84:91" s="51" customFormat="1">
      <c r="CF26969" s="239"/>
      <c r="CM26969" s="336"/>
    </row>
    <row r="26970" spans="84:91" s="51" customFormat="1">
      <c r="CF26970" s="239"/>
      <c r="CM26970" s="336"/>
    </row>
    <row r="26971" spans="84:91" s="51" customFormat="1">
      <c r="CF26971" s="239"/>
      <c r="CM26971" s="336"/>
    </row>
    <row r="26972" spans="84:91" s="51" customFormat="1">
      <c r="CF26972" s="239"/>
      <c r="CM26972" s="336"/>
    </row>
    <row r="26973" spans="84:91" s="51" customFormat="1">
      <c r="CF26973" s="239"/>
      <c r="CM26973" s="336"/>
    </row>
    <row r="26974" spans="84:91" s="51" customFormat="1">
      <c r="CF26974" s="239"/>
      <c r="CM26974" s="336"/>
    </row>
    <row r="26975" spans="84:91" s="51" customFormat="1">
      <c r="CF26975" s="239"/>
      <c r="CM26975" s="336"/>
    </row>
    <row r="26976" spans="84:91" s="51" customFormat="1">
      <c r="CF26976" s="239"/>
      <c r="CM26976" s="336"/>
    </row>
    <row r="26977" spans="84:91" s="51" customFormat="1">
      <c r="CF26977" s="239"/>
      <c r="CM26977" s="336"/>
    </row>
    <row r="26978" spans="84:91" s="51" customFormat="1">
      <c r="CF26978" s="239"/>
      <c r="CM26978" s="336"/>
    </row>
    <row r="26979" spans="84:91" s="51" customFormat="1">
      <c r="CF26979" s="239"/>
      <c r="CM26979" s="336"/>
    </row>
    <row r="26980" spans="84:91" s="51" customFormat="1">
      <c r="CF26980" s="239"/>
      <c r="CM26980" s="336"/>
    </row>
    <row r="26981" spans="84:91" s="51" customFormat="1">
      <c r="CF26981" s="239"/>
      <c r="CM26981" s="336"/>
    </row>
    <row r="26982" spans="84:91" s="51" customFormat="1">
      <c r="CF26982" s="239"/>
      <c r="CM26982" s="336"/>
    </row>
    <row r="26983" spans="84:91" s="51" customFormat="1">
      <c r="CF26983" s="239"/>
      <c r="CM26983" s="336"/>
    </row>
    <row r="26984" spans="84:91" s="51" customFormat="1">
      <c r="CF26984" s="239"/>
      <c r="CM26984" s="336"/>
    </row>
    <row r="26985" spans="84:91" s="51" customFormat="1">
      <c r="CF26985" s="239"/>
      <c r="CM26985" s="336"/>
    </row>
    <row r="26986" spans="84:91" s="51" customFormat="1">
      <c r="CF26986" s="239"/>
      <c r="CM26986" s="336"/>
    </row>
    <row r="26987" spans="84:91" s="51" customFormat="1">
      <c r="CF26987" s="239"/>
      <c r="CM26987" s="336"/>
    </row>
    <row r="26988" spans="84:91" s="51" customFormat="1">
      <c r="CF26988" s="239"/>
      <c r="CM26988" s="336"/>
    </row>
    <row r="26989" spans="84:91" s="51" customFormat="1">
      <c r="CF26989" s="239"/>
      <c r="CM26989" s="336"/>
    </row>
    <row r="26990" spans="84:91" s="51" customFormat="1">
      <c r="CF26990" s="239"/>
      <c r="CM26990" s="336"/>
    </row>
    <row r="26991" spans="84:91" s="51" customFormat="1">
      <c r="CF26991" s="239"/>
      <c r="CM26991" s="336"/>
    </row>
    <row r="26992" spans="84:91" s="51" customFormat="1">
      <c r="CF26992" s="239"/>
      <c r="CM26992" s="336"/>
    </row>
    <row r="26993" spans="84:91" s="51" customFormat="1">
      <c r="CF26993" s="239"/>
      <c r="CM26993" s="336"/>
    </row>
    <row r="26994" spans="84:91" s="51" customFormat="1">
      <c r="CF26994" s="239"/>
      <c r="CM26994" s="336"/>
    </row>
    <row r="26995" spans="84:91" s="51" customFormat="1">
      <c r="CF26995" s="239"/>
      <c r="CM26995" s="336"/>
    </row>
    <row r="26996" spans="84:91" s="51" customFormat="1">
      <c r="CF26996" s="239"/>
      <c r="CM26996" s="336"/>
    </row>
    <row r="26997" spans="84:91" s="51" customFormat="1">
      <c r="CF26997" s="239"/>
      <c r="CM26997" s="336"/>
    </row>
    <row r="26998" spans="84:91" s="51" customFormat="1">
      <c r="CF26998" s="239"/>
      <c r="CM26998" s="336"/>
    </row>
    <row r="26999" spans="84:91" s="51" customFormat="1">
      <c r="CF26999" s="239"/>
      <c r="CM26999" s="336"/>
    </row>
    <row r="27000" spans="84:91" s="51" customFormat="1">
      <c r="CF27000" s="239"/>
      <c r="CM27000" s="336"/>
    </row>
    <row r="27001" spans="84:91" s="51" customFormat="1">
      <c r="CF27001" s="239"/>
      <c r="CM27001" s="336"/>
    </row>
    <row r="27002" spans="84:91" s="51" customFormat="1">
      <c r="CF27002" s="239"/>
      <c r="CM27002" s="336"/>
    </row>
    <row r="27003" spans="84:91" s="51" customFormat="1">
      <c r="CF27003" s="239"/>
      <c r="CM27003" s="336"/>
    </row>
    <row r="27004" spans="84:91" s="51" customFormat="1">
      <c r="CF27004" s="239"/>
      <c r="CM27004" s="336"/>
    </row>
    <row r="27005" spans="84:91" s="51" customFormat="1">
      <c r="CF27005" s="239"/>
      <c r="CM27005" s="336"/>
    </row>
    <row r="27006" spans="84:91" s="51" customFormat="1">
      <c r="CF27006" s="239"/>
      <c r="CM27006" s="336"/>
    </row>
    <row r="27007" spans="84:91" s="51" customFormat="1">
      <c r="CF27007" s="239"/>
      <c r="CM27007" s="336"/>
    </row>
    <row r="27008" spans="84:91" s="51" customFormat="1">
      <c r="CF27008" s="239"/>
      <c r="CM27008" s="336"/>
    </row>
    <row r="27009" spans="84:91" s="51" customFormat="1">
      <c r="CF27009" s="239"/>
      <c r="CM27009" s="336"/>
    </row>
    <row r="27010" spans="84:91" s="51" customFormat="1">
      <c r="CF27010" s="239"/>
      <c r="CM27010" s="336"/>
    </row>
    <row r="27011" spans="84:91" s="51" customFormat="1">
      <c r="CF27011" s="239"/>
      <c r="CM27011" s="336"/>
    </row>
    <row r="27012" spans="84:91" s="51" customFormat="1">
      <c r="CF27012" s="239"/>
      <c r="CM27012" s="336"/>
    </row>
    <row r="27013" spans="84:91" s="51" customFormat="1">
      <c r="CF27013" s="239"/>
      <c r="CM27013" s="336"/>
    </row>
    <row r="27014" spans="84:91" s="51" customFormat="1">
      <c r="CF27014" s="239"/>
      <c r="CM27014" s="336"/>
    </row>
    <row r="27015" spans="84:91" s="51" customFormat="1">
      <c r="CF27015" s="239"/>
      <c r="CM27015" s="336"/>
    </row>
    <row r="27016" spans="84:91" s="51" customFormat="1">
      <c r="CF27016" s="239"/>
      <c r="CM27016" s="336"/>
    </row>
    <row r="27017" spans="84:91" s="51" customFormat="1">
      <c r="CF27017" s="239"/>
      <c r="CM27017" s="336"/>
    </row>
    <row r="27018" spans="84:91" s="51" customFormat="1">
      <c r="CF27018" s="239"/>
      <c r="CM27018" s="336"/>
    </row>
    <row r="27019" spans="84:91" s="51" customFormat="1">
      <c r="CF27019" s="239"/>
      <c r="CM27019" s="336"/>
    </row>
    <row r="27020" spans="84:91" s="51" customFormat="1">
      <c r="CF27020" s="239"/>
      <c r="CM27020" s="336"/>
    </row>
    <row r="27021" spans="84:91" s="51" customFormat="1">
      <c r="CF27021" s="239"/>
      <c r="CM27021" s="336"/>
    </row>
    <row r="27022" spans="84:91" s="51" customFormat="1">
      <c r="CF27022" s="239"/>
      <c r="CM27022" s="336"/>
    </row>
    <row r="27023" spans="84:91" s="51" customFormat="1">
      <c r="CF27023" s="239"/>
      <c r="CM27023" s="336"/>
    </row>
    <row r="27024" spans="84:91" s="51" customFormat="1">
      <c r="CF27024" s="239"/>
      <c r="CM27024" s="336"/>
    </row>
    <row r="27025" spans="84:91" s="51" customFormat="1">
      <c r="CF27025" s="239"/>
      <c r="CM27025" s="336"/>
    </row>
    <row r="27026" spans="84:91" s="51" customFormat="1">
      <c r="CF27026" s="239"/>
      <c r="CM27026" s="336"/>
    </row>
    <row r="27027" spans="84:91" s="51" customFormat="1">
      <c r="CF27027" s="239"/>
      <c r="CM27027" s="336"/>
    </row>
    <row r="27028" spans="84:91" s="51" customFormat="1">
      <c r="CF27028" s="239"/>
      <c r="CM27028" s="336"/>
    </row>
    <row r="27029" spans="84:91" s="51" customFormat="1">
      <c r="CF27029" s="239"/>
      <c r="CM27029" s="336"/>
    </row>
    <row r="27030" spans="84:91" s="51" customFormat="1">
      <c r="CF27030" s="239"/>
      <c r="CM27030" s="336"/>
    </row>
    <row r="27031" spans="84:91" s="51" customFormat="1">
      <c r="CF27031" s="239"/>
      <c r="CM27031" s="336"/>
    </row>
    <row r="27032" spans="84:91" s="51" customFormat="1">
      <c r="CF27032" s="239"/>
      <c r="CM27032" s="336"/>
    </row>
    <row r="27033" spans="84:91" s="51" customFormat="1">
      <c r="CF27033" s="239"/>
      <c r="CM27033" s="336"/>
    </row>
    <row r="27034" spans="84:91" s="51" customFormat="1">
      <c r="CF27034" s="239"/>
      <c r="CM27034" s="336"/>
    </row>
    <row r="27035" spans="84:91" s="51" customFormat="1">
      <c r="CF27035" s="239"/>
      <c r="CM27035" s="336"/>
    </row>
    <row r="27036" spans="84:91" s="51" customFormat="1">
      <c r="CF27036" s="239"/>
      <c r="CM27036" s="336"/>
    </row>
    <row r="27037" spans="84:91" s="51" customFormat="1">
      <c r="CF27037" s="239"/>
      <c r="CM27037" s="336"/>
    </row>
    <row r="27038" spans="84:91" s="51" customFormat="1">
      <c r="CF27038" s="239"/>
      <c r="CM27038" s="336"/>
    </row>
    <row r="27039" spans="84:91" s="51" customFormat="1">
      <c r="CF27039" s="239"/>
      <c r="CM27039" s="336"/>
    </row>
    <row r="27040" spans="84:91" s="51" customFormat="1">
      <c r="CF27040" s="239"/>
      <c r="CM27040" s="336"/>
    </row>
    <row r="27041" spans="84:91" s="51" customFormat="1">
      <c r="CF27041" s="239"/>
      <c r="CM27041" s="336"/>
    </row>
    <row r="27042" spans="84:91" s="51" customFormat="1">
      <c r="CF27042" s="239"/>
      <c r="CM27042" s="336"/>
    </row>
    <row r="27043" spans="84:91" s="51" customFormat="1">
      <c r="CF27043" s="239"/>
      <c r="CM27043" s="336"/>
    </row>
    <row r="27044" spans="84:91" s="51" customFormat="1">
      <c r="CF27044" s="239"/>
      <c r="CM27044" s="336"/>
    </row>
    <row r="27045" spans="84:91" s="51" customFormat="1">
      <c r="CF27045" s="239"/>
      <c r="CM27045" s="336"/>
    </row>
    <row r="27046" spans="84:91" s="51" customFormat="1">
      <c r="CF27046" s="239"/>
      <c r="CM27046" s="336"/>
    </row>
    <row r="27047" spans="84:91" s="51" customFormat="1">
      <c r="CF27047" s="239"/>
      <c r="CM27047" s="336"/>
    </row>
    <row r="27048" spans="84:91" s="51" customFormat="1">
      <c r="CF27048" s="239"/>
      <c r="CM27048" s="336"/>
    </row>
    <row r="27049" spans="84:91" s="51" customFormat="1">
      <c r="CF27049" s="239"/>
      <c r="CM27049" s="336"/>
    </row>
    <row r="27050" spans="84:91" s="51" customFormat="1">
      <c r="CF27050" s="239"/>
      <c r="CM27050" s="336"/>
    </row>
    <row r="27051" spans="84:91" s="51" customFormat="1">
      <c r="CF27051" s="239"/>
      <c r="CM27051" s="336"/>
    </row>
    <row r="27052" spans="84:91" s="51" customFormat="1">
      <c r="CF27052" s="239"/>
      <c r="CM27052" s="336"/>
    </row>
    <row r="27053" spans="84:91" s="51" customFormat="1">
      <c r="CF27053" s="239"/>
      <c r="CM27053" s="336"/>
    </row>
    <row r="27054" spans="84:91" s="51" customFormat="1">
      <c r="CF27054" s="239"/>
      <c r="CM27054" s="336"/>
    </row>
    <row r="27055" spans="84:91" s="51" customFormat="1">
      <c r="CF27055" s="239"/>
      <c r="CM27055" s="336"/>
    </row>
    <row r="27056" spans="84:91" s="51" customFormat="1">
      <c r="CF27056" s="239"/>
      <c r="CM27056" s="336"/>
    </row>
    <row r="27057" spans="84:91" s="51" customFormat="1">
      <c r="CF27057" s="239"/>
      <c r="CM27057" s="336"/>
    </row>
    <row r="27058" spans="84:91" s="51" customFormat="1">
      <c r="CF27058" s="239"/>
      <c r="CM27058" s="336"/>
    </row>
    <row r="27059" spans="84:91" s="51" customFormat="1">
      <c r="CF27059" s="239"/>
      <c r="CM27059" s="336"/>
    </row>
    <row r="27060" spans="84:91" s="51" customFormat="1">
      <c r="CF27060" s="239"/>
      <c r="CM27060" s="336"/>
    </row>
    <row r="27061" spans="84:91" s="51" customFormat="1">
      <c r="CF27061" s="239"/>
      <c r="CM27061" s="336"/>
    </row>
    <row r="27062" spans="84:91" s="51" customFormat="1">
      <c r="CF27062" s="239"/>
      <c r="CM27062" s="336"/>
    </row>
    <row r="27063" spans="84:91" s="51" customFormat="1">
      <c r="CF27063" s="239"/>
      <c r="CM27063" s="336"/>
    </row>
    <row r="27064" spans="84:91" s="51" customFormat="1">
      <c r="CF27064" s="239"/>
      <c r="CM27064" s="336"/>
    </row>
    <row r="27065" spans="84:91" s="51" customFormat="1">
      <c r="CF27065" s="239"/>
      <c r="CM27065" s="336"/>
    </row>
    <row r="27066" spans="84:91" s="51" customFormat="1">
      <c r="CF27066" s="239"/>
      <c r="CM27066" s="336"/>
    </row>
    <row r="27067" spans="84:91" s="51" customFormat="1">
      <c r="CF27067" s="239"/>
      <c r="CM27067" s="336"/>
    </row>
    <row r="27068" spans="84:91" s="51" customFormat="1">
      <c r="CF27068" s="239"/>
      <c r="CM27068" s="336"/>
    </row>
    <row r="27069" spans="84:91" s="51" customFormat="1">
      <c r="CF27069" s="239"/>
      <c r="CM27069" s="336"/>
    </row>
    <row r="27070" spans="84:91" s="51" customFormat="1">
      <c r="CF27070" s="239"/>
      <c r="CM27070" s="336"/>
    </row>
    <row r="27071" spans="84:91" s="51" customFormat="1">
      <c r="CF27071" s="239"/>
      <c r="CM27071" s="336"/>
    </row>
    <row r="27072" spans="84:91" s="51" customFormat="1">
      <c r="CF27072" s="239"/>
      <c r="CM27072" s="336"/>
    </row>
    <row r="27073" spans="84:91" s="51" customFormat="1">
      <c r="CF27073" s="239"/>
      <c r="CM27073" s="336"/>
    </row>
    <row r="27074" spans="84:91" s="51" customFormat="1">
      <c r="CF27074" s="239"/>
      <c r="CM27074" s="336"/>
    </row>
    <row r="27075" spans="84:91" s="51" customFormat="1">
      <c r="CF27075" s="239"/>
      <c r="CM27075" s="336"/>
    </row>
    <row r="27076" spans="84:91" s="51" customFormat="1">
      <c r="CF27076" s="239"/>
      <c r="CM27076" s="336"/>
    </row>
    <row r="27077" spans="84:91" s="51" customFormat="1">
      <c r="CF27077" s="239"/>
      <c r="CM27077" s="336"/>
    </row>
    <row r="27078" spans="84:91" s="51" customFormat="1">
      <c r="CF27078" s="239"/>
      <c r="CM27078" s="336"/>
    </row>
    <row r="27079" spans="84:91" s="51" customFormat="1">
      <c r="CF27079" s="239"/>
      <c r="CM27079" s="336"/>
    </row>
    <row r="27080" spans="84:91" s="51" customFormat="1">
      <c r="CF27080" s="239"/>
      <c r="CM27080" s="336"/>
    </row>
    <row r="27081" spans="84:91" s="51" customFormat="1">
      <c r="CF27081" s="239"/>
      <c r="CM27081" s="336"/>
    </row>
    <row r="27082" spans="84:91" s="51" customFormat="1">
      <c r="CF27082" s="239"/>
      <c r="CM27082" s="336"/>
    </row>
    <row r="27083" spans="84:91" s="51" customFormat="1">
      <c r="CF27083" s="239"/>
      <c r="CM27083" s="336"/>
    </row>
    <row r="27084" spans="84:91" s="51" customFormat="1">
      <c r="CF27084" s="239"/>
      <c r="CM27084" s="336"/>
    </row>
    <row r="27085" spans="84:91" s="51" customFormat="1">
      <c r="CF27085" s="239"/>
      <c r="CM27085" s="336"/>
    </row>
    <row r="27086" spans="84:91" s="51" customFormat="1">
      <c r="CF27086" s="239"/>
      <c r="CM27086" s="336"/>
    </row>
    <row r="27087" spans="84:91" s="51" customFormat="1">
      <c r="CF27087" s="239"/>
      <c r="CM27087" s="336"/>
    </row>
    <row r="27088" spans="84:91" s="51" customFormat="1">
      <c r="CF27088" s="239"/>
      <c r="CM27088" s="336"/>
    </row>
    <row r="27089" spans="84:91" s="51" customFormat="1">
      <c r="CF27089" s="239"/>
      <c r="CM27089" s="336"/>
    </row>
    <row r="27090" spans="84:91" s="51" customFormat="1">
      <c r="CF27090" s="239"/>
      <c r="CM27090" s="336"/>
    </row>
    <row r="27091" spans="84:91" s="51" customFormat="1">
      <c r="CF27091" s="239"/>
      <c r="CM27091" s="336"/>
    </row>
    <row r="27092" spans="84:91" s="51" customFormat="1">
      <c r="CF27092" s="239"/>
      <c r="CM27092" s="336"/>
    </row>
    <row r="27093" spans="84:91" s="51" customFormat="1">
      <c r="CF27093" s="239"/>
      <c r="CM27093" s="336"/>
    </row>
    <row r="27094" spans="84:91" s="51" customFormat="1">
      <c r="CF27094" s="239"/>
      <c r="CM27094" s="336"/>
    </row>
    <row r="27095" spans="84:91" s="51" customFormat="1">
      <c r="CF27095" s="239"/>
      <c r="CM27095" s="336"/>
    </row>
    <row r="27096" spans="84:91" s="51" customFormat="1">
      <c r="CF27096" s="239"/>
      <c r="CM27096" s="336"/>
    </row>
    <row r="27097" spans="84:91" s="51" customFormat="1">
      <c r="CF27097" s="239"/>
      <c r="CM27097" s="336"/>
    </row>
    <row r="27098" spans="84:91" s="51" customFormat="1">
      <c r="CF27098" s="239"/>
      <c r="CM27098" s="336"/>
    </row>
    <row r="27099" spans="84:91" s="51" customFormat="1">
      <c r="CF27099" s="239"/>
      <c r="CM27099" s="336"/>
    </row>
    <row r="27100" spans="84:91" s="51" customFormat="1">
      <c r="CF27100" s="239"/>
      <c r="CM27100" s="336"/>
    </row>
    <row r="27101" spans="84:91" s="51" customFormat="1">
      <c r="CF27101" s="239"/>
      <c r="CM27101" s="336"/>
    </row>
    <row r="27102" spans="84:91" s="51" customFormat="1">
      <c r="CF27102" s="239"/>
      <c r="CM27102" s="336"/>
    </row>
    <row r="27103" spans="84:91" s="51" customFormat="1">
      <c r="CF27103" s="239"/>
      <c r="CM27103" s="336"/>
    </row>
    <row r="27104" spans="84:91" s="51" customFormat="1">
      <c r="CF27104" s="239"/>
      <c r="CM27104" s="336"/>
    </row>
    <row r="27105" spans="84:91" s="51" customFormat="1">
      <c r="CF27105" s="239"/>
      <c r="CM27105" s="336"/>
    </row>
    <row r="27106" spans="84:91" s="51" customFormat="1">
      <c r="CF27106" s="239"/>
      <c r="CM27106" s="336"/>
    </row>
    <row r="27107" spans="84:91" s="51" customFormat="1">
      <c r="CF27107" s="239"/>
      <c r="CM27107" s="336"/>
    </row>
    <row r="27108" spans="84:91" s="51" customFormat="1">
      <c r="CF27108" s="239"/>
      <c r="CM27108" s="336"/>
    </row>
    <row r="27109" spans="84:91" s="51" customFormat="1">
      <c r="CF27109" s="239"/>
      <c r="CM27109" s="336"/>
    </row>
    <row r="27110" spans="84:91" s="51" customFormat="1">
      <c r="CF27110" s="239"/>
      <c r="CM27110" s="336"/>
    </row>
    <row r="27111" spans="84:91" s="51" customFormat="1">
      <c r="CF27111" s="239"/>
      <c r="CM27111" s="336"/>
    </row>
    <row r="27112" spans="84:91" s="51" customFormat="1">
      <c r="CF27112" s="239"/>
      <c r="CM27112" s="336"/>
    </row>
    <row r="27113" spans="84:91" s="51" customFormat="1">
      <c r="CF27113" s="239"/>
      <c r="CM27113" s="336"/>
    </row>
    <row r="27114" spans="84:91" s="51" customFormat="1">
      <c r="CF27114" s="239"/>
      <c r="CM27114" s="336"/>
    </row>
    <row r="27115" spans="84:91" s="51" customFormat="1">
      <c r="CF27115" s="239"/>
      <c r="CM27115" s="336"/>
    </row>
    <row r="27116" spans="84:91" s="51" customFormat="1">
      <c r="CF27116" s="239"/>
      <c r="CM27116" s="336"/>
    </row>
    <row r="27117" spans="84:91" s="51" customFormat="1">
      <c r="CF27117" s="239"/>
      <c r="CM27117" s="336"/>
    </row>
    <row r="27118" spans="84:91" s="51" customFormat="1">
      <c r="CF27118" s="239"/>
      <c r="CM27118" s="336"/>
    </row>
    <row r="27119" spans="84:91" s="51" customFormat="1">
      <c r="CF27119" s="239"/>
      <c r="CM27119" s="336"/>
    </row>
    <row r="27120" spans="84:91" s="51" customFormat="1">
      <c r="CF27120" s="239"/>
      <c r="CM27120" s="336"/>
    </row>
    <row r="27121" spans="84:91" s="51" customFormat="1">
      <c r="CF27121" s="239"/>
      <c r="CM27121" s="336"/>
    </row>
    <row r="27122" spans="84:91" s="51" customFormat="1">
      <c r="CF27122" s="239"/>
      <c r="CM27122" s="336"/>
    </row>
    <row r="27123" spans="84:91" s="51" customFormat="1">
      <c r="CF27123" s="239"/>
      <c r="CM27123" s="336"/>
    </row>
    <row r="27124" spans="84:91" s="51" customFormat="1">
      <c r="CF27124" s="239"/>
      <c r="CM27124" s="336"/>
    </row>
    <row r="27125" spans="84:91" s="51" customFormat="1">
      <c r="CF27125" s="239"/>
      <c r="CM27125" s="336"/>
    </row>
    <row r="27126" spans="84:91" s="51" customFormat="1">
      <c r="CF27126" s="239"/>
      <c r="CM27126" s="336"/>
    </row>
    <row r="27127" spans="84:91" s="51" customFormat="1">
      <c r="CF27127" s="239"/>
      <c r="CM27127" s="336"/>
    </row>
    <row r="27128" spans="84:91" s="51" customFormat="1">
      <c r="CF27128" s="239"/>
      <c r="CM27128" s="336"/>
    </row>
    <row r="27129" spans="84:91" s="51" customFormat="1">
      <c r="CF27129" s="239"/>
      <c r="CM27129" s="336"/>
    </row>
    <row r="27130" spans="84:91" s="51" customFormat="1">
      <c r="CF27130" s="239"/>
      <c r="CM27130" s="336"/>
    </row>
    <row r="27131" spans="84:91" s="51" customFormat="1">
      <c r="CF27131" s="239"/>
      <c r="CM27131" s="336"/>
    </row>
    <row r="27132" spans="84:91" s="51" customFormat="1">
      <c r="CF27132" s="239"/>
      <c r="CM27132" s="336"/>
    </row>
    <row r="27133" spans="84:91" s="51" customFormat="1">
      <c r="CF27133" s="239"/>
      <c r="CM27133" s="336"/>
    </row>
    <row r="27134" spans="84:91" s="51" customFormat="1">
      <c r="CF27134" s="239"/>
      <c r="CM27134" s="336"/>
    </row>
    <row r="27135" spans="84:91" s="51" customFormat="1">
      <c r="CF27135" s="239"/>
      <c r="CM27135" s="336"/>
    </row>
    <row r="27136" spans="84:91" s="51" customFormat="1">
      <c r="CF27136" s="239"/>
      <c r="CM27136" s="336"/>
    </row>
    <row r="27137" spans="84:91" s="51" customFormat="1">
      <c r="CF27137" s="239"/>
      <c r="CM27137" s="336"/>
    </row>
    <row r="27138" spans="84:91" s="51" customFormat="1">
      <c r="CF27138" s="239"/>
      <c r="CM27138" s="336"/>
    </row>
    <row r="27139" spans="84:91" s="51" customFormat="1">
      <c r="CF27139" s="239"/>
      <c r="CM27139" s="336"/>
    </row>
    <row r="27140" spans="84:91" s="51" customFormat="1">
      <c r="CF27140" s="239"/>
      <c r="CM27140" s="336"/>
    </row>
    <row r="27141" spans="84:91" s="51" customFormat="1">
      <c r="CF27141" s="239"/>
      <c r="CM27141" s="336"/>
    </row>
    <row r="27142" spans="84:91" s="51" customFormat="1">
      <c r="CF27142" s="239"/>
      <c r="CM27142" s="336"/>
    </row>
    <row r="27143" spans="84:91" s="51" customFormat="1">
      <c r="CF27143" s="239"/>
      <c r="CM27143" s="336"/>
    </row>
    <row r="27144" spans="84:91" s="51" customFormat="1">
      <c r="CF27144" s="239"/>
      <c r="CM27144" s="336"/>
    </row>
    <row r="27145" spans="84:91" s="51" customFormat="1">
      <c r="CF27145" s="239"/>
      <c r="CM27145" s="336"/>
    </row>
    <row r="27146" spans="84:91" s="51" customFormat="1">
      <c r="CF27146" s="239"/>
      <c r="CM27146" s="336"/>
    </row>
    <row r="27147" spans="84:91" s="51" customFormat="1">
      <c r="CF27147" s="239"/>
      <c r="CM27147" s="336"/>
    </row>
    <row r="27148" spans="84:91" s="51" customFormat="1">
      <c r="CF27148" s="239"/>
      <c r="CM27148" s="336"/>
    </row>
    <row r="27149" spans="84:91" s="51" customFormat="1">
      <c r="CF27149" s="239"/>
      <c r="CM27149" s="336"/>
    </row>
    <row r="27150" spans="84:91" s="51" customFormat="1">
      <c r="CF27150" s="239"/>
      <c r="CM27150" s="336"/>
    </row>
    <row r="27151" spans="84:91" s="51" customFormat="1">
      <c r="CF27151" s="239"/>
      <c r="CM27151" s="336"/>
    </row>
    <row r="27152" spans="84:91" s="51" customFormat="1">
      <c r="CF27152" s="239"/>
      <c r="CM27152" s="336"/>
    </row>
    <row r="27153" spans="84:91" s="51" customFormat="1">
      <c r="CF27153" s="239"/>
      <c r="CM27153" s="336"/>
    </row>
    <row r="27154" spans="84:91" s="51" customFormat="1">
      <c r="CF27154" s="239"/>
      <c r="CM27154" s="336"/>
    </row>
    <row r="27155" spans="84:91" s="51" customFormat="1">
      <c r="CF27155" s="239"/>
      <c r="CM27155" s="336"/>
    </row>
    <row r="27156" spans="84:91" s="51" customFormat="1">
      <c r="CF27156" s="239"/>
      <c r="CM27156" s="336"/>
    </row>
    <row r="27157" spans="84:91" s="51" customFormat="1">
      <c r="CF27157" s="239"/>
      <c r="CM27157" s="336"/>
    </row>
    <row r="27158" spans="84:91" s="51" customFormat="1">
      <c r="CF27158" s="239"/>
      <c r="CM27158" s="336"/>
    </row>
    <row r="27159" spans="84:91" s="51" customFormat="1">
      <c r="CF27159" s="239"/>
      <c r="CM27159" s="336"/>
    </row>
    <row r="27160" spans="84:91" s="51" customFormat="1">
      <c r="CF27160" s="239"/>
      <c r="CM27160" s="336"/>
    </row>
    <row r="27161" spans="84:91" s="51" customFormat="1">
      <c r="CF27161" s="239"/>
      <c r="CM27161" s="336"/>
    </row>
    <row r="27162" spans="84:91" s="51" customFormat="1">
      <c r="CF27162" s="239"/>
      <c r="CM27162" s="336"/>
    </row>
    <row r="27163" spans="84:91" s="51" customFormat="1">
      <c r="CF27163" s="239"/>
      <c r="CM27163" s="336"/>
    </row>
    <row r="27164" spans="84:91" s="51" customFormat="1">
      <c r="CF27164" s="239"/>
      <c r="CM27164" s="336"/>
    </row>
    <row r="27165" spans="84:91" s="51" customFormat="1">
      <c r="CF27165" s="239"/>
      <c r="CM27165" s="336"/>
    </row>
    <row r="27166" spans="84:91" s="51" customFormat="1">
      <c r="CF27166" s="239"/>
      <c r="CM27166" s="336"/>
    </row>
    <row r="27167" spans="84:91" s="51" customFormat="1">
      <c r="CF27167" s="239"/>
      <c r="CM27167" s="336"/>
    </row>
    <row r="27168" spans="84:91" s="51" customFormat="1">
      <c r="CF27168" s="239"/>
      <c r="CM27168" s="336"/>
    </row>
    <row r="27169" spans="84:91" s="51" customFormat="1">
      <c r="CF27169" s="239"/>
      <c r="CM27169" s="336"/>
    </row>
    <row r="27170" spans="84:91" s="51" customFormat="1">
      <c r="CF27170" s="239"/>
      <c r="CM27170" s="336"/>
    </row>
    <row r="27171" spans="84:91" s="51" customFormat="1">
      <c r="CF27171" s="239"/>
      <c r="CM27171" s="336"/>
    </row>
    <row r="27172" spans="84:91" s="51" customFormat="1">
      <c r="CF27172" s="239"/>
      <c r="CM27172" s="336"/>
    </row>
    <row r="27173" spans="84:91" s="51" customFormat="1">
      <c r="CF27173" s="239"/>
      <c r="CM27173" s="336"/>
    </row>
    <row r="27174" spans="84:91" s="51" customFormat="1">
      <c r="CF27174" s="239"/>
      <c r="CM27174" s="336"/>
    </row>
    <row r="27175" spans="84:91" s="51" customFormat="1">
      <c r="CF27175" s="239"/>
      <c r="CM27175" s="336"/>
    </row>
    <row r="27176" spans="84:91" s="51" customFormat="1">
      <c r="CF27176" s="239"/>
      <c r="CM27176" s="336"/>
    </row>
    <row r="27177" spans="84:91" s="51" customFormat="1">
      <c r="CF27177" s="239"/>
      <c r="CM27177" s="336"/>
    </row>
    <row r="27178" spans="84:91" s="51" customFormat="1">
      <c r="CF27178" s="239"/>
      <c r="CM27178" s="336"/>
    </row>
    <row r="27179" spans="84:91" s="51" customFormat="1">
      <c r="CF27179" s="239"/>
      <c r="CM27179" s="336"/>
    </row>
    <row r="27180" spans="84:91" s="51" customFormat="1">
      <c r="CF27180" s="239"/>
      <c r="CM27180" s="336"/>
    </row>
    <row r="27181" spans="84:91" s="51" customFormat="1">
      <c r="CF27181" s="239"/>
      <c r="CM27181" s="336"/>
    </row>
    <row r="27182" spans="84:91" s="51" customFormat="1">
      <c r="CF27182" s="239"/>
      <c r="CM27182" s="336"/>
    </row>
    <row r="27183" spans="84:91" s="51" customFormat="1">
      <c r="CF27183" s="239"/>
      <c r="CM27183" s="336"/>
    </row>
    <row r="27184" spans="84:91" s="51" customFormat="1">
      <c r="CF27184" s="239"/>
      <c r="CM27184" s="336"/>
    </row>
    <row r="27185" spans="84:91" s="51" customFormat="1">
      <c r="CF27185" s="239"/>
      <c r="CM27185" s="336"/>
    </row>
    <row r="27186" spans="84:91" s="51" customFormat="1">
      <c r="CF27186" s="239"/>
      <c r="CM27186" s="336"/>
    </row>
    <row r="27187" spans="84:91" s="51" customFormat="1">
      <c r="CF27187" s="239"/>
      <c r="CM27187" s="336"/>
    </row>
    <row r="27188" spans="84:91" s="51" customFormat="1">
      <c r="CF27188" s="239"/>
      <c r="CM27188" s="336"/>
    </row>
    <row r="27189" spans="84:91" s="51" customFormat="1">
      <c r="CF27189" s="239"/>
      <c r="CM27189" s="336"/>
    </row>
    <row r="27190" spans="84:91" s="51" customFormat="1">
      <c r="CF27190" s="239"/>
      <c r="CM27190" s="336"/>
    </row>
    <row r="27191" spans="84:91" s="51" customFormat="1">
      <c r="CF27191" s="239"/>
      <c r="CM27191" s="336"/>
    </row>
    <row r="27192" spans="84:91" s="51" customFormat="1">
      <c r="CF27192" s="239"/>
      <c r="CM27192" s="336"/>
    </row>
    <row r="27193" spans="84:91" s="51" customFormat="1">
      <c r="CF27193" s="239"/>
      <c r="CM27193" s="336"/>
    </row>
    <row r="27194" spans="84:91" s="51" customFormat="1">
      <c r="CF27194" s="239"/>
      <c r="CM27194" s="336"/>
    </row>
    <row r="27195" spans="84:91" s="51" customFormat="1">
      <c r="CF27195" s="239"/>
      <c r="CM27195" s="336"/>
    </row>
    <row r="27196" spans="84:91" s="51" customFormat="1">
      <c r="CF27196" s="239"/>
      <c r="CM27196" s="336"/>
    </row>
    <row r="27197" spans="84:91" s="51" customFormat="1">
      <c r="CF27197" s="239"/>
      <c r="CM27197" s="336"/>
    </row>
    <row r="27198" spans="84:91" s="51" customFormat="1">
      <c r="CF27198" s="239"/>
      <c r="CM27198" s="336"/>
    </row>
    <row r="27199" spans="84:91" s="51" customFormat="1">
      <c r="CF27199" s="239"/>
      <c r="CM27199" s="336"/>
    </row>
    <row r="27200" spans="84:91" s="51" customFormat="1">
      <c r="CF27200" s="239"/>
      <c r="CM27200" s="336"/>
    </row>
    <row r="27201" spans="84:91" s="51" customFormat="1">
      <c r="CF27201" s="239"/>
      <c r="CM27201" s="336"/>
    </row>
    <row r="27202" spans="84:91" s="51" customFormat="1">
      <c r="CF27202" s="239"/>
      <c r="CM27202" s="336"/>
    </row>
    <row r="27203" spans="84:91" s="51" customFormat="1">
      <c r="CF27203" s="239"/>
      <c r="CM27203" s="336"/>
    </row>
    <row r="27204" spans="84:91" s="51" customFormat="1">
      <c r="CF27204" s="239"/>
      <c r="CM27204" s="336"/>
    </row>
    <row r="27205" spans="84:91" s="51" customFormat="1">
      <c r="CF27205" s="239"/>
      <c r="CM27205" s="336"/>
    </row>
    <row r="27206" spans="84:91" s="51" customFormat="1">
      <c r="CF27206" s="239"/>
      <c r="CM27206" s="336"/>
    </row>
    <row r="27207" spans="84:91" s="51" customFormat="1">
      <c r="CF27207" s="239"/>
      <c r="CM27207" s="336"/>
    </row>
    <row r="27208" spans="84:91" s="51" customFormat="1">
      <c r="CF27208" s="239"/>
      <c r="CM27208" s="336"/>
    </row>
    <row r="27209" spans="84:91" s="51" customFormat="1">
      <c r="CF27209" s="239"/>
      <c r="CM27209" s="336"/>
    </row>
    <row r="27210" spans="84:91" s="51" customFormat="1">
      <c r="CF27210" s="239"/>
      <c r="CM27210" s="336"/>
    </row>
    <row r="27211" spans="84:91" s="51" customFormat="1">
      <c r="CF27211" s="239"/>
      <c r="CM27211" s="336"/>
    </row>
    <row r="27212" spans="84:91" s="51" customFormat="1">
      <c r="CF27212" s="239"/>
      <c r="CM27212" s="336"/>
    </row>
    <row r="27213" spans="84:91" s="51" customFormat="1">
      <c r="CF27213" s="239"/>
      <c r="CM27213" s="336"/>
    </row>
    <row r="27214" spans="84:91" s="51" customFormat="1">
      <c r="CF27214" s="239"/>
      <c r="CM27214" s="336"/>
    </row>
    <row r="27215" spans="84:91" s="51" customFormat="1">
      <c r="CF27215" s="239"/>
      <c r="CM27215" s="336"/>
    </row>
    <row r="27216" spans="84:91" s="51" customFormat="1">
      <c r="CF27216" s="239"/>
      <c r="CM27216" s="336"/>
    </row>
    <row r="27217" spans="84:91" s="51" customFormat="1">
      <c r="CF27217" s="239"/>
      <c r="CM27217" s="336"/>
    </row>
    <row r="27218" spans="84:91" s="51" customFormat="1">
      <c r="CF27218" s="239"/>
      <c r="CM27218" s="336"/>
    </row>
    <row r="27219" spans="84:91" s="51" customFormat="1">
      <c r="CF27219" s="239"/>
      <c r="CM27219" s="336"/>
    </row>
    <row r="27220" spans="84:91" s="51" customFormat="1">
      <c r="CF27220" s="239"/>
      <c r="CM27220" s="336"/>
    </row>
    <row r="27221" spans="84:91" s="51" customFormat="1">
      <c r="CF27221" s="239"/>
      <c r="CM27221" s="336"/>
    </row>
    <row r="27222" spans="84:91" s="51" customFormat="1">
      <c r="CF27222" s="239"/>
      <c r="CM27222" s="336"/>
    </row>
    <row r="27223" spans="84:91" s="51" customFormat="1">
      <c r="CF27223" s="239"/>
      <c r="CM27223" s="336"/>
    </row>
    <row r="27224" spans="84:91" s="51" customFormat="1">
      <c r="CF27224" s="239"/>
      <c r="CM27224" s="336"/>
    </row>
    <row r="27225" spans="84:91" s="51" customFormat="1">
      <c r="CF27225" s="239"/>
      <c r="CM27225" s="336"/>
    </row>
    <row r="27226" spans="84:91" s="51" customFormat="1">
      <c r="CF27226" s="239"/>
      <c r="CM27226" s="336"/>
    </row>
    <row r="27227" spans="84:91" s="51" customFormat="1">
      <c r="CF27227" s="239"/>
      <c r="CM27227" s="336"/>
    </row>
    <row r="27228" spans="84:91" s="51" customFormat="1">
      <c r="CF27228" s="239"/>
      <c r="CM27228" s="336"/>
    </row>
    <row r="27229" spans="84:91" s="51" customFormat="1">
      <c r="CF27229" s="239"/>
      <c r="CM27229" s="336"/>
    </row>
    <row r="27230" spans="84:91" s="51" customFormat="1">
      <c r="CF27230" s="239"/>
      <c r="CM27230" s="336"/>
    </row>
    <row r="27231" spans="84:91" s="51" customFormat="1">
      <c r="CF27231" s="239"/>
      <c r="CM27231" s="336"/>
    </row>
    <row r="27232" spans="84:91" s="51" customFormat="1">
      <c r="CF27232" s="239"/>
      <c r="CM27232" s="336"/>
    </row>
    <row r="27233" spans="84:91" s="51" customFormat="1">
      <c r="CF27233" s="239"/>
      <c r="CM27233" s="336"/>
    </row>
    <row r="27234" spans="84:91" s="51" customFormat="1">
      <c r="CF27234" s="239"/>
      <c r="CM27234" s="336"/>
    </row>
    <row r="27235" spans="84:91" s="51" customFormat="1">
      <c r="CF27235" s="239"/>
      <c r="CM27235" s="336"/>
    </row>
    <row r="27236" spans="84:91" s="51" customFormat="1">
      <c r="CF27236" s="239"/>
      <c r="CM27236" s="336"/>
    </row>
    <row r="27237" spans="84:91" s="51" customFormat="1">
      <c r="CF27237" s="239"/>
      <c r="CM27237" s="336"/>
    </row>
    <row r="27238" spans="84:91" s="51" customFormat="1">
      <c r="CF27238" s="239"/>
      <c r="CM27238" s="336"/>
    </row>
    <row r="27239" spans="84:91" s="51" customFormat="1">
      <c r="CF27239" s="239"/>
      <c r="CM27239" s="336"/>
    </row>
    <row r="27240" spans="84:91" s="51" customFormat="1">
      <c r="CF27240" s="239"/>
      <c r="CM27240" s="336"/>
    </row>
    <row r="27241" spans="84:91" s="51" customFormat="1">
      <c r="CF27241" s="239"/>
      <c r="CM27241" s="336"/>
    </row>
    <row r="27242" spans="84:91" s="51" customFormat="1">
      <c r="CF27242" s="239"/>
      <c r="CM27242" s="336"/>
    </row>
    <row r="27243" spans="84:91" s="51" customFormat="1">
      <c r="CF27243" s="239"/>
      <c r="CM27243" s="336"/>
    </row>
    <row r="27244" spans="84:91" s="51" customFormat="1">
      <c r="CF27244" s="239"/>
      <c r="CM27244" s="336"/>
    </row>
    <row r="27245" spans="84:91" s="51" customFormat="1">
      <c r="CF27245" s="239"/>
      <c r="CM27245" s="336"/>
    </row>
    <row r="27246" spans="84:91" s="51" customFormat="1">
      <c r="CF27246" s="239"/>
      <c r="CM27246" s="336"/>
    </row>
    <row r="27247" spans="84:91" s="51" customFormat="1">
      <c r="CF27247" s="239"/>
      <c r="CM27247" s="336"/>
    </row>
    <row r="27248" spans="84:91" s="51" customFormat="1">
      <c r="CF27248" s="239"/>
      <c r="CM27248" s="336"/>
    </row>
    <row r="27249" spans="84:91" s="51" customFormat="1">
      <c r="CF27249" s="239"/>
      <c r="CM27249" s="336"/>
    </row>
    <row r="27250" spans="84:91" s="51" customFormat="1">
      <c r="CF27250" s="239"/>
      <c r="CM27250" s="336"/>
    </row>
    <row r="27251" spans="84:91" s="51" customFormat="1">
      <c r="CF27251" s="239"/>
      <c r="CM27251" s="336"/>
    </row>
    <row r="27252" spans="84:91" s="51" customFormat="1">
      <c r="CF27252" s="239"/>
      <c r="CM27252" s="336"/>
    </row>
    <row r="27253" spans="84:91" s="51" customFormat="1">
      <c r="CF27253" s="239"/>
      <c r="CM27253" s="336"/>
    </row>
    <row r="27254" spans="84:91" s="51" customFormat="1">
      <c r="CF27254" s="239"/>
      <c r="CM27254" s="336"/>
    </row>
    <row r="27255" spans="84:91" s="51" customFormat="1">
      <c r="CF27255" s="239"/>
      <c r="CM27255" s="336"/>
    </row>
    <row r="27256" spans="84:91" s="51" customFormat="1">
      <c r="CF27256" s="239"/>
      <c r="CM27256" s="336"/>
    </row>
    <row r="27257" spans="84:91" s="51" customFormat="1">
      <c r="CF27257" s="239"/>
      <c r="CM27257" s="336"/>
    </row>
    <row r="27258" spans="84:91" s="51" customFormat="1">
      <c r="CF27258" s="239"/>
      <c r="CM27258" s="336"/>
    </row>
    <row r="27259" spans="84:91" s="51" customFormat="1">
      <c r="CF27259" s="239"/>
      <c r="CM27259" s="336"/>
    </row>
    <row r="27260" spans="84:91" s="51" customFormat="1">
      <c r="CF27260" s="239"/>
      <c r="CM27260" s="336"/>
    </row>
    <row r="27261" spans="84:91" s="51" customFormat="1">
      <c r="CF27261" s="239"/>
      <c r="CM27261" s="336"/>
    </row>
    <row r="27262" spans="84:91" s="51" customFormat="1">
      <c r="CF27262" s="239"/>
      <c r="CM27262" s="336"/>
    </row>
    <row r="27263" spans="84:91" s="51" customFormat="1">
      <c r="CF27263" s="239"/>
      <c r="CM27263" s="336"/>
    </row>
    <row r="27264" spans="84:91" s="51" customFormat="1">
      <c r="CF27264" s="239"/>
      <c r="CM27264" s="336"/>
    </row>
    <row r="27265" spans="84:91" s="51" customFormat="1">
      <c r="CF27265" s="239"/>
      <c r="CM27265" s="336"/>
    </row>
    <row r="27266" spans="84:91" s="51" customFormat="1">
      <c r="CF27266" s="239"/>
      <c r="CM27266" s="336"/>
    </row>
    <row r="27267" spans="84:91" s="51" customFormat="1">
      <c r="CF27267" s="239"/>
      <c r="CM27267" s="336"/>
    </row>
    <row r="27268" spans="84:91" s="51" customFormat="1">
      <c r="CF27268" s="239"/>
      <c r="CM27268" s="336"/>
    </row>
    <row r="27269" spans="84:91" s="51" customFormat="1">
      <c r="CF27269" s="239"/>
      <c r="CM27269" s="336"/>
    </row>
    <row r="27270" spans="84:91" s="51" customFormat="1">
      <c r="CF27270" s="239"/>
      <c r="CM27270" s="336"/>
    </row>
    <row r="27271" spans="84:91" s="51" customFormat="1">
      <c r="CF27271" s="239"/>
      <c r="CM27271" s="336"/>
    </row>
    <row r="27272" spans="84:91" s="51" customFormat="1">
      <c r="CF27272" s="239"/>
      <c r="CM27272" s="336"/>
    </row>
    <row r="27273" spans="84:91" s="51" customFormat="1">
      <c r="CF27273" s="239"/>
      <c r="CM27273" s="336"/>
    </row>
    <row r="27274" spans="84:91" s="51" customFormat="1">
      <c r="CF27274" s="239"/>
      <c r="CM27274" s="336"/>
    </row>
    <row r="27275" spans="84:91" s="51" customFormat="1">
      <c r="CF27275" s="239"/>
      <c r="CM27275" s="336"/>
    </row>
    <row r="27276" spans="84:91" s="51" customFormat="1">
      <c r="CF27276" s="239"/>
      <c r="CM27276" s="336"/>
    </row>
    <row r="27277" spans="84:91" s="51" customFormat="1">
      <c r="CF27277" s="239"/>
      <c r="CM27277" s="336"/>
    </row>
    <row r="27278" spans="84:91" s="51" customFormat="1">
      <c r="CF27278" s="239"/>
      <c r="CM27278" s="336"/>
    </row>
    <row r="27279" spans="84:91" s="51" customFormat="1">
      <c r="CF27279" s="239"/>
      <c r="CM27279" s="336"/>
    </row>
    <row r="27280" spans="84:91" s="51" customFormat="1">
      <c r="CF27280" s="239"/>
      <c r="CM27280" s="336"/>
    </row>
    <row r="27281" spans="84:91" s="51" customFormat="1">
      <c r="CF27281" s="239"/>
      <c r="CM27281" s="336"/>
    </row>
    <row r="27282" spans="84:91" s="51" customFormat="1">
      <c r="CF27282" s="239"/>
      <c r="CM27282" s="336"/>
    </row>
    <row r="27283" spans="84:91" s="51" customFormat="1">
      <c r="CF27283" s="239"/>
      <c r="CM27283" s="336"/>
    </row>
    <row r="27284" spans="84:91" s="51" customFormat="1">
      <c r="CF27284" s="239"/>
      <c r="CM27284" s="336"/>
    </row>
    <row r="27285" spans="84:91" s="51" customFormat="1">
      <c r="CF27285" s="239"/>
      <c r="CM27285" s="336"/>
    </row>
    <row r="27286" spans="84:91" s="51" customFormat="1">
      <c r="CF27286" s="239"/>
      <c r="CM27286" s="336"/>
    </row>
    <row r="27287" spans="84:91" s="51" customFormat="1">
      <c r="CF27287" s="239"/>
      <c r="CM27287" s="336"/>
    </row>
    <row r="27288" spans="84:91" s="51" customFormat="1">
      <c r="CF27288" s="239"/>
      <c r="CM27288" s="336"/>
    </row>
    <row r="27289" spans="84:91" s="51" customFormat="1">
      <c r="CF27289" s="239"/>
      <c r="CM27289" s="336"/>
    </row>
    <row r="27290" spans="84:91" s="51" customFormat="1">
      <c r="CF27290" s="239"/>
      <c r="CM27290" s="336"/>
    </row>
    <row r="27291" spans="84:91" s="51" customFormat="1">
      <c r="CF27291" s="239"/>
      <c r="CM27291" s="336"/>
    </row>
    <row r="27292" spans="84:91" s="51" customFormat="1">
      <c r="CF27292" s="239"/>
      <c r="CM27292" s="336"/>
    </row>
    <row r="27293" spans="84:91" s="51" customFormat="1">
      <c r="CF27293" s="239"/>
      <c r="CM27293" s="336"/>
    </row>
    <row r="27294" spans="84:91" s="51" customFormat="1">
      <c r="CF27294" s="239"/>
      <c r="CM27294" s="336"/>
    </row>
    <row r="27295" spans="84:91" s="51" customFormat="1">
      <c r="CF27295" s="239"/>
      <c r="CM27295" s="336"/>
    </row>
    <row r="27296" spans="84:91" s="51" customFormat="1">
      <c r="CF27296" s="239"/>
      <c r="CM27296" s="336"/>
    </row>
    <row r="27297" spans="84:91" s="51" customFormat="1">
      <c r="CF27297" s="239"/>
      <c r="CM27297" s="336"/>
    </row>
    <row r="27298" spans="84:91" s="51" customFormat="1">
      <c r="CF27298" s="239"/>
      <c r="CM27298" s="336"/>
    </row>
    <row r="27299" spans="84:91" s="51" customFormat="1">
      <c r="CF27299" s="239"/>
      <c r="CM27299" s="336"/>
    </row>
    <row r="27300" spans="84:91" s="51" customFormat="1">
      <c r="CF27300" s="239"/>
      <c r="CM27300" s="336"/>
    </row>
    <row r="27301" spans="84:91" s="51" customFormat="1">
      <c r="CF27301" s="239"/>
      <c r="CM27301" s="336"/>
    </row>
    <row r="27302" spans="84:91" s="51" customFormat="1">
      <c r="CF27302" s="239"/>
      <c r="CM27302" s="336"/>
    </row>
    <row r="27303" spans="84:91" s="51" customFormat="1">
      <c r="CF27303" s="239"/>
      <c r="CM27303" s="336"/>
    </row>
    <row r="27304" spans="84:91" s="51" customFormat="1">
      <c r="CF27304" s="239"/>
      <c r="CM27304" s="336"/>
    </row>
    <row r="27305" spans="84:91" s="51" customFormat="1">
      <c r="CF27305" s="239"/>
      <c r="CM27305" s="336"/>
    </row>
    <row r="27306" spans="84:91" s="51" customFormat="1">
      <c r="CF27306" s="239"/>
      <c r="CM27306" s="336"/>
    </row>
    <row r="27307" spans="84:91" s="51" customFormat="1">
      <c r="CF27307" s="239"/>
      <c r="CM27307" s="336"/>
    </row>
    <row r="27308" spans="84:91" s="51" customFormat="1">
      <c r="CF27308" s="239"/>
      <c r="CM27308" s="336"/>
    </row>
    <row r="27309" spans="84:91" s="51" customFormat="1">
      <c r="CF27309" s="239"/>
      <c r="CM27309" s="336"/>
    </row>
    <row r="27310" spans="84:91" s="51" customFormat="1">
      <c r="CF27310" s="239"/>
      <c r="CM27310" s="336"/>
    </row>
    <row r="27311" spans="84:91" s="51" customFormat="1">
      <c r="CF27311" s="239"/>
      <c r="CM27311" s="336"/>
    </row>
    <row r="27312" spans="84:91" s="51" customFormat="1">
      <c r="CF27312" s="239"/>
      <c r="CM27312" s="336"/>
    </row>
    <row r="27313" spans="84:91" s="51" customFormat="1">
      <c r="CF27313" s="239"/>
      <c r="CM27313" s="336"/>
    </row>
    <row r="27314" spans="84:91" s="51" customFormat="1">
      <c r="CF27314" s="239"/>
      <c r="CM27314" s="336"/>
    </row>
    <row r="27315" spans="84:91" s="51" customFormat="1">
      <c r="CF27315" s="239"/>
      <c r="CM27315" s="336"/>
    </row>
    <row r="27316" spans="84:91" s="51" customFormat="1">
      <c r="CF27316" s="239"/>
      <c r="CM27316" s="336"/>
    </row>
    <row r="27317" spans="84:91" s="51" customFormat="1">
      <c r="CF27317" s="239"/>
      <c r="CM27317" s="336"/>
    </row>
    <row r="27318" spans="84:91" s="51" customFormat="1">
      <c r="CF27318" s="239"/>
      <c r="CM27318" s="336"/>
    </row>
    <row r="27319" spans="84:91" s="51" customFormat="1">
      <c r="CF27319" s="239"/>
      <c r="CM27319" s="336"/>
    </row>
    <row r="27320" spans="84:91" s="51" customFormat="1">
      <c r="CF27320" s="239"/>
      <c r="CM27320" s="336"/>
    </row>
    <row r="27321" spans="84:91" s="51" customFormat="1">
      <c r="CF27321" s="239"/>
      <c r="CM27321" s="336"/>
    </row>
    <row r="27322" spans="84:91" s="51" customFormat="1">
      <c r="CF27322" s="239"/>
      <c r="CM27322" s="336"/>
    </row>
    <row r="27323" spans="84:91" s="51" customFormat="1">
      <c r="CF27323" s="239"/>
      <c r="CM27323" s="336"/>
    </row>
    <row r="27324" spans="84:91" s="51" customFormat="1">
      <c r="CF27324" s="239"/>
      <c r="CM27324" s="336"/>
    </row>
    <row r="27325" spans="84:91" s="51" customFormat="1">
      <c r="CF27325" s="239"/>
      <c r="CM27325" s="336"/>
    </row>
    <row r="27326" spans="84:91" s="51" customFormat="1">
      <c r="CF27326" s="239"/>
      <c r="CM27326" s="336"/>
    </row>
    <row r="27327" spans="84:91" s="51" customFormat="1">
      <c r="CF27327" s="239"/>
      <c r="CM27327" s="336"/>
    </row>
    <row r="27328" spans="84:91" s="51" customFormat="1">
      <c r="CF27328" s="239"/>
      <c r="CM27328" s="336"/>
    </row>
    <row r="27329" spans="84:91" s="51" customFormat="1">
      <c r="CF27329" s="239"/>
      <c r="CM27329" s="336"/>
    </row>
    <row r="27330" spans="84:91" s="51" customFormat="1">
      <c r="CF27330" s="239"/>
      <c r="CM27330" s="336"/>
    </row>
    <row r="27331" spans="84:91" s="51" customFormat="1">
      <c r="CF27331" s="239"/>
      <c r="CM27331" s="336"/>
    </row>
    <row r="27332" spans="84:91" s="51" customFormat="1">
      <c r="CF27332" s="239"/>
      <c r="CM27332" s="336"/>
    </row>
    <row r="27333" spans="84:91" s="51" customFormat="1">
      <c r="CF27333" s="239"/>
      <c r="CM27333" s="336"/>
    </row>
    <row r="27334" spans="84:91" s="51" customFormat="1">
      <c r="CF27334" s="239"/>
      <c r="CM27334" s="336"/>
    </row>
    <row r="27335" spans="84:91" s="51" customFormat="1">
      <c r="CF27335" s="239"/>
      <c r="CM27335" s="336"/>
    </row>
    <row r="27336" spans="84:91" s="51" customFormat="1">
      <c r="CF27336" s="239"/>
      <c r="CM27336" s="336"/>
    </row>
    <row r="27337" spans="84:91" s="51" customFormat="1">
      <c r="CF27337" s="239"/>
      <c r="CM27337" s="336"/>
    </row>
    <row r="27338" spans="84:91" s="51" customFormat="1">
      <c r="CF27338" s="239"/>
      <c r="CM27338" s="336"/>
    </row>
    <row r="27339" spans="84:91" s="51" customFormat="1">
      <c r="CF27339" s="239"/>
      <c r="CM27339" s="336"/>
    </row>
    <row r="27340" spans="84:91" s="51" customFormat="1">
      <c r="CF27340" s="239"/>
      <c r="CM27340" s="336"/>
    </row>
    <row r="27341" spans="84:91" s="51" customFormat="1">
      <c r="CF27341" s="239"/>
      <c r="CM27341" s="336"/>
    </row>
    <row r="27342" spans="84:91" s="51" customFormat="1">
      <c r="CF27342" s="239"/>
      <c r="CM27342" s="336"/>
    </row>
    <row r="27343" spans="84:91" s="51" customFormat="1">
      <c r="CF27343" s="239"/>
      <c r="CM27343" s="336"/>
    </row>
    <row r="27344" spans="84:91" s="51" customFormat="1">
      <c r="CF27344" s="239"/>
      <c r="CM27344" s="336"/>
    </row>
    <row r="27345" spans="84:91" s="51" customFormat="1">
      <c r="CF27345" s="239"/>
      <c r="CM27345" s="336"/>
    </row>
    <row r="27346" spans="84:91" s="51" customFormat="1">
      <c r="CF27346" s="239"/>
      <c r="CM27346" s="336"/>
    </row>
    <row r="27347" spans="84:91" s="51" customFormat="1">
      <c r="CF27347" s="239"/>
      <c r="CM27347" s="336"/>
    </row>
    <row r="27348" spans="84:91" s="51" customFormat="1">
      <c r="CF27348" s="239"/>
      <c r="CM27348" s="336"/>
    </row>
    <row r="27349" spans="84:91" s="51" customFormat="1">
      <c r="CF27349" s="239"/>
      <c r="CM27349" s="336"/>
    </row>
    <row r="27350" spans="84:91" s="51" customFormat="1">
      <c r="CF27350" s="239"/>
      <c r="CM27350" s="336"/>
    </row>
    <row r="27351" spans="84:91" s="51" customFormat="1">
      <c r="CF27351" s="239"/>
      <c r="CM27351" s="336"/>
    </row>
    <row r="27352" spans="84:91" s="51" customFormat="1">
      <c r="CF27352" s="239"/>
      <c r="CM27352" s="336"/>
    </row>
    <row r="27353" spans="84:91" s="51" customFormat="1">
      <c r="CF27353" s="239"/>
      <c r="CM27353" s="336"/>
    </row>
    <row r="27354" spans="84:91" s="51" customFormat="1">
      <c r="CF27354" s="239"/>
      <c r="CM27354" s="336"/>
    </row>
    <row r="27355" spans="84:91" s="51" customFormat="1">
      <c r="CF27355" s="239"/>
      <c r="CM27355" s="336"/>
    </row>
    <row r="27356" spans="84:91" s="51" customFormat="1">
      <c r="CF27356" s="239"/>
      <c r="CM27356" s="336"/>
    </row>
    <row r="27357" spans="84:91" s="51" customFormat="1">
      <c r="CF27357" s="239"/>
      <c r="CM27357" s="336"/>
    </row>
    <row r="27358" spans="84:91" s="51" customFormat="1">
      <c r="CF27358" s="239"/>
      <c r="CM27358" s="336"/>
    </row>
    <row r="27359" spans="84:91" s="51" customFormat="1">
      <c r="CF27359" s="239"/>
      <c r="CM27359" s="336"/>
    </row>
    <row r="27360" spans="84:91" s="51" customFormat="1">
      <c r="CF27360" s="239"/>
      <c r="CM27360" s="336"/>
    </row>
    <row r="27361" spans="84:91" s="51" customFormat="1">
      <c r="CF27361" s="239"/>
      <c r="CM27361" s="336"/>
    </row>
    <row r="27362" spans="84:91" s="51" customFormat="1">
      <c r="CF27362" s="239"/>
      <c r="CM27362" s="336"/>
    </row>
    <row r="27363" spans="84:91" s="51" customFormat="1">
      <c r="CF27363" s="239"/>
      <c r="CM27363" s="336"/>
    </row>
    <row r="27364" spans="84:91" s="51" customFormat="1">
      <c r="CF27364" s="239"/>
      <c r="CM27364" s="336"/>
    </row>
    <row r="27365" spans="84:91" s="51" customFormat="1">
      <c r="CF27365" s="239"/>
      <c r="CM27365" s="336"/>
    </row>
    <row r="27366" spans="84:91" s="51" customFormat="1">
      <c r="CF27366" s="239"/>
      <c r="CM27366" s="336"/>
    </row>
    <row r="27367" spans="84:91" s="51" customFormat="1">
      <c r="CF27367" s="239"/>
      <c r="CM27367" s="336"/>
    </row>
    <row r="27368" spans="84:91" s="51" customFormat="1">
      <c r="CF27368" s="239"/>
      <c r="CM27368" s="336"/>
    </row>
    <row r="27369" spans="84:91" s="51" customFormat="1">
      <c r="CF27369" s="239"/>
      <c r="CM27369" s="336"/>
    </row>
    <row r="27370" spans="84:91" s="51" customFormat="1">
      <c r="CF27370" s="239"/>
      <c r="CM27370" s="336"/>
    </row>
    <row r="27371" spans="84:91" s="51" customFormat="1">
      <c r="CF27371" s="239"/>
      <c r="CM27371" s="336"/>
    </row>
    <row r="27372" spans="84:91" s="51" customFormat="1">
      <c r="CF27372" s="239"/>
      <c r="CM27372" s="336"/>
    </row>
    <row r="27373" spans="84:91" s="51" customFormat="1">
      <c r="CF27373" s="239"/>
      <c r="CM27373" s="336"/>
    </row>
    <row r="27374" spans="84:91" s="51" customFormat="1">
      <c r="CF27374" s="239"/>
      <c r="CM27374" s="336"/>
    </row>
    <row r="27375" spans="84:91" s="51" customFormat="1">
      <c r="CF27375" s="239"/>
      <c r="CM27375" s="336"/>
    </row>
    <row r="27376" spans="84:91" s="51" customFormat="1">
      <c r="CF27376" s="239"/>
      <c r="CM27376" s="336"/>
    </row>
    <row r="27377" spans="84:91" s="51" customFormat="1">
      <c r="CF27377" s="239"/>
      <c r="CM27377" s="336"/>
    </row>
    <row r="27378" spans="84:91" s="51" customFormat="1">
      <c r="CF27378" s="239"/>
      <c r="CM27378" s="336"/>
    </row>
    <row r="27379" spans="84:91" s="51" customFormat="1">
      <c r="CF27379" s="239"/>
      <c r="CM27379" s="336"/>
    </row>
    <row r="27380" spans="84:91" s="51" customFormat="1">
      <c r="CF27380" s="239"/>
      <c r="CM27380" s="336"/>
    </row>
    <row r="27381" spans="84:91" s="51" customFormat="1">
      <c r="CF27381" s="239"/>
      <c r="CM27381" s="336"/>
    </row>
    <row r="27382" spans="84:91" s="51" customFormat="1">
      <c r="CF27382" s="239"/>
      <c r="CM27382" s="336"/>
    </row>
    <row r="27383" spans="84:91" s="51" customFormat="1">
      <c r="CF27383" s="239"/>
      <c r="CM27383" s="336"/>
    </row>
    <row r="27384" spans="84:91" s="51" customFormat="1">
      <c r="CF27384" s="239"/>
      <c r="CM27384" s="336"/>
    </row>
    <row r="27385" spans="84:91" s="51" customFormat="1">
      <c r="CF27385" s="239"/>
      <c r="CM27385" s="336"/>
    </row>
    <row r="27386" spans="84:91" s="51" customFormat="1">
      <c r="CF27386" s="239"/>
      <c r="CM27386" s="336"/>
    </row>
    <row r="27387" spans="84:91" s="51" customFormat="1">
      <c r="CF27387" s="239"/>
      <c r="CM27387" s="336"/>
    </row>
    <row r="27388" spans="84:91" s="51" customFormat="1">
      <c r="CF27388" s="239"/>
      <c r="CM27388" s="336"/>
    </row>
    <row r="27389" spans="84:91" s="51" customFormat="1">
      <c r="CF27389" s="239"/>
      <c r="CM27389" s="336"/>
    </row>
    <row r="27390" spans="84:91" s="51" customFormat="1">
      <c r="CF27390" s="239"/>
      <c r="CM27390" s="336"/>
    </row>
    <row r="27391" spans="84:91" s="51" customFormat="1">
      <c r="CF27391" s="239"/>
      <c r="CM27391" s="336"/>
    </row>
    <row r="27392" spans="84:91" s="51" customFormat="1">
      <c r="CF27392" s="239"/>
      <c r="CM27392" s="336"/>
    </row>
    <row r="27393" spans="84:91" s="51" customFormat="1">
      <c r="CF27393" s="239"/>
      <c r="CM27393" s="336"/>
    </row>
    <row r="27394" spans="84:91" s="51" customFormat="1">
      <c r="CF27394" s="239"/>
      <c r="CM27394" s="336"/>
    </row>
    <row r="27395" spans="84:91" s="51" customFormat="1">
      <c r="CF27395" s="239"/>
      <c r="CM27395" s="336"/>
    </row>
    <row r="27396" spans="84:91" s="51" customFormat="1">
      <c r="CF27396" s="239"/>
      <c r="CM27396" s="336"/>
    </row>
    <row r="27397" spans="84:91" s="51" customFormat="1">
      <c r="CF27397" s="239"/>
      <c r="CM27397" s="336"/>
    </row>
    <row r="27398" spans="84:91" s="51" customFormat="1">
      <c r="CF27398" s="239"/>
      <c r="CM27398" s="336"/>
    </row>
    <row r="27399" spans="84:91" s="51" customFormat="1">
      <c r="CF27399" s="239"/>
      <c r="CM27399" s="336"/>
    </row>
    <row r="27400" spans="84:91" s="51" customFormat="1">
      <c r="CF27400" s="239"/>
      <c r="CM27400" s="336"/>
    </row>
    <row r="27401" spans="84:91" s="51" customFormat="1">
      <c r="CF27401" s="239"/>
      <c r="CM27401" s="336"/>
    </row>
    <row r="27402" spans="84:91" s="51" customFormat="1">
      <c r="CF27402" s="239"/>
      <c r="CM27402" s="336"/>
    </row>
    <row r="27403" spans="84:91" s="51" customFormat="1">
      <c r="CF27403" s="239"/>
      <c r="CM27403" s="336"/>
    </row>
    <row r="27404" spans="84:91" s="51" customFormat="1">
      <c r="CF27404" s="239"/>
      <c r="CM27404" s="336"/>
    </row>
    <row r="27405" spans="84:91" s="51" customFormat="1">
      <c r="CF27405" s="239"/>
      <c r="CM27405" s="336"/>
    </row>
    <row r="27406" spans="84:91" s="51" customFormat="1">
      <c r="CF27406" s="239"/>
      <c r="CM27406" s="336"/>
    </row>
    <row r="27407" spans="84:91" s="51" customFormat="1">
      <c r="CF27407" s="239"/>
      <c r="CM27407" s="336"/>
    </row>
    <row r="27408" spans="84:91" s="51" customFormat="1">
      <c r="CF27408" s="239"/>
      <c r="CM27408" s="336"/>
    </row>
    <row r="27409" spans="84:91" s="51" customFormat="1">
      <c r="CF27409" s="239"/>
      <c r="CM27409" s="336"/>
    </row>
    <row r="27410" spans="84:91" s="51" customFormat="1">
      <c r="CF27410" s="239"/>
      <c r="CM27410" s="336"/>
    </row>
    <row r="27411" spans="84:91" s="51" customFormat="1">
      <c r="CF27411" s="239"/>
      <c r="CM27411" s="336"/>
    </row>
    <row r="27412" spans="84:91" s="51" customFormat="1">
      <c r="CF27412" s="239"/>
      <c r="CM27412" s="336"/>
    </row>
    <row r="27413" spans="84:91" s="51" customFormat="1">
      <c r="CF27413" s="239"/>
      <c r="CM27413" s="336"/>
    </row>
    <row r="27414" spans="84:91" s="51" customFormat="1">
      <c r="CF27414" s="239"/>
      <c r="CM27414" s="336"/>
    </row>
    <row r="27415" spans="84:91" s="51" customFormat="1">
      <c r="CF27415" s="239"/>
      <c r="CM27415" s="336"/>
    </row>
    <row r="27416" spans="84:91" s="51" customFormat="1">
      <c r="CF27416" s="239"/>
      <c r="CM27416" s="336"/>
    </row>
    <row r="27417" spans="84:91" s="51" customFormat="1">
      <c r="CF27417" s="239"/>
      <c r="CM27417" s="336"/>
    </row>
    <row r="27418" spans="84:91" s="51" customFormat="1">
      <c r="CF27418" s="239"/>
      <c r="CM27418" s="336"/>
    </row>
    <row r="27419" spans="84:91" s="51" customFormat="1">
      <c r="CF27419" s="239"/>
      <c r="CM27419" s="336"/>
    </row>
    <row r="27420" spans="84:91" s="51" customFormat="1">
      <c r="CF27420" s="239"/>
      <c r="CM27420" s="336"/>
    </row>
    <row r="27421" spans="84:91" s="51" customFormat="1">
      <c r="CF27421" s="239"/>
      <c r="CM27421" s="336"/>
    </row>
    <row r="27422" spans="84:91" s="51" customFormat="1">
      <c r="CF27422" s="239"/>
      <c r="CM27422" s="336"/>
    </row>
    <row r="27423" spans="84:91" s="51" customFormat="1">
      <c r="CF27423" s="239"/>
      <c r="CM27423" s="336"/>
    </row>
    <row r="27424" spans="84:91" s="51" customFormat="1">
      <c r="CF27424" s="239"/>
      <c r="CM27424" s="336"/>
    </row>
    <row r="27425" spans="84:91" s="51" customFormat="1">
      <c r="CF27425" s="239"/>
      <c r="CM27425" s="336"/>
    </row>
    <row r="27426" spans="84:91" s="51" customFormat="1">
      <c r="CF27426" s="239"/>
      <c r="CM27426" s="336"/>
    </row>
    <row r="27427" spans="84:91" s="51" customFormat="1">
      <c r="CF27427" s="239"/>
      <c r="CM27427" s="336"/>
    </row>
    <row r="27428" spans="84:91" s="51" customFormat="1">
      <c r="CF27428" s="239"/>
      <c r="CM27428" s="336"/>
    </row>
    <row r="27429" spans="84:91" s="51" customFormat="1">
      <c r="CF27429" s="239"/>
      <c r="CM27429" s="336"/>
    </row>
    <row r="27430" spans="84:91" s="51" customFormat="1">
      <c r="CF27430" s="239"/>
      <c r="CM27430" s="336"/>
    </row>
    <row r="27431" spans="84:91" s="51" customFormat="1">
      <c r="CF27431" s="239"/>
      <c r="CM27431" s="336"/>
    </row>
    <row r="27432" spans="84:91" s="51" customFormat="1">
      <c r="CF27432" s="239"/>
      <c r="CM27432" s="336"/>
    </row>
    <row r="27433" spans="84:91" s="51" customFormat="1">
      <c r="CF27433" s="239"/>
      <c r="CM27433" s="336"/>
    </row>
    <row r="27434" spans="84:91" s="51" customFormat="1">
      <c r="CF27434" s="239"/>
      <c r="CM27434" s="336"/>
    </row>
    <row r="27435" spans="84:91" s="51" customFormat="1">
      <c r="CF27435" s="239"/>
      <c r="CM27435" s="336"/>
    </row>
    <row r="27436" spans="84:91" s="51" customFormat="1">
      <c r="CF27436" s="239"/>
      <c r="CM27436" s="336"/>
    </row>
    <row r="27437" spans="84:91" s="51" customFormat="1">
      <c r="CF27437" s="239"/>
      <c r="CM27437" s="336"/>
    </row>
    <row r="27438" spans="84:91" s="51" customFormat="1">
      <c r="CF27438" s="239"/>
      <c r="CM27438" s="336"/>
    </row>
    <row r="27439" spans="84:91" s="51" customFormat="1">
      <c r="CF27439" s="239"/>
      <c r="CM27439" s="336"/>
    </row>
    <row r="27440" spans="84:91" s="51" customFormat="1">
      <c r="CF27440" s="239"/>
      <c r="CM27440" s="336"/>
    </row>
    <row r="27441" spans="84:91" s="51" customFormat="1">
      <c r="CF27441" s="239"/>
      <c r="CM27441" s="336"/>
    </row>
    <row r="27442" spans="84:91" s="51" customFormat="1">
      <c r="CF27442" s="239"/>
      <c r="CM27442" s="336"/>
    </row>
    <row r="27443" spans="84:91" s="51" customFormat="1">
      <c r="CF27443" s="239"/>
      <c r="CM27443" s="336"/>
    </row>
    <row r="27444" spans="84:91" s="51" customFormat="1">
      <c r="CF27444" s="239"/>
      <c r="CM27444" s="336"/>
    </row>
    <row r="27445" spans="84:91" s="51" customFormat="1">
      <c r="CF27445" s="239"/>
      <c r="CM27445" s="336"/>
    </row>
    <row r="27446" spans="84:91" s="51" customFormat="1">
      <c r="CF27446" s="239"/>
      <c r="CM27446" s="336"/>
    </row>
    <row r="27447" spans="84:91" s="51" customFormat="1">
      <c r="CF27447" s="239"/>
      <c r="CM27447" s="336"/>
    </row>
    <row r="27448" spans="84:91" s="51" customFormat="1">
      <c r="CF27448" s="239"/>
      <c r="CM27448" s="336"/>
    </row>
    <row r="27449" spans="84:91" s="51" customFormat="1">
      <c r="CF27449" s="239"/>
      <c r="CM27449" s="336"/>
    </row>
    <row r="27450" spans="84:91" s="51" customFormat="1">
      <c r="CF27450" s="239"/>
      <c r="CM27450" s="336"/>
    </row>
    <row r="27451" spans="84:91" s="51" customFormat="1">
      <c r="CF27451" s="239"/>
      <c r="CM27451" s="336"/>
    </row>
    <row r="27452" spans="84:91" s="51" customFormat="1">
      <c r="CF27452" s="239"/>
      <c r="CM27452" s="336"/>
    </row>
    <row r="27453" spans="84:91" s="51" customFormat="1">
      <c r="CF27453" s="239"/>
      <c r="CM27453" s="336"/>
    </row>
    <row r="27454" spans="84:91" s="51" customFormat="1">
      <c r="CF27454" s="239"/>
      <c r="CM27454" s="336"/>
    </row>
    <row r="27455" spans="84:91" s="51" customFormat="1">
      <c r="CF27455" s="239"/>
      <c r="CM27455" s="336"/>
    </row>
    <row r="27456" spans="84:91" s="51" customFormat="1">
      <c r="CF27456" s="239"/>
      <c r="CM27456" s="336"/>
    </row>
    <row r="27457" spans="84:91" s="51" customFormat="1">
      <c r="CF27457" s="239"/>
      <c r="CM27457" s="336"/>
    </row>
    <row r="27458" spans="84:91" s="51" customFormat="1">
      <c r="CF27458" s="239"/>
      <c r="CM27458" s="336"/>
    </row>
    <row r="27459" spans="84:91" s="51" customFormat="1">
      <c r="CF27459" s="239"/>
      <c r="CM27459" s="336"/>
    </row>
    <row r="27460" spans="84:91" s="51" customFormat="1">
      <c r="CF27460" s="239"/>
      <c r="CM27460" s="336"/>
    </row>
    <row r="27461" spans="84:91" s="51" customFormat="1">
      <c r="CF27461" s="239"/>
      <c r="CM27461" s="336"/>
    </row>
    <row r="27462" spans="84:91" s="51" customFormat="1">
      <c r="CF27462" s="239"/>
      <c r="CM27462" s="336"/>
    </row>
  </sheetData>
  <autoFilter ref="A1:CG27462">
    <filterColumn colId="0"/>
    <filterColumn colId="1"/>
    <filterColumn colId="2"/>
    <filterColumn colId="3"/>
    <filterColumn colId="39"/>
    <filterColumn colId="83"/>
  </autoFilter>
  <mergeCells count="4">
    <mergeCell ref="D348:E348"/>
    <mergeCell ref="D349:E349"/>
    <mergeCell ref="D350:E350"/>
    <mergeCell ref="D351:E35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Feuil3"/>
  <dimension ref="A1:AG431"/>
  <sheetViews>
    <sheetView topLeftCell="A87" zoomScale="89" zoomScaleNormal="89" workbookViewId="0">
      <selection activeCell="B113" sqref="B113"/>
    </sheetView>
  </sheetViews>
  <sheetFormatPr baseColWidth="10" defaultRowHeight="13.5" customHeight="1"/>
  <cols>
    <col min="1" max="1" width="7.140625" customWidth="1"/>
    <col min="2" max="2" width="37.28515625" customWidth="1"/>
    <col min="3" max="3" width="31.7109375" bestFit="1" customWidth="1"/>
    <col min="4" max="4" width="15.85546875" bestFit="1" customWidth="1"/>
    <col min="5" max="5" width="30.28515625" customWidth="1"/>
    <col min="6" max="6" width="15.140625" bestFit="1" customWidth="1"/>
    <col min="7" max="7" width="8" bestFit="1" customWidth="1"/>
    <col min="8" max="8" width="14.42578125" style="31" bestFit="1" customWidth="1"/>
    <col min="9" max="9" width="12.28515625" customWidth="1"/>
    <col min="10" max="10" width="17.5703125" bestFit="1" customWidth="1"/>
    <col min="11" max="11" width="10.42578125" customWidth="1"/>
    <col min="12" max="12" width="16.28515625" customWidth="1"/>
    <col min="13" max="13" width="17.28515625" customWidth="1"/>
    <col min="14" max="14" width="15.5703125" customWidth="1"/>
    <col min="15" max="15" width="18.5703125" bestFit="1" customWidth="1"/>
    <col min="16" max="16" width="11.140625" bestFit="1" customWidth="1"/>
    <col min="17" max="17" width="22.28515625" bestFit="1" customWidth="1"/>
    <col min="18" max="18" width="28.85546875" customWidth="1"/>
    <col min="19" max="19" width="13.5703125" style="34" bestFit="1" customWidth="1"/>
    <col min="20" max="20" width="16.5703125" customWidth="1"/>
    <col min="21" max="21" width="17.7109375" style="348" customWidth="1"/>
    <col min="22" max="22" width="17.7109375" style="33" customWidth="1"/>
    <col min="23" max="26" width="16.5703125" customWidth="1"/>
    <col min="27" max="27" width="12.85546875" style="343" bestFit="1" customWidth="1"/>
    <col min="28" max="28" width="8.42578125" style="21" bestFit="1" customWidth="1"/>
    <col min="29" max="29" width="5.5703125" bestFit="1" customWidth="1"/>
    <col min="30" max="30" width="12.85546875" bestFit="1" customWidth="1"/>
  </cols>
  <sheetData>
    <row r="1" spans="1:33" s="27" customFormat="1" ht="13.5" customHeight="1">
      <c r="A1" s="267" t="s">
        <v>192</v>
      </c>
      <c r="B1" s="267" t="s">
        <v>1592</v>
      </c>
      <c r="C1" s="267" t="s">
        <v>2041</v>
      </c>
      <c r="D1" s="267" t="s">
        <v>391</v>
      </c>
      <c r="E1" s="267" t="s">
        <v>2042</v>
      </c>
      <c r="F1" s="267" t="s">
        <v>2043</v>
      </c>
      <c r="G1" s="267" t="s">
        <v>392</v>
      </c>
      <c r="H1" s="272" t="s">
        <v>2044</v>
      </c>
      <c r="I1" s="267" t="s">
        <v>393</v>
      </c>
      <c r="J1" s="267" t="s">
        <v>2045</v>
      </c>
      <c r="K1" s="267" t="s">
        <v>394</v>
      </c>
      <c r="L1" s="267" t="s">
        <v>2046</v>
      </c>
      <c r="M1" s="267" t="s">
        <v>2047</v>
      </c>
      <c r="N1" s="267" t="s">
        <v>395</v>
      </c>
      <c r="O1" s="267" t="s">
        <v>396</v>
      </c>
      <c r="P1" s="267" t="s">
        <v>397</v>
      </c>
      <c r="Q1" s="267" t="s">
        <v>398</v>
      </c>
      <c r="R1" s="267" t="s">
        <v>2048</v>
      </c>
      <c r="S1" s="267" t="s">
        <v>2120</v>
      </c>
      <c r="T1" s="267" t="s">
        <v>2121</v>
      </c>
      <c r="U1" s="268" t="s">
        <v>2227</v>
      </c>
      <c r="V1" s="267" t="s">
        <v>402</v>
      </c>
      <c r="W1" s="24" t="s">
        <v>399</v>
      </c>
      <c r="X1" s="24" t="s">
        <v>400</v>
      </c>
      <c r="Y1" s="24" t="s">
        <v>401</v>
      </c>
      <c r="Z1" s="24" t="s">
        <v>178</v>
      </c>
      <c r="AA1" s="342"/>
      <c r="AB1" s="26" t="s">
        <v>405</v>
      </c>
      <c r="AC1"/>
      <c r="AD1" s="27" t="s">
        <v>2631</v>
      </c>
      <c r="AE1" s="26"/>
      <c r="AF1" s="26"/>
    </row>
    <row r="2" spans="1:33" s="360" customFormat="1" ht="13.5" customHeight="1">
      <c r="A2" s="324" t="s">
        <v>1611</v>
      </c>
      <c r="B2" s="325" t="s">
        <v>275</v>
      </c>
      <c r="C2" s="325" t="s">
        <v>411</v>
      </c>
      <c r="D2" s="325" t="s">
        <v>412</v>
      </c>
      <c r="E2" s="324" t="s">
        <v>413</v>
      </c>
      <c r="F2" s="324" t="s">
        <v>2055</v>
      </c>
      <c r="G2" s="324" t="s">
        <v>887</v>
      </c>
      <c r="H2" s="324" t="s">
        <v>897</v>
      </c>
      <c r="I2" s="324" t="s">
        <v>898</v>
      </c>
      <c r="J2" s="324" t="s">
        <v>889</v>
      </c>
      <c r="K2" s="324" t="s">
        <v>890</v>
      </c>
      <c r="L2" s="324" t="s">
        <v>891</v>
      </c>
      <c r="M2" s="324" t="s">
        <v>892</v>
      </c>
      <c r="N2" s="324" t="s">
        <v>893</v>
      </c>
      <c r="O2" s="324" t="s">
        <v>894</v>
      </c>
      <c r="P2" s="324" t="s">
        <v>899</v>
      </c>
      <c r="Q2" s="324" t="s">
        <v>900</v>
      </c>
      <c r="R2" s="324" t="s">
        <v>901</v>
      </c>
      <c r="S2" s="356" t="s">
        <v>895</v>
      </c>
      <c r="T2" s="309" t="s">
        <v>902</v>
      </c>
      <c r="U2" s="357" t="e">
        <f>VLOOKUP(D2,'SUIVI JOURNALIER AVRIL'!CK:CM,3,FALSE)</f>
        <v>#N/A</v>
      </c>
      <c r="V2" s="358" t="e">
        <f>IF(VLOOKUP('vs mars'!D2,'point sur les patentes'!B:E,4,FALSE)="","",VLOOKUP(D2,'point sur les patentes'!B:E,4,FALSE)+VLOOKUP(D2,'point sur les patentes'!B:F,5,FALSE)+VLOOKUP('vs mars'!D2,'point sur les patentes'!B:G,6,FALSE)+VLOOKUP('vs mars'!D2,'point sur les patentes'!B:H,7,FALSE)+VLOOKUP('vs mars'!D2,'point sur les patentes'!B:I,8,FALSE)+VLOOKUP(D2,'point sur les patentes'!B:J,9,FALSE)+VLOOKUP(D2,'point sur les patentes'!B:K,10,FALSE)+VLOOKUP(D2,'point sur les patentes'!B:L,11,FALSE)+VLOOKUP(D2,'point sur les patentes'!B:M,12,FALSE)+VLOOKUP(D2,'point sur les patentes'!B:N,13,FALSE)+VLOOKUP(D2,'point sur les patentes'!B:O,14,FALSE)+VLOOKUP(D2,'point sur les patentes'!B:P,15,FALSE)+VLOOKUP(D2,'point sur les patentes'!B:Q,16,FALSE)+VLOOKUP('vs mars'!D2,'point sur les patentes'!B:Z,25,FALSE))</f>
        <v>#N/A</v>
      </c>
      <c r="W2" s="340" t="e">
        <f>VLOOKUP(D2,'SUIVI JOURNALIER AVRIL'!B:J,9,FALSE)</f>
        <v>#N/A</v>
      </c>
      <c r="X2" s="340" t="e">
        <f>VLOOKUP(D2,'SUIVI JOURNALIER AVRIL'!B:P,14,FALSE)+VLOOKUP('vs mars'!D2,'SUIVI JOURNALIER AVRIL'!B:V,20,FALSE)+VLOOKUP('vs mars'!D2,'SUIVI JOURNALIER AVRIL'!B:W,21,FALSE)</f>
        <v>#N/A</v>
      </c>
      <c r="Y2" s="340" t="e">
        <f>VLOOKUP(D2,'SUIVI JOURNALIER AVRIL'!B:CC,80,FALSE)</f>
        <v>#N/A</v>
      </c>
      <c r="Z2" s="340" t="e">
        <f>W2+X2+Y2</f>
        <v>#N/A</v>
      </c>
      <c r="AA2" s="359" t="e">
        <f>VLOOKUP(D2,'SUIVI JOURNALIER AVRIL'!B:CD,81,FALSE)</f>
        <v>#N/A</v>
      </c>
      <c r="AB2" s="360" t="e">
        <f>IF(Z2=AA2,"ok","revoir")</f>
        <v>#N/A</v>
      </c>
      <c r="AC2" s="360" t="str">
        <f>VLOOKUP(B2,labo!B:D,3,FALSE)</f>
        <v>ug4</v>
      </c>
      <c r="AD2" s="360" t="s">
        <v>2629</v>
      </c>
      <c r="AF2" s="330" t="e">
        <f>VLOOKUP(D2,'SUIVI JOURNALIER AVRIL'!CK:CL,2,FALSE)</f>
        <v>#N/A</v>
      </c>
      <c r="AG2" s="360">
        <v>1</v>
      </c>
    </row>
    <row r="3" spans="1:33" s="360" customFormat="1" ht="13.5" customHeight="1">
      <c r="A3" s="324" t="s">
        <v>1612</v>
      </c>
      <c r="B3" s="325" t="s">
        <v>2313</v>
      </c>
      <c r="C3" s="325" t="s">
        <v>2404</v>
      </c>
      <c r="D3" s="325" t="s">
        <v>2036</v>
      </c>
      <c r="E3" s="324" t="s">
        <v>2248</v>
      </c>
      <c r="F3" s="324" t="s">
        <v>2055</v>
      </c>
      <c r="G3" s="324" t="s">
        <v>887</v>
      </c>
      <c r="H3" s="324" t="s">
        <v>2055</v>
      </c>
      <c r="I3" s="324" t="s">
        <v>2049</v>
      </c>
      <c r="J3" s="324" t="s">
        <v>2055</v>
      </c>
      <c r="K3" s="324" t="s">
        <v>2405</v>
      </c>
      <c r="L3" s="324" t="s">
        <v>891</v>
      </c>
      <c r="M3" s="324" t="s">
        <v>892</v>
      </c>
      <c r="N3" s="324" t="s">
        <v>893</v>
      </c>
      <c r="O3" s="324" t="s">
        <v>894</v>
      </c>
      <c r="P3" s="324" t="s">
        <v>919</v>
      </c>
      <c r="Q3" s="324" t="s">
        <v>2406</v>
      </c>
      <c r="R3" s="324" t="s">
        <v>2055</v>
      </c>
      <c r="S3" s="356" t="s">
        <v>895</v>
      </c>
      <c r="T3" s="309" t="s">
        <v>953</v>
      </c>
      <c r="U3" s="357" t="e">
        <f>VLOOKUP(D3,'SUIVI JOURNALIER AVRIL'!CK:CM,3,FALSE)</f>
        <v>#N/A</v>
      </c>
      <c r="V3" s="358" t="e">
        <f>IF(VLOOKUP('vs mars'!D3,'point sur les patentes'!B:E,4,FALSE)="","",VLOOKUP(D3,'point sur les patentes'!B:E,4,FALSE)+VLOOKUP(D3,'point sur les patentes'!B:F,5,FALSE)+VLOOKUP('vs mars'!D3,'point sur les patentes'!B:G,6,FALSE)+VLOOKUP('vs mars'!D3,'point sur les patentes'!B:H,7,FALSE)+VLOOKUP('vs mars'!D3,'point sur les patentes'!B:I,8,FALSE)+VLOOKUP(D3,'point sur les patentes'!B:J,9,FALSE)+VLOOKUP(D3,'point sur les patentes'!B:K,10,FALSE)+VLOOKUP(D3,'point sur les patentes'!B:L,11,FALSE)+VLOOKUP(D3,'point sur les patentes'!B:M,12,FALSE)+VLOOKUP(D3,'point sur les patentes'!B:N,13,FALSE)+VLOOKUP(D3,'point sur les patentes'!B:O,14,FALSE)+VLOOKUP(D3,'point sur les patentes'!B:P,15,FALSE)+VLOOKUP(D3,'point sur les patentes'!B:Q,16,FALSE)+VLOOKUP('vs mars'!D3,'point sur les patentes'!B:Z,25,FALSE))</f>
        <v>#N/A</v>
      </c>
      <c r="W3" s="340" t="e">
        <f>VLOOKUP(D3,'SUIVI JOURNALIER AVRIL'!B:J,9,FALSE)</f>
        <v>#N/A</v>
      </c>
      <c r="X3" s="340" t="e">
        <f>VLOOKUP(D3,'SUIVI JOURNALIER AVRIL'!B:P,14,FALSE)+VLOOKUP('vs mars'!D3,'SUIVI JOURNALIER AVRIL'!B:V,20,FALSE)+VLOOKUP('vs mars'!D3,'SUIVI JOURNALIER AVRIL'!B:W,21,FALSE)</f>
        <v>#N/A</v>
      </c>
      <c r="Y3" s="340" t="e">
        <f>VLOOKUP(D3,'SUIVI JOURNALIER AVRIL'!B:CC,80,FALSE)</f>
        <v>#N/A</v>
      </c>
      <c r="Z3" s="340" t="e">
        <f t="shared" ref="Z3:Z66" si="0">W3+X3+Y3</f>
        <v>#N/A</v>
      </c>
      <c r="AA3" s="359" t="e">
        <f>VLOOKUP(D3,'SUIVI JOURNALIER AVRIL'!B:CD,81,FALSE)</f>
        <v>#N/A</v>
      </c>
      <c r="AB3" s="360" t="e">
        <f t="shared" ref="AB3:AB66" si="1">IF(Z3=AA3,"ok","revoir")</f>
        <v>#N/A</v>
      </c>
      <c r="AC3" s="360" t="str">
        <f>VLOOKUP(B3,labo!B:D,3,FALSE)</f>
        <v>ug5</v>
      </c>
      <c r="AD3" s="360" t="s">
        <v>2629</v>
      </c>
      <c r="AF3" s="330" t="e">
        <f>VLOOKUP(D3,'SUIVI JOURNALIER AVRIL'!CK:CL,2,FALSE)</f>
        <v>#N/A</v>
      </c>
      <c r="AG3" s="360">
        <v>1</v>
      </c>
    </row>
    <row r="4" spans="1:33" s="360" customFormat="1" ht="13.5" customHeight="1">
      <c r="A4" s="324" t="s">
        <v>903</v>
      </c>
      <c r="B4" s="325" t="s">
        <v>2314</v>
      </c>
      <c r="C4" s="325" t="s">
        <v>2407</v>
      </c>
      <c r="D4" s="325" t="s">
        <v>2408</v>
      </c>
      <c r="E4" s="324" t="s">
        <v>2409</v>
      </c>
      <c r="F4" s="324" t="s">
        <v>2055</v>
      </c>
      <c r="G4" s="324" t="s">
        <v>887</v>
      </c>
      <c r="H4" s="324" t="s">
        <v>2055</v>
      </c>
      <c r="I4" s="324" t="s">
        <v>2410</v>
      </c>
      <c r="J4" s="324" t="s">
        <v>2055</v>
      </c>
      <c r="K4" s="324" t="s">
        <v>2405</v>
      </c>
      <c r="L4" s="324" t="s">
        <v>891</v>
      </c>
      <c r="M4" s="324" t="s">
        <v>892</v>
      </c>
      <c r="N4" s="324" t="s">
        <v>893</v>
      </c>
      <c r="O4" s="324" t="s">
        <v>894</v>
      </c>
      <c r="P4" s="324" t="s">
        <v>919</v>
      </c>
      <c r="Q4" s="324" t="s">
        <v>2411</v>
      </c>
      <c r="R4" s="324" t="s">
        <v>2055</v>
      </c>
      <c r="S4" s="356" t="s">
        <v>895</v>
      </c>
      <c r="T4" s="309" t="s">
        <v>909</v>
      </c>
      <c r="U4" s="357" t="e">
        <f>VLOOKUP(D4,'SUIVI JOURNALIER AVRIL'!CK:CM,3,FALSE)</f>
        <v>#N/A</v>
      </c>
      <c r="V4" s="358" t="e">
        <f>IF(VLOOKUP('vs mars'!D4,'point sur les patentes'!B:E,4,FALSE)="","",VLOOKUP(D4,'point sur les patentes'!B:E,4,FALSE)+VLOOKUP(D4,'point sur les patentes'!B:F,5,FALSE)+VLOOKUP('vs mars'!D4,'point sur les patentes'!B:G,6,FALSE)+VLOOKUP('vs mars'!D4,'point sur les patentes'!B:H,7,FALSE)+VLOOKUP('vs mars'!D4,'point sur les patentes'!B:I,8,FALSE)+VLOOKUP(D4,'point sur les patentes'!B:J,9,FALSE)+VLOOKUP(D4,'point sur les patentes'!B:K,10,FALSE)+VLOOKUP(D4,'point sur les patentes'!B:L,11,FALSE)+VLOOKUP(D4,'point sur les patentes'!B:M,12,FALSE)+VLOOKUP(D4,'point sur les patentes'!B:N,13,FALSE)+VLOOKUP(D4,'point sur les patentes'!B:O,14,FALSE)+VLOOKUP(D4,'point sur les patentes'!B:P,15,FALSE)+VLOOKUP(D4,'point sur les patentes'!B:Q,16,FALSE)+VLOOKUP('vs mars'!D4,'point sur les patentes'!B:Z,25,FALSE))</f>
        <v>#N/A</v>
      </c>
      <c r="W4" s="340" t="e">
        <f>VLOOKUP(D4,'SUIVI JOURNALIER AVRIL'!B:J,9,FALSE)</f>
        <v>#N/A</v>
      </c>
      <c r="X4" s="340" t="e">
        <f>VLOOKUP(D4,'SUIVI JOURNALIER AVRIL'!B:P,14,FALSE)+VLOOKUP('vs mars'!D4,'SUIVI JOURNALIER AVRIL'!B:V,20,FALSE)+VLOOKUP('vs mars'!D4,'SUIVI JOURNALIER AVRIL'!B:W,21,FALSE)</f>
        <v>#N/A</v>
      </c>
      <c r="Y4" s="340" t="e">
        <f>VLOOKUP(D4,'SUIVI JOURNALIER AVRIL'!B:CC,80,FALSE)</f>
        <v>#N/A</v>
      </c>
      <c r="Z4" s="340" t="e">
        <f t="shared" si="0"/>
        <v>#N/A</v>
      </c>
      <c r="AA4" s="359" t="e">
        <f>VLOOKUP(D4,'SUIVI JOURNALIER AVRIL'!B:CD,81,FALSE)</f>
        <v>#N/A</v>
      </c>
      <c r="AB4" s="360" t="e">
        <f t="shared" si="1"/>
        <v>#N/A</v>
      </c>
      <c r="AC4" s="360" t="str">
        <f>VLOOKUP(B4,labo!B:D,3,FALSE)</f>
        <v>ug4</v>
      </c>
      <c r="AD4" s="360" t="s">
        <v>2630</v>
      </c>
      <c r="AF4" s="330" t="e">
        <f>VLOOKUP(D4,'SUIVI JOURNALIER AVRIL'!CK:CL,2,FALSE)</f>
        <v>#N/A</v>
      </c>
      <c r="AG4" s="360">
        <v>1</v>
      </c>
    </row>
    <row r="5" spans="1:33" s="360" customFormat="1" ht="13.5" customHeight="1">
      <c r="A5" s="324" t="s">
        <v>1613</v>
      </c>
      <c r="B5" s="325" t="s">
        <v>271</v>
      </c>
      <c r="C5" s="325" t="s">
        <v>414</v>
      </c>
      <c r="D5" s="325" t="s">
        <v>415</v>
      </c>
      <c r="E5" s="324" t="s">
        <v>446</v>
      </c>
      <c r="F5" s="324" t="s">
        <v>2055</v>
      </c>
      <c r="G5" s="324" t="s">
        <v>887</v>
      </c>
      <c r="H5" s="324" t="s">
        <v>903</v>
      </c>
      <c r="I5" s="324" t="s">
        <v>904</v>
      </c>
      <c r="J5" s="324" t="s">
        <v>889</v>
      </c>
      <c r="K5" s="324" t="s">
        <v>890</v>
      </c>
      <c r="L5" s="324" t="s">
        <v>891</v>
      </c>
      <c r="M5" s="324" t="s">
        <v>892</v>
      </c>
      <c r="N5" s="324" t="s">
        <v>905</v>
      </c>
      <c r="O5" s="324" t="s">
        <v>906</v>
      </c>
      <c r="P5" s="324" t="s">
        <v>906</v>
      </c>
      <c r="Q5" s="324" t="s">
        <v>907</v>
      </c>
      <c r="R5" s="324" t="s">
        <v>908</v>
      </c>
      <c r="S5" s="356" t="s">
        <v>895</v>
      </c>
      <c r="T5" s="309" t="s">
        <v>916</v>
      </c>
      <c r="U5" s="357" t="e">
        <f>VLOOKUP(D5,'SUIVI JOURNALIER AVRIL'!CK:CM,3,FALSE)</f>
        <v>#N/A</v>
      </c>
      <c r="V5" s="358" t="e">
        <f>IF(VLOOKUP('vs mars'!D5,'point sur les patentes'!B:E,4,FALSE)="","",VLOOKUP(D5,'point sur les patentes'!B:E,4,FALSE)+VLOOKUP(D5,'point sur les patentes'!B:F,5,FALSE)+VLOOKUP('vs mars'!D5,'point sur les patentes'!B:G,6,FALSE)+VLOOKUP('vs mars'!D5,'point sur les patentes'!B:H,7,FALSE)+VLOOKUP('vs mars'!D5,'point sur les patentes'!B:I,8,FALSE)+VLOOKUP(D5,'point sur les patentes'!B:J,9,FALSE)+VLOOKUP(D5,'point sur les patentes'!B:K,10,FALSE)+VLOOKUP(D5,'point sur les patentes'!B:L,11,FALSE)+VLOOKUP(D5,'point sur les patentes'!B:M,12,FALSE)+VLOOKUP(D5,'point sur les patentes'!B:N,13,FALSE)+VLOOKUP(D5,'point sur les patentes'!B:O,14,FALSE)+VLOOKUP(D5,'point sur les patentes'!B:P,15,FALSE)+VLOOKUP(D5,'point sur les patentes'!B:Q,16,FALSE)+VLOOKUP('vs mars'!D5,'point sur les patentes'!B:Z,25,FALSE))</f>
        <v>#N/A</v>
      </c>
      <c r="W5" s="340" t="e">
        <f>VLOOKUP(D5,'SUIVI JOURNALIER AVRIL'!B:J,9,FALSE)</f>
        <v>#N/A</v>
      </c>
      <c r="X5" s="340" t="e">
        <f>VLOOKUP(D5,'SUIVI JOURNALIER AVRIL'!B:P,14,FALSE)+VLOOKUP('vs mars'!D5,'SUIVI JOURNALIER AVRIL'!B:V,20,FALSE)+VLOOKUP('vs mars'!D5,'SUIVI JOURNALIER AVRIL'!B:W,21,FALSE)</f>
        <v>#N/A</v>
      </c>
      <c r="Y5" s="340" t="e">
        <f>VLOOKUP(D5,'SUIVI JOURNALIER AVRIL'!B:CC,80,FALSE)</f>
        <v>#N/A</v>
      </c>
      <c r="Z5" s="340" t="e">
        <f t="shared" si="0"/>
        <v>#N/A</v>
      </c>
      <c r="AA5" s="359" t="e">
        <f>VLOOKUP(D5,'SUIVI JOURNALIER AVRIL'!B:CD,81,FALSE)</f>
        <v>#N/A</v>
      </c>
      <c r="AB5" s="360" t="e">
        <f t="shared" si="1"/>
        <v>#N/A</v>
      </c>
      <c r="AC5" s="360" t="str">
        <f>VLOOKUP(B5,labo!B:D,3,FALSE)</f>
        <v>ug5</v>
      </c>
      <c r="AD5" s="360" t="s">
        <v>2629</v>
      </c>
      <c r="AF5" s="330" t="e">
        <f>VLOOKUP(D5,'SUIVI JOURNALIER AVRIL'!CK:CL,2,FALSE)</f>
        <v>#N/A</v>
      </c>
      <c r="AG5" s="360">
        <v>1</v>
      </c>
    </row>
    <row r="6" spans="1:33" s="360" customFormat="1" ht="13.5" customHeight="1">
      <c r="A6" s="324" t="s">
        <v>1614</v>
      </c>
      <c r="B6" s="325" t="s">
        <v>313</v>
      </c>
      <c r="C6" s="325" t="s">
        <v>417</v>
      </c>
      <c r="D6" s="325" t="s">
        <v>418</v>
      </c>
      <c r="E6" s="324" t="s">
        <v>419</v>
      </c>
      <c r="F6" s="324" t="s">
        <v>2055</v>
      </c>
      <c r="G6" s="324" t="s">
        <v>887</v>
      </c>
      <c r="H6" s="324" t="s">
        <v>910</v>
      </c>
      <c r="I6" s="324" t="s">
        <v>911</v>
      </c>
      <c r="J6" s="324" t="s">
        <v>889</v>
      </c>
      <c r="K6" s="324" t="s">
        <v>890</v>
      </c>
      <c r="L6" s="324" t="s">
        <v>891</v>
      </c>
      <c r="M6" s="324" t="s">
        <v>892</v>
      </c>
      <c r="N6" s="324" t="s">
        <v>912</v>
      </c>
      <c r="O6" s="324" t="s">
        <v>913</v>
      </c>
      <c r="P6" s="324" t="s">
        <v>913</v>
      </c>
      <c r="Q6" s="324" t="s">
        <v>914</v>
      </c>
      <c r="R6" s="324" t="s">
        <v>915</v>
      </c>
      <c r="S6" s="356" t="s">
        <v>895</v>
      </c>
      <c r="T6" s="309" t="s">
        <v>902</v>
      </c>
      <c r="U6" s="357" t="e">
        <f>VLOOKUP(D6,'SUIVI JOURNALIER AVRIL'!CK:CM,3,FALSE)</f>
        <v>#N/A</v>
      </c>
      <c r="V6" s="358" t="e">
        <f>IF(VLOOKUP('vs mars'!D6,'point sur les patentes'!B:E,4,FALSE)="","",VLOOKUP(D6,'point sur les patentes'!B:E,4,FALSE)+VLOOKUP(D6,'point sur les patentes'!B:F,5,FALSE)+VLOOKUP('vs mars'!D6,'point sur les patentes'!B:G,6,FALSE)+VLOOKUP('vs mars'!D6,'point sur les patentes'!B:H,7,FALSE)+VLOOKUP('vs mars'!D6,'point sur les patentes'!B:I,8,FALSE)+VLOOKUP(D6,'point sur les patentes'!B:J,9,FALSE)+VLOOKUP(D6,'point sur les patentes'!B:K,10,FALSE)+VLOOKUP(D6,'point sur les patentes'!B:L,11,FALSE)+VLOOKUP(D6,'point sur les patentes'!B:M,12,FALSE)+VLOOKUP(D6,'point sur les patentes'!B:N,13,FALSE)+VLOOKUP(D6,'point sur les patentes'!B:O,14,FALSE)+VLOOKUP(D6,'point sur les patentes'!B:P,15,FALSE)+VLOOKUP(D6,'point sur les patentes'!B:Q,16,FALSE)+VLOOKUP('vs mars'!D6,'point sur les patentes'!B:Z,25,FALSE))</f>
        <v>#N/A</v>
      </c>
      <c r="W6" s="340" t="e">
        <f>VLOOKUP(D6,'SUIVI JOURNALIER AVRIL'!B:J,9,FALSE)</f>
        <v>#N/A</v>
      </c>
      <c r="X6" s="340" t="e">
        <f>VLOOKUP(D6,'SUIVI JOURNALIER AVRIL'!B:P,14,FALSE)+VLOOKUP('vs mars'!D6,'SUIVI JOURNALIER AVRIL'!B:V,20,FALSE)+VLOOKUP('vs mars'!D6,'SUIVI JOURNALIER AVRIL'!B:W,21,FALSE)</f>
        <v>#N/A</v>
      </c>
      <c r="Y6" s="340" t="e">
        <f>VLOOKUP(D6,'SUIVI JOURNALIER AVRIL'!B:CC,80,FALSE)</f>
        <v>#N/A</v>
      </c>
      <c r="Z6" s="340" t="e">
        <f>W6+X6+Y6</f>
        <v>#N/A</v>
      </c>
      <c r="AA6" s="359" t="e">
        <f>VLOOKUP(D6,'SUIVI JOURNALIER AVRIL'!B:CD,81,FALSE)</f>
        <v>#N/A</v>
      </c>
      <c r="AB6" s="360" t="e">
        <f t="shared" si="1"/>
        <v>#N/A</v>
      </c>
      <c r="AC6" s="360" t="str">
        <f>VLOOKUP(B6,labo!B:D,3,FALSE)</f>
        <v>ug5</v>
      </c>
      <c r="AD6" s="360" t="s">
        <v>2629</v>
      </c>
      <c r="AF6" s="330" t="e">
        <f>VLOOKUP(D6,'SUIVI JOURNALIER AVRIL'!CK:CL,2,FALSE)</f>
        <v>#N/A</v>
      </c>
      <c r="AG6" s="360">
        <v>1</v>
      </c>
    </row>
    <row r="7" spans="1:33" s="360" customFormat="1" ht="13.5" customHeight="1">
      <c r="A7" s="324" t="s">
        <v>1615</v>
      </c>
      <c r="B7" s="325" t="s">
        <v>297</v>
      </c>
      <c r="C7" s="325" t="s">
        <v>420</v>
      </c>
      <c r="D7" s="325" t="s">
        <v>421</v>
      </c>
      <c r="E7" s="324" t="s">
        <v>422</v>
      </c>
      <c r="F7" s="324" t="s">
        <v>2055</v>
      </c>
      <c r="G7" s="324" t="s">
        <v>887</v>
      </c>
      <c r="H7" s="324" t="s">
        <v>917</v>
      </c>
      <c r="I7" s="324" t="s">
        <v>918</v>
      </c>
      <c r="J7" s="324" t="s">
        <v>889</v>
      </c>
      <c r="K7" s="324" t="s">
        <v>890</v>
      </c>
      <c r="L7" s="324" t="s">
        <v>891</v>
      </c>
      <c r="M7" s="324" t="s">
        <v>892</v>
      </c>
      <c r="N7" s="324" t="s">
        <v>893</v>
      </c>
      <c r="O7" s="324" t="s">
        <v>919</v>
      </c>
      <c r="P7" s="324" t="s">
        <v>919</v>
      </c>
      <c r="Q7" s="324" t="s">
        <v>920</v>
      </c>
      <c r="R7" s="324" t="s">
        <v>921</v>
      </c>
      <c r="S7" s="356" t="s">
        <v>895</v>
      </c>
      <c r="T7" s="309" t="s">
        <v>902</v>
      </c>
      <c r="U7" s="357" t="e">
        <f>VLOOKUP(D7,'SUIVI JOURNALIER AVRIL'!CK:CM,3,FALSE)</f>
        <v>#N/A</v>
      </c>
      <c r="V7" s="358" t="e">
        <f>IF(VLOOKUP('vs mars'!D7,'point sur les patentes'!B:E,4,FALSE)="","",VLOOKUP(D7,'point sur les patentes'!B:E,4,FALSE)+VLOOKUP(D7,'point sur les patentes'!B:F,5,FALSE)+VLOOKUP('vs mars'!D7,'point sur les patentes'!B:G,6,FALSE)+VLOOKUP('vs mars'!D7,'point sur les patentes'!B:H,7,FALSE)+VLOOKUP('vs mars'!D7,'point sur les patentes'!B:I,8,FALSE)+VLOOKUP(D7,'point sur les patentes'!B:J,9,FALSE)+VLOOKUP(D7,'point sur les patentes'!B:K,10,FALSE)+VLOOKUP(D7,'point sur les patentes'!B:L,11,FALSE)+VLOOKUP(D7,'point sur les patentes'!B:M,12,FALSE)+VLOOKUP(D7,'point sur les patentes'!B:N,13,FALSE)+VLOOKUP(D7,'point sur les patentes'!B:O,14,FALSE)+VLOOKUP(D7,'point sur les patentes'!B:P,15,FALSE)+VLOOKUP(D7,'point sur les patentes'!B:Q,16,FALSE)+VLOOKUP('vs mars'!D7,'point sur les patentes'!B:Z,25,FALSE))</f>
        <v>#N/A</v>
      </c>
      <c r="W7" s="340" t="e">
        <f>VLOOKUP(D7,'SUIVI JOURNALIER AVRIL'!B:J,9,FALSE)</f>
        <v>#N/A</v>
      </c>
      <c r="X7" s="340" t="e">
        <f>VLOOKUP(D7,'SUIVI JOURNALIER AVRIL'!B:P,14,FALSE)+VLOOKUP('vs mars'!D7,'SUIVI JOURNALIER AVRIL'!B:V,20,FALSE)+VLOOKUP('vs mars'!D7,'SUIVI JOURNALIER AVRIL'!B:W,21,FALSE)</f>
        <v>#N/A</v>
      </c>
      <c r="Y7" s="340" t="e">
        <f>VLOOKUP(D7,'SUIVI JOURNALIER AVRIL'!B:CC,80,FALSE)</f>
        <v>#N/A</v>
      </c>
      <c r="Z7" s="340" t="e">
        <f>W7+X7+Y7</f>
        <v>#N/A</v>
      </c>
      <c r="AA7" s="359" t="e">
        <f>VLOOKUP(D7,'SUIVI JOURNALIER AVRIL'!B:CD,81,FALSE)</f>
        <v>#N/A</v>
      </c>
      <c r="AB7" s="360" t="e">
        <f t="shared" si="1"/>
        <v>#N/A</v>
      </c>
      <c r="AC7" s="360" t="str">
        <f>VLOOKUP(B7,labo!B:D,3,FALSE)</f>
        <v>ug4</v>
      </c>
      <c r="AD7" s="360" t="s">
        <v>2629</v>
      </c>
      <c r="AF7" s="330" t="e">
        <f>VLOOKUP(D7,'SUIVI JOURNALIER AVRIL'!CK:CL,2,FALSE)</f>
        <v>#N/A</v>
      </c>
      <c r="AG7" s="360">
        <v>1</v>
      </c>
    </row>
    <row r="8" spans="1:33" s="360" customFormat="1" ht="13.5" customHeight="1">
      <c r="A8" s="324" t="s">
        <v>1616</v>
      </c>
      <c r="B8" s="325" t="s">
        <v>276</v>
      </c>
      <c r="C8" s="325" t="s">
        <v>423</v>
      </c>
      <c r="D8" s="325" t="s">
        <v>424</v>
      </c>
      <c r="E8" s="324" t="s">
        <v>413</v>
      </c>
      <c r="F8" s="324" t="s">
        <v>2055</v>
      </c>
      <c r="G8" s="324" t="s">
        <v>887</v>
      </c>
      <c r="H8" s="324" t="s">
        <v>897</v>
      </c>
      <c r="I8" s="324" t="s">
        <v>922</v>
      </c>
      <c r="J8" s="324" t="s">
        <v>889</v>
      </c>
      <c r="K8" s="324" t="s">
        <v>890</v>
      </c>
      <c r="L8" s="324" t="s">
        <v>891</v>
      </c>
      <c r="M8" s="324" t="s">
        <v>892</v>
      </c>
      <c r="N8" s="324" t="s">
        <v>893</v>
      </c>
      <c r="O8" s="324" t="s">
        <v>923</v>
      </c>
      <c r="P8" s="324" t="s">
        <v>923</v>
      </c>
      <c r="Q8" s="324" t="s">
        <v>924</v>
      </c>
      <c r="R8" s="324" t="s">
        <v>925</v>
      </c>
      <c r="S8" s="356" t="s">
        <v>895</v>
      </c>
      <c r="T8" s="309" t="s">
        <v>930</v>
      </c>
      <c r="U8" s="357" t="e">
        <f>VLOOKUP(D8,'SUIVI JOURNALIER AVRIL'!CK:CM,3,FALSE)</f>
        <v>#N/A</v>
      </c>
      <c r="V8" s="358" t="e">
        <f>IF(VLOOKUP('vs mars'!D8,'point sur les patentes'!B:E,4,FALSE)="","",VLOOKUP(D8,'point sur les patentes'!B:E,4,FALSE)+VLOOKUP(D8,'point sur les patentes'!B:F,5,FALSE)+VLOOKUP('vs mars'!D8,'point sur les patentes'!B:G,6,FALSE)+VLOOKUP('vs mars'!D8,'point sur les patentes'!B:H,7,FALSE)+VLOOKUP('vs mars'!D8,'point sur les patentes'!B:I,8,FALSE)+VLOOKUP(D8,'point sur les patentes'!B:J,9,FALSE)+VLOOKUP(D8,'point sur les patentes'!B:K,10,FALSE)+VLOOKUP(D8,'point sur les patentes'!B:L,11,FALSE)+VLOOKUP(D8,'point sur les patentes'!B:M,12,FALSE)+VLOOKUP(D8,'point sur les patentes'!B:N,13,FALSE)+VLOOKUP(D8,'point sur les patentes'!B:O,14,FALSE)+VLOOKUP(D8,'point sur les patentes'!B:P,15,FALSE)+VLOOKUP(D8,'point sur les patentes'!B:Q,16,FALSE)+VLOOKUP('vs mars'!D8,'point sur les patentes'!B:Z,25,FALSE))</f>
        <v>#N/A</v>
      </c>
      <c r="W8" s="340" t="e">
        <f>VLOOKUP(D8,'SUIVI JOURNALIER AVRIL'!B:J,9,FALSE)</f>
        <v>#N/A</v>
      </c>
      <c r="X8" s="340" t="e">
        <f>VLOOKUP(D8,'SUIVI JOURNALIER AVRIL'!B:P,14,FALSE)+VLOOKUP('vs mars'!D8,'SUIVI JOURNALIER AVRIL'!B:V,20,FALSE)+VLOOKUP('vs mars'!D8,'SUIVI JOURNALIER AVRIL'!B:W,21,FALSE)</f>
        <v>#N/A</v>
      </c>
      <c r="Y8" s="340" t="e">
        <f>VLOOKUP(D8,'SUIVI JOURNALIER AVRIL'!B:CC,80,FALSE)</f>
        <v>#N/A</v>
      </c>
      <c r="Z8" s="340" t="e">
        <f t="shared" si="0"/>
        <v>#N/A</v>
      </c>
      <c r="AA8" s="359" t="e">
        <f>VLOOKUP(D8,'SUIVI JOURNALIER AVRIL'!B:CD,81,FALSE)</f>
        <v>#N/A</v>
      </c>
      <c r="AB8" s="360" t="e">
        <f t="shared" si="1"/>
        <v>#N/A</v>
      </c>
      <c r="AC8" s="360" t="str">
        <f>VLOOKUP(B8,labo!B:D,3,FALSE)</f>
        <v>ug4</v>
      </c>
      <c r="AD8" s="360" t="s">
        <v>2629</v>
      </c>
      <c r="AF8" s="330" t="e">
        <f>VLOOKUP(D8,'SUIVI JOURNALIER AVRIL'!CK:CL,2,FALSE)</f>
        <v>#N/A</v>
      </c>
      <c r="AG8" s="360">
        <v>1</v>
      </c>
    </row>
    <row r="9" spans="1:33" s="360" customFormat="1" ht="13.5" customHeight="1">
      <c r="A9" s="324" t="s">
        <v>1617</v>
      </c>
      <c r="B9" s="325" t="s">
        <v>387</v>
      </c>
      <c r="C9" s="325" t="s">
        <v>2055</v>
      </c>
      <c r="D9" s="325" t="s">
        <v>425</v>
      </c>
      <c r="E9" s="324" t="s">
        <v>426</v>
      </c>
      <c r="F9" s="324" t="s">
        <v>2055</v>
      </c>
      <c r="G9" s="324" t="s">
        <v>926</v>
      </c>
      <c r="H9" s="324" t="s">
        <v>1442</v>
      </c>
      <c r="I9" s="324" t="s">
        <v>927</v>
      </c>
      <c r="J9" s="324" t="s">
        <v>940</v>
      </c>
      <c r="K9" s="324" t="s">
        <v>890</v>
      </c>
      <c r="L9" s="324" t="s">
        <v>891</v>
      </c>
      <c r="M9" s="324" t="s">
        <v>892</v>
      </c>
      <c r="N9" s="324" t="s">
        <v>893</v>
      </c>
      <c r="O9" s="324" t="s">
        <v>894</v>
      </c>
      <c r="P9" s="324" t="s">
        <v>928</v>
      </c>
      <c r="Q9" s="324" t="s">
        <v>924</v>
      </c>
      <c r="R9" s="324" t="s">
        <v>929</v>
      </c>
      <c r="S9" s="356" t="s">
        <v>895</v>
      </c>
      <c r="T9" s="309" t="s">
        <v>938</v>
      </c>
      <c r="U9" s="357" t="e">
        <f>VLOOKUP(D9,'SUIVI JOURNALIER AVRIL'!CK:CM,3,FALSE)</f>
        <v>#N/A</v>
      </c>
      <c r="V9" s="358" t="e">
        <f>IF(VLOOKUP('vs mars'!D9,'point sur les patentes'!B:E,4,FALSE)="","",VLOOKUP(D9,'point sur les patentes'!B:E,4,FALSE)+VLOOKUP(D9,'point sur les patentes'!B:F,5,FALSE)+VLOOKUP('vs mars'!D9,'point sur les patentes'!B:G,6,FALSE)+VLOOKUP('vs mars'!D9,'point sur les patentes'!B:H,7,FALSE)+VLOOKUP('vs mars'!D9,'point sur les patentes'!B:I,8,FALSE)+VLOOKUP(D9,'point sur les patentes'!B:J,9,FALSE)+VLOOKUP(D9,'point sur les patentes'!B:K,10,FALSE)+VLOOKUP(D9,'point sur les patentes'!B:L,11,FALSE)+VLOOKUP(D9,'point sur les patentes'!B:M,12,FALSE)+VLOOKUP(D9,'point sur les patentes'!B:N,13,FALSE)+VLOOKUP(D9,'point sur les patentes'!B:O,14,FALSE)+VLOOKUP(D9,'point sur les patentes'!B:P,15,FALSE)+VLOOKUP(D9,'point sur les patentes'!B:Q,16,FALSE)+VLOOKUP('vs mars'!D9,'point sur les patentes'!B:Z,25,FALSE))</f>
        <v>#N/A</v>
      </c>
      <c r="W9" s="340" t="e">
        <f>VLOOKUP(D9,'SUIVI JOURNALIER AVRIL'!B:J,9,FALSE)</f>
        <v>#N/A</v>
      </c>
      <c r="X9" s="340" t="e">
        <f>VLOOKUP(D9,'SUIVI JOURNALIER AVRIL'!B:P,14,FALSE)+VLOOKUP('vs mars'!D9,'SUIVI JOURNALIER AVRIL'!B:V,20,FALSE)+VLOOKUP('vs mars'!D9,'SUIVI JOURNALIER AVRIL'!B:W,21,FALSE)</f>
        <v>#N/A</v>
      </c>
      <c r="Y9" s="340" t="e">
        <f>VLOOKUP(D9,'SUIVI JOURNALIER AVRIL'!B:CC,80,FALSE)</f>
        <v>#N/A</v>
      </c>
      <c r="Z9" s="340" t="e">
        <f t="shared" si="0"/>
        <v>#N/A</v>
      </c>
      <c r="AA9" s="359" t="e">
        <f>VLOOKUP(D9,'SUIVI JOURNALIER AVRIL'!B:CD,81,FALSE)</f>
        <v>#N/A</v>
      </c>
      <c r="AB9" s="360" t="e">
        <f t="shared" si="1"/>
        <v>#N/A</v>
      </c>
      <c r="AC9" s="360" t="str">
        <f>VLOOKUP(B9,labo!B:D,3,FALSE)</f>
        <v>ug3</v>
      </c>
      <c r="AD9" s="360" t="s">
        <v>2629</v>
      </c>
      <c r="AF9" s="330" t="e">
        <f>VLOOKUP(D9,'SUIVI JOURNALIER AVRIL'!CK:CL,2,FALSE)</f>
        <v>#N/A</v>
      </c>
      <c r="AG9" s="360">
        <v>1</v>
      </c>
    </row>
    <row r="10" spans="1:33" s="360" customFormat="1" ht="13.5" customHeight="1">
      <c r="A10" s="324" t="s">
        <v>1618</v>
      </c>
      <c r="B10" s="325" t="s">
        <v>390</v>
      </c>
      <c r="C10" s="325" t="s">
        <v>427</v>
      </c>
      <c r="D10" s="325" t="s">
        <v>428</v>
      </c>
      <c r="E10" s="324" t="s">
        <v>429</v>
      </c>
      <c r="F10" s="324" t="s">
        <v>2055</v>
      </c>
      <c r="G10" s="324" t="s">
        <v>931</v>
      </c>
      <c r="H10" s="324" t="s">
        <v>932</v>
      </c>
      <c r="I10" s="324" t="s">
        <v>933</v>
      </c>
      <c r="J10" s="324" t="s">
        <v>934</v>
      </c>
      <c r="K10" s="324" t="s">
        <v>890</v>
      </c>
      <c r="L10" s="324" t="s">
        <v>891</v>
      </c>
      <c r="M10" s="324" t="s">
        <v>892</v>
      </c>
      <c r="N10" s="324" t="s">
        <v>893</v>
      </c>
      <c r="O10" s="324" t="s">
        <v>894</v>
      </c>
      <c r="P10" s="324" t="s">
        <v>935</v>
      </c>
      <c r="Q10" s="324" t="s">
        <v>936</v>
      </c>
      <c r="R10" s="324" t="s">
        <v>937</v>
      </c>
      <c r="S10" s="356" t="s">
        <v>895</v>
      </c>
      <c r="T10" s="309" t="s">
        <v>896</v>
      </c>
      <c r="U10" s="357" t="e">
        <f>VLOOKUP(D10,'SUIVI JOURNALIER AVRIL'!CK:CM,3,FALSE)</f>
        <v>#N/A</v>
      </c>
      <c r="V10" s="358" t="e">
        <f>IF(VLOOKUP('vs mars'!D10,'point sur les patentes'!B:E,4,FALSE)="","",VLOOKUP(D10,'point sur les patentes'!B:E,4,FALSE)+VLOOKUP(D10,'point sur les patentes'!B:F,5,FALSE)+VLOOKUP('vs mars'!D10,'point sur les patentes'!B:G,6,FALSE)+VLOOKUP('vs mars'!D10,'point sur les patentes'!B:H,7,FALSE)+VLOOKUP('vs mars'!D10,'point sur les patentes'!B:I,8,FALSE)+VLOOKUP(D10,'point sur les patentes'!B:J,9,FALSE)+VLOOKUP(D10,'point sur les patentes'!B:K,10,FALSE)+VLOOKUP(D10,'point sur les patentes'!B:L,11,FALSE)+VLOOKUP(D10,'point sur les patentes'!B:M,12,FALSE)+VLOOKUP(D10,'point sur les patentes'!B:N,13,FALSE)+VLOOKUP(D10,'point sur les patentes'!B:O,14,FALSE)+VLOOKUP(D10,'point sur les patentes'!B:P,15,FALSE)+VLOOKUP(D10,'point sur les patentes'!B:Q,16,FALSE)+VLOOKUP('vs mars'!D10,'point sur les patentes'!B:Z,25,FALSE))</f>
        <v>#N/A</v>
      </c>
      <c r="W10" s="340" t="e">
        <f>VLOOKUP(D10,'SUIVI JOURNALIER AVRIL'!B:J,9,FALSE)</f>
        <v>#N/A</v>
      </c>
      <c r="X10" s="340" t="e">
        <f>VLOOKUP(D10,'SUIVI JOURNALIER AVRIL'!B:P,14,FALSE)+VLOOKUP('vs mars'!D10,'SUIVI JOURNALIER AVRIL'!B:V,20,FALSE)+VLOOKUP('vs mars'!D10,'SUIVI JOURNALIER AVRIL'!B:W,21,FALSE)</f>
        <v>#N/A</v>
      </c>
      <c r="Y10" s="340" t="e">
        <f>VLOOKUP(D10,'SUIVI JOURNALIER AVRIL'!B:CC,80,FALSE)</f>
        <v>#N/A</v>
      </c>
      <c r="Z10" s="340" t="e">
        <f t="shared" si="0"/>
        <v>#N/A</v>
      </c>
      <c r="AA10" s="359" t="e">
        <f>VLOOKUP(D10,'SUIVI JOURNALIER AVRIL'!B:CD,81,FALSE)</f>
        <v>#N/A</v>
      </c>
      <c r="AB10" s="360" t="e">
        <f t="shared" si="1"/>
        <v>#N/A</v>
      </c>
      <c r="AC10" s="360" t="str">
        <f>VLOOKUP(B10,labo!B:D,3,FALSE)</f>
        <v>ug5</v>
      </c>
      <c r="AD10" s="360" t="s">
        <v>2629</v>
      </c>
      <c r="AF10" s="330" t="e">
        <f>VLOOKUP(D10,'SUIVI JOURNALIER AVRIL'!CK:CL,2,FALSE)</f>
        <v>#N/A</v>
      </c>
      <c r="AG10" s="360">
        <v>1</v>
      </c>
    </row>
    <row r="11" spans="1:33" s="360" customFormat="1" ht="13.5" customHeight="1">
      <c r="A11" s="324" t="s">
        <v>1619</v>
      </c>
      <c r="B11" s="325" t="s">
        <v>280</v>
      </c>
      <c r="C11" s="325" t="s">
        <v>2055</v>
      </c>
      <c r="D11" s="325" t="s">
        <v>430</v>
      </c>
      <c r="E11" s="324" t="s">
        <v>431</v>
      </c>
      <c r="F11" s="324" t="s">
        <v>2055</v>
      </c>
      <c r="G11" s="324" t="s">
        <v>926</v>
      </c>
      <c r="H11" s="324" t="s">
        <v>939</v>
      </c>
      <c r="I11" s="324" t="s">
        <v>918</v>
      </c>
      <c r="J11" s="324" t="s">
        <v>940</v>
      </c>
      <c r="K11" s="324" t="s">
        <v>890</v>
      </c>
      <c r="L11" s="324" t="s">
        <v>891</v>
      </c>
      <c r="M11" s="324" t="s">
        <v>892</v>
      </c>
      <c r="N11" s="324" t="s">
        <v>893</v>
      </c>
      <c r="O11" s="324" t="s">
        <v>894</v>
      </c>
      <c r="P11" s="324" t="s">
        <v>935</v>
      </c>
      <c r="Q11" s="324" t="s">
        <v>941</v>
      </c>
      <c r="R11" s="324" t="s">
        <v>942</v>
      </c>
      <c r="S11" s="356" t="s">
        <v>895</v>
      </c>
      <c r="T11" s="309" t="s">
        <v>916</v>
      </c>
      <c r="U11" s="357">
        <f>VLOOKUP(D11,'SUIVI JOURNALIER AVRIL'!CK:CM,3,FALSE)</f>
        <v>0</v>
      </c>
      <c r="V11" s="358" t="e">
        <f>IF(VLOOKUP('vs mars'!D11,'point sur les patentes'!B:E,4,FALSE)="","",VLOOKUP(D11,'point sur les patentes'!B:E,4,FALSE)+VLOOKUP(D11,'point sur les patentes'!B:F,5,FALSE)+VLOOKUP('vs mars'!D11,'point sur les patentes'!B:G,6,FALSE)+VLOOKUP('vs mars'!D11,'point sur les patentes'!B:H,7,FALSE)+VLOOKUP('vs mars'!D11,'point sur les patentes'!B:I,8,FALSE)+VLOOKUP(D11,'point sur les patentes'!B:J,9,FALSE)+VLOOKUP(D11,'point sur les patentes'!B:K,10,FALSE)+VLOOKUP(D11,'point sur les patentes'!B:L,11,FALSE)+VLOOKUP(D11,'point sur les patentes'!B:M,12,FALSE)+VLOOKUP(D11,'point sur les patentes'!B:N,13,FALSE)+VLOOKUP(D11,'point sur les patentes'!B:O,14,FALSE)+VLOOKUP(D11,'point sur les patentes'!B:P,15,FALSE)+VLOOKUP(D11,'point sur les patentes'!B:Q,16,FALSE)+VLOOKUP('vs mars'!D11,'point sur les patentes'!B:Z,25,FALSE))</f>
        <v>#N/A</v>
      </c>
      <c r="W11" s="340">
        <f>VLOOKUP(D11,'SUIVI JOURNALIER AVRIL'!B:J,9,FALSE)</f>
        <v>0</v>
      </c>
      <c r="X11" s="340">
        <f>VLOOKUP(D11,'SUIVI JOURNALIER AVRIL'!B:P,14,FALSE)+VLOOKUP('vs mars'!D11,'SUIVI JOURNALIER AVRIL'!B:V,20,FALSE)+VLOOKUP('vs mars'!D11,'SUIVI JOURNALIER AVRIL'!B:W,21,FALSE)</f>
        <v>119140</v>
      </c>
      <c r="Y11" s="340">
        <f>VLOOKUP(D11,'SUIVI JOURNALIER AVRIL'!B:CC,80,FALSE)</f>
        <v>197807</v>
      </c>
      <c r="Z11" s="340">
        <f t="shared" si="0"/>
        <v>316947</v>
      </c>
      <c r="AA11" s="359">
        <f>VLOOKUP(D11,'SUIVI JOURNALIER AVRIL'!B:CD,81,FALSE)</f>
        <v>316947</v>
      </c>
      <c r="AB11" s="360" t="str">
        <f t="shared" si="1"/>
        <v>ok</v>
      </c>
      <c r="AC11" s="360" t="str">
        <f>VLOOKUP(B11,labo!B:D,3,FALSE)</f>
        <v>ug4</v>
      </c>
      <c r="AD11" s="360" t="s">
        <v>2629</v>
      </c>
      <c r="AF11" s="330">
        <f>VLOOKUP(D11,'SUIVI JOURNALIER AVRIL'!CK:CL,2,FALSE)</f>
        <v>0</v>
      </c>
      <c r="AG11" s="360">
        <v>1</v>
      </c>
    </row>
    <row r="12" spans="1:33" s="360" customFormat="1" ht="13.5" customHeight="1">
      <c r="A12" s="324" t="s">
        <v>1620</v>
      </c>
      <c r="B12" s="325" t="s">
        <v>2315</v>
      </c>
      <c r="C12" s="325" t="s">
        <v>2412</v>
      </c>
      <c r="D12" s="325" t="s">
        <v>2413</v>
      </c>
      <c r="E12" s="324" t="s">
        <v>2409</v>
      </c>
      <c r="F12" s="324" t="s">
        <v>2055</v>
      </c>
      <c r="G12" s="324" t="s">
        <v>887</v>
      </c>
      <c r="H12" s="324" t="s">
        <v>2055</v>
      </c>
      <c r="I12" s="324" t="s">
        <v>2414</v>
      </c>
      <c r="J12" s="324" t="s">
        <v>2055</v>
      </c>
      <c r="K12" s="324" t="s">
        <v>2405</v>
      </c>
      <c r="L12" s="324" t="s">
        <v>891</v>
      </c>
      <c r="M12" s="324" t="s">
        <v>892</v>
      </c>
      <c r="N12" s="324" t="s">
        <v>893</v>
      </c>
      <c r="O12" s="324" t="s">
        <v>894</v>
      </c>
      <c r="P12" s="324" t="s">
        <v>919</v>
      </c>
      <c r="Q12" s="324" t="s">
        <v>2415</v>
      </c>
      <c r="R12" s="324" t="s">
        <v>2055</v>
      </c>
      <c r="S12" s="356" t="s">
        <v>895</v>
      </c>
      <c r="T12" s="309" t="s">
        <v>948</v>
      </c>
      <c r="U12" s="357" t="e">
        <f>VLOOKUP(D12,'SUIVI JOURNALIER AVRIL'!CK:CM,3,FALSE)</f>
        <v>#N/A</v>
      </c>
      <c r="V12" s="358" t="e">
        <f>IF(VLOOKUP('vs mars'!D12,'point sur les patentes'!B:E,4,FALSE)="","",VLOOKUP(D12,'point sur les patentes'!B:E,4,FALSE)+VLOOKUP(D12,'point sur les patentes'!B:F,5,FALSE)+VLOOKUP('vs mars'!D12,'point sur les patentes'!B:G,6,FALSE)+VLOOKUP('vs mars'!D12,'point sur les patentes'!B:H,7,FALSE)+VLOOKUP('vs mars'!D12,'point sur les patentes'!B:I,8,FALSE)+VLOOKUP(D12,'point sur les patentes'!B:J,9,FALSE)+VLOOKUP(D12,'point sur les patentes'!B:K,10,FALSE)+VLOOKUP(D12,'point sur les patentes'!B:L,11,FALSE)+VLOOKUP(D12,'point sur les patentes'!B:M,12,FALSE)+VLOOKUP(D12,'point sur les patentes'!B:N,13,FALSE)+VLOOKUP(D12,'point sur les patentes'!B:O,14,FALSE)+VLOOKUP(D12,'point sur les patentes'!B:P,15,FALSE)+VLOOKUP(D12,'point sur les patentes'!B:Q,16,FALSE)+VLOOKUP('vs mars'!D12,'point sur les patentes'!B:Z,25,FALSE))</f>
        <v>#N/A</v>
      </c>
      <c r="W12" s="340" t="e">
        <f>VLOOKUP(D12,'SUIVI JOURNALIER AVRIL'!B:J,9,FALSE)</f>
        <v>#N/A</v>
      </c>
      <c r="X12" s="340" t="e">
        <f>VLOOKUP(D12,'SUIVI JOURNALIER AVRIL'!B:P,14,FALSE)+VLOOKUP('vs mars'!D12,'SUIVI JOURNALIER AVRIL'!B:V,20,FALSE)+VLOOKUP('vs mars'!D12,'SUIVI JOURNALIER AVRIL'!B:W,21,FALSE)</f>
        <v>#N/A</v>
      </c>
      <c r="Y12" s="340" t="e">
        <f>VLOOKUP(D12,'SUIVI JOURNALIER AVRIL'!B:CC,80,FALSE)</f>
        <v>#N/A</v>
      </c>
      <c r="Z12" s="340" t="e">
        <f t="shared" si="0"/>
        <v>#N/A</v>
      </c>
      <c r="AA12" s="359" t="e">
        <f>VLOOKUP(D12,'SUIVI JOURNALIER AVRIL'!B:CD,81,FALSE)</f>
        <v>#N/A</v>
      </c>
      <c r="AB12" s="360" t="e">
        <f t="shared" si="1"/>
        <v>#N/A</v>
      </c>
      <c r="AC12" s="360" t="str">
        <f>VLOOKUP(B12,labo!B:D,3,FALSE)</f>
        <v>ug4</v>
      </c>
      <c r="AD12" s="360" t="s">
        <v>2630</v>
      </c>
      <c r="AF12" s="330" t="e">
        <f>VLOOKUP(D12,'SUIVI JOURNALIER AVRIL'!CK:CL,2,FALSE)</f>
        <v>#N/A</v>
      </c>
      <c r="AG12" s="360">
        <v>1</v>
      </c>
    </row>
    <row r="13" spans="1:33" s="360" customFormat="1" ht="13.5" customHeight="1">
      <c r="A13" s="324" t="s">
        <v>1621</v>
      </c>
      <c r="B13" s="325" t="s">
        <v>273</v>
      </c>
      <c r="C13" s="325" t="s">
        <v>434</v>
      </c>
      <c r="D13" s="325" t="s">
        <v>435</v>
      </c>
      <c r="E13" s="324" t="s">
        <v>436</v>
      </c>
      <c r="F13" s="324" t="s">
        <v>2055</v>
      </c>
      <c r="G13" s="324" t="s">
        <v>887</v>
      </c>
      <c r="H13" s="324" t="s">
        <v>897</v>
      </c>
      <c r="I13" s="324" t="s">
        <v>945</v>
      </c>
      <c r="J13" s="324" t="s">
        <v>889</v>
      </c>
      <c r="K13" s="324" t="s">
        <v>890</v>
      </c>
      <c r="L13" s="324" t="s">
        <v>891</v>
      </c>
      <c r="M13" s="324" t="s">
        <v>892</v>
      </c>
      <c r="N13" s="324" t="s">
        <v>905</v>
      </c>
      <c r="O13" s="324" t="s">
        <v>906</v>
      </c>
      <c r="P13" s="324" t="s">
        <v>906</v>
      </c>
      <c r="Q13" s="324" t="s">
        <v>946</v>
      </c>
      <c r="R13" s="324" t="s">
        <v>947</v>
      </c>
      <c r="S13" s="356" t="s">
        <v>895</v>
      </c>
      <c r="T13" s="309" t="s">
        <v>953</v>
      </c>
      <c r="U13" s="357">
        <f>VLOOKUP(D13,'SUIVI JOURNALIER AVRIL'!CK:CM,3,FALSE)</f>
        <v>0</v>
      </c>
      <c r="V13" s="358" t="e">
        <f>IF(VLOOKUP('vs mars'!D13,'point sur les patentes'!B:E,4,FALSE)="","",VLOOKUP(D13,'point sur les patentes'!B:E,4,FALSE)+VLOOKUP(D13,'point sur les patentes'!B:F,5,FALSE)+VLOOKUP('vs mars'!D13,'point sur les patentes'!B:G,6,FALSE)+VLOOKUP('vs mars'!D13,'point sur les patentes'!B:H,7,FALSE)+VLOOKUP('vs mars'!D13,'point sur les patentes'!B:I,8,FALSE)+VLOOKUP(D13,'point sur les patentes'!B:J,9,FALSE)+VLOOKUP(D13,'point sur les patentes'!B:K,10,FALSE)+VLOOKUP(D13,'point sur les patentes'!B:L,11,FALSE)+VLOOKUP(D13,'point sur les patentes'!B:M,12,FALSE)+VLOOKUP(D13,'point sur les patentes'!B:N,13,FALSE)+VLOOKUP(D13,'point sur les patentes'!B:O,14,FALSE)+VLOOKUP(D13,'point sur les patentes'!B:P,15,FALSE)+VLOOKUP(D13,'point sur les patentes'!B:Q,16,FALSE)+VLOOKUP('vs mars'!D13,'point sur les patentes'!B:Z,25,FALSE))</f>
        <v>#N/A</v>
      </c>
      <c r="W13" s="340">
        <f>VLOOKUP(D13,'SUIVI JOURNALIER AVRIL'!B:J,9,FALSE)</f>
        <v>0</v>
      </c>
      <c r="X13" s="340">
        <f>VLOOKUP(D13,'SUIVI JOURNALIER AVRIL'!B:P,14,FALSE)+VLOOKUP('vs mars'!D13,'SUIVI JOURNALIER AVRIL'!B:V,20,FALSE)+VLOOKUP('vs mars'!D13,'SUIVI JOURNALIER AVRIL'!B:W,21,FALSE)</f>
        <v>102000</v>
      </c>
      <c r="Y13" s="340">
        <f>VLOOKUP(D13,'SUIVI JOURNALIER AVRIL'!B:CC,80,FALSE)</f>
        <v>22727</v>
      </c>
      <c r="Z13" s="340">
        <f t="shared" si="0"/>
        <v>124727</v>
      </c>
      <c r="AA13" s="359">
        <f>VLOOKUP(D13,'SUIVI JOURNALIER AVRIL'!B:CD,81,FALSE)</f>
        <v>124727</v>
      </c>
      <c r="AB13" s="360" t="str">
        <f t="shared" si="1"/>
        <v>ok</v>
      </c>
      <c r="AC13" s="360" t="str">
        <f>VLOOKUP(B13,labo!B:D,3,FALSE)</f>
        <v>ug1</v>
      </c>
      <c r="AD13" s="360" t="s">
        <v>2629</v>
      </c>
      <c r="AF13" s="330">
        <f>VLOOKUP(D13,'SUIVI JOURNALIER AVRIL'!CK:CL,2,FALSE)</f>
        <v>0</v>
      </c>
      <c r="AG13" s="360">
        <v>1</v>
      </c>
    </row>
    <row r="14" spans="1:33" s="360" customFormat="1" ht="13.5" customHeight="1">
      <c r="A14" s="324" t="s">
        <v>1622</v>
      </c>
      <c r="B14" s="325" t="s">
        <v>309</v>
      </c>
      <c r="C14" s="325" t="s">
        <v>437</v>
      </c>
      <c r="D14" s="325" t="s">
        <v>438</v>
      </c>
      <c r="E14" s="324" t="s">
        <v>439</v>
      </c>
      <c r="F14" s="324" t="s">
        <v>2055</v>
      </c>
      <c r="G14" s="324" t="s">
        <v>887</v>
      </c>
      <c r="H14" s="324" t="s">
        <v>949</v>
      </c>
      <c r="I14" s="324" t="s">
        <v>950</v>
      </c>
      <c r="J14" s="324" t="s">
        <v>889</v>
      </c>
      <c r="K14" s="324" t="s">
        <v>890</v>
      </c>
      <c r="L14" s="324" t="s">
        <v>891</v>
      </c>
      <c r="M14" s="324" t="s">
        <v>892</v>
      </c>
      <c r="N14" s="324" t="s">
        <v>893</v>
      </c>
      <c r="O14" s="324" t="s">
        <v>919</v>
      </c>
      <c r="P14" s="324" t="s">
        <v>919</v>
      </c>
      <c r="Q14" s="324" t="s">
        <v>951</v>
      </c>
      <c r="R14" s="324" t="s">
        <v>952</v>
      </c>
      <c r="S14" s="356" t="s">
        <v>895</v>
      </c>
      <c r="T14" s="309" t="s">
        <v>1445</v>
      </c>
      <c r="U14" s="357" t="e">
        <f>VLOOKUP(D14,'SUIVI JOURNALIER AVRIL'!CK:CM,3,FALSE)</f>
        <v>#N/A</v>
      </c>
      <c r="V14" s="358" t="e">
        <f>IF(VLOOKUP('vs mars'!D14,'point sur les patentes'!B:E,4,FALSE)="","",VLOOKUP(D14,'point sur les patentes'!B:E,4,FALSE)+VLOOKUP(D14,'point sur les patentes'!B:F,5,FALSE)+VLOOKUP('vs mars'!D14,'point sur les patentes'!B:G,6,FALSE)+VLOOKUP('vs mars'!D14,'point sur les patentes'!B:H,7,FALSE)+VLOOKUP('vs mars'!D14,'point sur les patentes'!B:I,8,FALSE)+VLOOKUP(D14,'point sur les patentes'!B:J,9,FALSE)+VLOOKUP(D14,'point sur les patentes'!B:K,10,FALSE)+VLOOKUP(D14,'point sur les patentes'!B:L,11,FALSE)+VLOOKUP(D14,'point sur les patentes'!B:M,12,FALSE)+VLOOKUP(D14,'point sur les patentes'!B:N,13,FALSE)+VLOOKUP(D14,'point sur les patentes'!B:O,14,FALSE)+VLOOKUP(D14,'point sur les patentes'!B:P,15,FALSE)+VLOOKUP(D14,'point sur les patentes'!B:Q,16,FALSE)+VLOOKUP('vs mars'!D14,'point sur les patentes'!B:Z,25,FALSE))</f>
        <v>#N/A</v>
      </c>
      <c r="W14" s="340" t="e">
        <f>VLOOKUP(D14,'SUIVI JOURNALIER AVRIL'!B:J,9,FALSE)</f>
        <v>#N/A</v>
      </c>
      <c r="X14" s="340" t="e">
        <f>VLOOKUP(D14,'SUIVI JOURNALIER AVRIL'!B:P,14,FALSE)+VLOOKUP('vs mars'!D14,'SUIVI JOURNALIER AVRIL'!B:V,20,FALSE)+VLOOKUP('vs mars'!D14,'SUIVI JOURNALIER AVRIL'!B:W,21,FALSE)</f>
        <v>#N/A</v>
      </c>
      <c r="Y14" s="340" t="e">
        <f>VLOOKUP(D14,'SUIVI JOURNALIER AVRIL'!B:CC,80,FALSE)</f>
        <v>#N/A</v>
      </c>
      <c r="Z14" s="340" t="e">
        <f t="shared" si="0"/>
        <v>#N/A</v>
      </c>
      <c r="AA14" s="359" t="e">
        <f>VLOOKUP(D14,'SUIVI JOURNALIER AVRIL'!B:CD,81,FALSE)</f>
        <v>#N/A</v>
      </c>
      <c r="AB14" s="360" t="e">
        <f t="shared" si="1"/>
        <v>#N/A</v>
      </c>
      <c r="AC14" s="360" t="str">
        <f>VLOOKUP(B14,labo!B:D,3,FALSE)</f>
        <v>ug5</v>
      </c>
      <c r="AD14" s="360" t="s">
        <v>2629</v>
      </c>
      <c r="AF14" s="330" t="e">
        <f>VLOOKUP(D14,'SUIVI JOURNALIER AVRIL'!CK:CL,2,FALSE)</f>
        <v>#N/A</v>
      </c>
      <c r="AG14" s="360">
        <v>1</v>
      </c>
    </row>
    <row r="15" spans="1:33" s="360" customFormat="1" ht="13.5" customHeight="1">
      <c r="A15" s="324" t="s">
        <v>1623</v>
      </c>
      <c r="B15" s="325" t="s">
        <v>2316</v>
      </c>
      <c r="C15" s="325" t="s">
        <v>2416</v>
      </c>
      <c r="D15" s="325" t="s">
        <v>2417</v>
      </c>
      <c r="E15" s="324" t="s">
        <v>432</v>
      </c>
      <c r="F15" s="324" t="s">
        <v>2055</v>
      </c>
      <c r="G15" s="324" t="s">
        <v>887</v>
      </c>
      <c r="H15" s="324" t="s">
        <v>2055</v>
      </c>
      <c r="I15" s="324" t="s">
        <v>2055</v>
      </c>
      <c r="J15" s="324" t="s">
        <v>2055</v>
      </c>
      <c r="K15" s="324" t="s">
        <v>2405</v>
      </c>
      <c r="L15" s="324" t="s">
        <v>891</v>
      </c>
      <c r="M15" s="324" t="s">
        <v>892</v>
      </c>
      <c r="N15" s="324" t="s">
        <v>893</v>
      </c>
      <c r="O15" s="324" t="s">
        <v>894</v>
      </c>
      <c r="P15" s="324" t="s">
        <v>919</v>
      </c>
      <c r="Q15" s="324" t="s">
        <v>2055</v>
      </c>
      <c r="R15" s="324" t="s">
        <v>2055</v>
      </c>
      <c r="S15" s="356" t="s">
        <v>895</v>
      </c>
      <c r="T15" s="309" t="s">
        <v>957</v>
      </c>
      <c r="U15" s="357" t="e">
        <f>VLOOKUP(D15,'SUIVI JOURNALIER AVRIL'!CK:CM,3,FALSE)</f>
        <v>#N/A</v>
      </c>
      <c r="V15" s="358" t="e">
        <f>IF(VLOOKUP('vs mars'!D15,'point sur les patentes'!B:E,4,FALSE)="","",VLOOKUP(D15,'point sur les patentes'!B:E,4,FALSE)+VLOOKUP(D15,'point sur les patentes'!B:F,5,FALSE)+VLOOKUP('vs mars'!D15,'point sur les patentes'!B:G,6,FALSE)+VLOOKUP('vs mars'!D15,'point sur les patentes'!B:H,7,FALSE)+VLOOKUP('vs mars'!D15,'point sur les patentes'!B:I,8,FALSE)+VLOOKUP(D15,'point sur les patentes'!B:J,9,FALSE)+VLOOKUP(D15,'point sur les patentes'!B:K,10,FALSE)+VLOOKUP(D15,'point sur les patentes'!B:L,11,FALSE)+VLOOKUP(D15,'point sur les patentes'!B:M,12,FALSE)+VLOOKUP(D15,'point sur les patentes'!B:N,13,FALSE)+VLOOKUP(D15,'point sur les patentes'!B:O,14,FALSE)+VLOOKUP(D15,'point sur les patentes'!B:P,15,FALSE)+VLOOKUP(D15,'point sur les patentes'!B:Q,16,FALSE)+VLOOKUP('vs mars'!D15,'point sur les patentes'!B:Z,25,FALSE))</f>
        <v>#N/A</v>
      </c>
      <c r="W15" s="340" t="e">
        <f>VLOOKUP(D15,'SUIVI JOURNALIER AVRIL'!B:J,9,FALSE)</f>
        <v>#N/A</v>
      </c>
      <c r="X15" s="340" t="e">
        <f>VLOOKUP(D15,'SUIVI JOURNALIER AVRIL'!B:P,14,FALSE)+VLOOKUP('vs mars'!D15,'SUIVI JOURNALIER AVRIL'!B:V,20,FALSE)+VLOOKUP('vs mars'!D15,'SUIVI JOURNALIER AVRIL'!B:W,21,FALSE)</f>
        <v>#N/A</v>
      </c>
      <c r="Y15" s="340" t="e">
        <f>VLOOKUP(D15,'SUIVI JOURNALIER AVRIL'!B:CC,80,FALSE)</f>
        <v>#N/A</v>
      </c>
      <c r="Z15" s="340" t="e">
        <f t="shared" si="0"/>
        <v>#N/A</v>
      </c>
      <c r="AA15" s="359" t="e">
        <f>VLOOKUP(D15,'SUIVI JOURNALIER AVRIL'!B:CD,81,FALSE)</f>
        <v>#N/A</v>
      </c>
      <c r="AB15" s="360" t="e">
        <f t="shared" si="1"/>
        <v>#N/A</v>
      </c>
      <c r="AC15" s="360" t="str">
        <f>VLOOKUP(B15,labo!B:D,3,FALSE)</f>
        <v>ug2</v>
      </c>
      <c r="AD15" s="360" t="s">
        <v>2630</v>
      </c>
      <c r="AF15" s="330" t="e">
        <f>VLOOKUP(D15,'SUIVI JOURNALIER AVRIL'!CK:CL,2,FALSE)</f>
        <v>#N/A</v>
      </c>
      <c r="AG15" s="360">
        <v>1</v>
      </c>
    </row>
    <row r="16" spans="1:33" s="360" customFormat="1" ht="13.5" customHeight="1">
      <c r="A16" s="324" t="s">
        <v>1624</v>
      </c>
      <c r="B16" s="325" t="s">
        <v>440</v>
      </c>
      <c r="C16" s="325" t="s">
        <v>441</v>
      </c>
      <c r="D16" s="325" t="s">
        <v>442</v>
      </c>
      <c r="E16" s="324" t="s">
        <v>443</v>
      </c>
      <c r="F16" s="324" t="s">
        <v>2055</v>
      </c>
      <c r="G16" s="324" t="s">
        <v>887</v>
      </c>
      <c r="H16" s="324" t="s">
        <v>1443</v>
      </c>
      <c r="I16" s="324" t="s">
        <v>1444</v>
      </c>
      <c r="J16" s="324" t="s">
        <v>889</v>
      </c>
      <c r="K16" s="324" t="s">
        <v>890</v>
      </c>
      <c r="L16" s="324" t="s">
        <v>891</v>
      </c>
      <c r="M16" s="324" t="s">
        <v>892</v>
      </c>
      <c r="N16" s="324" t="s">
        <v>893</v>
      </c>
      <c r="O16" s="324" t="s">
        <v>894</v>
      </c>
      <c r="P16" s="324" t="s">
        <v>935</v>
      </c>
      <c r="Q16" s="324" t="s">
        <v>924</v>
      </c>
      <c r="R16" s="324" t="s">
        <v>924</v>
      </c>
      <c r="S16" s="356" t="s">
        <v>895</v>
      </c>
      <c r="T16" s="309" t="s">
        <v>1337</v>
      </c>
      <c r="U16" s="357" t="e">
        <f>VLOOKUP(D16,'SUIVI JOURNALIER AVRIL'!CK:CM,3,FALSE)</f>
        <v>#N/A</v>
      </c>
      <c r="V16" s="358" t="e">
        <f>IF(VLOOKUP('vs mars'!D16,'point sur les patentes'!B:E,4,FALSE)="","",VLOOKUP(D16,'point sur les patentes'!B:E,4,FALSE)+VLOOKUP(D16,'point sur les patentes'!B:F,5,FALSE)+VLOOKUP('vs mars'!D16,'point sur les patentes'!B:G,6,FALSE)+VLOOKUP('vs mars'!D16,'point sur les patentes'!B:H,7,FALSE)+VLOOKUP('vs mars'!D16,'point sur les patentes'!B:I,8,FALSE)+VLOOKUP(D16,'point sur les patentes'!B:J,9,FALSE)+VLOOKUP(D16,'point sur les patentes'!B:K,10,FALSE)+VLOOKUP(D16,'point sur les patentes'!B:L,11,FALSE)+VLOOKUP(D16,'point sur les patentes'!B:M,12,FALSE)+VLOOKUP(D16,'point sur les patentes'!B:N,13,FALSE)+VLOOKUP(D16,'point sur les patentes'!B:O,14,FALSE)+VLOOKUP(D16,'point sur les patentes'!B:P,15,FALSE)+VLOOKUP(D16,'point sur les patentes'!B:Q,16,FALSE)+VLOOKUP('vs mars'!D16,'point sur les patentes'!B:Z,25,FALSE))</f>
        <v>#N/A</v>
      </c>
      <c r="W16" s="340" t="e">
        <f>VLOOKUP(D16,'SUIVI JOURNALIER AVRIL'!B:J,9,FALSE)</f>
        <v>#N/A</v>
      </c>
      <c r="X16" s="340" t="e">
        <f>VLOOKUP(D16,'SUIVI JOURNALIER AVRIL'!B:P,14,FALSE)+VLOOKUP('vs mars'!D16,'SUIVI JOURNALIER AVRIL'!B:V,20,FALSE)+VLOOKUP('vs mars'!D16,'SUIVI JOURNALIER AVRIL'!B:W,21,FALSE)</f>
        <v>#N/A</v>
      </c>
      <c r="Y16" s="340" t="e">
        <f>VLOOKUP(D16,'SUIVI JOURNALIER AVRIL'!B:CC,80,FALSE)</f>
        <v>#N/A</v>
      </c>
      <c r="Z16" s="340" t="e">
        <f t="shared" si="0"/>
        <v>#N/A</v>
      </c>
      <c r="AA16" s="359" t="e">
        <f>VLOOKUP(D16,'SUIVI JOURNALIER AVRIL'!B:CD,81,FALSE)</f>
        <v>#N/A</v>
      </c>
      <c r="AB16" s="360" t="e">
        <f t="shared" si="1"/>
        <v>#N/A</v>
      </c>
      <c r="AC16" s="360" t="str">
        <f>VLOOKUP(B16,labo!B:D,3,FALSE)</f>
        <v>ug3</v>
      </c>
      <c r="AD16" s="360" t="s">
        <v>2629</v>
      </c>
      <c r="AF16" s="330" t="e">
        <f>VLOOKUP(D16,'SUIVI JOURNALIER AVRIL'!CK:CL,2,FALSE)</f>
        <v>#N/A</v>
      </c>
      <c r="AG16" s="360">
        <v>1</v>
      </c>
    </row>
    <row r="17" spans="1:33" s="360" customFormat="1" ht="13.5" customHeight="1">
      <c r="A17" s="324" t="s">
        <v>1458</v>
      </c>
      <c r="B17" s="325" t="s">
        <v>2317</v>
      </c>
      <c r="C17" s="325" t="s">
        <v>2055</v>
      </c>
      <c r="D17" s="325" t="s">
        <v>2418</v>
      </c>
      <c r="E17" s="324" t="s">
        <v>446</v>
      </c>
      <c r="F17" s="324" t="s">
        <v>2055</v>
      </c>
      <c r="G17" s="324" t="s">
        <v>887</v>
      </c>
      <c r="H17" s="324" t="s">
        <v>2055</v>
      </c>
      <c r="I17" s="324" t="s">
        <v>2055</v>
      </c>
      <c r="J17" s="324" t="s">
        <v>2055</v>
      </c>
      <c r="K17" s="324" t="s">
        <v>2405</v>
      </c>
      <c r="L17" s="324" t="s">
        <v>891</v>
      </c>
      <c r="M17" s="324" t="s">
        <v>892</v>
      </c>
      <c r="N17" s="324" t="s">
        <v>893</v>
      </c>
      <c r="O17" s="324" t="s">
        <v>894</v>
      </c>
      <c r="P17" s="324" t="s">
        <v>919</v>
      </c>
      <c r="Q17" s="324" t="s">
        <v>2055</v>
      </c>
      <c r="R17" s="324" t="s">
        <v>2055</v>
      </c>
      <c r="S17" s="356" t="s">
        <v>895</v>
      </c>
      <c r="T17" s="309"/>
      <c r="U17" s="357" t="e">
        <f>VLOOKUP(D17,'SUIVI JOURNALIER AVRIL'!CK:CM,3,FALSE)</f>
        <v>#N/A</v>
      </c>
      <c r="V17" s="358" t="e">
        <f>IF(VLOOKUP('vs mars'!D17,'point sur les patentes'!B:E,4,FALSE)="","",VLOOKUP(D17,'point sur les patentes'!B:E,4,FALSE)+VLOOKUP(D17,'point sur les patentes'!B:F,5,FALSE)+VLOOKUP('vs mars'!D17,'point sur les patentes'!B:G,6,FALSE)+VLOOKUP('vs mars'!D17,'point sur les patentes'!B:H,7,FALSE)+VLOOKUP('vs mars'!D17,'point sur les patentes'!B:I,8,FALSE)+VLOOKUP(D17,'point sur les patentes'!B:J,9,FALSE)+VLOOKUP(D17,'point sur les patentes'!B:K,10,FALSE)+VLOOKUP(D17,'point sur les patentes'!B:L,11,FALSE)+VLOOKUP(D17,'point sur les patentes'!B:M,12,FALSE)+VLOOKUP(D17,'point sur les patentes'!B:N,13,FALSE)+VLOOKUP(D17,'point sur les patentes'!B:O,14,FALSE)+VLOOKUP(D17,'point sur les patentes'!B:P,15,FALSE)+VLOOKUP(D17,'point sur les patentes'!B:Q,16,FALSE)+VLOOKUP('vs mars'!D17,'point sur les patentes'!B:Z,25,FALSE))</f>
        <v>#N/A</v>
      </c>
      <c r="W17" s="340" t="e">
        <f>VLOOKUP(D17,'SUIVI JOURNALIER AVRIL'!B:J,9,FALSE)</f>
        <v>#N/A</v>
      </c>
      <c r="X17" s="340" t="e">
        <f>VLOOKUP(D17,'SUIVI JOURNALIER AVRIL'!B:P,14,FALSE)+VLOOKUP('vs mars'!D17,'SUIVI JOURNALIER AVRIL'!B:V,20,FALSE)+VLOOKUP('vs mars'!D17,'SUIVI JOURNALIER AVRIL'!B:W,21,FALSE)</f>
        <v>#N/A</v>
      </c>
      <c r="Y17" s="340" t="e">
        <f>VLOOKUP(D17,'SUIVI JOURNALIER AVRIL'!B:CC,80,FALSE)</f>
        <v>#N/A</v>
      </c>
      <c r="Z17" s="340" t="e">
        <f t="shared" si="0"/>
        <v>#N/A</v>
      </c>
      <c r="AA17" s="359" t="e">
        <f>VLOOKUP(D17,'SUIVI JOURNALIER AVRIL'!B:CD,81,FALSE)</f>
        <v>#N/A</v>
      </c>
      <c r="AB17" s="360" t="e">
        <f t="shared" si="1"/>
        <v>#N/A</v>
      </c>
      <c r="AC17" s="360" t="str">
        <f>VLOOKUP(B17,labo!B:D,3,FALSE)</f>
        <v>ug5</v>
      </c>
      <c r="AD17" s="360" t="s">
        <v>2630</v>
      </c>
      <c r="AF17" s="330" t="e">
        <f>VLOOKUP(D17,'SUIVI JOURNALIER AVRIL'!CK:CL,2,FALSE)</f>
        <v>#N/A</v>
      </c>
      <c r="AG17" s="360">
        <v>1</v>
      </c>
    </row>
    <row r="18" spans="1:33" s="360" customFormat="1" ht="13.5" customHeight="1">
      <c r="A18" s="324" t="s">
        <v>1630</v>
      </c>
      <c r="B18" s="325" t="s">
        <v>444</v>
      </c>
      <c r="C18" s="325" t="s">
        <v>2055</v>
      </c>
      <c r="D18" s="325" t="s">
        <v>445</v>
      </c>
      <c r="E18" s="324" t="s">
        <v>446</v>
      </c>
      <c r="F18" s="324" t="s">
        <v>2055</v>
      </c>
      <c r="G18" s="324" t="s">
        <v>887</v>
      </c>
      <c r="H18" s="324" t="s">
        <v>897</v>
      </c>
      <c r="I18" s="324" t="s">
        <v>1625</v>
      </c>
      <c r="J18" s="324" t="s">
        <v>889</v>
      </c>
      <c r="K18" s="324" t="s">
        <v>890</v>
      </c>
      <c r="L18" s="324" t="s">
        <v>891</v>
      </c>
      <c r="M18" s="324" t="s">
        <v>892</v>
      </c>
      <c r="N18" s="324" t="s">
        <v>954</v>
      </c>
      <c r="O18" s="324" t="s">
        <v>955</v>
      </c>
      <c r="P18" s="324" t="s">
        <v>955</v>
      </c>
      <c r="Q18" s="324" t="s">
        <v>956</v>
      </c>
      <c r="R18" s="324" t="s">
        <v>956</v>
      </c>
      <c r="S18" s="356" t="s">
        <v>895</v>
      </c>
      <c r="T18" s="309" t="s">
        <v>999</v>
      </c>
      <c r="U18" s="357" t="e">
        <f>VLOOKUP(D18,'SUIVI JOURNALIER AVRIL'!CK:CM,3,FALSE)</f>
        <v>#N/A</v>
      </c>
      <c r="V18" s="358" t="e">
        <f>IF(VLOOKUP('vs mars'!D18,'point sur les patentes'!B:E,4,FALSE)="","",VLOOKUP(D18,'point sur les patentes'!B:E,4,FALSE)+VLOOKUP(D18,'point sur les patentes'!B:F,5,FALSE)+VLOOKUP('vs mars'!D18,'point sur les patentes'!B:G,6,FALSE)+VLOOKUP('vs mars'!D18,'point sur les patentes'!B:H,7,FALSE)+VLOOKUP('vs mars'!D18,'point sur les patentes'!B:I,8,FALSE)+VLOOKUP(D18,'point sur les patentes'!B:J,9,FALSE)+VLOOKUP(D18,'point sur les patentes'!B:K,10,FALSE)+VLOOKUP(D18,'point sur les patentes'!B:L,11,FALSE)+VLOOKUP(D18,'point sur les patentes'!B:M,12,FALSE)+VLOOKUP(D18,'point sur les patentes'!B:N,13,FALSE)+VLOOKUP(D18,'point sur les patentes'!B:O,14,FALSE)+VLOOKUP(D18,'point sur les patentes'!B:P,15,FALSE)+VLOOKUP(D18,'point sur les patentes'!B:Q,16,FALSE)+VLOOKUP('vs mars'!D18,'point sur les patentes'!B:Z,25,FALSE))</f>
        <v>#N/A</v>
      </c>
      <c r="W18" s="340" t="e">
        <f>VLOOKUP(D18,'SUIVI JOURNALIER AVRIL'!B:J,9,FALSE)</f>
        <v>#N/A</v>
      </c>
      <c r="X18" s="340" t="e">
        <f>VLOOKUP(D18,'SUIVI JOURNALIER AVRIL'!B:P,14,FALSE)+VLOOKUP('vs mars'!D18,'SUIVI JOURNALIER AVRIL'!B:V,20,FALSE)+VLOOKUP('vs mars'!D18,'SUIVI JOURNALIER AVRIL'!B:W,21,FALSE)</f>
        <v>#N/A</v>
      </c>
      <c r="Y18" s="340" t="e">
        <f>VLOOKUP(D18,'SUIVI JOURNALIER AVRIL'!B:CC,80,FALSE)</f>
        <v>#N/A</v>
      </c>
      <c r="Z18" s="340" t="e">
        <f t="shared" si="0"/>
        <v>#N/A</v>
      </c>
      <c r="AA18" s="359" t="e">
        <f>VLOOKUP(D18,'SUIVI JOURNALIER AVRIL'!B:CD,81,FALSE)</f>
        <v>#N/A</v>
      </c>
      <c r="AB18" s="360" t="e">
        <f t="shared" si="1"/>
        <v>#N/A</v>
      </c>
      <c r="AC18" s="360" t="str">
        <f>VLOOKUP(B18,labo!B:D,3,FALSE)</f>
        <v>ug5</v>
      </c>
      <c r="AD18" s="360" t="s">
        <v>2629</v>
      </c>
      <c r="AF18" s="330" t="e">
        <f>VLOOKUP(D18,'SUIVI JOURNALIER AVRIL'!CK:CL,2,FALSE)</f>
        <v>#N/A</v>
      </c>
      <c r="AG18" s="360">
        <v>1</v>
      </c>
    </row>
    <row r="19" spans="1:33" s="360" customFormat="1" ht="13.5" customHeight="1">
      <c r="A19" s="324" t="s">
        <v>910</v>
      </c>
      <c r="B19" s="325" t="s">
        <v>1626</v>
      </c>
      <c r="C19" s="325" t="s">
        <v>1627</v>
      </c>
      <c r="D19" s="325" t="s">
        <v>1628</v>
      </c>
      <c r="E19" s="324" t="s">
        <v>733</v>
      </c>
      <c r="F19" s="324" t="s">
        <v>2055</v>
      </c>
      <c r="G19" s="324" t="s">
        <v>887</v>
      </c>
      <c r="H19" s="324" t="s">
        <v>897</v>
      </c>
      <c r="I19" s="324" t="s">
        <v>1629</v>
      </c>
      <c r="J19" s="324" t="s">
        <v>889</v>
      </c>
      <c r="K19" s="324" t="s">
        <v>890</v>
      </c>
      <c r="L19" s="324" t="s">
        <v>891</v>
      </c>
      <c r="M19" s="324" t="s">
        <v>892</v>
      </c>
      <c r="N19" s="324" t="s">
        <v>893</v>
      </c>
      <c r="O19" s="324" t="s">
        <v>906</v>
      </c>
      <c r="P19" s="324" t="s">
        <v>906</v>
      </c>
      <c r="Q19" s="324" t="s">
        <v>1569</v>
      </c>
      <c r="R19" s="324" t="s">
        <v>1569</v>
      </c>
      <c r="S19" s="356" t="s">
        <v>895</v>
      </c>
      <c r="T19" s="309" t="s">
        <v>965</v>
      </c>
      <c r="U19" s="357" t="e">
        <f>VLOOKUP(D19,'SUIVI JOURNALIER AVRIL'!CK:CM,3,FALSE)</f>
        <v>#N/A</v>
      </c>
      <c r="V19" s="358" t="e">
        <f>IF(VLOOKUP('vs mars'!D19,'point sur les patentes'!B:E,4,FALSE)="","",VLOOKUP(D19,'point sur les patentes'!B:E,4,FALSE)+VLOOKUP(D19,'point sur les patentes'!B:F,5,FALSE)+VLOOKUP('vs mars'!D19,'point sur les patentes'!B:G,6,FALSE)+VLOOKUP('vs mars'!D19,'point sur les patentes'!B:H,7,FALSE)+VLOOKUP('vs mars'!D19,'point sur les patentes'!B:I,8,FALSE)+VLOOKUP(D19,'point sur les patentes'!B:J,9,FALSE)+VLOOKUP(D19,'point sur les patentes'!B:K,10,FALSE)+VLOOKUP(D19,'point sur les patentes'!B:L,11,FALSE)+VLOOKUP(D19,'point sur les patentes'!B:M,12,FALSE)+VLOOKUP(D19,'point sur les patentes'!B:N,13,FALSE)+VLOOKUP(D19,'point sur les patentes'!B:O,14,FALSE)+VLOOKUP(D19,'point sur les patentes'!B:P,15,FALSE)+VLOOKUP(D19,'point sur les patentes'!B:Q,16,FALSE)+VLOOKUP('vs mars'!D19,'point sur les patentes'!B:Z,25,FALSE))</f>
        <v>#N/A</v>
      </c>
      <c r="W19" s="340" t="e">
        <f>VLOOKUP(D19,'SUIVI JOURNALIER AVRIL'!B:J,9,FALSE)</f>
        <v>#N/A</v>
      </c>
      <c r="X19" s="340" t="e">
        <f>VLOOKUP(D19,'SUIVI JOURNALIER AVRIL'!B:P,14,FALSE)+VLOOKUP('vs mars'!D19,'SUIVI JOURNALIER AVRIL'!B:V,20,FALSE)+VLOOKUP('vs mars'!D19,'SUIVI JOURNALIER AVRIL'!B:W,21,FALSE)</f>
        <v>#N/A</v>
      </c>
      <c r="Y19" s="340" t="e">
        <f>VLOOKUP(D19,'SUIVI JOURNALIER AVRIL'!B:CC,80,FALSE)</f>
        <v>#N/A</v>
      </c>
      <c r="Z19" s="340" t="e">
        <f t="shared" si="0"/>
        <v>#N/A</v>
      </c>
      <c r="AA19" s="359" t="e">
        <f>VLOOKUP(D19,'SUIVI JOURNALIER AVRIL'!B:CD,81,FALSE)</f>
        <v>#N/A</v>
      </c>
      <c r="AB19" s="360" t="e">
        <f t="shared" si="1"/>
        <v>#N/A</v>
      </c>
      <c r="AC19" s="360" t="str">
        <f>VLOOKUP(B19,labo!B:D,3,FALSE)</f>
        <v>ug4</v>
      </c>
      <c r="AD19" s="360" t="s">
        <v>2629</v>
      </c>
      <c r="AF19" s="330" t="e">
        <f>VLOOKUP(D19,'SUIVI JOURNALIER AVRIL'!CK:CL,2,FALSE)</f>
        <v>#N/A</v>
      </c>
      <c r="AG19" s="360">
        <v>1</v>
      </c>
    </row>
    <row r="20" spans="1:33" s="360" customFormat="1" ht="13.5" customHeight="1">
      <c r="A20" s="324" t="s">
        <v>1631</v>
      </c>
      <c r="B20" s="325" t="s">
        <v>2318</v>
      </c>
      <c r="C20" s="325" t="s">
        <v>2419</v>
      </c>
      <c r="D20" s="325" t="s">
        <v>2279</v>
      </c>
      <c r="E20" s="324" t="s">
        <v>2273</v>
      </c>
      <c r="F20" s="324" t="s">
        <v>2055</v>
      </c>
      <c r="G20" s="324" t="s">
        <v>887</v>
      </c>
      <c r="H20" s="324" t="s">
        <v>2055</v>
      </c>
      <c r="I20" s="324" t="s">
        <v>2055</v>
      </c>
      <c r="J20" s="324" t="s">
        <v>2055</v>
      </c>
      <c r="K20" s="324" t="s">
        <v>2405</v>
      </c>
      <c r="L20" s="324" t="s">
        <v>891</v>
      </c>
      <c r="M20" s="324" t="s">
        <v>892</v>
      </c>
      <c r="N20" s="324" t="s">
        <v>893</v>
      </c>
      <c r="O20" s="324" t="s">
        <v>894</v>
      </c>
      <c r="P20" s="324" t="s">
        <v>919</v>
      </c>
      <c r="Q20" s="324" t="s">
        <v>2055</v>
      </c>
      <c r="R20" s="324" t="s">
        <v>2055</v>
      </c>
      <c r="S20" s="356" t="s">
        <v>895</v>
      </c>
      <c r="T20" s="309" t="s">
        <v>909</v>
      </c>
      <c r="U20" s="357" t="e">
        <f>VLOOKUP(D20,'SUIVI JOURNALIER AVRIL'!CK:CM,3,FALSE)</f>
        <v>#N/A</v>
      </c>
      <c r="V20" s="358" t="e">
        <f>IF(VLOOKUP('vs mars'!D20,'point sur les patentes'!B:E,4,FALSE)="","",VLOOKUP(D20,'point sur les patentes'!B:E,4,FALSE)+VLOOKUP(D20,'point sur les patentes'!B:F,5,FALSE)+VLOOKUP('vs mars'!D20,'point sur les patentes'!B:G,6,FALSE)+VLOOKUP('vs mars'!D20,'point sur les patentes'!B:H,7,FALSE)+VLOOKUP('vs mars'!D20,'point sur les patentes'!B:I,8,FALSE)+VLOOKUP(D20,'point sur les patentes'!B:J,9,FALSE)+VLOOKUP(D20,'point sur les patentes'!B:K,10,FALSE)+VLOOKUP(D20,'point sur les patentes'!B:L,11,FALSE)+VLOOKUP(D20,'point sur les patentes'!B:M,12,FALSE)+VLOOKUP(D20,'point sur les patentes'!B:N,13,FALSE)+VLOOKUP(D20,'point sur les patentes'!B:O,14,FALSE)+VLOOKUP(D20,'point sur les patentes'!B:P,15,FALSE)+VLOOKUP(D20,'point sur les patentes'!B:Q,16,FALSE)+VLOOKUP('vs mars'!D20,'point sur les patentes'!B:Z,25,FALSE))</f>
        <v>#N/A</v>
      </c>
      <c r="W20" s="340" t="e">
        <f>VLOOKUP(D20,'SUIVI JOURNALIER AVRIL'!B:J,9,FALSE)</f>
        <v>#N/A</v>
      </c>
      <c r="X20" s="340" t="e">
        <f>VLOOKUP(D20,'SUIVI JOURNALIER AVRIL'!B:P,14,FALSE)+VLOOKUP('vs mars'!D20,'SUIVI JOURNALIER AVRIL'!B:V,20,FALSE)+VLOOKUP('vs mars'!D20,'SUIVI JOURNALIER AVRIL'!B:W,21,FALSE)</f>
        <v>#N/A</v>
      </c>
      <c r="Y20" s="340" t="e">
        <f>VLOOKUP(D20,'SUIVI JOURNALIER AVRIL'!B:CC,80,FALSE)</f>
        <v>#N/A</v>
      </c>
      <c r="Z20" s="340" t="e">
        <f t="shared" si="0"/>
        <v>#N/A</v>
      </c>
      <c r="AA20" s="359" t="e">
        <f>VLOOKUP(D20,'SUIVI JOURNALIER AVRIL'!B:CD,81,FALSE)</f>
        <v>#N/A</v>
      </c>
      <c r="AB20" s="360" t="e">
        <f t="shared" si="1"/>
        <v>#N/A</v>
      </c>
      <c r="AC20" s="360" t="str">
        <f>VLOOKUP(B20,labo!B:D,3,FALSE)</f>
        <v>ug5</v>
      </c>
      <c r="AD20" s="360" t="s">
        <v>2629</v>
      </c>
      <c r="AF20" s="330" t="e">
        <f>VLOOKUP(D20,'SUIVI JOURNALIER AVRIL'!CK:CL,2,FALSE)</f>
        <v>#N/A</v>
      </c>
      <c r="AG20" s="360">
        <v>1</v>
      </c>
    </row>
    <row r="21" spans="1:33" s="360" customFormat="1" ht="13.5" customHeight="1">
      <c r="A21" s="324" t="s">
        <v>1632</v>
      </c>
      <c r="B21" s="325" t="s">
        <v>1946</v>
      </c>
      <c r="C21" s="325" t="s">
        <v>1947</v>
      </c>
      <c r="D21" s="325" t="s">
        <v>1948</v>
      </c>
      <c r="E21" s="324" t="s">
        <v>1562</v>
      </c>
      <c r="F21" s="324" t="s">
        <v>2055</v>
      </c>
      <c r="G21" s="324" t="s">
        <v>887</v>
      </c>
      <c r="H21" s="324" t="s">
        <v>897</v>
      </c>
      <c r="I21" s="324" t="s">
        <v>1190</v>
      </c>
      <c r="J21" s="324" t="s">
        <v>889</v>
      </c>
      <c r="K21" s="324" t="s">
        <v>890</v>
      </c>
      <c r="L21" s="324" t="s">
        <v>891</v>
      </c>
      <c r="M21" s="324" t="s">
        <v>892</v>
      </c>
      <c r="N21" s="324" t="s">
        <v>912</v>
      </c>
      <c r="O21" s="324" t="s">
        <v>913</v>
      </c>
      <c r="P21" s="324" t="s">
        <v>913</v>
      </c>
      <c r="Q21" s="324" t="s">
        <v>1053</v>
      </c>
      <c r="R21" s="324" t="s">
        <v>1053</v>
      </c>
      <c r="S21" s="356" t="s">
        <v>895</v>
      </c>
      <c r="T21" s="309" t="s">
        <v>965</v>
      </c>
      <c r="U21" s="357" t="e">
        <f>VLOOKUP(D21,'SUIVI JOURNALIER AVRIL'!CK:CM,3,FALSE)</f>
        <v>#N/A</v>
      </c>
      <c r="V21" s="358" t="e">
        <f>IF(VLOOKUP('vs mars'!D21,'point sur les patentes'!B:E,4,FALSE)="","",VLOOKUP(D21,'point sur les patentes'!B:E,4,FALSE)+VLOOKUP(D21,'point sur les patentes'!B:F,5,FALSE)+VLOOKUP('vs mars'!D21,'point sur les patentes'!B:G,6,FALSE)+VLOOKUP('vs mars'!D21,'point sur les patentes'!B:H,7,FALSE)+VLOOKUP('vs mars'!D21,'point sur les patentes'!B:I,8,FALSE)+VLOOKUP(D21,'point sur les patentes'!B:J,9,FALSE)+VLOOKUP(D21,'point sur les patentes'!B:K,10,FALSE)+VLOOKUP(D21,'point sur les patentes'!B:L,11,FALSE)+VLOOKUP(D21,'point sur les patentes'!B:M,12,FALSE)+VLOOKUP(D21,'point sur les patentes'!B:N,13,FALSE)+VLOOKUP(D21,'point sur les patentes'!B:O,14,FALSE)+VLOOKUP(D21,'point sur les patentes'!B:P,15,FALSE)+VLOOKUP(D21,'point sur les patentes'!B:Q,16,FALSE)+VLOOKUP('vs mars'!D21,'point sur les patentes'!B:Z,25,FALSE))</f>
        <v>#N/A</v>
      </c>
      <c r="W21" s="340" t="e">
        <f>VLOOKUP(D21,'SUIVI JOURNALIER AVRIL'!B:J,9,FALSE)</f>
        <v>#N/A</v>
      </c>
      <c r="X21" s="340" t="e">
        <f>VLOOKUP(D21,'SUIVI JOURNALIER AVRIL'!B:P,14,FALSE)+VLOOKUP('vs mars'!D21,'SUIVI JOURNALIER AVRIL'!B:V,20,FALSE)+VLOOKUP('vs mars'!D21,'SUIVI JOURNALIER AVRIL'!B:W,21,FALSE)</f>
        <v>#N/A</v>
      </c>
      <c r="Y21" s="340" t="e">
        <f>VLOOKUP(D21,'SUIVI JOURNALIER AVRIL'!B:CC,80,FALSE)</f>
        <v>#N/A</v>
      </c>
      <c r="Z21" s="340" t="e">
        <f t="shared" si="0"/>
        <v>#N/A</v>
      </c>
      <c r="AA21" s="359" t="e">
        <f>VLOOKUP(D21,'SUIVI JOURNALIER AVRIL'!B:CD,81,FALSE)</f>
        <v>#N/A</v>
      </c>
      <c r="AB21" s="360" t="e">
        <f t="shared" si="1"/>
        <v>#N/A</v>
      </c>
      <c r="AC21" s="360" t="str">
        <f>VLOOKUP(B21,labo!B:D,3,FALSE)</f>
        <v>ug5</v>
      </c>
      <c r="AD21" s="360" t="s">
        <v>2629</v>
      </c>
      <c r="AF21" s="330" t="e">
        <f>VLOOKUP(D21,'SUIVI JOURNALIER AVRIL'!CK:CL,2,FALSE)</f>
        <v>#N/A</v>
      </c>
      <c r="AG21" s="360">
        <v>1</v>
      </c>
    </row>
    <row r="22" spans="1:33" s="360" customFormat="1" ht="13.5" customHeight="1">
      <c r="A22" s="324" t="s">
        <v>1633</v>
      </c>
      <c r="B22" s="325" t="s">
        <v>447</v>
      </c>
      <c r="C22" s="325" t="s">
        <v>448</v>
      </c>
      <c r="D22" s="325" t="s">
        <v>449</v>
      </c>
      <c r="E22" s="324" t="s">
        <v>446</v>
      </c>
      <c r="F22" s="324" t="s">
        <v>2055</v>
      </c>
      <c r="G22" s="324" t="s">
        <v>887</v>
      </c>
      <c r="H22" s="324" t="s">
        <v>958</v>
      </c>
      <c r="I22" s="324" t="s">
        <v>959</v>
      </c>
      <c r="J22" s="324" t="s">
        <v>889</v>
      </c>
      <c r="K22" s="324" t="s">
        <v>890</v>
      </c>
      <c r="L22" s="324" t="s">
        <v>891</v>
      </c>
      <c r="M22" s="324" t="s">
        <v>892</v>
      </c>
      <c r="N22" s="324" t="s">
        <v>912</v>
      </c>
      <c r="O22" s="324" t="s">
        <v>913</v>
      </c>
      <c r="P22" s="324" t="s">
        <v>913</v>
      </c>
      <c r="Q22" s="324" t="s">
        <v>914</v>
      </c>
      <c r="R22" s="324" t="s">
        <v>960</v>
      </c>
      <c r="S22" s="356" t="s">
        <v>895</v>
      </c>
      <c r="T22" s="309" t="s">
        <v>957</v>
      </c>
      <c r="U22" s="357">
        <f>VLOOKUP(D22,'SUIVI JOURNALIER AVRIL'!CK:CM,3,FALSE)</f>
        <v>0</v>
      </c>
      <c r="V22" s="358" t="e">
        <f>IF(VLOOKUP('vs mars'!D22,'point sur les patentes'!B:E,4,FALSE)="","",VLOOKUP(D22,'point sur les patentes'!B:E,4,FALSE)+VLOOKUP(D22,'point sur les patentes'!B:F,5,FALSE)+VLOOKUP('vs mars'!D22,'point sur les patentes'!B:G,6,FALSE)+VLOOKUP('vs mars'!D22,'point sur les patentes'!B:H,7,FALSE)+VLOOKUP('vs mars'!D22,'point sur les patentes'!B:I,8,FALSE)+VLOOKUP(D22,'point sur les patentes'!B:J,9,FALSE)+VLOOKUP(D22,'point sur les patentes'!B:K,10,FALSE)+VLOOKUP(D22,'point sur les patentes'!B:L,11,FALSE)+VLOOKUP(D22,'point sur les patentes'!B:M,12,FALSE)+VLOOKUP(D22,'point sur les patentes'!B:N,13,FALSE)+VLOOKUP(D22,'point sur les patentes'!B:O,14,FALSE)+VLOOKUP(D22,'point sur les patentes'!B:P,15,FALSE)+VLOOKUP(D22,'point sur les patentes'!B:Q,16,FALSE)+VLOOKUP('vs mars'!D22,'point sur les patentes'!B:Z,25,FALSE))</f>
        <v>#N/A</v>
      </c>
      <c r="W22" s="340">
        <f>VLOOKUP(D22,'SUIVI JOURNALIER AVRIL'!B:J,9,FALSE)</f>
        <v>0</v>
      </c>
      <c r="X22" s="340">
        <f>VLOOKUP(D22,'SUIVI JOURNALIER AVRIL'!B:P,14,FALSE)+VLOOKUP('vs mars'!D22,'SUIVI JOURNALIER AVRIL'!B:V,20,FALSE)+VLOOKUP('vs mars'!D22,'SUIVI JOURNALIER AVRIL'!B:W,21,FALSE)</f>
        <v>0</v>
      </c>
      <c r="Y22" s="340">
        <f>VLOOKUP(D22,'SUIVI JOURNALIER AVRIL'!B:CC,80,FALSE)</f>
        <v>1399</v>
      </c>
      <c r="Z22" s="340">
        <f t="shared" si="0"/>
        <v>1399</v>
      </c>
      <c r="AA22" s="359">
        <f>VLOOKUP(D22,'SUIVI JOURNALIER AVRIL'!B:CD,81,FALSE)</f>
        <v>1399</v>
      </c>
      <c r="AB22" s="360" t="str">
        <f t="shared" si="1"/>
        <v>ok</v>
      </c>
      <c r="AC22" s="360" t="str">
        <f>VLOOKUP(B22,labo!B:D,3,FALSE)</f>
        <v>ug5</v>
      </c>
      <c r="AD22" s="360" t="s">
        <v>2629</v>
      </c>
      <c r="AF22" s="330">
        <f>VLOOKUP(D22,'SUIVI JOURNALIER AVRIL'!CK:CL,2,FALSE)</f>
        <v>0</v>
      </c>
      <c r="AG22" s="360">
        <v>1</v>
      </c>
    </row>
    <row r="23" spans="1:33" s="360" customFormat="1" ht="13.5" customHeight="1">
      <c r="A23" s="324" t="s">
        <v>1634</v>
      </c>
      <c r="B23" s="325" t="s">
        <v>367</v>
      </c>
      <c r="C23" s="325" t="s">
        <v>450</v>
      </c>
      <c r="D23" s="325" t="s">
        <v>451</v>
      </c>
      <c r="E23" s="324" t="s">
        <v>422</v>
      </c>
      <c r="F23" s="324" t="s">
        <v>2055</v>
      </c>
      <c r="G23" s="324" t="s">
        <v>887</v>
      </c>
      <c r="H23" s="324" t="s">
        <v>917</v>
      </c>
      <c r="I23" s="324" t="s">
        <v>961</v>
      </c>
      <c r="J23" s="324" t="s">
        <v>889</v>
      </c>
      <c r="K23" s="324" t="s">
        <v>890</v>
      </c>
      <c r="L23" s="324" t="s">
        <v>891</v>
      </c>
      <c r="M23" s="324" t="s">
        <v>892</v>
      </c>
      <c r="N23" s="324" t="s">
        <v>893</v>
      </c>
      <c r="O23" s="324" t="s">
        <v>962</v>
      </c>
      <c r="P23" s="324" t="s">
        <v>963</v>
      </c>
      <c r="Q23" s="324" t="s">
        <v>924</v>
      </c>
      <c r="R23" s="324" t="s">
        <v>964</v>
      </c>
      <c r="S23" s="356" t="s">
        <v>895</v>
      </c>
      <c r="T23" s="309" t="s">
        <v>977</v>
      </c>
      <c r="U23" s="357">
        <f>VLOOKUP(D23,'SUIVI JOURNALIER AVRIL'!CK:CM,3,FALSE)</f>
        <v>0</v>
      </c>
      <c r="V23" s="358" t="e">
        <f>IF(VLOOKUP('vs mars'!D23,'point sur les patentes'!B:E,4,FALSE)="","",VLOOKUP(D23,'point sur les patentes'!B:E,4,FALSE)+VLOOKUP(D23,'point sur les patentes'!B:F,5,FALSE)+VLOOKUP('vs mars'!D23,'point sur les patentes'!B:G,6,FALSE)+VLOOKUP('vs mars'!D23,'point sur les patentes'!B:H,7,FALSE)+VLOOKUP('vs mars'!D23,'point sur les patentes'!B:I,8,FALSE)+VLOOKUP(D23,'point sur les patentes'!B:J,9,FALSE)+VLOOKUP(D23,'point sur les patentes'!B:K,10,FALSE)+VLOOKUP(D23,'point sur les patentes'!B:L,11,FALSE)+VLOOKUP(D23,'point sur les patentes'!B:M,12,FALSE)+VLOOKUP(D23,'point sur les patentes'!B:N,13,FALSE)+VLOOKUP(D23,'point sur les patentes'!B:O,14,FALSE)+VLOOKUP(D23,'point sur les patentes'!B:P,15,FALSE)+VLOOKUP(D23,'point sur les patentes'!B:Q,16,FALSE)+VLOOKUP('vs mars'!D23,'point sur les patentes'!B:Z,25,FALSE))</f>
        <v>#N/A</v>
      </c>
      <c r="W23" s="340">
        <f>VLOOKUP(D23,'SUIVI JOURNALIER AVRIL'!B:J,9,FALSE)</f>
        <v>140915</v>
      </c>
      <c r="X23" s="340">
        <f>VLOOKUP(D23,'SUIVI JOURNALIER AVRIL'!B:P,14,FALSE)+VLOOKUP('vs mars'!D23,'SUIVI JOURNALIER AVRIL'!B:V,20,FALSE)+VLOOKUP('vs mars'!D23,'SUIVI JOURNALIER AVRIL'!B:W,21,FALSE)</f>
        <v>56896</v>
      </c>
      <c r="Y23" s="340">
        <f>VLOOKUP(D23,'SUIVI JOURNALIER AVRIL'!B:CC,80,FALSE)</f>
        <v>3125</v>
      </c>
      <c r="Z23" s="340">
        <f t="shared" si="0"/>
        <v>200936</v>
      </c>
      <c r="AA23" s="359">
        <f>VLOOKUP(D23,'SUIVI JOURNALIER AVRIL'!B:CD,81,FALSE)</f>
        <v>200936</v>
      </c>
      <c r="AB23" s="360" t="str">
        <f t="shared" si="1"/>
        <v>ok</v>
      </c>
      <c r="AC23" s="360" t="str">
        <f>VLOOKUP(B23,labo!B:D,3,FALSE)</f>
        <v>ug4</v>
      </c>
      <c r="AD23" s="360" t="s">
        <v>2629</v>
      </c>
      <c r="AF23" s="330">
        <f>VLOOKUP(D23,'SUIVI JOURNALIER AVRIL'!CK:CL,2,FALSE)</f>
        <v>0</v>
      </c>
      <c r="AG23" s="360">
        <v>1</v>
      </c>
    </row>
    <row r="24" spans="1:33" s="360" customFormat="1" ht="13.5" customHeight="1">
      <c r="A24" s="324" t="s">
        <v>1635</v>
      </c>
      <c r="B24" s="325" t="s">
        <v>452</v>
      </c>
      <c r="C24" s="325" t="s">
        <v>453</v>
      </c>
      <c r="D24" s="325" t="s">
        <v>454</v>
      </c>
      <c r="E24" s="324" t="s">
        <v>455</v>
      </c>
      <c r="F24" s="324" t="s">
        <v>2055</v>
      </c>
      <c r="G24" s="324" t="s">
        <v>887</v>
      </c>
      <c r="H24" s="324" t="s">
        <v>967</v>
      </c>
      <c r="I24" s="324" t="s">
        <v>968</v>
      </c>
      <c r="J24" s="324" t="s">
        <v>889</v>
      </c>
      <c r="K24" s="324" t="s">
        <v>890</v>
      </c>
      <c r="L24" s="324" t="s">
        <v>891</v>
      </c>
      <c r="M24" s="324" t="s">
        <v>892</v>
      </c>
      <c r="N24" s="324" t="s">
        <v>893</v>
      </c>
      <c r="O24" s="324" t="s">
        <v>894</v>
      </c>
      <c r="P24" s="324" t="s">
        <v>899</v>
      </c>
      <c r="Q24" s="324" t="s">
        <v>900</v>
      </c>
      <c r="R24" s="324" t="s">
        <v>969</v>
      </c>
      <c r="S24" s="356" t="s">
        <v>895</v>
      </c>
      <c r="T24" s="309" t="s">
        <v>953</v>
      </c>
      <c r="U24" s="357" t="e">
        <f>VLOOKUP(D24,'SUIVI JOURNALIER AVRIL'!CK:CM,3,FALSE)</f>
        <v>#N/A</v>
      </c>
      <c r="V24" s="358" t="e">
        <f>IF(VLOOKUP('vs mars'!D24,'point sur les patentes'!B:E,4,FALSE)="","",VLOOKUP(D24,'point sur les patentes'!B:E,4,FALSE)+VLOOKUP(D24,'point sur les patentes'!B:F,5,FALSE)+VLOOKUP('vs mars'!D24,'point sur les patentes'!B:G,6,FALSE)+VLOOKUP('vs mars'!D24,'point sur les patentes'!B:H,7,FALSE)+VLOOKUP('vs mars'!D24,'point sur les patentes'!B:I,8,FALSE)+VLOOKUP(D24,'point sur les patentes'!B:J,9,FALSE)+VLOOKUP(D24,'point sur les patentes'!B:K,10,FALSE)+VLOOKUP(D24,'point sur les patentes'!B:L,11,FALSE)+VLOOKUP(D24,'point sur les patentes'!B:M,12,FALSE)+VLOOKUP(D24,'point sur les patentes'!B:N,13,FALSE)+VLOOKUP(D24,'point sur les patentes'!B:O,14,FALSE)+VLOOKUP(D24,'point sur les patentes'!B:P,15,FALSE)+VLOOKUP(D24,'point sur les patentes'!B:Q,16,FALSE)+VLOOKUP('vs mars'!D24,'point sur les patentes'!B:Z,25,FALSE))</f>
        <v>#N/A</v>
      </c>
      <c r="W24" s="340" t="e">
        <f>VLOOKUP(D24,'SUIVI JOURNALIER AVRIL'!B:J,9,FALSE)</f>
        <v>#N/A</v>
      </c>
      <c r="X24" s="340" t="e">
        <f>VLOOKUP(D24,'SUIVI JOURNALIER AVRIL'!B:P,14,FALSE)+VLOOKUP('vs mars'!D24,'SUIVI JOURNALIER AVRIL'!B:V,20,FALSE)+VLOOKUP('vs mars'!D24,'SUIVI JOURNALIER AVRIL'!B:W,21,FALSE)</f>
        <v>#N/A</v>
      </c>
      <c r="Y24" s="340" t="e">
        <f>VLOOKUP(D24,'SUIVI JOURNALIER AVRIL'!B:CC,80,FALSE)</f>
        <v>#N/A</v>
      </c>
      <c r="Z24" s="340" t="e">
        <f t="shared" si="0"/>
        <v>#N/A</v>
      </c>
      <c r="AA24" s="359" t="e">
        <f>VLOOKUP(D24,'SUIVI JOURNALIER AVRIL'!B:CD,81,FALSE)</f>
        <v>#N/A</v>
      </c>
      <c r="AB24" s="360" t="e">
        <f t="shared" si="1"/>
        <v>#N/A</v>
      </c>
      <c r="AC24" s="360" t="str">
        <f>VLOOKUP(B24,labo!B:D,3,FALSE)</f>
        <v>ug5</v>
      </c>
      <c r="AD24" s="360" t="s">
        <v>2629</v>
      </c>
      <c r="AF24" s="330" t="e">
        <f>VLOOKUP(D24,'SUIVI JOURNALIER AVRIL'!CK:CL,2,FALSE)</f>
        <v>#N/A</v>
      </c>
      <c r="AG24" s="360">
        <v>1</v>
      </c>
    </row>
    <row r="25" spans="1:33" s="360" customFormat="1" ht="13.5" customHeight="1">
      <c r="A25" s="324" t="s">
        <v>1639</v>
      </c>
      <c r="B25" s="325" t="s">
        <v>320</v>
      </c>
      <c r="C25" s="325" t="s">
        <v>456</v>
      </c>
      <c r="D25" s="325" t="s">
        <v>457</v>
      </c>
      <c r="E25" s="324" t="s">
        <v>458</v>
      </c>
      <c r="F25" s="324" t="s">
        <v>2055</v>
      </c>
      <c r="G25" s="324" t="s">
        <v>926</v>
      </c>
      <c r="H25" s="324" t="s">
        <v>973</v>
      </c>
      <c r="I25" s="324" t="s">
        <v>974</v>
      </c>
      <c r="J25" s="324" t="s">
        <v>940</v>
      </c>
      <c r="K25" s="324" t="s">
        <v>890</v>
      </c>
      <c r="L25" s="324" t="s">
        <v>891</v>
      </c>
      <c r="M25" s="324" t="s">
        <v>892</v>
      </c>
      <c r="N25" s="324" t="s">
        <v>975</v>
      </c>
      <c r="O25" s="324" t="s">
        <v>976</v>
      </c>
      <c r="P25" s="324" t="s">
        <v>976</v>
      </c>
      <c r="Q25" s="324" t="s">
        <v>976</v>
      </c>
      <c r="R25" s="324" t="s">
        <v>924</v>
      </c>
      <c r="S25" s="356" t="s">
        <v>895</v>
      </c>
      <c r="T25" s="309" t="s">
        <v>957</v>
      </c>
      <c r="U25" s="357" t="e">
        <f>VLOOKUP(D25,'SUIVI JOURNALIER AVRIL'!CK:CM,3,FALSE)</f>
        <v>#N/A</v>
      </c>
      <c r="V25" s="358" t="e">
        <f>IF(VLOOKUP('vs mars'!D25,'point sur les patentes'!B:E,4,FALSE)="","",VLOOKUP(D25,'point sur les patentes'!B:E,4,FALSE)+VLOOKUP(D25,'point sur les patentes'!B:F,5,FALSE)+VLOOKUP('vs mars'!D25,'point sur les patentes'!B:G,6,FALSE)+VLOOKUP('vs mars'!D25,'point sur les patentes'!B:H,7,FALSE)+VLOOKUP('vs mars'!D25,'point sur les patentes'!B:I,8,FALSE)+VLOOKUP(D25,'point sur les patentes'!B:J,9,FALSE)+VLOOKUP(D25,'point sur les patentes'!B:K,10,FALSE)+VLOOKUP(D25,'point sur les patentes'!B:L,11,FALSE)+VLOOKUP(D25,'point sur les patentes'!B:M,12,FALSE)+VLOOKUP(D25,'point sur les patentes'!B:N,13,FALSE)+VLOOKUP(D25,'point sur les patentes'!B:O,14,FALSE)+VLOOKUP(D25,'point sur les patentes'!B:P,15,FALSE)+VLOOKUP(D25,'point sur les patentes'!B:Q,16,FALSE)+VLOOKUP('vs mars'!D25,'point sur les patentes'!B:Z,25,FALSE))</f>
        <v>#N/A</v>
      </c>
      <c r="W25" s="340" t="e">
        <f>VLOOKUP(D25,'SUIVI JOURNALIER AVRIL'!B:J,9,FALSE)</f>
        <v>#N/A</v>
      </c>
      <c r="X25" s="340" t="e">
        <f>VLOOKUP(D25,'SUIVI JOURNALIER AVRIL'!B:P,14,FALSE)+VLOOKUP('vs mars'!D25,'SUIVI JOURNALIER AVRIL'!B:V,20,FALSE)+VLOOKUP('vs mars'!D25,'SUIVI JOURNALIER AVRIL'!B:W,21,FALSE)</f>
        <v>#N/A</v>
      </c>
      <c r="Y25" s="340" t="e">
        <f>VLOOKUP(D25,'SUIVI JOURNALIER AVRIL'!B:CC,80,FALSE)</f>
        <v>#N/A</v>
      </c>
      <c r="Z25" s="340" t="e">
        <f t="shared" si="0"/>
        <v>#N/A</v>
      </c>
      <c r="AA25" s="359" t="e">
        <f>VLOOKUP(D25,'SUIVI JOURNALIER AVRIL'!B:CD,81,FALSE)</f>
        <v>#N/A</v>
      </c>
      <c r="AB25" s="360" t="e">
        <f t="shared" si="1"/>
        <v>#N/A</v>
      </c>
      <c r="AC25" s="360" t="str">
        <f>VLOOKUP(B25,labo!B:D,3,FALSE)</f>
        <v>ug4</v>
      </c>
      <c r="AD25" s="360" t="s">
        <v>2629</v>
      </c>
      <c r="AF25" s="330" t="e">
        <f>VLOOKUP(D25,'SUIVI JOURNALIER AVRIL'!CK:CL,2,FALSE)</f>
        <v>#N/A</v>
      </c>
      <c r="AG25" s="360">
        <v>1</v>
      </c>
    </row>
    <row r="26" spans="1:33" s="360" customFormat="1" ht="13.5" customHeight="1">
      <c r="A26" s="324" t="s">
        <v>1640</v>
      </c>
      <c r="B26" s="325" t="s">
        <v>1560</v>
      </c>
      <c r="C26" s="325" t="s">
        <v>1561</v>
      </c>
      <c r="D26" s="325" t="s">
        <v>1636</v>
      </c>
      <c r="E26" s="324" t="s">
        <v>1562</v>
      </c>
      <c r="F26" s="324" t="s">
        <v>2055</v>
      </c>
      <c r="G26" s="324" t="s">
        <v>887</v>
      </c>
      <c r="H26" s="324" t="s">
        <v>1637</v>
      </c>
      <c r="I26" s="324" t="s">
        <v>1638</v>
      </c>
      <c r="J26" s="324" t="s">
        <v>889</v>
      </c>
      <c r="K26" s="324" t="s">
        <v>890</v>
      </c>
      <c r="L26" s="324" t="s">
        <v>891</v>
      </c>
      <c r="M26" s="324" t="s">
        <v>892</v>
      </c>
      <c r="N26" s="324" t="s">
        <v>893</v>
      </c>
      <c r="O26" s="324" t="s">
        <v>894</v>
      </c>
      <c r="P26" s="324" t="s">
        <v>899</v>
      </c>
      <c r="Q26" s="324" t="s">
        <v>1563</v>
      </c>
      <c r="R26" s="324" t="s">
        <v>846</v>
      </c>
      <c r="S26" s="356" t="s">
        <v>895</v>
      </c>
      <c r="T26" s="309" t="s">
        <v>957</v>
      </c>
      <c r="U26" s="357" t="e">
        <f>VLOOKUP(D26,'SUIVI JOURNALIER AVRIL'!CK:CM,3,FALSE)</f>
        <v>#N/A</v>
      </c>
      <c r="V26" s="358" t="e">
        <f>IF(VLOOKUP('vs mars'!D26,'point sur les patentes'!B:E,4,FALSE)="","",VLOOKUP(D26,'point sur les patentes'!B:E,4,FALSE)+VLOOKUP(D26,'point sur les patentes'!B:F,5,FALSE)+VLOOKUP('vs mars'!D26,'point sur les patentes'!B:G,6,FALSE)+VLOOKUP('vs mars'!D26,'point sur les patentes'!B:H,7,FALSE)+VLOOKUP('vs mars'!D26,'point sur les patentes'!B:I,8,FALSE)+VLOOKUP(D26,'point sur les patentes'!B:J,9,FALSE)+VLOOKUP(D26,'point sur les patentes'!B:K,10,FALSE)+VLOOKUP(D26,'point sur les patentes'!B:L,11,FALSE)+VLOOKUP(D26,'point sur les patentes'!B:M,12,FALSE)+VLOOKUP(D26,'point sur les patentes'!B:N,13,FALSE)+VLOOKUP(D26,'point sur les patentes'!B:O,14,FALSE)+VLOOKUP(D26,'point sur les patentes'!B:P,15,FALSE)+VLOOKUP(D26,'point sur les patentes'!B:Q,16,FALSE)+VLOOKUP('vs mars'!D26,'point sur les patentes'!B:Z,25,FALSE))</f>
        <v>#N/A</v>
      </c>
      <c r="W26" s="340" t="e">
        <f>VLOOKUP(D26,'SUIVI JOURNALIER AVRIL'!B:J,9,FALSE)</f>
        <v>#N/A</v>
      </c>
      <c r="X26" s="340" t="e">
        <f>VLOOKUP(D26,'SUIVI JOURNALIER AVRIL'!B:P,14,FALSE)+VLOOKUP('vs mars'!D26,'SUIVI JOURNALIER AVRIL'!B:V,20,FALSE)+VLOOKUP('vs mars'!D26,'SUIVI JOURNALIER AVRIL'!B:W,21,FALSE)</f>
        <v>#N/A</v>
      </c>
      <c r="Y26" s="340" t="e">
        <f>VLOOKUP(D26,'SUIVI JOURNALIER AVRIL'!B:CC,80,FALSE)</f>
        <v>#N/A</v>
      </c>
      <c r="Z26" s="340" t="e">
        <f t="shared" si="0"/>
        <v>#N/A</v>
      </c>
      <c r="AA26" s="359" t="e">
        <f>VLOOKUP(D26,'SUIVI JOURNALIER AVRIL'!B:CD,81,FALSE)</f>
        <v>#N/A</v>
      </c>
      <c r="AB26" s="360" t="e">
        <f t="shared" si="1"/>
        <v>#N/A</v>
      </c>
      <c r="AC26" s="360" t="str">
        <f>VLOOKUP(B26,labo!B:D,3,FALSE)</f>
        <v>ug5</v>
      </c>
      <c r="AD26" s="360" t="s">
        <v>2629</v>
      </c>
      <c r="AF26" s="330" t="e">
        <f>VLOOKUP(D26,'SUIVI JOURNALIER AVRIL'!CK:CL,2,FALSE)</f>
        <v>#N/A</v>
      </c>
      <c r="AG26" s="360">
        <v>1</v>
      </c>
    </row>
    <row r="27" spans="1:33" s="360" customFormat="1" ht="13.5" customHeight="1">
      <c r="A27" s="324" t="s">
        <v>1641</v>
      </c>
      <c r="B27" s="325" t="s">
        <v>459</v>
      </c>
      <c r="C27" s="325" t="s">
        <v>460</v>
      </c>
      <c r="D27" s="325" t="s">
        <v>461</v>
      </c>
      <c r="E27" s="324" t="s">
        <v>446</v>
      </c>
      <c r="F27" s="324" t="s">
        <v>2055</v>
      </c>
      <c r="G27" s="324" t="s">
        <v>887</v>
      </c>
      <c r="H27" s="324" t="s">
        <v>978</v>
      </c>
      <c r="I27" s="324" t="s">
        <v>979</v>
      </c>
      <c r="J27" s="324" t="s">
        <v>889</v>
      </c>
      <c r="K27" s="324" t="s">
        <v>890</v>
      </c>
      <c r="L27" s="324" t="s">
        <v>891</v>
      </c>
      <c r="M27" s="324" t="s">
        <v>892</v>
      </c>
      <c r="N27" s="324" t="s">
        <v>954</v>
      </c>
      <c r="O27" s="324" t="s">
        <v>955</v>
      </c>
      <c r="P27" s="324" t="s">
        <v>955</v>
      </c>
      <c r="Q27" s="324" t="s">
        <v>980</v>
      </c>
      <c r="R27" s="324" t="s">
        <v>981</v>
      </c>
      <c r="S27" s="356" t="s">
        <v>895</v>
      </c>
      <c r="T27" s="309" t="s">
        <v>957</v>
      </c>
      <c r="U27" s="357" t="e">
        <f>VLOOKUP(D27,'SUIVI JOURNALIER AVRIL'!CK:CM,3,FALSE)</f>
        <v>#N/A</v>
      </c>
      <c r="V27" s="358" t="e">
        <f>IF(VLOOKUP('vs mars'!D27,'point sur les patentes'!B:E,4,FALSE)="","",VLOOKUP(D27,'point sur les patentes'!B:E,4,FALSE)+VLOOKUP(D27,'point sur les patentes'!B:F,5,FALSE)+VLOOKUP('vs mars'!D27,'point sur les patentes'!B:G,6,FALSE)+VLOOKUP('vs mars'!D27,'point sur les patentes'!B:H,7,FALSE)+VLOOKUP('vs mars'!D27,'point sur les patentes'!B:I,8,FALSE)+VLOOKUP(D27,'point sur les patentes'!B:J,9,FALSE)+VLOOKUP(D27,'point sur les patentes'!B:K,10,FALSE)+VLOOKUP(D27,'point sur les patentes'!B:L,11,FALSE)+VLOOKUP(D27,'point sur les patentes'!B:M,12,FALSE)+VLOOKUP(D27,'point sur les patentes'!B:N,13,FALSE)+VLOOKUP(D27,'point sur les patentes'!B:O,14,FALSE)+VLOOKUP(D27,'point sur les patentes'!B:P,15,FALSE)+VLOOKUP(D27,'point sur les patentes'!B:Q,16,FALSE)+VLOOKUP('vs mars'!D27,'point sur les patentes'!B:Z,25,FALSE))</f>
        <v>#N/A</v>
      </c>
      <c r="W27" s="340" t="e">
        <f>VLOOKUP(D27,'SUIVI JOURNALIER AVRIL'!B:J,9,FALSE)</f>
        <v>#N/A</v>
      </c>
      <c r="X27" s="340" t="e">
        <f>VLOOKUP(D27,'SUIVI JOURNALIER AVRIL'!B:P,14,FALSE)+VLOOKUP('vs mars'!D27,'SUIVI JOURNALIER AVRIL'!B:V,20,FALSE)+VLOOKUP('vs mars'!D27,'SUIVI JOURNALIER AVRIL'!B:W,21,FALSE)</f>
        <v>#N/A</v>
      </c>
      <c r="Y27" s="340" t="e">
        <f>VLOOKUP(D27,'SUIVI JOURNALIER AVRIL'!B:CC,80,FALSE)</f>
        <v>#N/A</v>
      </c>
      <c r="Z27" s="340" t="e">
        <f t="shared" si="0"/>
        <v>#N/A</v>
      </c>
      <c r="AA27" s="359" t="e">
        <f>VLOOKUP(D27,'SUIVI JOURNALIER AVRIL'!B:CD,81,FALSE)</f>
        <v>#N/A</v>
      </c>
      <c r="AB27" s="360" t="e">
        <f t="shared" si="1"/>
        <v>#N/A</v>
      </c>
      <c r="AC27" s="360" t="str">
        <f>VLOOKUP(B27,labo!B:D,3,FALSE)</f>
        <v>ug5</v>
      </c>
      <c r="AD27" s="360" t="s">
        <v>2629</v>
      </c>
      <c r="AF27" s="330" t="e">
        <f>VLOOKUP(D27,'SUIVI JOURNALIER AVRIL'!CK:CL,2,FALSE)</f>
        <v>#N/A</v>
      </c>
      <c r="AG27" s="360">
        <v>1</v>
      </c>
    </row>
    <row r="28" spans="1:33" s="360" customFormat="1" ht="13.5" customHeight="1">
      <c r="A28" s="324" t="s">
        <v>1643</v>
      </c>
      <c r="B28" s="325" t="s">
        <v>462</v>
      </c>
      <c r="C28" s="325" t="s">
        <v>463</v>
      </c>
      <c r="D28" s="325" t="s">
        <v>464</v>
      </c>
      <c r="E28" s="324" t="s">
        <v>446</v>
      </c>
      <c r="F28" s="324" t="s">
        <v>2055</v>
      </c>
      <c r="G28" s="324" t="s">
        <v>887</v>
      </c>
      <c r="H28" s="324" t="s">
        <v>982</v>
      </c>
      <c r="I28" s="324" t="s">
        <v>983</v>
      </c>
      <c r="J28" s="324" t="s">
        <v>889</v>
      </c>
      <c r="K28" s="324" t="s">
        <v>890</v>
      </c>
      <c r="L28" s="324" t="s">
        <v>891</v>
      </c>
      <c r="M28" s="324" t="s">
        <v>892</v>
      </c>
      <c r="N28" s="324" t="s">
        <v>954</v>
      </c>
      <c r="O28" s="324" t="s">
        <v>955</v>
      </c>
      <c r="P28" s="324" t="s">
        <v>955</v>
      </c>
      <c r="Q28" s="324" t="s">
        <v>924</v>
      </c>
      <c r="R28" s="324" t="s">
        <v>984</v>
      </c>
      <c r="S28" s="356" t="s">
        <v>895</v>
      </c>
      <c r="T28" s="309" t="s">
        <v>909</v>
      </c>
      <c r="U28" s="357">
        <f>VLOOKUP(D28,'SUIVI JOURNALIER AVRIL'!CK:CM,3,FALSE)</f>
        <v>0</v>
      </c>
      <c r="V28" s="358" t="e">
        <f>IF(VLOOKUP('vs mars'!D28,'point sur les patentes'!B:E,4,FALSE)="","",VLOOKUP(D28,'point sur les patentes'!B:E,4,FALSE)+VLOOKUP(D28,'point sur les patentes'!B:F,5,FALSE)+VLOOKUP('vs mars'!D28,'point sur les patentes'!B:G,6,FALSE)+VLOOKUP('vs mars'!D28,'point sur les patentes'!B:H,7,FALSE)+VLOOKUP('vs mars'!D28,'point sur les patentes'!B:I,8,FALSE)+VLOOKUP(D28,'point sur les patentes'!B:J,9,FALSE)+VLOOKUP(D28,'point sur les patentes'!B:K,10,FALSE)+VLOOKUP(D28,'point sur les patentes'!B:L,11,FALSE)+VLOOKUP(D28,'point sur les patentes'!B:M,12,FALSE)+VLOOKUP(D28,'point sur les patentes'!B:N,13,FALSE)+VLOOKUP(D28,'point sur les patentes'!B:O,14,FALSE)+VLOOKUP(D28,'point sur les patentes'!B:P,15,FALSE)+VLOOKUP(D28,'point sur les patentes'!B:Q,16,FALSE)+VLOOKUP('vs mars'!D28,'point sur les patentes'!B:Z,25,FALSE))</f>
        <v>#N/A</v>
      </c>
      <c r="W28" s="340">
        <f>VLOOKUP(D28,'SUIVI JOURNALIER AVRIL'!B:J,9,FALSE)</f>
        <v>0</v>
      </c>
      <c r="X28" s="340">
        <f>VLOOKUP(D28,'SUIVI JOURNALIER AVRIL'!B:P,14,FALSE)+VLOOKUP('vs mars'!D28,'SUIVI JOURNALIER AVRIL'!B:V,20,FALSE)+VLOOKUP('vs mars'!D28,'SUIVI JOURNALIER AVRIL'!B:W,21,FALSE)</f>
        <v>0</v>
      </c>
      <c r="Y28" s="340">
        <f>VLOOKUP(D28,'SUIVI JOURNALIER AVRIL'!B:CC,80,FALSE)</f>
        <v>0</v>
      </c>
      <c r="Z28" s="340">
        <f t="shared" si="0"/>
        <v>0</v>
      </c>
      <c r="AA28" s="359">
        <f>VLOOKUP(D28,'SUIVI JOURNALIER AVRIL'!B:CD,81,FALSE)</f>
        <v>0</v>
      </c>
      <c r="AB28" s="360" t="str">
        <f t="shared" si="1"/>
        <v>ok</v>
      </c>
      <c r="AC28" s="360" t="str">
        <f>VLOOKUP(B28,labo!B:D,3,FALSE)</f>
        <v>ug5</v>
      </c>
      <c r="AD28" s="360" t="s">
        <v>2629</v>
      </c>
      <c r="AF28" s="330">
        <f>VLOOKUP(D28,'SUIVI JOURNALIER AVRIL'!CK:CL,2,FALSE)</f>
        <v>0</v>
      </c>
      <c r="AG28" s="360">
        <v>1</v>
      </c>
    </row>
    <row r="29" spans="1:33" s="360" customFormat="1" ht="13.5" customHeight="1">
      <c r="A29" s="324" t="s">
        <v>1644</v>
      </c>
      <c r="B29" s="325" t="s">
        <v>465</v>
      </c>
      <c r="C29" s="325" t="s">
        <v>2055</v>
      </c>
      <c r="D29" s="325" t="s">
        <v>466</v>
      </c>
      <c r="E29" s="324" t="s">
        <v>446</v>
      </c>
      <c r="F29" s="324" t="s">
        <v>2055</v>
      </c>
      <c r="G29" s="324" t="s">
        <v>887</v>
      </c>
      <c r="H29" s="324" t="s">
        <v>897</v>
      </c>
      <c r="I29" s="324" t="s">
        <v>1642</v>
      </c>
      <c r="J29" s="324" t="s">
        <v>889</v>
      </c>
      <c r="K29" s="324" t="s">
        <v>890</v>
      </c>
      <c r="L29" s="324" t="s">
        <v>891</v>
      </c>
      <c r="M29" s="324" t="s">
        <v>892</v>
      </c>
      <c r="N29" s="324" t="s">
        <v>893</v>
      </c>
      <c r="O29" s="324" t="s">
        <v>894</v>
      </c>
      <c r="P29" s="324" t="s">
        <v>899</v>
      </c>
      <c r="Q29" s="324" t="s">
        <v>985</v>
      </c>
      <c r="R29" s="324" t="s">
        <v>986</v>
      </c>
      <c r="S29" s="356" t="s">
        <v>895</v>
      </c>
      <c r="T29" s="309" t="s">
        <v>909</v>
      </c>
      <c r="U29" s="357" t="e">
        <f>VLOOKUP(D29,'SUIVI JOURNALIER AVRIL'!CK:CM,3,FALSE)</f>
        <v>#N/A</v>
      </c>
      <c r="V29" s="358" t="e">
        <f>IF(VLOOKUP('vs mars'!D29,'point sur les patentes'!B:E,4,FALSE)="","",VLOOKUP(D29,'point sur les patentes'!B:E,4,FALSE)+VLOOKUP(D29,'point sur les patentes'!B:F,5,FALSE)+VLOOKUP('vs mars'!D29,'point sur les patentes'!B:G,6,FALSE)+VLOOKUP('vs mars'!D29,'point sur les patentes'!B:H,7,FALSE)+VLOOKUP('vs mars'!D29,'point sur les patentes'!B:I,8,FALSE)+VLOOKUP(D29,'point sur les patentes'!B:J,9,FALSE)+VLOOKUP(D29,'point sur les patentes'!B:K,10,FALSE)+VLOOKUP(D29,'point sur les patentes'!B:L,11,FALSE)+VLOOKUP(D29,'point sur les patentes'!B:M,12,FALSE)+VLOOKUP(D29,'point sur les patentes'!B:N,13,FALSE)+VLOOKUP(D29,'point sur les patentes'!B:O,14,FALSE)+VLOOKUP(D29,'point sur les patentes'!B:P,15,FALSE)+VLOOKUP(D29,'point sur les patentes'!B:Q,16,FALSE)+VLOOKUP('vs mars'!D29,'point sur les patentes'!B:Z,25,FALSE))</f>
        <v>#N/A</v>
      </c>
      <c r="W29" s="340" t="e">
        <f>VLOOKUP(D29,'SUIVI JOURNALIER AVRIL'!B:J,9,FALSE)</f>
        <v>#N/A</v>
      </c>
      <c r="X29" s="340" t="e">
        <f>VLOOKUP(D29,'SUIVI JOURNALIER AVRIL'!B:P,14,FALSE)+VLOOKUP('vs mars'!D29,'SUIVI JOURNALIER AVRIL'!B:V,20,FALSE)+VLOOKUP('vs mars'!D29,'SUIVI JOURNALIER AVRIL'!B:W,21,FALSE)</f>
        <v>#N/A</v>
      </c>
      <c r="Y29" s="340" t="e">
        <f>VLOOKUP(D29,'SUIVI JOURNALIER AVRIL'!B:CC,80,FALSE)</f>
        <v>#N/A</v>
      </c>
      <c r="Z29" s="340" t="e">
        <f t="shared" si="0"/>
        <v>#N/A</v>
      </c>
      <c r="AA29" s="359" t="e">
        <f>VLOOKUP(D29,'SUIVI JOURNALIER AVRIL'!B:CD,81,FALSE)</f>
        <v>#N/A</v>
      </c>
      <c r="AB29" s="360" t="e">
        <f t="shared" si="1"/>
        <v>#N/A</v>
      </c>
      <c r="AC29" s="360" t="str">
        <f>VLOOKUP(B29,labo!B:D,3,FALSE)</f>
        <v>ug5</v>
      </c>
      <c r="AD29" s="360" t="s">
        <v>2629</v>
      </c>
      <c r="AF29" s="330" t="e">
        <f>VLOOKUP(D29,'SUIVI JOURNALIER AVRIL'!CK:CL,2,FALSE)</f>
        <v>#N/A</v>
      </c>
      <c r="AG29" s="360">
        <v>1</v>
      </c>
    </row>
    <row r="30" spans="1:33" s="360" customFormat="1" ht="13.5" customHeight="1">
      <c r="A30" s="324" t="s">
        <v>1645</v>
      </c>
      <c r="B30" s="325" t="s">
        <v>467</v>
      </c>
      <c r="C30" s="325" t="s">
        <v>468</v>
      </c>
      <c r="D30" s="325" t="s">
        <v>469</v>
      </c>
      <c r="E30" s="324" t="s">
        <v>446</v>
      </c>
      <c r="F30" s="324" t="s">
        <v>2055</v>
      </c>
      <c r="G30" s="324" t="s">
        <v>887</v>
      </c>
      <c r="H30" s="324" t="s">
        <v>897</v>
      </c>
      <c r="I30" s="324" t="s">
        <v>987</v>
      </c>
      <c r="J30" s="324" t="s">
        <v>889</v>
      </c>
      <c r="K30" s="324" t="s">
        <v>890</v>
      </c>
      <c r="L30" s="324" t="s">
        <v>891</v>
      </c>
      <c r="M30" s="324" t="s">
        <v>892</v>
      </c>
      <c r="N30" s="324" t="s">
        <v>912</v>
      </c>
      <c r="O30" s="324" t="s">
        <v>988</v>
      </c>
      <c r="P30" s="324" t="s">
        <v>988</v>
      </c>
      <c r="Q30" s="324" t="s">
        <v>989</v>
      </c>
      <c r="R30" s="324" t="s">
        <v>990</v>
      </c>
      <c r="S30" s="356" t="s">
        <v>895</v>
      </c>
      <c r="T30" s="309" t="s">
        <v>977</v>
      </c>
      <c r="U30" s="357" t="e">
        <f>VLOOKUP(D30,'SUIVI JOURNALIER AVRIL'!CK:CM,3,FALSE)</f>
        <v>#N/A</v>
      </c>
      <c r="V30" s="358" t="e">
        <f>IF(VLOOKUP('vs mars'!D30,'point sur les patentes'!B:E,4,FALSE)="","",VLOOKUP(D30,'point sur les patentes'!B:E,4,FALSE)+VLOOKUP(D30,'point sur les patentes'!B:F,5,FALSE)+VLOOKUP('vs mars'!D30,'point sur les patentes'!B:G,6,FALSE)+VLOOKUP('vs mars'!D30,'point sur les patentes'!B:H,7,FALSE)+VLOOKUP('vs mars'!D30,'point sur les patentes'!B:I,8,FALSE)+VLOOKUP(D30,'point sur les patentes'!B:J,9,FALSE)+VLOOKUP(D30,'point sur les patentes'!B:K,10,FALSE)+VLOOKUP(D30,'point sur les patentes'!B:L,11,FALSE)+VLOOKUP(D30,'point sur les patentes'!B:M,12,FALSE)+VLOOKUP(D30,'point sur les patentes'!B:N,13,FALSE)+VLOOKUP(D30,'point sur les patentes'!B:O,14,FALSE)+VLOOKUP(D30,'point sur les patentes'!B:P,15,FALSE)+VLOOKUP(D30,'point sur les patentes'!B:Q,16,FALSE)+VLOOKUP('vs mars'!D30,'point sur les patentes'!B:Z,25,FALSE))</f>
        <v>#N/A</v>
      </c>
      <c r="W30" s="340" t="e">
        <f>VLOOKUP(D30,'SUIVI JOURNALIER AVRIL'!B:J,9,FALSE)</f>
        <v>#N/A</v>
      </c>
      <c r="X30" s="340" t="e">
        <f>VLOOKUP(D30,'SUIVI JOURNALIER AVRIL'!B:P,14,FALSE)+VLOOKUP('vs mars'!D30,'SUIVI JOURNALIER AVRIL'!B:V,20,FALSE)+VLOOKUP('vs mars'!D30,'SUIVI JOURNALIER AVRIL'!B:W,21,FALSE)</f>
        <v>#N/A</v>
      </c>
      <c r="Y30" s="340" t="e">
        <f>VLOOKUP(D30,'SUIVI JOURNALIER AVRIL'!B:CC,80,FALSE)</f>
        <v>#N/A</v>
      </c>
      <c r="Z30" s="340" t="e">
        <f t="shared" si="0"/>
        <v>#N/A</v>
      </c>
      <c r="AA30" s="359" t="e">
        <f>VLOOKUP(D30,'SUIVI JOURNALIER AVRIL'!B:CD,81,FALSE)</f>
        <v>#N/A</v>
      </c>
      <c r="AB30" s="360" t="e">
        <f t="shared" si="1"/>
        <v>#N/A</v>
      </c>
      <c r="AC30" s="360" t="str">
        <f>VLOOKUP(B30,labo!B:D,3,FALSE)</f>
        <v>ug5</v>
      </c>
      <c r="AD30" s="360" t="s">
        <v>2629</v>
      </c>
      <c r="AF30" s="330" t="e">
        <f>VLOOKUP(D30,'SUIVI JOURNALIER AVRIL'!CK:CL,2,FALSE)</f>
        <v>#N/A</v>
      </c>
      <c r="AG30" s="360">
        <v>1</v>
      </c>
    </row>
    <row r="31" spans="1:33" s="360" customFormat="1" ht="13.5" customHeight="1">
      <c r="A31" s="324" t="s">
        <v>1646</v>
      </c>
      <c r="B31" s="325" t="s">
        <v>470</v>
      </c>
      <c r="C31" s="325" t="s">
        <v>471</v>
      </c>
      <c r="D31" s="325" t="s">
        <v>472</v>
      </c>
      <c r="E31" s="324" t="s">
        <v>446</v>
      </c>
      <c r="F31" s="324" t="s">
        <v>2055</v>
      </c>
      <c r="G31" s="324" t="s">
        <v>887</v>
      </c>
      <c r="H31" s="324" t="s">
        <v>897</v>
      </c>
      <c r="I31" s="324" t="s">
        <v>991</v>
      </c>
      <c r="J31" s="324" t="s">
        <v>889</v>
      </c>
      <c r="K31" s="324" t="s">
        <v>890</v>
      </c>
      <c r="L31" s="324" t="s">
        <v>891</v>
      </c>
      <c r="M31" s="324" t="s">
        <v>892</v>
      </c>
      <c r="N31" s="324" t="s">
        <v>912</v>
      </c>
      <c r="O31" s="324" t="s">
        <v>913</v>
      </c>
      <c r="P31" s="324" t="s">
        <v>913</v>
      </c>
      <c r="Q31" s="324" t="s">
        <v>914</v>
      </c>
      <c r="R31" s="324" t="s">
        <v>992</v>
      </c>
      <c r="S31" s="356" t="s">
        <v>895</v>
      </c>
      <c r="T31" s="309" t="s">
        <v>999</v>
      </c>
      <c r="U31" s="357">
        <f>VLOOKUP(D31,'SUIVI JOURNALIER AVRIL'!CK:CM,3,FALSE)</f>
        <v>0</v>
      </c>
      <c r="V31" s="358" t="e">
        <f>IF(VLOOKUP('vs mars'!D31,'point sur les patentes'!B:E,4,FALSE)="","",VLOOKUP(D31,'point sur les patentes'!B:E,4,FALSE)+VLOOKUP(D31,'point sur les patentes'!B:F,5,FALSE)+VLOOKUP('vs mars'!D31,'point sur les patentes'!B:G,6,FALSE)+VLOOKUP('vs mars'!D31,'point sur les patentes'!B:H,7,FALSE)+VLOOKUP('vs mars'!D31,'point sur les patentes'!B:I,8,FALSE)+VLOOKUP(D31,'point sur les patentes'!B:J,9,FALSE)+VLOOKUP(D31,'point sur les patentes'!B:K,10,FALSE)+VLOOKUP(D31,'point sur les patentes'!B:L,11,FALSE)+VLOOKUP(D31,'point sur les patentes'!B:M,12,FALSE)+VLOOKUP(D31,'point sur les patentes'!B:N,13,FALSE)+VLOOKUP(D31,'point sur les patentes'!B:O,14,FALSE)+VLOOKUP(D31,'point sur les patentes'!B:P,15,FALSE)+VLOOKUP(D31,'point sur les patentes'!B:Q,16,FALSE)+VLOOKUP('vs mars'!D31,'point sur les patentes'!B:Z,25,FALSE))</f>
        <v>#N/A</v>
      </c>
      <c r="W31" s="340">
        <f>VLOOKUP(D31,'SUIVI JOURNALIER AVRIL'!B:J,9,FALSE)</f>
        <v>0</v>
      </c>
      <c r="X31" s="340">
        <f>VLOOKUP(D31,'SUIVI JOURNALIER AVRIL'!B:P,14,FALSE)+VLOOKUP('vs mars'!D31,'SUIVI JOURNALIER AVRIL'!B:V,20,FALSE)+VLOOKUP('vs mars'!D31,'SUIVI JOURNALIER AVRIL'!B:W,21,FALSE)</f>
        <v>0</v>
      </c>
      <c r="Y31" s="340">
        <f>VLOOKUP(D31,'SUIVI JOURNALIER AVRIL'!B:CC,80,FALSE)</f>
        <v>9811</v>
      </c>
      <c r="Z31" s="340">
        <f t="shared" si="0"/>
        <v>9811</v>
      </c>
      <c r="AA31" s="359">
        <f>VLOOKUP(D31,'SUIVI JOURNALIER AVRIL'!B:CD,81,FALSE)</f>
        <v>9811</v>
      </c>
      <c r="AB31" s="360" t="str">
        <f t="shared" si="1"/>
        <v>ok</v>
      </c>
      <c r="AC31" s="360" t="str">
        <f>VLOOKUP(B31,labo!B:D,3,FALSE)</f>
        <v>ug5</v>
      </c>
      <c r="AD31" s="360" t="s">
        <v>2629</v>
      </c>
      <c r="AF31" s="330">
        <f>VLOOKUP(D31,'SUIVI JOURNALIER AVRIL'!CK:CL,2,FALSE)</f>
        <v>0</v>
      </c>
      <c r="AG31" s="360">
        <v>1</v>
      </c>
    </row>
    <row r="32" spans="1:33" s="360" customFormat="1" ht="13.5" customHeight="1">
      <c r="A32" s="324" t="s">
        <v>1647</v>
      </c>
      <c r="B32" s="325" t="s">
        <v>304</v>
      </c>
      <c r="C32" s="325" t="s">
        <v>473</v>
      </c>
      <c r="D32" s="325" t="s">
        <v>474</v>
      </c>
      <c r="E32" s="324" t="s">
        <v>458</v>
      </c>
      <c r="F32" s="324" t="s">
        <v>2055</v>
      </c>
      <c r="G32" s="324" t="s">
        <v>926</v>
      </c>
      <c r="H32" s="324" t="s">
        <v>993</v>
      </c>
      <c r="I32" s="324" t="s">
        <v>994</v>
      </c>
      <c r="J32" s="324" t="s">
        <v>940</v>
      </c>
      <c r="K32" s="324" t="s">
        <v>890</v>
      </c>
      <c r="L32" s="324" t="s">
        <v>891</v>
      </c>
      <c r="M32" s="324" t="s">
        <v>892</v>
      </c>
      <c r="N32" s="324" t="s">
        <v>893</v>
      </c>
      <c r="O32" s="324" t="s">
        <v>894</v>
      </c>
      <c r="P32" s="324" t="s">
        <v>935</v>
      </c>
      <c r="Q32" s="324" t="s">
        <v>995</v>
      </c>
      <c r="R32" s="324" t="s">
        <v>996</v>
      </c>
      <c r="S32" s="356" t="s">
        <v>895</v>
      </c>
      <c r="T32" s="309" t="s">
        <v>948</v>
      </c>
      <c r="U32" s="357" t="e">
        <f>VLOOKUP(D32,'SUIVI JOURNALIER AVRIL'!CK:CM,3,FALSE)</f>
        <v>#N/A</v>
      </c>
      <c r="V32" s="358" t="e">
        <f>IF(VLOOKUP('vs mars'!D32,'point sur les patentes'!B:E,4,FALSE)="","",VLOOKUP(D32,'point sur les patentes'!B:E,4,FALSE)+VLOOKUP(D32,'point sur les patentes'!B:F,5,FALSE)+VLOOKUP('vs mars'!D32,'point sur les patentes'!B:G,6,FALSE)+VLOOKUP('vs mars'!D32,'point sur les patentes'!B:H,7,FALSE)+VLOOKUP('vs mars'!D32,'point sur les patentes'!B:I,8,FALSE)+VLOOKUP(D32,'point sur les patentes'!B:J,9,FALSE)+VLOOKUP(D32,'point sur les patentes'!B:K,10,FALSE)+VLOOKUP(D32,'point sur les patentes'!B:L,11,FALSE)+VLOOKUP(D32,'point sur les patentes'!B:M,12,FALSE)+VLOOKUP(D32,'point sur les patentes'!B:N,13,FALSE)+VLOOKUP(D32,'point sur les patentes'!B:O,14,FALSE)+VLOOKUP(D32,'point sur les patentes'!B:P,15,FALSE)+VLOOKUP(D32,'point sur les patentes'!B:Q,16,FALSE)+VLOOKUP('vs mars'!D32,'point sur les patentes'!B:Z,25,FALSE))</f>
        <v>#N/A</v>
      </c>
      <c r="W32" s="340" t="e">
        <f>VLOOKUP(D32,'SUIVI JOURNALIER AVRIL'!B:J,9,FALSE)</f>
        <v>#N/A</v>
      </c>
      <c r="X32" s="340" t="e">
        <f>VLOOKUP(D32,'SUIVI JOURNALIER AVRIL'!B:P,14,FALSE)+VLOOKUP('vs mars'!D32,'SUIVI JOURNALIER AVRIL'!B:V,20,FALSE)+VLOOKUP('vs mars'!D32,'SUIVI JOURNALIER AVRIL'!B:W,21,FALSE)</f>
        <v>#N/A</v>
      </c>
      <c r="Y32" s="340" t="e">
        <f>VLOOKUP(D32,'SUIVI JOURNALIER AVRIL'!B:CC,80,FALSE)</f>
        <v>#N/A</v>
      </c>
      <c r="Z32" s="340" t="e">
        <f t="shared" si="0"/>
        <v>#N/A</v>
      </c>
      <c r="AA32" s="359" t="e">
        <f>VLOOKUP(D32,'SUIVI JOURNALIER AVRIL'!B:CD,81,FALSE)</f>
        <v>#N/A</v>
      </c>
      <c r="AB32" s="360" t="e">
        <f t="shared" si="1"/>
        <v>#N/A</v>
      </c>
      <c r="AC32" s="360" t="str">
        <f>VLOOKUP(B32,labo!B:D,3,FALSE)</f>
        <v>ug4</v>
      </c>
      <c r="AD32" s="360" t="s">
        <v>2629</v>
      </c>
      <c r="AF32" s="330" t="e">
        <f>VLOOKUP(D32,'SUIVI JOURNALIER AVRIL'!CK:CL,2,FALSE)</f>
        <v>#N/A</v>
      </c>
      <c r="AG32" s="360">
        <v>1</v>
      </c>
    </row>
    <row r="33" spans="1:33" s="360" customFormat="1" ht="13.5" customHeight="1">
      <c r="A33" s="324" t="s">
        <v>1648</v>
      </c>
      <c r="B33" s="325" t="s">
        <v>475</v>
      </c>
      <c r="C33" s="325" t="s">
        <v>476</v>
      </c>
      <c r="D33" s="325" t="s">
        <v>477</v>
      </c>
      <c r="E33" s="324" t="s">
        <v>478</v>
      </c>
      <c r="F33" s="324" t="s">
        <v>2055</v>
      </c>
      <c r="G33" s="324" t="s">
        <v>926</v>
      </c>
      <c r="H33" s="324" t="s">
        <v>1000</v>
      </c>
      <c r="I33" s="324" t="s">
        <v>1001</v>
      </c>
      <c r="J33" s="324" t="s">
        <v>940</v>
      </c>
      <c r="K33" s="324" t="s">
        <v>890</v>
      </c>
      <c r="L33" s="324" t="s">
        <v>891</v>
      </c>
      <c r="M33" s="324" t="s">
        <v>892</v>
      </c>
      <c r="N33" s="324" t="s">
        <v>893</v>
      </c>
      <c r="O33" s="324" t="s">
        <v>894</v>
      </c>
      <c r="P33" s="324" t="s">
        <v>935</v>
      </c>
      <c r="Q33" s="324" t="s">
        <v>924</v>
      </c>
      <c r="R33" s="324" t="s">
        <v>475</v>
      </c>
      <c r="S33" s="356" t="s">
        <v>895</v>
      </c>
      <c r="T33" s="309" t="s">
        <v>1006</v>
      </c>
      <c r="U33" s="357">
        <f>VLOOKUP(D33,'SUIVI JOURNALIER AVRIL'!CK:CM,3,FALSE)</f>
        <v>0</v>
      </c>
      <c r="V33" s="358" t="e">
        <f>IF(VLOOKUP('vs mars'!D33,'point sur les patentes'!B:E,4,FALSE)="","",VLOOKUP(D33,'point sur les patentes'!B:E,4,FALSE)+VLOOKUP(D33,'point sur les patentes'!B:F,5,FALSE)+VLOOKUP('vs mars'!D33,'point sur les patentes'!B:G,6,FALSE)+VLOOKUP('vs mars'!D33,'point sur les patentes'!B:H,7,FALSE)+VLOOKUP('vs mars'!D33,'point sur les patentes'!B:I,8,FALSE)+VLOOKUP(D33,'point sur les patentes'!B:J,9,FALSE)+VLOOKUP(D33,'point sur les patentes'!B:K,10,FALSE)+VLOOKUP(D33,'point sur les patentes'!B:L,11,FALSE)+VLOOKUP(D33,'point sur les patentes'!B:M,12,FALSE)+VLOOKUP(D33,'point sur les patentes'!B:N,13,FALSE)+VLOOKUP(D33,'point sur les patentes'!B:O,14,FALSE)+VLOOKUP(D33,'point sur les patentes'!B:P,15,FALSE)+VLOOKUP(D33,'point sur les patentes'!B:Q,16,FALSE)+VLOOKUP('vs mars'!D33,'point sur les patentes'!B:Z,25,FALSE))</f>
        <v>#N/A</v>
      </c>
      <c r="W33" s="340">
        <f>VLOOKUP(D33,'SUIVI JOURNALIER AVRIL'!B:J,9,FALSE)</f>
        <v>68250</v>
      </c>
      <c r="X33" s="340">
        <f>VLOOKUP(D33,'SUIVI JOURNALIER AVRIL'!B:P,14,FALSE)+VLOOKUP('vs mars'!D33,'SUIVI JOURNALIER AVRIL'!B:V,20,FALSE)+VLOOKUP('vs mars'!D33,'SUIVI JOURNALIER AVRIL'!B:W,21,FALSE)</f>
        <v>61200</v>
      </c>
      <c r="Y33" s="340">
        <f>VLOOKUP(D33,'SUIVI JOURNALIER AVRIL'!B:CC,80,FALSE)</f>
        <v>136007.09090909088</v>
      </c>
      <c r="Z33" s="340">
        <f t="shared" si="0"/>
        <v>265457.09090909088</v>
      </c>
      <c r="AA33" s="359">
        <f>VLOOKUP(D33,'SUIVI JOURNALIER AVRIL'!B:CD,81,FALSE)</f>
        <v>265457.09090909088</v>
      </c>
      <c r="AB33" s="360" t="str">
        <f t="shared" si="1"/>
        <v>ok</v>
      </c>
      <c r="AC33" s="360" t="str">
        <f>VLOOKUP(B33,labo!B:D,3,FALSE)</f>
        <v>ug1</v>
      </c>
      <c r="AD33" s="360" t="s">
        <v>2629</v>
      </c>
      <c r="AF33" s="330">
        <f>VLOOKUP(D33,'SUIVI JOURNALIER AVRIL'!CK:CL,2,FALSE)</f>
        <v>0</v>
      </c>
      <c r="AG33" s="360">
        <v>1</v>
      </c>
    </row>
    <row r="34" spans="1:33" s="360" customFormat="1" ht="13.5" customHeight="1">
      <c r="A34" s="324" t="s">
        <v>1649</v>
      </c>
      <c r="B34" s="325" t="s">
        <v>479</v>
      </c>
      <c r="C34" s="325" t="s">
        <v>480</v>
      </c>
      <c r="D34" s="325" t="s">
        <v>481</v>
      </c>
      <c r="E34" s="324" t="s">
        <v>482</v>
      </c>
      <c r="F34" s="324" t="s">
        <v>2055</v>
      </c>
      <c r="G34" s="324" t="s">
        <v>926</v>
      </c>
      <c r="H34" s="324" t="s">
        <v>1002</v>
      </c>
      <c r="I34" s="324" t="s">
        <v>1003</v>
      </c>
      <c r="J34" s="324" t="s">
        <v>1004</v>
      </c>
      <c r="K34" s="324" t="s">
        <v>890</v>
      </c>
      <c r="L34" s="324" t="s">
        <v>891</v>
      </c>
      <c r="M34" s="324" t="s">
        <v>892</v>
      </c>
      <c r="N34" s="324" t="s">
        <v>894</v>
      </c>
      <c r="O34" s="324" t="s">
        <v>894</v>
      </c>
      <c r="P34" s="324" t="s">
        <v>935</v>
      </c>
      <c r="Q34" s="324" t="s">
        <v>970</v>
      </c>
      <c r="R34" s="324" t="s">
        <v>1005</v>
      </c>
      <c r="S34" s="356" t="s">
        <v>895</v>
      </c>
      <c r="T34" s="309"/>
      <c r="U34" s="357">
        <f>VLOOKUP(D34,'SUIVI JOURNALIER AVRIL'!CK:CM,3,FALSE)</f>
        <v>0</v>
      </c>
      <c r="V34" s="358" t="e">
        <f>IF(VLOOKUP('vs mars'!D34,'point sur les patentes'!B:E,4,FALSE)="","",VLOOKUP(D34,'point sur les patentes'!B:E,4,FALSE)+VLOOKUP(D34,'point sur les patentes'!B:F,5,FALSE)+VLOOKUP('vs mars'!D34,'point sur les patentes'!B:G,6,FALSE)+VLOOKUP('vs mars'!D34,'point sur les patentes'!B:H,7,FALSE)+VLOOKUP('vs mars'!D34,'point sur les patentes'!B:I,8,FALSE)+VLOOKUP(D34,'point sur les patentes'!B:J,9,FALSE)+VLOOKUP(D34,'point sur les patentes'!B:K,10,FALSE)+VLOOKUP(D34,'point sur les patentes'!B:L,11,FALSE)+VLOOKUP(D34,'point sur les patentes'!B:M,12,FALSE)+VLOOKUP(D34,'point sur les patentes'!B:N,13,FALSE)+VLOOKUP(D34,'point sur les patentes'!B:O,14,FALSE)+VLOOKUP(D34,'point sur les patentes'!B:P,15,FALSE)+VLOOKUP(D34,'point sur les patentes'!B:Q,16,FALSE)+VLOOKUP('vs mars'!D34,'point sur les patentes'!B:Z,25,FALSE))</f>
        <v>#N/A</v>
      </c>
      <c r="W34" s="340">
        <f>VLOOKUP(D34,'SUIVI JOURNALIER AVRIL'!B:J,9,FALSE)</f>
        <v>0</v>
      </c>
      <c r="X34" s="340">
        <f>VLOOKUP(D34,'SUIVI JOURNALIER AVRIL'!B:P,14,FALSE)+VLOOKUP('vs mars'!D34,'SUIVI JOURNALIER AVRIL'!B:V,20,FALSE)+VLOOKUP('vs mars'!D34,'SUIVI JOURNALIER AVRIL'!B:W,21,FALSE)</f>
        <v>0</v>
      </c>
      <c r="Y34" s="340">
        <f>VLOOKUP(D34,'SUIVI JOURNALIER AVRIL'!B:CC,80,FALSE)</f>
        <v>403352</v>
      </c>
      <c r="Z34" s="340">
        <f t="shared" si="0"/>
        <v>403352</v>
      </c>
      <c r="AA34" s="359">
        <f>VLOOKUP(D34,'SUIVI JOURNALIER AVRIL'!B:CD,81,FALSE)</f>
        <v>403352</v>
      </c>
      <c r="AB34" s="360" t="str">
        <f t="shared" si="1"/>
        <v>ok</v>
      </c>
      <c r="AC34" s="360" t="str">
        <f>VLOOKUP(B34,labo!B:D,3,FALSE)</f>
        <v>ug5</v>
      </c>
      <c r="AD34" s="360" t="s">
        <v>2629</v>
      </c>
      <c r="AF34" s="330">
        <f>VLOOKUP(D34,'SUIVI JOURNALIER AVRIL'!CK:CL,2,FALSE)</f>
        <v>0</v>
      </c>
      <c r="AG34" s="360">
        <v>1</v>
      </c>
    </row>
    <row r="35" spans="1:33" s="360" customFormat="1" ht="13.5" customHeight="1">
      <c r="A35" s="324" t="s">
        <v>1651</v>
      </c>
      <c r="B35" s="325" t="s">
        <v>2197</v>
      </c>
      <c r="C35" s="325" t="s">
        <v>2055</v>
      </c>
      <c r="D35" s="325" t="s">
        <v>2206</v>
      </c>
      <c r="E35" s="324" t="s">
        <v>2207</v>
      </c>
      <c r="F35" s="324" t="s">
        <v>2055</v>
      </c>
      <c r="G35" s="324" t="s">
        <v>926</v>
      </c>
      <c r="H35" s="324" t="s">
        <v>897</v>
      </c>
      <c r="I35" s="324" t="s">
        <v>2420</v>
      </c>
      <c r="J35" s="324" t="s">
        <v>940</v>
      </c>
      <c r="K35" s="324" t="s">
        <v>890</v>
      </c>
      <c r="L35" s="324" t="s">
        <v>891</v>
      </c>
      <c r="M35" s="324" t="s">
        <v>892</v>
      </c>
      <c r="N35" s="324" t="s">
        <v>912</v>
      </c>
      <c r="O35" s="324" t="s">
        <v>913</v>
      </c>
      <c r="P35" s="324" t="s">
        <v>913</v>
      </c>
      <c r="Q35" s="324" t="s">
        <v>1234</v>
      </c>
      <c r="R35" s="324" t="s">
        <v>1234</v>
      </c>
      <c r="S35" s="356" t="s">
        <v>895</v>
      </c>
      <c r="T35" s="309" t="s">
        <v>1089</v>
      </c>
      <c r="U35" s="357" t="e">
        <f>VLOOKUP(D35,'SUIVI JOURNALIER AVRIL'!CK:CM,3,FALSE)</f>
        <v>#N/A</v>
      </c>
      <c r="V35" s="358" t="e">
        <f>IF(VLOOKUP('vs mars'!D35,'point sur les patentes'!B:E,4,FALSE)="","",VLOOKUP(D35,'point sur les patentes'!B:E,4,FALSE)+VLOOKUP(D35,'point sur les patentes'!B:F,5,FALSE)+VLOOKUP('vs mars'!D35,'point sur les patentes'!B:G,6,FALSE)+VLOOKUP('vs mars'!D35,'point sur les patentes'!B:H,7,FALSE)+VLOOKUP('vs mars'!D35,'point sur les patentes'!B:I,8,FALSE)+VLOOKUP(D35,'point sur les patentes'!B:J,9,FALSE)+VLOOKUP(D35,'point sur les patentes'!B:K,10,FALSE)+VLOOKUP(D35,'point sur les patentes'!B:L,11,FALSE)+VLOOKUP(D35,'point sur les patentes'!B:M,12,FALSE)+VLOOKUP(D35,'point sur les patentes'!B:N,13,FALSE)+VLOOKUP(D35,'point sur les patentes'!B:O,14,FALSE)+VLOOKUP(D35,'point sur les patentes'!B:P,15,FALSE)+VLOOKUP(D35,'point sur les patentes'!B:Q,16,FALSE)+VLOOKUP('vs mars'!D35,'point sur les patentes'!B:Z,25,FALSE))</f>
        <v>#N/A</v>
      </c>
      <c r="W35" s="340" t="e">
        <f>VLOOKUP(D35,'SUIVI JOURNALIER AVRIL'!B:J,9,FALSE)</f>
        <v>#N/A</v>
      </c>
      <c r="X35" s="340" t="e">
        <f>VLOOKUP(D35,'SUIVI JOURNALIER AVRIL'!B:P,14,FALSE)+VLOOKUP('vs mars'!D35,'SUIVI JOURNALIER AVRIL'!B:V,20,FALSE)+VLOOKUP('vs mars'!D35,'SUIVI JOURNALIER AVRIL'!B:W,21,FALSE)</f>
        <v>#N/A</v>
      </c>
      <c r="Y35" s="340" t="e">
        <f>VLOOKUP(D35,'SUIVI JOURNALIER AVRIL'!B:CC,80,FALSE)</f>
        <v>#N/A</v>
      </c>
      <c r="Z35" s="340" t="e">
        <f t="shared" si="0"/>
        <v>#N/A</v>
      </c>
      <c r="AA35" s="359" t="e">
        <f>VLOOKUP(D35,'SUIVI JOURNALIER AVRIL'!B:CD,81,FALSE)</f>
        <v>#N/A</v>
      </c>
      <c r="AB35" s="360" t="e">
        <f t="shared" si="1"/>
        <v>#N/A</v>
      </c>
      <c r="AC35" s="360" t="str">
        <f>VLOOKUP(B35,labo!B:D,3,FALSE)</f>
        <v>ug1</v>
      </c>
      <c r="AD35" s="360" t="s">
        <v>2629</v>
      </c>
      <c r="AF35" s="330" t="e">
        <f>VLOOKUP(D35,'SUIVI JOURNALIER AVRIL'!CK:CL,2,FALSE)</f>
        <v>#N/A</v>
      </c>
      <c r="AG35" s="360">
        <v>1</v>
      </c>
    </row>
    <row r="36" spans="1:33" s="360" customFormat="1" ht="13.5" customHeight="1">
      <c r="A36" s="324" t="s">
        <v>1652</v>
      </c>
      <c r="B36" s="325" t="s">
        <v>2302</v>
      </c>
      <c r="C36" s="325" t="s">
        <v>2421</v>
      </c>
      <c r="D36" s="325" t="s">
        <v>2303</v>
      </c>
      <c r="E36" s="324" t="s">
        <v>2422</v>
      </c>
      <c r="F36" s="324" t="s">
        <v>2055</v>
      </c>
      <c r="G36" s="324" t="s">
        <v>887</v>
      </c>
      <c r="H36" s="324" t="s">
        <v>2055</v>
      </c>
      <c r="I36" s="324" t="s">
        <v>2055</v>
      </c>
      <c r="J36" s="324" t="s">
        <v>2055</v>
      </c>
      <c r="K36" s="324" t="s">
        <v>2405</v>
      </c>
      <c r="L36" s="324" t="s">
        <v>891</v>
      </c>
      <c r="M36" s="324" t="s">
        <v>892</v>
      </c>
      <c r="N36" s="324" t="s">
        <v>893</v>
      </c>
      <c r="O36" s="324" t="s">
        <v>894</v>
      </c>
      <c r="P36" s="324" t="s">
        <v>919</v>
      </c>
      <c r="Q36" s="324" t="s">
        <v>2423</v>
      </c>
      <c r="R36" s="324" t="s">
        <v>2055</v>
      </c>
      <c r="S36" s="356" t="s">
        <v>895</v>
      </c>
      <c r="T36" s="309" t="s">
        <v>909</v>
      </c>
      <c r="U36" s="357" t="e">
        <f>VLOOKUP(D36,'SUIVI JOURNALIER AVRIL'!CK:CM,3,FALSE)</f>
        <v>#N/A</v>
      </c>
      <c r="V36" s="358" t="e">
        <f>IF(VLOOKUP('vs mars'!D36,'point sur les patentes'!B:E,4,FALSE)="","",VLOOKUP(D36,'point sur les patentes'!B:E,4,FALSE)+VLOOKUP(D36,'point sur les patentes'!B:F,5,FALSE)+VLOOKUP('vs mars'!D36,'point sur les patentes'!B:G,6,FALSE)+VLOOKUP('vs mars'!D36,'point sur les patentes'!B:H,7,FALSE)+VLOOKUP('vs mars'!D36,'point sur les patentes'!B:I,8,FALSE)+VLOOKUP(D36,'point sur les patentes'!B:J,9,FALSE)+VLOOKUP(D36,'point sur les patentes'!B:K,10,FALSE)+VLOOKUP(D36,'point sur les patentes'!B:L,11,FALSE)+VLOOKUP(D36,'point sur les patentes'!B:M,12,FALSE)+VLOOKUP(D36,'point sur les patentes'!B:N,13,FALSE)+VLOOKUP(D36,'point sur les patentes'!B:O,14,FALSE)+VLOOKUP(D36,'point sur les patentes'!B:P,15,FALSE)+VLOOKUP(D36,'point sur les patentes'!B:Q,16,FALSE)+VLOOKUP('vs mars'!D36,'point sur les patentes'!B:Z,25,FALSE))</f>
        <v>#N/A</v>
      </c>
      <c r="W36" s="340" t="e">
        <f>VLOOKUP(D36,'SUIVI JOURNALIER AVRIL'!B:J,9,FALSE)</f>
        <v>#N/A</v>
      </c>
      <c r="X36" s="340" t="e">
        <f>VLOOKUP(D36,'SUIVI JOURNALIER AVRIL'!B:P,14,FALSE)+VLOOKUP('vs mars'!D36,'SUIVI JOURNALIER AVRIL'!B:V,20,FALSE)+VLOOKUP('vs mars'!D36,'SUIVI JOURNALIER AVRIL'!B:W,21,FALSE)</f>
        <v>#N/A</v>
      </c>
      <c r="Y36" s="340" t="e">
        <f>VLOOKUP(D36,'SUIVI JOURNALIER AVRIL'!B:CC,80,FALSE)</f>
        <v>#N/A</v>
      </c>
      <c r="Z36" s="340" t="e">
        <f t="shared" si="0"/>
        <v>#N/A</v>
      </c>
      <c r="AA36" s="359" t="e">
        <f>VLOOKUP(D36,'SUIVI JOURNALIER AVRIL'!B:CD,81,FALSE)</f>
        <v>#N/A</v>
      </c>
      <c r="AB36" s="360" t="e">
        <f t="shared" si="1"/>
        <v>#N/A</v>
      </c>
      <c r="AC36" s="360" t="str">
        <f>VLOOKUP(B36,labo!B:D,3,FALSE)</f>
        <v>ug4</v>
      </c>
      <c r="AD36" s="360" t="s">
        <v>2630</v>
      </c>
      <c r="AF36" s="330" t="e">
        <f>VLOOKUP(D36,'SUIVI JOURNALIER AVRIL'!CK:CL,2,FALSE)</f>
        <v>#N/A</v>
      </c>
      <c r="AG36" s="360">
        <v>1</v>
      </c>
    </row>
    <row r="37" spans="1:33" s="360" customFormat="1" ht="13.5" customHeight="1">
      <c r="A37" s="324" t="s">
        <v>1503</v>
      </c>
      <c r="B37" s="325" t="s">
        <v>1579</v>
      </c>
      <c r="C37" s="325" t="s">
        <v>2055</v>
      </c>
      <c r="D37" s="325" t="s">
        <v>1580</v>
      </c>
      <c r="E37" s="324" t="s">
        <v>542</v>
      </c>
      <c r="F37" s="324" t="s">
        <v>2055</v>
      </c>
      <c r="G37" s="324" t="s">
        <v>887</v>
      </c>
      <c r="H37" s="324" t="s">
        <v>897</v>
      </c>
      <c r="I37" s="324" t="s">
        <v>1650</v>
      </c>
      <c r="J37" s="324" t="s">
        <v>889</v>
      </c>
      <c r="K37" s="324" t="s">
        <v>890</v>
      </c>
      <c r="L37" s="324" t="s">
        <v>891</v>
      </c>
      <c r="M37" s="324" t="s">
        <v>892</v>
      </c>
      <c r="N37" s="324" t="s">
        <v>893</v>
      </c>
      <c r="O37" s="324" t="s">
        <v>894</v>
      </c>
      <c r="P37" s="324" t="s">
        <v>899</v>
      </c>
      <c r="Q37" s="324" t="s">
        <v>1131</v>
      </c>
      <c r="R37" s="324" t="s">
        <v>1581</v>
      </c>
      <c r="S37" s="356" t="s">
        <v>895</v>
      </c>
      <c r="T37" s="309" t="s">
        <v>909</v>
      </c>
      <c r="U37" s="357">
        <f>VLOOKUP(D37,'SUIVI JOURNALIER AVRIL'!CK:CM,3,FALSE)</f>
        <v>0</v>
      </c>
      <c r="V37" s="358" t="e">
        <f>IF(VLOOKUP('vs mars'!D37,'point sur les patentes'!B:E,4,FALSE)="","",VLOOKUP(D37,'point sur les patentes'!B:E,4,FALSE)+VLOOKUP(D37,'point sur les patentes'!B:F,5,FALSE)+VLOOKUP('vs mars'!D37,'point sur les patentes'!B:G,6,FALSE)+VLOOKUP('vs mars'!D37,'point sur les patentes'!B:H,7,FALSE)+VLOOKUP('vs mars'!D37,'point sur les patentes'!B:I,8,FALSE)+VLOOKUP(D37,'point sur les patentes'!B:J,9,FALSE)+VLOOKUP(D37,'point sur les patentes'!B:K,10,FALSE)+VLOOKUP(D37,'point sur les patentes'!B:L,11,FALSE)+VLOOKUP(D37,'point sur les patentes'!B:M,12,FALSE)+VLOOKUP(D37,'point sur les patentes'!B:N,13,FALSE)+VLOOKUP(D37,'point sur les patentes'!B:O,14,FALSE)+VLOOKUP(D37,'point sur les patentes'!B:P,15,FALSE)+VLOOKUP(D37,'point sur les patentes'!B:Q,16,FALSE)+VLOOKUP('vs mars'!D37,'point sur les patentes'!B:Z,25,FALSE))</f>
        <v>#N/A</v>
      </c>
      <c r="W37" s="340">
        <f>VLOOKUP(D37,'SUIVI JOURNALIER AVRIL'!B:J,9,FALSE)</f>
        <v>29440</v>
      </c>
      <c r="X37" s="340">
        <f>VLOOKUP(D37,'SUIVI JOURNALIER AVRIL'!B:P,14,FALSE)+VLOOKUP('vs mars'!D37,'SUIVI JOURNALIER AVRIL'!B:V,20,FALSE)+VLOOKUP('vs mars'!D37,'SUIVI JOURNALIER AVRIL'!B:W,21,FALSE)</f>
        <v>13559</v>
      </c>
      <c r="Y37" s="340">
        <f>VLOOKUP(D37,'SUIVI JOURNALIER AVRIL'!B:CC,80,FALSE)</f>
        <v>0</v>
      </c>
      <c r="Z37" s="340">
        <f t="shared" si="0"/>
        <v>42999</v>
      </c>
      <c r="AA37" s="359">
        <f>VLOOKUP(D37,'SUIVI JOURNALIER AVRIL'!B:CD,81,FALSE)</f>
        <v>42999</v>
      </c>
      <c r="AB37" s="360" t="str">
        <f t="shared" si="1"/>
        <v>ok</v>
      </c>
      <c r="AC37" s="360" t="str">
        <f>VLOOKUP(B37,labo!B:D,3,FALSE)</f>
        <v>ug2</v>
      </c>
      <c r="AD37" s="360" t="s">
        <v>2629</v>
      </c>
      <c r="AF37" s="330">
        <f>VLOOKUP(D37,'SUIVI JOURNALIER AVRIL'!CK:CL,2,FALSE)</f>
        <v>0</v>
      </c>
      <c r="AG37" s="360">
        <v>1</v>
      </c>
    </row>
    <row r="38" spans="1:33" s="360" customFormat="1" ht="13.5" customHeight="1">
      <c r="A38" s="324" t="s">
        <v>1653</v>
      </c>
      <c r="B38" s="325" t="s">
        <v>2319</v>
      </c>
      <c r="C38" s="325" t="s">
        <v>2251</v>
      </c>
      <c r="D38" s="325" t="s">
        <v>2252</v>
      </c>
      <c r="E38" s="324" t="s">
        <v>2055</v>
      </c>
      <c r="F38" s="324" t="s">
        <v>2055</v>
      </c>
      <c r="G38" s="324" t="s">
        <v>926</v>
      </c>
      <c r="H38" s="324" t="s">
        <v>1074</v>
      </c>
      <c r="I38" s="324" t="s">
        <v>2424</v>
      </c>
      <c r="J38" s="324" t="s">
        <v>2425</v>
      </c>
      <c r="K38" s="324" t="s">
        <v>2405</v>
      </c>
      <c r="L38" s="324" t="s">
        <v>891</v>
      </c>
      <c r="M38" s="324" t="s">
        <v>892</v>
      </c>
      <c r="N38" s="324" t="s">
        <v>893</v>
      </c>
      <c r="O38" s="324" t="s">
        <v>894</v>
      </c>
      <c r="P38" s="324" t="s">
        <v>919</v>
      </c>
      <c r="Q38" s="324" t="s">
        <v>2055</v>
      </c>
      <c r="R38" s="324" t="s">
        <v>2055</v>
      </c>
      <c r="S38" s="356" t="s">
        <v>895</v>
      </c>
      <c r="T38" s="309" t="s">
        <v>909</v>
      </c>
      <c r="U38" s="357" t="e">
        <f>VLOOKUP(D38,'SUIVI JOURNALIER AVRIL'!CK:CM,3,FALSE)</f>
        <v>#N/A</v>
      </c>
      <c r="V38" s="358" t="e">
        <f>IF(VLOOKUP('vs mars'!D38,'point sur les patentes'!B:E,4,FALSE)="","",VLOOKUP(D38,'point sur les patentes'!B:E,4,FALSE)+VLOOKUP(D38,'point sur les patentes'!B:F,5,FALSE)+VLOOKUP('vs mars'!D38,'point sur les patentes'!B:G,6,FALSE)+VLOOKUP('vs mars'!D38,'point sur les patentes'!B:H,7,FALSE)+VLOOKUP('vs mars'!D38,'point sur les patentes'!B:I,8,FALSE)+VLOOKUP(D38,'point sur les patentes'!B:J,9,FALSE)+VLOOKUP(D38,'point sur les patentes'!B:K,10,FALSE)+VLOOKUP(D38,'point sur les patentes'!B:L,11,FALSE)+VLOOKUP(D38,'point sur les patentes'!B:M,12,FALSE)+VLOOKUP(D38,'point sur les patentes'!B:N,13,FALSE)+VLOOKUP(D38,'point sur les patentes'!B:O,14,FALSE)+VLOOKUP(D38,'point sur les patentes'!B:P,15,FALSE)+VLOOKUP(D38,'point sur les patentes'!B:Q,16,FALSE)+VLOOKUP('vs mars'!D38,'point sur les patentes'!B:Z,25,FALSE))</f>
        <v>#N/A</v>
      </c>
      <c r="W38" s="340" t="e">
        <f>VLOOKUP(D38,'SUIVI JOURNALIER AVRIL'!B:J,9,FALSE)</f>
        <v>#N/A</v>
      </c>
      <c r="X38" s="340" t="e">
        <f>VLOOKUP(D38,'SUIVI JOURNALIER AVRIL'!B:P,14,FALSE)+VLOOKUP('vs mars'!D38,'SUIVI JOURNALIER AVRIL'!B:V,20,FALSE)+VLOOKUP('vs mars'!D38,'SUIVI JOURNALIER AVRIL'!B:W,21,FALSE)</f>
        <v>#N/A</v>
      </c>
      <c r="Y38" s="340" t="e">
        <f>VLOOKUP(D38,'SUIVI JOURNALIER AVRIL'!B:CC,80,FALSE)</f>
        <v>#N/A</v>
      </c>
      <c r="Z38" s="340" t="e">
        <f t="shared" si="0"/>
        <v>#N/A</v>
      </c>
      <c r="AA38" s="359" t="e">
        <f>VLOOKUP(D38,'SUIVI JOURNALIER AVRIL'!B:CD,81,FALSE)</f>
        <v>#N/A</v>
      </c>
      <c r="AB38" s="360" t="e">
        <f t="shared" si="1"/>
        <v>#N/A</v>
      </c>
      <c r="AC38" s="360" t="str">
        <f>VLOOKUP(B38,labo!B:D,3,FALSE)</f>
        <v>ug4</v>
      </c>
      <c r="AD38" s="360" t="s">
        <v>2629</v>
      </c>
      <c r="AF38" s="330" t="e">
        <f>VLOOKUP(D38,'SUIVI JOURNALIER AVRIL'!CK:CL,2,FALSE)</f>
        <v>#N/A</v>
      </c>
      <c r="AG38" s="360">
        <v>1</v>
      </c>
    </row>
    <row r="39" spans="1:33" s="360" customFormat="1" ht="13.5" customHeight="1">
      <c r="A39" s="324" t="s">
        <v>1232</v>
      </c>
      <c r="B39" s="325" t="s">
        <v>337</v>
      </c>
      <c r="C39" s="325" t="s">
        <v>483</v>
      </c>
      <c r="D39" s="325" t="s">
        <v>484</v>
      </c>
      <c r="E39" s="324" t="s">
        <v>485</v>
      </c>
      <c r="F39" s="324" t="s">
        <v>2055</v>
      </c>
      <c r="G39" s="324" t="s">
        <v>931</v>
      </c>
      <c r="H39" s="324" t="s">
        <v>897</v>
      </c>
      <c r="I39" s="324" t="s">
        <v>1007</v>
      </c>
      <c r="J39" s="324" t="s">
        <v>1008</v>
      </c>
      <c r="K39" s="324" t="s">
        <v>890</v>
      </c>
      <c r="L39" s="324" t="s">
        <v>891</v>
      </c>
      <c r="M39" s="324" t="s">
        <v>892</v>
      </c>
      <c r="N39" s="324" t="s">
        <v>893</v>
      </c>
      <c r="O39" s="324" t="s">
        <v>894</v>
      </c>
      <c r="P39" s="324" t="s">
        <v>935</v>
      </c>
      <c r="Q39" s="324" t="s">
        <v>970</v>
      </c>
      <c r="R39" s="324" t="s">
        <v>1009</v>
      </c>
      <c r="S39" s="356" t="s">
        <v>895</v>
      </c>
      <c r="T39" s="309" t="s">
        <v>909</v>
      </c>
      <c r="U39" s="357" t="e">
        <f>VLOOKUP(D39,'SUIVI JOURNALIER AVRIL'!CK:CM,3,FALSE)</f>
        <v>#N/A</v>
      </c>
      <c r="V39" s="358" t="e">
        <f>IF(VLOOKUP('vs mars'!D39,'point sur les patentes'!B:E,4,FALSE)="","",VLOOKUP(D39,'point sur les patentes'!B:E,4,FALSE)+VLOOKUP(D39,'point sur les patentes'!B:F,5,FALSE)+VLOOKUP('vs mars'!D39,'point sur les patentes'!B:G,6,FALSE)+VLOOKUP('vs mars'!D39,'point sur les patentes'!B:H,7,FALSE)+VLOOKUP('vs mars'!D39,'point sur les patentes'!B:I,8,FALSE)+VLOOKUP(D39,'point sur les patentes'!B:J,9,FALSE)+VLOOKUP(D39,'point sur les patentes'!B:K,10,FALSE)+VLOOKUP(D39,'point sur les patentes'!B:L,11,FALSE)+VLOOKUP(D39,'point sur les patentes'!B:M,12,FALSE)+VLOOKUP(D39,'point sur les patentes'!B:N,13,FALSE)+VLOOKUP(D39,'point sur les patentes'!B:O,14,FALSE)+VLOOKUP(D39,'point sur les patentes'!B:P,15,FALSE)+VLOOKUP(D39,'point sur les patentes'!B:Q,16,FALSE)+VLOOKUP('vs mars'!D39,'point sur les patentes'!B:Z,25,FALSE))</f>
        <v>#N/A</v>
      </c>
      <c r="W39" s="340" t="e">
        <f>VLOOKUP(D39,'SUIVI JOURNALIER AVRIL'!B:J,9,FALSE)</f>
        <v>#N/A</v>
      </c>
      <c r="X39" s="340" t="e">
        <f>VLOOKUP(D39,'SUIVI JOURNALIER AVRIL'!B:P,14,FALSE)+VLOOKUP('vs mars'!D39,'SUIVI JOURNALIER AVRIL'!B:V,20,FALSE)+VLOOKUP('vs mars'!D39,'SUIVI JOURNALIER AVRIL'!B:W,21,FALSE)</f>
        <v>#N/A</v>
      </c>
      <c r="Y39" s="340" t="e">
        <f>VLOOKUP(D39,'SUIVI JOURNALIER AVRIL'!B:CC,80,FALSE)</f>
        <v>#N/A</v>
      </c>
      <c r="Z39" s="340" t="e">
        <f t="shared" si="0"/>
        <v>#N/A</v>
      </c>
      <c r="AA39" s="359" t="e">
        <f>VLOOKUP(D39,'SUIVI JOURNALIER AVRIL'!B:CD,81,FALSE)</f>
        <v>#N/A</v>
      </c>
      <c r="AB39" s="360" t="e">
        <f t="shared" si="1"/>
        <v>#N/A</v>
      </c>
      <c r="AC39" s="360" t="str">
        <f>VLOOKUP(B39,labo!B:D,3,FALSE)</f>
        <v>ug3</v>
      </c>
      <c r="AD39" s="360" t="s">
        <v>2629</v>
      </c>
      <c r="AF39" s="330" t="e">
        <f>VLOOKUP(D39,'SUIVI JOURNALIER AVRIL'!CK:CL,2,FALSE)</f>
        <v>#N/A</v>
      </c>
      <c r="AG39" s="360">
        <v>1</v>
      </c>
    </row>
    <row r="40" spans="1:33" s="360" customFormat="1" ht="13.5" customHeight="1">
      <c r="A40" s="324" t="s">
        <v>1495</v>
      </c>
      <c r="B40" s="325" t="s">
        <v>486</v>
      </c>
      <c r="C40" s="325" t="s">
        <v>2055</v>
      </c>
      <c r="D40" s="325" t="s">
        <v>487</v>
      </c>
      <c r="E40" s="324" t="s">
        <v>485</v>
      </c>
      <c r="F40" s="324" t="s">
        <v>2055</v>
      </c>
      <c r="G40" s="324" t="s">
        <v>931</v>
      </c>
      <c r="H40" s="324" t="s">
        <v>897</v>
      </c>
      <c r="I40" s="324" t="s">
        <v>1446</v>
      </c>
      <c r="J40" s="324" t="s">
        <v>1008</v>
      </c>
      <c r="K40" s="324" t="s">
        <v>890</v>
      </c>
      <c r="L40" s="324" t="s">
        <v>891</v>
      </c>
      <c r="M40" s="324" t="s">
        <v>892</v>
      </c>
      <c r="N40" s="324" t="s">
        <v>954</v>
      </c>
      <c r="O40" s="324" t="s">
        <v>955</v>
      </c>
      <c r="P40" s="324" t="s">
        <v>955</v>
      </c>
      <c r="Q40" s="324" t="s">
        <v>1010</v>
      </c>
      <c r="R40" s="324" t="s">
        <v>1011</v>
      </c>
      <c r="S40" s="356" t="s">
        <v>895</v>
      </c>
      <c r="T40" s="309" t="s">
        <v>909</v>
      </c>
      <c r="U40" s="357">
        <f>VLOOKUP(D40,'SUIVI JOURNALIER AVRIL'!CK:CM,3,FALSE)</f>
        <v>0</v>
      </c>
      <c r="V40" s="358" t="e">
        <f>IF(VLOOKUP('vs mars'!D40,'point sur les patentes'!B:E,4,FALSE)="","",VLOOKUP(D40,'point sur les patentes'!B:E,4,FALSE)+VLOOKUP(D40,'point sur les patentes'!B:F,5,FALSE)+VLOOKUP('vs mars'!D40,'point sur les patentes'!B:G,6,FALSE)+VLOOKUP('vs mars'!D40,'point sur les patentes'!B:H,7,FALSE)+VLOOKUP('vs mars'!D40,'point sur les patentes'!B:I,8,FALSE)+VLOOKUP(D40,'point sur les patentes'!B:J,9,FALSE)+VLOOKUP(D40,'point sur les patentes'!B:K,10,FALSE)+VLOOKUP(D40,'point sur les patentes'!B:L,11,FALSE)+VLOOKUP(D40,'point sur les patentes'!B:M,12,FALSE)+VLOOKUP(D40,'point sur les patentes'!B:N,13,FALSE)+VLOOKUP(D40,'point sur les patentes'!B:O,14,FALSE)+VLOOKUP(D40,'point sur les patentes'!B:P,15,FALSE)+VLOOKUP(D40,'point sur les patentes'!B:Q,16,FALSE)+VLOOKUP('vs mars'!D40,'point sur les patentes'!B:Z,25,FALSE))</f>
        <v>#N/A</v>
      </c>
      <c r="W40" s="340">
        <f>VLOOKUP(D40,'SUIVI JOURNALIER AVRIL'!B:J,9,FALSE)</f>
        <v>0</v>
      </c>
      <c r="X40" s="340">
        <f>VLOOKUP(D40,'SUIVI JOURNALIER AVRIL'!B:P,14,FALSE)+VLOOKUP('vs mars'!D40,'SUIVI JOURNALIER AVRIL'!B:V,20,FALSE)+VLOOKUP('vs mars'!D40,'SUIVI JOURNALIER AVRIL'!B:W,21,FALSE)</f>
        <v>0</v>
      </c>
      <c r="Y40" s="340">
        <f>VLOOKUP(D40,'SUIVI JOURNALIER AVRIL'!B:CC,80,FALSE)</f>
        <v>131094.54545454544</v>
      </c>
      <c r="Z40" s="340">
        <f t="shared" si="0"/>
        <v>131094.54545454544</v>
      </c>
      <c r="AA40" s="359">
        <f>VLOOKUP(D40,'SUIVI JOURNALIER AVRIL'!B:CD,81,FALSE)</f>
        <v>131094.54545454544</v>
      </c>
      <c r="AB40" s="360" t="str">
        <f t="shared" si="1"/>
        <v>ok</v>
      </c>
      <c r="AC40" s="360" t="str">
        <f>VLOOKUP(B40,labo!B:D,3,FALSE)</f>
        <v>ug3</v>
      </c>
      <c r="AD40" s="360" t="s">
        <v>2629</v>
      </c>
      <c r="AF40" s="330">
        <f>VLOOKUP(D40,'SUIVI JOURNALIER AVRIL'!CK:CL,2,FALSE)</f>
        <v>0</v>
      </c>
      <c r="AG40" s="360">
        <v>1</v>
      </c>
    </row>
    <row r="41" spans="1:33" s="360" customFormat="1" ht="13.5" customHeight="1">
      <c r="A41" s="324" t="s">
        <v>1654</v>
      </c>
      <c r="B41" s="325" t="s">
        <v>312</v>
      </c>
      <c r="C41" s="325" t="s">
        <v>2055</v>
      </c>
      <c r="D41" s="325" t="s">
        <v>488</v>
      </c>
      <c r="E41" s="324" t="s">
        <v>485</v>
      </c>
      <c r="F41" s="324" t="s">
        <v>2055</v>
      </c>
      <c r="G41" s="324" t="s">
        <v>931</v>
      </c>
      <c r="H41" s="324" t="s">
        <v>897</v>
      </c>
      <c r="I41" s="324" t="s">
        <v>1447</v>
      </c>
      <c r="J41" s="324" t="s">
        <v>1008</v>
      </c>
      <c r="K41" s="324" t="s">
        <v>890</v>
      </c>
      <c r="L41" s="324" t="s">
        <v>891</v>
      </c>
      <c r="M41" s="324" t="s">
        <v>892</v>
      </c>
      <c r="N41" s="324" t="s">
        <v>954</v>
      </c>
      <c r="O41" s="324" t="s">
        <v>1012</v>
      </c>
      <c r="P41" s="324" t="s">
        <v>1012</v>
      </c>
      <c r="Q41" s="324" t="s">
        <v>924</v>
      </c>
      <c r="R41" s="324" t="s">
        <v>1011</v>
      </c>
      <c r="S41" s="356" t="s">
        <v>895</v>
      </c>
      <c r="T41" s="309" t="s">
        <v>909</v>
      </c>
      <c r="U41" s="357" t="e">
        <f>VLOOKUP(D41,'SUIVI JOURNALIER AVRIL'!CK:CM,3,FALSE)</f>
        <v>#N/A</v>
      </c>
      <c r="V41" s="358" t="e">
        <f>IF(VLOOKUP('vs mars'!D41,'point sur les patentes'!B:E,4,FALSE)="","",VLOOKUP(D41,'point sur les patentes'!B:E,4,FALSE)+VLOOKUP(D41,'point sur les patentes'!B:F,5,FALSE)+VLOOKUP('vs mars'!D41,'point sur les patentes'!B:G,6,FALSE)+VLOOKUP('vs mars'!D41,'point sur les patentes'!B:H,7,FALSE)+VLOOKUP('vs mars'!D41,'point sur les patentes'!B:I,8,FALSE)+VLOOKUP(D41,'point sur les patentes'!B:J,9,FALSE)+VLOOKUP(D41,'point sur les patentes'!B:K,10,FALSE)+VLOOKUP(D41,'point sur les patentes'!B:L,11,FALSE)+VLOOKUP(D41,'point sur les patentes'!B:M,12,FALSE)+VLOOKUP(D41,'point sur les patentes'!B:N,13,FALSE)+VLOOKUP(D41,'point sur les patentes'!B:O,14,FALSE)+VLOOKUP(D41,'point sur les patentes'!B:P,15,FALSE)+VLOOKUP(D41,'point sur les patentes'!B:Q,16,FALSE)+VLOOKUP('vs mars'!D41,'point sur les patentes'!B:Z,25,FALSE))</f>
        <v>#N/A</v>
      </c>
      <c r="W41" s="340" t="e">
        <f>VLOOKUP(D41,'SUIVI JOURNALIER AVRIL'!B:J,9,FALSE)</f>
        <v>#N/A</v>
      </c>
      <c r="X41" s="340" t="e">
        <f>VLOOKUP(D41,'SUIVI JOURNALIER AVRIL'!B:P,14,FALSE)+VLOOKUP('vs mars'!D41,'SUIVI JOURNALIER AVRIL'!B:V,20,FALSE)+VLOOKUP('vs mars'!D41,'SUIVI JOURNALIER AVRIL'!B:W,21,FALSE)</f>
        <v>#N/A</v>
      </c>
      <c r="Y41" s="340" t="e">
        <f>VLOOKUP(D41,'SUIVI JOURNALIER AVRIL'!B:CC,80,FALSE)</f>
        <v>#N/A</v>
      </c>
      <c r="Z41" s="340" t="e">
        <f t="shared" si="0"/>
        <v>#N/A</v>
      </c>
      <c r="AA41" s="359" t="e">
        <f>VLOOKUP(D41,'SUIVI JOURNALIER AVRIL'!B:CD,81,FALSE)</f>
        <v>#N/A</v>
      </c>
      <c r="AB41" s="360" t="e">
        <f t="shared" si="1"/>
        <v>#N/A</v>
      </c>
      <c r="AC41" s="360" t="str">
        <f>VLOOKUP(B41,labo!B:D,3,FALSE)</f>
        <v>ug3</v>
      </c>
      <c r="AD41" s="360" t="s">
        <v>2629</v>
      </c>
      <c r="AF41" s="330" t="e">
        <f>VLOOKUP(D41,'SUIVI JOURNALIER AVRIL'!CK:CL,2,FALSE)</f>
        <v>#N/A</v>
      </c>
      <c r="AG41" s="360">
        <v>1</v>
      </c>
    </row>
    <row r="42" spans="1:33" s="360" customFormat="1" ht="13.5" customHeight="1">
      <c r="A42" s="324" t="s">
        <v>1655</v>
      </c>
      <c r="B42" s="325" t="s">
        <v>489</v>
      </c>
      <c r="C42" s="325" t="s">
        <v>2055</v>
      </c>
      <c r="D42" s="325" t="s">
        <v>490</v>
      </c>
      <c r="E42" s="324" t="s">
        <v>485</v>
      </c>
      <c r="F42" s="324" t="s">
        <v>2055</v>
      </c>
      <c r="G42" s="324" t="s">
        <v>931</v>
      </c>
      <c r="H42" s="324" t="s">
        <v>897</v>
      </c>
      <c r="I42" s="324" t="s">
        <v>1448</v>
      </c>
      <c r="J42" s="324" t="s">
        <v>1008</v>
      </c>
      <c r="K42" s="324" t="s">
        <v>890</v>
      </c>
      <c r="L42" s="324" t="s">
        <v>891</v>
      </c>
      <c r="M42" s="324" t="s">
        <v>892</v>
      </c>
      <c r="N42" s="324" t="s">
        <v>954</v>
      </c>
      <c r="O42" s="324" t="s">
        <v>1013</v>
      </c>
      <c r="P42" s="324" t="s">
        <v>1013</v>
      </c>
      <c r="Q42" s="324" t="s">
        <v>924</v>
      </c>
      <c r="R42" s="324" t="s">
        <v>1011</v>
      </c>
      <c r="S42" s="356" t="s">
        <v>895</v>
      </c>
      <c r="T42" s="309" t="s">
        <v>909</v>
      </c>
      <c r="U42" s="357" t="e">
        <f>VLOOKUP(D42,'SUIVI JOURNALIER AVRIL'!CK:CM,3,FALSE)</f>
        <v>#N/A</v>
      </c>
      <c r="V42" s="358" t="e">
        <f>IF(VLOOKUP('vs mars'!D42,'point sur les patentes'!B:E,4,FALSE)="","",VLOOKUP(D42,'point sur les patentes'!B:E,4,FALSE)+VLOOKUP(D42,'point sur les patentes'!B:F,5,FALSE)+VLOOKUP('vs mars'!D42,'point sur les patentes'!B:G,6,FALSE)+VLOOKUP('vs mars'!D42,'point sur les patentes'!B:H,7,FALSE)+VLOOKUP('vs mars'!D42,'point sur les patentes'!B:I,8,FALSE)+VLOOKUP(D42,'point sur les patentes'!B:J,9,FALSE)+VLOOKUP(D42,'point sur les patentes'!B:K,10,FALSE)+VLOOKUP(D42,'point sur les patentes'!B:L,11,FALSE)+VLOOKUP(D42,'point sur les patentes'!B:M,12,FALSE)+VLOOKUP(D42,'point sur les patentes'!B:N,13,FALSE)+VLOOKUP(D42,'point sur les patentes'!B:O,14,FALSE)+VLOOKUP(D42,'point sur les patentes'!B:P,15,FALSE)+VLOOKUP(D42,'point sur les patentes'!B:Q,16,FALSE)+VLOOKUP('vs mars'!D42,'point sur les patentes'!B:Z,25,FALSE))</f>
        <v>#N/A</v>
      </c>
      <c r="W42" s="340" t="e">
        <f>VLOOKUP(D42,'SUIVI JOURNALIER AVRIL'!B:J,9,FALSE)</f>
        <v>#N/A</v>
      </c>
      <c r="X42" s="340" t="e">
        <f>VLOOKUP(D42,'SUIVI JOURNALIER AVRIL'!B:P,14,FALSE)+VLOOKUP('vs mars'!D42,'SUIVI JOURNALIER AVRIL'!B:V,20,FALSE)+VLOOKUP('vs mars'!D42,'SUIVI JOURNALIER AVRIL'!B:W,21,FALSE)</f>
        <v>#N/A</v>
      </c>
      <c r="Y42" s="340" t="e">
        <f>VLOOKUP(D42,'SUIVI JOURNALIER AVRIL'!B:CC,80,FALSE)</f>
        <v>#N/A</v>
      </c>
      <c r="Z42" s="340" t="e">
        <f t="shared" si="0"/>
        <v>#N/A</v>
      </c>
      <c r="AA42" s="359" t="e">
        <f>VLOOKUP(D42,'SUIVI JOURNALIER AVRIL'!B:CD,81,FALSE)</f>
        <v>#N/A</v>
      </c>
      <c r="AB42" s="360" t="e">
        <f t="shared" si="1"/>
        <v>#N/A</v>
      </c>
      <c r="AC42" s="360" t="str">
        <f>VLOOKUP(B42,labo!B:D,3,FALSE)</f>
        <v>ug3</v>
      </c>
      <c r="AD42" s="360" t="s">
        <v>2629</v>
      </c>
      <c r="AF42" s="330" t="e">
        <f>VLOOKUP(D42,'SUIVI JOURNALIER AVRIL'!CK:CL,2,FALSE)</f>
        <v>#N/A</v>
      </c>
      <c r="AG42" s="360">
        <v>1</v>
      </c>
    </row>
    <row r="43" spans="1:33" s="360" customFormat="1" ht="13.5" customHeight="1">
      <c r="A43" s="324" t="s">
        <v>1656</v>
      </c>
      <c r="B43" s="325" t="s">
        <v>491</v>
      </c>
      <c r="C43" s="325" t="s">
        <v>492</v>
      </c>
      <c r="D43" s="325" t="s">
        <v>493</v>
      </c>
      <c r="E43" s="324" t="s">
        <v>485</v>
      </c>
      <c r="F43" s="324" t="s">
        <v>2055</v>
      </c>
      <c r="G43" s="324" t="s">
        <v>931</v>
      </c>
      <c r="H43" s="324" t="s">
        <v>1014</v>
      </c>
      <c r="I43" s="324" t="s">
        <v>1015</v>
      </c>
      <c r="J43" s="324" t="s">
        <v>1008</v>
      </c>
      <c r="K43" s="324" t="s">
        <v>890</v>
      </c>
      <c r="L43" s="324" t="s">
        <v>891</v>
      </c>
      <c r="M43" s="324" t="s">
        <v>892</v>
      </c>
      <c r="N43" s="324" t="s">
        <v>905</v>
      </c>
      <c r="O43" s="324" t="s">
        <v>906</v>
      </c>
      <c r="P43" s="324" t="s">
        <v>906</v>
      </c>
      <c r="Q43" s="324" t="s">
        <v>956</v>
      </c>
      <c r="R43" s="324" t="s">
        <v>1016</v>
      </c>
      <c r="S43" s="356" t="s">
        <v>895</v>
      </c>
      <c r="T43" s="309" t="s">
        <v>909</v>
      </c>
      <c r="U43" s="357" t="e">
        <f>VLOOKUP(D43,'SUIVI JOURNALIER AVRIL'!CK:CM,3,FALSE)</f>
        <v>#N/A</v>
      </c>
      <c r="V43" s="358" t="e">
        <f>IF(VLOOKUP('vs mars'!D43,'point sur les patentes'!B:E,4,FALSE)="","",VLOOKUP(D43,'point sur les patentes'!B:E,4,FALSE)+VLOOKUP(D43,'point sur les patentes'!B:F,5,FALSE)+VLOOKUP('vs mars'!D43,'point sur les patentes'!B:G,6,FALSE)+VLOOKUP('vs mars'!D43,'point sur les patentes'!B:H,7,FALSE)+VLOOKUP('vs mars'!D43,'point sur les patentes'!B:I,8,FALSE)+VLOOKUP(D43,'point sur les patentes'!B:J,9,FALSE)+VLOOKUP(D43,'point sur les patentes'!B:K,10,FALSE)+VLOOKUP(D43,'point sur les patentes'!B:L,11,FALSE)+VLOOKUP(D43,'point sur les patentes'!B:M,12,FALSE)+VLOOKUP(D43,'point sur les patentes'!B:N,13,FALSE)+VLOOKUP(D43,'point sur les patentes'!B:O,14,FALSE)+VLOOKUP(D43,'point sur les patentes'!B:P,15,FALSE)+VLOOKUP(D43,'point sur les patentes'!B:Q,16,FALSE)+VLOOKUP('vs mars'!D43,'point sur les patentes'!B:Z,25,FALSE))</f>
        <v>#N/A</v>
      </c>
      <c r="W43" s="340" t="e">
        <f>VLOOKUP(D43,'SUIVI JOURNALIER AVRIL'!B:J,9,FALSE)</f>
        <v>#N/A</v>
      </c>
      <c r="X43" s="340" t="e">
        <f>VLOOKUP(D43,'SUIVI JOURNALIER AVRIL'!B:P,14,FALSE)+VLOOKUP('vs mars'!D43,'SUIVI JOURNALIER AVRIL'!B:V,20,FALSE)+VLOOKUP('vs mars'!D43,'SUIVI JOURNALIER AVRIL'!B:W,21,FALSE)</f>
        <v>#N/A</v>
      </c>
      <c r="Y43" s="340" t="e">
        <f>VLOOKUP(D43,'SUIVI JOURNALIER AVRIL'!B:CC,80,FALSE)</f>
        <v>#N/A</v>
      </c>
      <c r="Z43" s="340" t="e">
        <f t="shared" si="0"/>
        <v>#N/A</v>
      </c>
      <c r="AA43" s="359" t="e">
        <f>VLOOKUP(D43,'SUIVI JOURNALIER AVRIL'!B:CD,81,FALSE)</f>
        <v>#N/A</v>
      </c>
      <c r="AB43" s="360" t="e">
        <f t="shared" si="1"/>
        <v>#N/A</v>
      </c>
      <c r="AC43" s="360" t="str">
        <f>VLOOKUP(B43,labo!B:D,3,FALSE)</f>
        <v>ug3</v>
      </c>
      <c r="AD43" s="360" t="s">
        <v>2629</v>
      </c>
      <c r="AF43" s="330" t="e">
        <f>VLOOKUP(D43,'SUIVI JOURNALIER AVRIL'!CK:CL,2,FALSE)</f>
        <v>#N/A</v>
      </c>
      <c r="AG43" s="360">
        <v>1</v>
      </c>
    </row>
    <row r="44" spans="1:33" s="360" customFormat="1" ht="13.5" customHeight="1">
      <c r="A44" s="324" t="s">
        <v>1014</v>
      </c>
      <c r="B44" s="325" t="s">
        <v>338</v>
      </c>
      <c r="C44" s="325" t="s">
        <v>494</v>
      </c>
      <c r="D44" s="325" t="s">
        <v>495</v>
      </c>
      <c r="E44" s="324" t="s">
        <v>485</v>
      </c>
      <c r="F44" s="324" t="s">
        <v>2055</v>
      </c>
      <c r="G44" s="324" t="s">
        <v>931</v>
      </c>
      <c r="H44" s="324" t="s">
        <v>897</v>
      </c>
      <c r="I44" s="324" t="s">
        <v>1017</v>
      </c>
      <c r="J44" s="324" t="s">
        <v>1008</v>
      </c>
      <c r="K44" s="324" t="s">
        <v>890</v>
      </c>
      <c r="L44" s="324" t="s">
        <v>891</v>
      </c>
      <c r="M44" s="324" t="s">
        <v>892</v>
      </c>
      <c r="N44" s="324" t="s">
        <v>912</v>
      </c>
      <c r="O44" s="324" t="s">
        <v>913</v>
      </c>
      <c r="P44" s="324" t="s">
        <v>913</v>
      </c>
      <c r="Q44" s="324" t="s">
        <v>1018</v>
      </c>
      <c r="R44" s="324" t="s">
        <v>1019</v>
      </c>
      <c r="S44" s="356" t="s">
        <v>895</v>
      </c>
      <c r="T44" s="309" t="s">
        <v>909</v>
      </c>
      <c r="U44" s="357" t="e">
        <f>VLOOKUP(D44,'SUIVI JOURNALIER AVRIL'!CK:CM,3,FALSE)</f>
        <v>#N/A</v>
      </c>
      <c r="V44" s="358" t="e">
        <f>IF(VLOOKUP('vs mars'!D44,'point sur les patentes'!B:E,4,FALSE)="","",VLOOKUP(D44,'point sur les patentes'!B:E,4,FALSE)+VLOOKUP(D44,'point sur les patentes'!B:F,5,FALSE)+VLOOKUP('vs mars'!D44,'point sur les patentes'!B:G,6,FALSE)+VLOOKUP('vs mars'!D44,'point sur les patentes'!B:H,7,FALSE)+VLOOKUP('vs mars'!D44,'point sur les patentes'!B:I,8,FALSE)+VLOOKUP(D44,'point sur les patentes'!B:J,9,FALSE)+VLOOKUP(D44,'point sur les patentes'!B:K,10,FALSE)+VLOOKUP(D44,'point sur les patentes'!B:L,11,FALSE)+VLOOKUP(D44,'point sur les patentes'!B:M,12,FALSE)+VLOOKUP(D44,'point sur les patentes'!B:N,13,FALSE)+VLOOKUP(D44,'point sur les patentes'!B:O,14,FALSE)+VLOOKUP(D44,'point sur les patentes'!B:P,15,FALSE)+VLOOKUP(D44,'point sur les patentes'!B:Q,16,FALSE)+VLOOKUP('vs mars'!D44,'point sur les patentes'!B:Z,25,FALSE))</f>
        <v>#N/A</v>
      </c>
      <c r="W44" s="340" t="e">
        <f>VLOOKUP(D44,'SUIVI JOURNALIER AVRIL'!B:J,9,FALSE)</f>
        <v>#N/A</v>
      </c>
      <c r="X44" s="340" t="e">
        <f>VLOOKUP(D44,'SUIVI JOURNALIER AVRIL'!B:P,14,FALSE)+VLOOKUP('vs mars'!D44,'SUIVI JOURNALIER AVRIL'!B:V,20,FALSE)+VLOOKUP('vs mars'!D44,'SUIVI JOURNALIER AVRIL'!B:W,21,FALSE)</f>
        <v>#N/A</v>
      </c>
      <c r="Y44" s="340" t="e">
        <f>VLOOKUP(D44,'SUIVI JOURNALIER AVRIL'!B:CC,80,FALSE)</f>
        <v>#N/A</v>
      </c>
      <c r="Z44" s="340" t="e">
        <f t="shared" si="0"/>
        <v>#N/A</v>
      </c>
      <c r="AA44" s="359" t="e">
        <f>VLOOKUP(D44,'SUIVI JOURNALIER AVRIL'!B:CD,81,FALSE)</f>
        <v>#N/A</v>
      </c>
      <c r="AB44" s="360" t="e">
        <f t="shared" si="1"/>
        <v>#N/A</v>
      </c>
      <c r="AC44" s="360" t="str">
        <f>VLOOKUP(B44,labo!B:D,3,FALSE)</f>
        <v>ug3</v>
      </c>
      <c r="AD44" s="360" t="s">
        <v>2629</v>
      </c>
      <c r="AF44" s="330" t="e">
        <f>VLOOKUP(D44,'SUIVI JOURNALIER AVRIL'!CK:CL,2,FALSE)</f>
        <v>#N/A</v>
      </c>
      <c r="AG44" s="360">
        <v>1</v>
      </c>
    </row>
    <row r="45" spans="1:33" s="360" customFormat="1" ht="13.5" customHeight="1">
      <c r="A45" s="324" t="s">
        <v>1657</v>
      </c>
      <c r="B45" s="325" t="s">
        <v>339</v>
      </c>
      <c r="C45" s="325" t="s">
        <v>2055</v>
      </c>
      <c r="D45" s="325" t="s">
        <v>496</v>
      </c>
      <c r="E45" s="324" t="s">
        <v>485</v>
      </c>
      <c r="F45" s="324" t="s">
        <v>2055</v>
      </c>
      <c r="G45" s="324" t="s">
        <v>931</v>
      </c>
      <c r="H45" s="324" t="s">
        <v>897</v>
      </c>
      <c r="I45" s="324" t="s">
        <v>1020</v>
      </c>
      <c r="J45" s="324" t="s">
        <v>1008</v>
      </c>
      <c r="K45" s="324" t="s">
        <v>890</v>
      </c>
      <c r="L45" s="324" t="s">
        <v>891</v>
      </c>
      <c r="M45" s="324" t="s">
        <v>892</v>
      </c>
      <c r="N45" s="324" t="s">
        <v>893</v>
      </c>
      <c r="O45" s="324" t="s">
        <v>894</v>
      </c>
      <c r="P45" s="324" t="s">
        <v>899</v>
      </c>
      <c r="Q45" s="324" t="s">
        <v>1021</v>
      </c>
      <c r="R45" s="324" t="s">
        <v>1011</v>
      </c>
      <c r="S45" s="356" t="s">
        <v>895</v>
      </c>
      <c r="T45" s="309" t="s">
        <v>909</v>
      </c>
      <c r="U45" s="357" t="e">
        <f>VLOOKUP(D45,'SUIVI JOURNALIER AVRIL'!CK:CM,3,FALSE)</f>
        <v>#N/A</v>
      </c>
      <c r="V45" s="358" t="e">
        <f>IF(VLOOKUP('vs mars'!D45,'point sur les patentes'!B:E,4,FALSE)="","",VLOOKUP(D45,'point sur les patentes'!B:E,4,FALSE)+VLOOKUP(D45,'point sur les patentes'!B:F,5,FALSE)+VLOOKUP('vs mars'!D45,'point sur les patentes'!B:G,6,FALSE)+VLOOKUP('vs mars'!D45,'point sur les patentes'!B:H,7,FALSE)+VLOOKUP('vs mars'!D45,'point sur les patentes'!B:I,8,FALSE)+VLOOKUP(D45,'point sur les patentes'!B:J,9,FALSE)+VLOOKUP(D45,'point sur les patentes'!B:K,10,FALSE)+VLOOKUP(D45,'point sur les patentes'!B:L,11,FALSE)+VLOOKUP(D45,'point sur les patentes'!B:M,12,FALSE)+VLOOKUP(D45,'point sur les patentes'!B:N,13,FALSE)+VLOOKUP(D45,'point sur les patentes'!B:O,14,FALSE)+VLOOKUP(D45,'point sur les patentes'!B:P,15,FALSE)+VLOOKUP(D45,'point sur les patentes'!B:Q,16,FALSE)+VLOOKUP('vs mars'!D45,'point sur les patentes'!B:Z,25,FALSE))</f>
        <v>#N/A</v>
      </c>
      <c r="W45" s="340" t="e">
        <f>VLOOKUP(D45,'SUIVI JOURNALIER AVRIL'!B:J,9,FALSE)</f>
        <v>#N/A</v>
      </c>
      <c r="X45" s="340" t="e">
        <f>VLOOKUP(D45,'SUIVI JOURNALIER AVRIL'!B:P,14,FALSE)+VLOOKUP('vs mars'!D45,'SUIVI JOURNALIER AVRIL'!B:V,20,FALSE)+VLOOKUP('vs mars'!D45,'SUIVI JOURNALIER AVRIL'!B:W,21,FALSE)</f>
        <v>#N/A</v>
      </c>
      <c r="Y45" s="340" t="e">
        <f>VLOOKUP(D45,'SUIVI JOURNALIER AVRIL'!B:CC,80,FALSE)</f>
        <v>#N/A</v>
      </c>
      <c r="Z45" s="340" t="e">
        <f t="shared" si="0"/>
        <v>#N/A</v>
      </c>
      <c r="AA45" s="359" t="e">
        <f>VLOOKUP(D45,'SUIVI JOURNALIER AVRIL'!B:CD,81,FALSE)</f>
        <v>#N/A</v>
      </c>
      <c r="AB45" s="360" t="e">
        <f t="shared" si="1"/>
        <v>#N/A</v>
      </c>
      <c r="AC45" s="360" t="str">
        <f>VLOOKUP(B45,labo!B:D,3,FALSE)</f>
        <v>ug3</v>
      </c>
      <c r="AD45" s="360" t="s">
        <v>2629</v>
      </c>
      <c r="AF45" s="330" t="e">
        <f>VLOOKUP(D45,'SUIVI JOURNALIER AVRIL'!CK:CL,2,FALSE)</f>
        <v>#N/A</v>
      </c>
      <c r="AG45" s="360">
        <v>1</v>
      </c>
    </row>
    <row r="46" spans="1:33" s="360" customFormat="1" ht="13.5" customHeight="1">
      <c r="A46" s="324" t="s">
        <v>1658</v>
      </c>
      <c r="B46" s="325" t="s">
        <v>340</v>
      </c>
      <c r="C46" s="325" t="s">
        <v>2055</v>
      </c>
      <c r="D46" s="325" t="s">
        <v>497</v>
      </c>
      <c r="E46" s="324" t="s">
        <v>485</v>
      </c>
      <c r="F46" s="324" t="s">
        <v>2055</v>
      </c>
      <c r="G46" s="324" t="s">
        <v>931</v>
      </c>
      <c r="H46" s="324" t="s">
        <v>897</v>
      </c>
      <c r="I46" s="324" t="s">
        <v>1022</v>
      </c>
      <c r="J46" s="324" t="s">
        <v>1008</v>
      </c>
      <c r="K46" s="324" t="s">
        <v>890</v>
      </c>
      <c r="L46" s="324" t="s">
        <v>891</v>
      </c>
      <c r="M46" s="324" t="s">
        <v>892</v>
      </c>
      <c r="N46" s="324" t="s">
        <v>893</v>
      </c>
      <c r="O46" s="324" t="s">
        <v>894</v>
      </c>
      <c r="P46" s="324" t="s">
        <v>899</v>
      </c>
      <c r="Q46" s="324" t="s">
        <v>936</v>
      </c>
      <c r="R46" s="324" t="s">
        <v>1011</v>
      </c>
      <c r="S46" s="356" t="s">
        <v>895</v>
      </c>
      <c r="T46" s="309" t="s">
        <v>909</v>
      </c>
      <c r="U46" s="357">
        <f>VLOOKUP(D46,'SUIVI JOURNALIER AVRIL'!CK:CM,3,FALSE)</f>
        <v>0</v>
      </c>
      <c r="V46" s="358" t="e">
        <f>IF(VLOOKUP('vs mars'!D46,'point sur les patentes'!B:E,4,FALSE)="","",VLOOKUP(D46,'point sur les patentes'!B:E,4,FALSE)+VLOOKUP(D46,'point sur les patentes'!B:F,5,FALSE)+VLOOKUP('vs mars'!D46,'point sur les patentes'!B:G,6,FALSE)+VLOOKUP('vs mars'!D46,'point sur les patentes'!B:H,7,FALSE)+VLOOKUP('vs mars'!D46,'point sur les patentes'!B:I,8,FALSE)+VLOOKUP(D46,'point sur les patentes'!B:J,9,FALSE)+VLOOKUP(D46,'point sur les patentes'!B:K,10,FALSE)+VLOOKUP(D46,'point sur les patentes'!B:L,11,FALSE)+VLOOKUP(D46,'point sur les patentes'!B:M,12,FALSE)+VLOOKUP(D46,'point sur les patentes'!B:N,13,FALSE)+VLOOKUP(D46,'point sur les patentes'!B:O,14,FALSE)+VLOOKUP(D46,'point sur les patentes'!B:P,15,FALSE)+VLOOKUP(D46,'point sur les patentes'!B:Q,16,FALSE)+VLOOKUP('vs mars'!D46,'point sur les patentes'!B:Z,25,FALSE))</f>
        <v>#N/A</v>
      </c>
      <c r="W46" s="340">
        <f>VLOOKUP(D46,'SUIVI JOURNALIER AVRIL'!B:J,9,FALSE)</f>
        <v>212778</v>
      </c>
      <c r="X46" s="340">
        <f>VLOOKUP(D46,'SUIVI JOURNALIER AVRIL'!B:P,14,FALSE)+VLOOKUP('vs mars'!D46,'SUIVI JOURNALIER AVRIL'!B:V,20,FALSE)+VLOOKUP('vs mars'!D46,'SUIVI JOURNALIER AVRIL'!B:W,21,FALSE)</f>
        <v>0</v>
      </c>
      <c r="Y46" s="340">
        <f>VLOOKUP(D46,'SUIVI JOURNALIER AVRIL'!B:CC,80,FALSE)</f>
        <v>0</v>
      </c>
      <c r="Z46" s="340">
        <f t="shared" si="0"/>
        <v>212778</v>
      </c>
      <c r="AA46" s="359">
        <f>VLOOKUP(D46,'SUIVI JOURNALIER AVRIL'!B:CD,81,FALSE)</f>
        <v>212778</v>
      </c>
      <c r="AB46" s="360" t="str">
        <f t="shared" si="1"/>
        <v>ok</v>
      </c>
      <c r="AC46" s="360" t="str">
        <f>VLOOKUP(B46,labo!B:D,3,FALSE)</f>
        <v>ug3</v>
      </c>
      <c r="AD46" s="360" t="s">
        <v>2629</v>
      </c>
      <c r="AF46" s="330">
        <f>VLOOKUP(D46,'SUIVI JOURNALIER AVRIL'!CK:CL,2,FALSE)</f>
        <v>0</v>
      </c>
      <c r="AG46" s="360">
        <v>1</v>
      </c>
    </row>
    <row r="47" spans="1:33" s="360" customFormat="1" ht="13.5" customHeight="1">
      <c r="A47" s="324" t="s">
        <v>1192</v>
      </c>
      <c r="B47" s="325" t="s">
        <v>341</v>
      </c>
      <c r="C47" s="325" t="s">
        <v>2055</v>
      </c>
      <c r="D47" s="325" t="s">
        <v>498</v>
      </c>
      <c r="E47" s="324" t="s">
        <v>485</v>
      </c>
      <c r="F47" s="324" t="s">
        <v>2055</v>
      </c>
      <c r="G47" s="324" t="s">
        <v>931</v>
      </c>
      <c r="H47" s="324" t="s">
        <v>1023</v>
      </c>
      <c r="I47" s="324" t="s">
        <v>1024</v>
      </c>
      <c r="J47" s="324" t="s">
        <v>1008</v>
      </c>
      <c r="K47" s="324" t="s">
        <v>890</v>
      </c>
      <c r="L47" s="324" t="s">
        <v>891</v>
      </c>
      <c r="M47" s="324" t="s">
        <v>892</v>
      </c>
      <c r="N47" s="324" t="s">
        <v>893</v>
      </c>
      <c r="O47" s="324" t="s">
        <v>963</v>
      </c>
      <c r="P47" s="324" t="s">
        <v>963</v>
      </c>
      <c r="Q47" s="324" t="s">
        <v>924</v>
      </c>
      <c r="R47" s="324" t="s">
        <v>1011</v>
      </c>
      <c r="S47" s="356" t="s">
        <v>895</v>
      </c>
      <c r="T47" s="309" t="s">
        <v>909</v>
      </c>
      <c r="U47" s="357" t="e">
        <f>VLOOKUP(D47,'SUIVI JOURNALIER AVRIL'!CK:CM,3,FALSE)</f>
        <v>#N/A</v>
      </c>
      <c r="V47" s="358" t="e">
        <f>IF(VLOOKUP('vs mars'!D47,'point sur les patentes'!B:E,4,FALSE)="","",VLOOKUP(D47,'point sur les patentes'!B:E,4,FALSE)+VLOOKUP(D47,'point sur les patentes'!B:F,5,FALSE)+VLOOKUP('vs mars'!D47,'point sur les patentes'!B:G,6,FALSE)+VLOOKUP('vs mars'!D47,'point sur les patentes'!B:H,7,FALSE)+VLOOKUP('vs mars'!D47,'point sur les patentes'!B:I,8,FALSE)+VLOOKUP(D47,'point sur les patentes'!B:J,9,FALSE)+VLOOKUP(D47,'point sur les patentes'!B:K,10,FALSE)+VLOOKUP(D47,'point sur les patentes'!B:L,11,FALSE)+VLOOKUP(D47,'point sur les patentes'!B:M,12,FALSE)+VLOOKUP(D47,'point sur les patentes'!B:N,13,FALSE)+VLOOKUP(D47,'point sur les patentes'!B:O,14,FALSE)+VLOOKUP(D47,'point sur les patentes'!B:P,15,FALSE)+VLOOKUP(D47,'point sur les patentes'!B:Q,16,FALSE)+VLOOKUP('vs mars'!D47,'point sur les patentes'!B:Z,25,FALSE))</f>
        <v>#N/A</v>
      </c>
      <c r="W47" s="340" t="e">
        <f>VLOOKUP(D47,'SUIVI JOURNALIER AVRIL'!B:J,9,FALSE)</f>
        <v>#N/A</v>
      </c>
      <c r="X47" s="340" t="e">
        <f>VLOOKUP(D47,'SUIVI JOURNALIER AVRIL'!B:P,14,FALSE)+VLOOKUP('vs mars'!D47,'SUIVI JOURNALIER AVRIL'!B:V,20,FALSE)+VLOOKUP('vs mars'!D47,'SUIVI JOURNALIER AVRIL'!B:W,21,FALSE)</f>
        <v>#N/A</v>
      </c>
      <c r="Y47" s="340" t="e">
        <f>VLOOKUP(D47,'SUIVI JOURNALIER AVRIL'!B:CC,80,FALSE)</f>
        <v>#N/A</v>
      </c>
      <c r="Z47" s="340" t="e">
        <f t="shared" si="0"/>
        <v>#N/A</v>
      </c>
      <c r="AA47" s="359" t="e">
        <f>VLOOKUP(D47,'SUIVI JOURNALIER AVRIL'!B:CD,81,FALSE)</f>
        <v>#N/A</v>
      </c>
      <c r="AB47" s="360" t="e">
        <f t="shared" si="1"/>
        <v>#N/A</v>
      </c>
      <c r="AC47" s="360" t="str">
        <f>VLOOKUP(B47,labo!B:D,3,FALSE)</f>
        <v>ug3</v>
      </c>
      <c r="AD47" s="360" t="s">
        <v>2629</v>
      </c>
      <c r="AF47" s="330" t="e">
        <f>VLOOKUP(D47,'SUIVI JOURNALIER AVRIL'!CK:CL,2,FALSE)</f>
        <v>#N/A</v>
      </c>
      <c r="AG47" s="360">
        <v>1</v>
      </c>
    </row>
    <row r="48" spans="1:33" s="360" customFormat="1" ht="13.5" customHeight="1">
      <c r="A48" s="324" t="s">
        <v>1659</v>
      </c>
      <c r="B48" s="325" t="s">
        <v>318</v>
      </c>
      <c r="C48" s="325" t="s">
        <v>2055</v>
      </c>
      <c r="D48" s="325" t="s">
        <v>499</v>
      </c>
      <c r="E48" s="324" t="s">
        <v>485</v>
      </c>
      <c r="F48" s="324" t="s">
        <v>2055</v>
      </c>
      <c r="G48" s="324" t="s">
        <v>931</v>
      </c>
      <c r="H48" s="324" t="s">
        <v>897</v>
      </c>
      <c r="I48" s="324" t="s">
        <v>1449</v>
      </c>
      <c r="J48" s="324" t="s">
        <v>1008</v>
      </c>
      <c r="K48" s="324" t="s">
        <v>890</v>
      </c>
      <c r="L48" s="324" t="s">
        <v>891</v>
      </c>
      <c r="M48" s="324" t="s">
        <v>892</v>
      </c>
      <c r="N48" s="324" t="s">
        <v>954</v>
      </c>
      <c r="O48" s="324" t="s">
        <v>1025</v>
      </c>
      <c r="P48" s="324" t="s">
        <v>1025</v>
      </c>
      <c r="Q48" s="324" t="s">
        <v>924</v>
      </c>
      <c r="R48" s="324" t="s">
        <v>1011</v>
      </c>
      <c r="S48" s="356" t="s">
        <v>895</v>
      </c>
      <c r="T48" s="309" t="s">
        <v>909</v>
      </c>
      <c r="U48" s="357">
        <f>VLOOKUP(D48,'SUIVI JOURNALIER AVRIL'!CK:CM,3,FALSE)</f>
        <v>0</v>
      </c>
      <c r="V48" s="358" t="e">
        <f>IF(VLOOKUP('vs mars'!D48,'point sur les patentes'!B:E,4,FALSE)="","",VLOOKUP(D48,'point sur les patentes'!B:E,4,FALSE)+VLOOKUP(D48,'point sur les patentes'!B:F,5,FALSE)+VLOOKUP('vs mars'!D48,'point sur les patentes'!B:G,6,FALSE)+VLOOKUP('vs mars'!D48,'point sur les patentes'!B:H,7,FALSE)+VLOOKUP('vs mars'!D48,'point sur les patentes'!B:I,8,FALSE)+VLOOKUP(D48,'point sur les patentes'!B:J,9,FALSE)+VLOOKUP(D48,'point sur les patentes'!B:K,10,FALSE)+VLOOKUP(D48,'point sur les patentes'!B:L,11,FALSE)+VLOOKUP(D48,'point sur les patentes'!B:M,12,FALSE)+VLOOKUP(D48,'point sur les patentes'!B:N,13,FALSE)+VLOOKUP(D48,'point sur les patentes'!B:O,14,FALSE)+VLOOKUP(D48,'point sur les patentes'!B:P,15,FALSE)+VLOOKUP(D48,'point sur les patentes'!B:Q,16,FALSE)+VLOOKUP('vs mars'!D48,'point sur les patentes'!B:Z,25,FALSE))</f>
        <v>#N/A</v>
      </c>
      <c r="W48" s="340">
        <f>VLOOKUP(D48,'SUIVI JOURNALIER AVRIL'!B:J,9,FALSE)</f>
        <v>0</v>
      </c>
      <c r="X48" s="340">
        <f>VLOOKUP(D48,'SUIVI JOURNALIER AVRIL'!B:P,14,FALSE)+VLOOKUP('vs mars'!D48,'SUIVI JOURNALIER AVRIL'!B:V,20,FALSE)+VLOOKUP('vs mars'!D48,'SUIVI JOURNALIER AVRIL'!B:W,21,FALSE)</f>
        <v>0</v>
      </c>
      <c r="Y48" s="340">
        <f>VLOOKUP(D48,'SUIVI JOURNALIER AVRIL'!B:CC,80,FALSE)</f>
        <v>99349.727272727265</v>
      </c>
      <c r="Z48" s="340">
        <f t="shared" si="0"/>
        <v>99349.727272727265</v>
      </c>
      <c r="AA48" s="359">
        <f>VLOOKUP(D48,'SUIVI JOURNALIER AVRIL'!B:CD,81,FALSE)</f>
        <v>99349.727272727265</v>
      </c>
      <c r="AB48" s="360" t="str">
        <f t="shared" si="1"/>
        <v>ok</v>
      </c>
      <c r="AC48" s="360" t="str">
        <f>VLOOKUP(B48,labo!B:D,3,FALSE)</f>
        <v>ug3</v>
      </c>
      <c r="AD48" s="360" t="s">
        <v>2629</v>
      </c>
      <c r="AF48" s="330">
        <f>VLOOKUP(D48,'SUIVI JOURNALIER AVRIL'!CK:CL,2,FALSE)</f>
        <v>0</v>
      </c>
      <c r="AG48" s="360">
        <v>1</v>
      </c>
    </row>
    <row r="49" spans="1:33" s="360" customFormat="1" ht="13.5" customHeight="1">
      <c r="A49" s="324" t="s">
        <v>1660</v>
      </c>
      <c r="B49" s="325" t="s">
        <v>342</v>
      </c>
      <c r="C49" s="325" t="s">
        <v>500</v>
      </c>
      <c r="D49" s="325" t="s">
        <v>501</v>
      </c>
      <c r="E49" s="324" t="s">
        <v>485</v>
      </c>
      <c r="F49" s="324" t="s">
        <v>2055</v>
      </c>
      <c r="G49" s="324" t="s">
        <v>931</v>
      </c>
      <c r="H49" s="324" t="s">
        <v>897</v>
      </c>
      <c r="I49" s="324" t="s">
        <v>1026</v>
      </c>
      <c r="J49" s="324" t="s">
        <v>1008</v>
      </c>
      <c r="K49" s="324" t="s">
        <v>890</v>
      </c>
      <c r="L49" s="324" t="s">
        <v>891</v>
      </c>
      <c r="M49" s="324" t="s">
        <v>892</v>
      </c>
      <c r="N49" s="324" t="s">
        <v>905</v>
      </c>
      <c r="O49" s="324" t="s">
        <v>1027</v>
      </c>
      <c r="P49" s="324" t="s">
        <v>1027</v>
      </c>
      <c r="Q49" s="324" t="s">
        <v>956</v>
      </c>
      <c r="R49" s="324" t="s">
        <v>1028</v>
      </c>
      <c r="S49" s="356" t="s">
        <v>895</v>
      </c>
      <c r="T49" s="309" t="s">
        <v>909</v>
      </c>
      <c r="U49" s="357" t="e">
        <f>VLOOKUP(D49,'SUIVI JOURNALIER AVRIL'!CK:CM,3,FALSE)</f>
        <v>#N/A</v>
      </c>
      <c r="V49" s="358" t="e">
        <f>IF(VLOOKUP('vs mars'!D49,'point sur les patentes'!B:E,4,FALSE)="","",VLOOKUP(D49,'point sur les patentes'!B:E,4,FALSE)+VLOOKUP(D49,'point sur les patentes'!B:F,5,FALSE)+VLOOKUP('vs mars'!D49,'point sur les patentes'!B:G,6,FALSE)+VLOOKUP('vs mars'!D49,'point sur les patentes'!B:H,7,FALSE)+VLOOKUP('vs mars'!D49,'point sur les patentes'!B:I,8,FALSE)+VLOOKUP(D49,'point sur les patentes'!B:J,9,FALSE)+VLOOKUP(D49,'point sur les patentes'!B:K,10,FALSE)+VLOOKUP(D49,'point sur les patentes'!B:L,11,FALSE)+VLOOKUP(D49,'point sur les patentes'!B:M,12,FALSE)+VLOOKUP(D49,'point sur les patentes'!B:N,13,FALSE)+VLOOKUP(D49,'point sur les patentes'!B:O,14,FALSE)+VLOOKUP(D49,'point sur les patentes'!B:P,15,FALSE)+VLOOKUP(D49,'point sur les patentes'!B:Q,16,FALSE)+VLOOKUP('vs mars'!D49,'point sur les patentes'!B:Z,25,FALSE))</f>
        <v>#N/A</v>
      </c>
      <c r="W49" s="340" t="e">
        <f>VLOOKUP(D49,'SUIVI JOURNALIER AVRIL'!B:J,9,FALSE)</f>
        <v>#N/A</v>
      </c>
      <c r="X49" s="340" t="e">
        <f>VLOOKUP(D49,'SUIVI JOURNALIER AVRIL'!B:P,14,FALSE)+VLOOKUP('vs mars'!D49,'SUIVI JOURNALIER AVRIL'!B:V,20,FALSE)+VLOOKUP('vs mars'!D49,'SUIVI JOURNALIER AVRIL'!B:W,21,FALSE)</f>
        <v>#N/A</v>
      </c>
      <c r="Y49" s="340" t="e">
        <f>VLOOKUP(D49,'SUIVI JOURNALIER AVRIL'!B:CC,80,FALSE)</f>
        <v>#N/A</v>
      </c>
      <c r="Z49" s="340" t="e">
        <f t="shared" si="0"/>
        <v>#N/A</v>
      </c>
      <c r="AA49" s="359" t="e">
        <f>VLOOKUP(D49,'SUIVI JOURNALIER AVRIL'!B:CD,81,FALSE)</f>
        <v>#N/A</v>
      </c>
      <c r="AB49" s="360" t="e">
        <f t="shared" si="1"/>
        <v>#N/A</v>
      </c>
      <c r="AC49" s="360" t="str">
        <f>VLOOKUP(B49,labo!B:D,3,FALSE)</f>
        <v>ug3</v>
      </c>
      <c r="AD49" s="360" t="s">
        <v>2629</v>
      </c>
      <c r="AF49" s="330" t="e">
        <f>VLOOKUP(D49,'SUIVI JOURNALIER AVRIL'!CK:CL,2,FALSE)</f>
        <v>#N/A</v>
      </c>
      <c r="AG49" s="360">
        <v>1</v>
      </c>
    </row>
    <row r="50" spans="1:33" s="360" customFormat="1" ht="13.5" customHeight="1">
      <c r="A50" s="324" t="s">
        <v>1661</v>
      </c>
      <c r="B50" s="325" t="s">
        <v>343</v>
      </c>
      <c r="C50" s="325" t="s">
        <v>2055</v>
      </c>
      <c r="D50" s="325" t="s">
        <v>502</v>
      </c>
      <c r="E50" s="324" t="s">
        <v>485</v>
      </c>
      <c r="F50" s="324" t="s">
        <v>2055</v>
      </c>
      <c r="G50" s="324" t="s">
        <v>931</v>
      </c>
      <c r="H50" s="324" t="s">
        <v>897</v>
      </c>
      <c r="I50" s="324" t="s">
        <v>1029</v>
      </c>
      <c r="J50" s="324" t="s">
        <v>1008</v>
      </c>
      <c r="K50" s="324" t="s">
        <v>890</v>
      </c>
      <c r="L50" s="324" t="s">
        <v>891</v>
      </c>
      <c r="M50" s="324" t="s">
        <v>892</v>
      </c>
      <c r="N50" s="324" t="s">
        <v>893</v>
      </c>
      <c r="O50" s="324" t="s">
        <v>923</v>
      </c>
      <c r="P50" s="324" t="s">
        <v>923</v>
      </c>
      <c r="Q50" s="324" t="s">
        <v>924</v>
      </c>
      <c r="R50" s="324" t="s">
        <v>1011</v>
      </c>
      <c r="S50" s="356" t="s">
        <v>895</v>
      </c>
      <c r="T50" s="309" t="s">
        <v>909</v>
      </c>
      <c r="U50" s="357" t="e">
        <f>VLOOKUP(D50,'SUIVI JOURNALIER AVRIL'!CK:CM,3,FALSE)</f>
        <v>#N/A</v>
      </c>
      <c r="V50" s="358" t="e">
        <f>IF(VLOOKUP('vs mars'!D50,'point sur les patentes'!B:E,4,FALSE)="","",VLOOKUP(D50,'point sur les patentes'!B:E,4,FALSE)+VLOOKUP(D50,'point sur les patentes'!B:F,5,FALSE)+VLOOKUP('vs mars'!D50,'point sur les patentes'!B:G,6,FALSE)+VLOOKUP('vs mars'!D50,'point sur les patentes'!B:H,7,FALSE)+VLOOKUP('vs mars'!D50,'point sur les patentes'!B:I,8,FALSE)+VLOOKUP(D50,'point sur les patentes'!B:J,9,FALSE)+VLOOKUP(D50,'point sur les patentes'!B:K,10,FALSE)+VLOOKUP(D50,'point sur les patentes'!B:L,11,FALSE)+VLOOKUP(D50,'point sur les patentes'!B:M,12,FALSE)+VLOOKUP(D50,'point sur les patentes'!B:N,13,FALSE)+VLOOKUP(D50,'point sur les patentes'!B:O,14,FALSE)+VLOOKUP(D50,'point sur les patentes'!B:P,15,FALSE)+VLOOKUP(D50,'point sur les patentes'!B:Q,16,FALSE)+VLOOKUP('vs mars'!D50,'point sur les patentes'!B:Z,25,FALSE))</f>
        <v>#N/A</v>
      </c>
      <c r="W50" s="340" t="e">
        <f>VLOOKUP(D50,'SUIVI JOURNALIER AVRIL'!B:J,9,FALSE)</f>
        <v>#N/A</v>
      </c>
      <c r="X50" s="340" t="e">
        <f>VLOOKUP(D50,'SUIVI JOURNALIER AVRIL'!B:P,14,FALSE)+VLOOKUP('vs mars'!D50,'SUIVI JOURNALIER AVRIL'!B:V,20,FALSE)+VLOOKUP('vs mars'!D50,'SUIVI JOURNALIER AVRIL'!B:W,21,FALSE)</f>
        <v>#N/A</v>
      </c>
      <c r="Y50" s="340" t="e">
        <f>VLOOKUP(D50,'SUIVI JOURNALIER AVRIL'!B:CC,80,FALSE)</f>
        <v>#N/A</v>
      </c>
      <c r="Z50" s="340" t="e">
        <f t="shared" si="0"/>
        <v>#N/A</v>
      </c>
      <c r="AA50" s="359" t="e">
        <f>VLOOKUP(D50,'SUIVI JOURNALIER AVRIL'!B:CD,81,FALSE)</f>
        <v>#N/A</v>
      </c>
      <c r="AB50" s="360" t="e">
        <f t="shared" si="1"/>
        <v>#N/A</v>
      </c>
      <c r="AC50" s="360" t="str">
        <f>VLOOKUP(B50,labo!B:D,3,FALSE)</f>
        <v>ug3</v>
      </c>
      <c r="AD50" s="360" t="s">
        <v>2629</v>
      </c>
      <c r="AF50" s="330" t="e">
        <f>VLOOKUP(D50,'SUIVI JOURNALIER AVRIL'!CK:CL,2,FALSE)</f>
        <v>#N/A</v>
      </c>
      <c r="AG50" s="360">
        <v>1</v>
      </c>
    </row>
    <row r="51" spans="1:33" s="360" customFormat="1" ht="13.5" customHeight="1">
      <c r="A51" s="324" t="s">
        <v>1196</v>
      </c>
      <c r="B51" s="325" t="s">
        <v>344</v>
      </c>
      <c r="C51" s="325" t="s">
        <v>503</v>
      </c>
      <c r="D51" s="325" t="s">
        <v>504</v>
      </c>
      <c r="E51" s="324" t="s">
        <v>485</v>
      </c>
      <c r="F51" s="324" t="s">
        <v>2055</v>
      </c>
      <c r="G51" s="324" t="s">
        <v>931</v>
      </c>
      <c r="H51" s="324" t="s">
        <v>897</v>
      </c>
      <c r="I51" s="324" t="s">
        <v>1030</v>
      </c>
      <c r="J51" s="324" t="s">
        <v>1008</v>
      </c>
      <c r="K51" s="324" t="s">
        <v>890</v>
      </c>
      <c r="L51" s="324" t="s">
        <v>891</v>
      </c>
      <c r="M51" s="324" t="s">
        <v>892</v>
      </c>
      <c r="N51" s="324" t="s">
        <v>912</v>
      </c>
      <c r="O51" s="324" t="s">
        <v>998</v>
      </c>
      <c r="P51" s="324" t="s">
        <v>998</v>
      </c>
      <c r="Q51" s="324" t="s">
        <v>989</v>
      </c>
      <c r="R51" s="324" t="s">
        <v>397</v>
      </c>
      <c r="S51" s="356" t="s">
        <v>895</v>
      </c>
      <c r="T51" s="309" t="s">
        <v>909</v>
      </c>
      <c r="U51" s="357" t="e">
        <f>VLOOKUP(D51,'SUIVI JOURNALIER AVRIL'!CK:CM,3,FALSE)</f>
        <v>#N/A</v>
      </c>
      <c r="V51" s="358" t="e">
        <f>IF(VLOOKUP('vs mars'!D51,'point sur les patentes'!B:E,4,FALSE)="","",VLOOKUP(D51,'point sur les patentes'!B:E,4,FALSE)+VLOOKUP(D51,'point sur les patentes'!B:F,5,FALSE)+VLOOKUP('vs mars'!D51,'point sur les patentes'!B:G,6,FALSE)+VLOOKUP('vs mars'!D51,'point sur les patentes'!B:H,7,FALSE)+VLOOKUP('vs mars'!D51,'point sur les patentes'!B:I,8,FALSE)+VLOOKUP(D51,'point sur les patentes'!B:J,9,FALSE)+VLOOKUP(D51,'point sur les patentes'!B:K,10,FALSE)+VLOOKUP(D51,'point sur les patentes'!B:L,11,FALSE)+VLOOKUP(D51,'point sur les patentes'!B:M,12,FALSE)+VLOOKUP(D51,'point sur les patentes'!B:N,13,FALSE)+VLOOKUP(D51,'point sur les patentes'!B:O,14,FALSE)+VLOOKUP(D51,'point sur les patentes'!B:P,15,FALSE)+VLOOKUP(D51,'point sur les patentes'!B:Q,16,FALSE)+VLOOKUP('vs mars'!D51,'point sur les patentes'!B:Z,25,FALSE))</f>
        <v>#N/A</v>
      </c>
      <c r="W51" s="340" t="e">
        <f>VLOOKUP(D51,'SUIVI JOURNALIER AVRIL'!B:J,9,FALSE)</f>
        <v>#N/A</v>
      </c>
      <c r="X51" s="340" t="e">
        <f>VLOOKUP(D51,'SUIVI JOURNALIER AVRIL'!B:P,14,FALSE)+VLOOKUP('vs mars'!D51,'SUIVI JOURNALIER AVRIL'!B:V,20,FALSE)+VLOOKUP('vs mars'!D51,'SUIVI JOURNALIER AVRIL'!B:W,21,FALSE)</f>
        <v>#N/A</v>
      </c>
      <c r="Y51" s="340" t="e">
        <f>VLOOKUP(D51,'SUIVI JOURNALIER AVRIL'!B:CC,80,FALSE)</f>
        <v>#N/A</v>
      </c>
      <c r="Z51" s="340" t="e">
        <f t="shared" si="0"/>
        <v>#N/A</v>
      </c>
      <c r="AA51" s="359" t="e">
        <f>VLOOKUP(D51,'SUIVI JOURNALIER AVRIL'!B:CD,81,FALSE)</f>
        <v>#N/A</v>
      </c>
      <c r="AB51" s="360" t="e">
        <f t="shared" si="1"/>
        <v>#N/A</v>
      </c>
      <c r="AC51" s="360" t="str">
        <f>VLOOKUP(B51,labo!B:D,3,FALSE)</f>
        <v>ug3</v>
      </c>
      <c r="AD51" s="360" t="s">
        <v>2629</v>
      </c>
      <c r="AF51" s="330" t="e">
        <f>VLOOKUP(D51,'SUIVI JOURNALIER AVRIL'!CK:CL,2,FALSE)</f>
        <v>#N/A</v>
      </c>
      <c r="AG51" s="360">
        <v>1</v>
      </c>
    </row>
    <row r="52" spans="1:33" s="360" customFormat="1" ht="13.5" customHeight="1">
      <c r="A52" s="324" t="s">
        <v>1662</v>
      </c>
      <c r="B52" s="325" t="s">
        <v>345</v>
      </c>
      <c r="C52" s="325" t="s">
        <v>505</v>
      </c>
      <c r="D52" s="325" t="s">
        <v>506</v>
      </c>
      <c r="E52" s="324" t="s">
        <v>485</v>
      </c>
      <c r="F52" s="324" t="s">
        <v>2055</v>
      </c>
      <c r="G52" s="324" t="s">
        <v>931</v>
      </c>
      <c r="H52" s="324" t="s">
        <v>897</v>
      </c>
      <c r="I52" s="324" t="s">
        <v>1031</v>
      </c>
      <c r="J52" s="324" t="s">
        <v>1008</v>
      </c>
      <c r="K52" s="324" t="s">
        <v>890</v>
      </c>
      <c r="L52" s="324" t="s">
        <v>891</v>
      </c>
      <c r="M52" s="324" t="s">
        <v>892</v>
      </c>
      <c r="N52" s="324" t="s">
        <v>912</v>
      </c>
      <c r="O52" s="324" t="s">
        <v>988</v>
      </c>
      <c r="P52" s="324" t="s">
        <v>988</v>
      </c>
      <c r="Q52" s="324" t="s">
        <v>989</v>
      </c>
      <c r="R52" s="324" t="s">
        <v>1032</v>
      </c>
      <c r="S52" s="356" t="s">
        <v>895</v>
      </c>
      <c r="T52" s="309" t="s">
        <v>909</v>
      </c>
      <c r="U52" s="357" t="e">
        <f>VLOOKUP(D52,'SUIVI JOURNALIER AVRIL'!CK:CM,3,FALSE)</f>
        <v>#N/A</v>
      </c>
      <c r="V52" s="358" t="e">
        <f>IF(VLOOKUP('vs mars'!D52,'point sur les patentes'!B:E,4,FALSE)="","",VLOOKUP(D52,'point sur les patentes'!B:E,4,FALSE)+VLOOKUP(D52,'point sur les patentes'!B:F,5,FALSE)+VLOOKUP('vs mars'!D52,'point sur les patentes'!B:G,6,FALSE)+VLOOKUP('vs mars'!D52,'point sur les patentes'!B:H,7,FALSE)+VLOOKUP('vs mars'!D52,'point sur les patentes'!B:I,8,FALSE)+VLOOKUP(D52,'point sur les patentes'!B:J,9,FALSE)+VLOOKUP(D52,'point sur les patentes'!B:K,10,FALSE)+VLOOKUP(D52,'point sur les patentes'!B:L,11,FALSE)+VLOOKUP(D52,'point sur les patentes'!B:M,12,FALSE)+VLOOKUP(D52,'point sur les patentes'!B:N,13,FALSE)+VLOOKUP(D52,'point sur les patentes'!B:O,14,FALSE)+VLOOKUP(D52,'point sur les patentes'!B:P,15,FALSE)+VLOOKUP(D52,'point sur les patentes'!B:Q,16,FALSE)+VLOOKUP('vs mars'!D52,'point sur les patentes'!B:Z,25,FALSE))</f>
        <v>#N/A</v>
      </c>
      <c r="W52" s="340" t="e">
        <f>VLOOKUP(D52,'SUIVI JOURNALIER AVRIL'!B:J,9,FALSE)</f>
        <v>#N/A</v>
      </c>
      <c r="X52" s="340" t="e">
        <f>VLOOKUP(D52,'SUIVI JOURNALIER AVRIL'!B:P,14,FALSE)+VLOOKUP('vs mars'!D52,'SUIVI JOURNALIER AVRIL'!B:V,20,FALSE)+VLOOKUP('vs mars'!D52,'SUIVI JOURNALIER AVRIL'!B:W,21,FALSE)</f>
        <v>#N/A</v>
      </c>
      <c r="Y52" s="340" t="e">
        <f>VLOOKUP(D52,'SUIVI JOURNALIER AVRIL'!B:CC,80,FALSE)</f>
        <v>#N/A</v>
      </c>
      <c r="Z52" s="340" t="e">
        <f t="shared" si="0"/>
        <v>#N/A</v>
      </c>
      <c r="AA52" s="359" t="e">
        <f>VLOOKUP(D52,'SUIVI JOURNALIER AVRIL'!B:CD,81,FALSE)</f>
        <v>#N/A</v>
      </c>
      <c r="AB52" s="360" t="e">
        <f t="shared" si="1"/>
        <v>#N/A</v>
      </c>
      <c r="AC52" s="360" t="str">
        <f>VLOOKUP(B52,labo!B:D,3,FALSE)</f>
        <v>ug3</v>
      </c>
      <c r="AD52" s="360" t="s">
        <v>2629</v>
      </c>
      <c r="AF52" s="330" t="e">
        <f>VLOOKUP(D52,'SUIVI JOURNALIER AVRIL'!CK:CL,2,FALSE)</f>
        <v>#N/A</v>
      </c>
      <c r="AG52" s="360">
        <v>1</v>
      </c>
    </row>
    <row r="53" spans="1:33" s="360" customFormat="1" ht="13.5" customHeight="1">
      <c r="A53" s="324" t="s">
        <v>1663</v>
      </c>
      <c r="B53" s="325" t="s">
        <v>346</v>
      </c>
      <c r="C53" s="325" t="s">
        <v>2055</v>
      </c>
      <c r="D53" s="325" t="s">
        <v>507</v>
      </c>
      <c r="E53" s="324" t="s">
        <v>485</v>
      </c>
      <c r="F53" s="324" t="s">
        <v>2055</v>
      </c>
      <c r="G53" s="324" t="s">
        <v>931</v>
      </c>
      <c r="H53" s="324" t="s">
        <v>897</v>
      </c>
      <c r="I53" s="324" t="s">
        <v>1450</v>
      </c>
      <c r="J53" s="324" t="s">
        <v>1008</v>
      </c>
      <c r="K53" s="324" t="s">
        <v>890</v>
      </c>
      <c r="L53" s="324" t="s">
        <v>891</v>
      </c>
      <c r="M53" s="324" t="s">
        <v>892</v>
      </c>
      <c r="N53" s="324" t="s">
        <v>954</v>
      </c>
      <c r="O53" s="324" t="s">
        <v>1033</v>
      </c>
      <c r="P53" s="324" t="s">
        <v>1033</v>
      </c>
      <c r="Q53" s="324" t="s">
        <v>924</v>
      </c>
      <c r="R53" s="324" t="s">
        <v>1011</v>
      </c>
      <c r="S53" s="356" t="s">
        <v>895</v>
      </c>
      <c r="T53" s="309" t="s">
        <v>909</v>
      </c>
      <c r="U53" s="357" t="e">
        <f>VLOOKUP(D53,'SUIVI JOURNALIER AVRIL'!CK:CM,3,FALSE)</f>
        <v>#N/A</v>
      </c>
      <c r="V53" s="358" t="e">
        <f>IF(VLOOKUP('vs mars'!D53,'point sur les patentes'!B:E,4,FALSE)="","",VLOOKUP(D53,'point sur les patentes'!B:E,4,FALSE)+VLOOKUP(D53,'point sur les patentes'!B:F,5,FALSE)+VLOOKUP('vs mars'!D53,'point sur les patentes'!B:G,6,FALSE)+VLOOKUP('vs mars'!D53,'point sur les patentes'!B:H,7,FALSE)+VLOOKUP('vs mars'!D53,'point sur les patentes'!B:I,8,FALSE)+VLOOKUP(D53,'point sur les patentes'!B:J,9,FALSE)+VLOOKUP(D53,'point sur les patentes'!B:K,10,FALSE)+VLOOKUP(D53,'point sur les patentes'!B:L,11,FALSE)+VLOOKUP(D53,'point sur les patentes'!B:M,12,FALSE)+VLOOKUP(D53,'point sur les patentes'!B:N,13,FALSE)+VLOOKUP(D53,'point sur les patentes'!B:O,14,FALSE)+VLOOKUP(D53,'point sur les patentes'!B:P,15,FALSE)+VLOOKUP(D53,'point sur les patentes'!B:Q,16,FALSE)+VLOOKUP('vs mars'!D53,'point sur les patentes'!B:Z,25,FALSE))</f>
        <v>#N/A</v>
      </c>
      <c r="W53" s="340" t="e">
        <f>VLOOKUP(D53,'SUIVI JOURNALIER AVRIL'!B:J,9,FALSE)</f>
        <v>#N/A</v>
      </c>
      <c r="X53" s="340" t="e">
        <f>VLOOKUP(D53,'SUIVI JOURNALIER AVRIL'!B:P,14,FALSE)+VLOOKUP('vs mars'!D53,'SUIVI JOURNALIER AVRIL'!B:V,20,FALSE)+VLOOKUP('vs mars'!D53,'SUIVI JOURNALIER AVRIL'!B:W,21,FALSE)</f>
        <v>#N/A</v>
      </c>
      <c r="Y53" s="340" t="e">
        <f>VLOOKUP(D53,'SUIVI JOURNALIER AVRIL'!B:CC,80,FALSE)</f>
        <v>#N/A</v>
      </c>
      <c r="Z53" s="340" t="e">
        <f t="shared" si="0"/>
        <v>#N/A</v>
      </c>
      <c r="AA53" s="359" t="e">
        <f>VLOOKUP(D53,'SUIVI JOURNALIER AVRIL'!B:CD,81,FALSE)</f>
        <v>#N/A</v>
      </c>
      <c r="AB53" s="360" t="e">
        <f t="shared" si="1"/>
        <v>#N/A</v>
      </c>
      <c r="AC53" s="360" t="str">
        <f>VLOOKUP(B53,labo!B:D,3,FALSE)</f>
        <v>ug3</v>
      </c>
      <c r="AD53" s="360" t="s">
        <v>2629</v>
      </c>
      <c r="AF53" s="330" t="e">
        <f>VLOOKUP(D53,'SUIVI JOURNALIER AVRIL'!CK:CL,2,FALSE)</f>
        <v>#N/A</v>
      </c>
      <c r="AG53" s="360">
        <v>1</v>
      </c>
    </row>
    <row r="54" spans="1:33" s="360" customFormat="1" ht="13.5" customHeight="1">
      <c r="A54" s="324" t="s">
        <v>1664</v>
      </c>
      <c r="B54" s="325" t="s">
        <v>347</v>
      </c>
      <c r="C54" s="325" t="s">
        <v>2055</v>
      </c>
      <c r="D54" s="325" t="s">
        <v>508</v>
      </c>
      <c r="E54" s="324" t="s">
        <v>485</v>
      </c>
      <c r="F54" s="324" t="s">
        <v>2055</v>
      </c>
      <c r="G54" s="324" t="s">
        <v>931</v>
      </c>
      <c r="H54" s="324" t="s">
        <v>897</v>
      </c>
      <c r="I54" s="324" t="s">
        <v>1034</v>
      </c>
      <c r="J54" s="324" t="s">
        <v>1008</v>
      </c>
      <c r="K54" s="324" t="s">
        <v>890</v>
      </c>
      <c r="L54" s="324" t="s">
        <v>891</v>
      </c>
      <c r="M54" s="324" t="s">
        <v>892</v>
      </c>
      <c r="N54" s="324" t="s">
        <v>893</v>
      </c>
      <c r="O54" s="324" t="s">
        <v>1035</v>
      </c>
      <c r="P54" s="324" t="s">
        <v>1035</v>
      </c>
      <c r="Q54" s="324" t="s">
        <v>1036</v>
      </c>
      <c r="R54" s="324" t="s">
        <v>1011</v>
      </c>
      <c r="S54" s="356" t="s">
        <v>895</v>
      </c>
      <c r="T54" s="309" t="s">
        <v>909</v>
      </c>
      <c r="U54" s="357" t="e">
        <f>VLOOKUP(D54,'SUIVI JOURNALIER AVRIL'!CK:CM,3,FALSE)</f>
        <v>#N/A</v>
      </c>
      <c r="V54" s="358" t="e">
        <f>IF(VLOOKUP('vs mars'!D54,'point sur les patentes'!B:E,4,FALSE)="","",VLOOKUP(D54,'point sur les patentes'!B:E,4,FALSE)+VLOOKUP(D54,'point sur les patentes'!B:F,5,FALSE)+VLOOKUP('vs mars'!D54,'point sur les patentes'!B:G,6,FALSE)+VLOOKUP('vs mars'!D54,'point sur les patentes'!B:H,7,FALSE)+VLOOKUP('vs mars'!D54,'point sur les patentes'!B:I,8,FALSE)+VLOOKUP(D54,'point sur les patentes'!B:J,9,FALSE)+VLOOKUP(D54,'point sur les patentes'!B:K,10,FALSE)+VLOOKUP(D54,'point sur les patentes'!B:L,11,FALSE)+VLOOKUP(D54,'point sur les patentes'!B:M,12,FALSE)+VLOOKUP(D54,'point sur les patentes'!B:N,13,FALSE)+VLOOKUP(D54,'point sur les patentes'!B:O,14,FALSE)+VLOOKUP(D54,'point sur les patentes'!B:P,15,FALSE)+VLOOKUP(D54,'point sur les patentes'!B:Q,16,FALSE)+VLOOKUP('vs mars'!D54,'point sur les patentes'!B:Z,25,FALSE))</f>
        <v>#N/A</v>
      </c>
      <c r="W54" s="340" t="e">
        <f>VLOOKUP(D54,'SUIVI JOURNALIER AVRIL'!B:J,9,FALSE)</f>
        <v>#N/A</v>
      </c>
      <c r="X54" s="340" t="e">
        <f>VLOOKUP(D54,'SUIVI JOURNALIER AVRIL'!B:P,14,FALSE)+VLOOKUP('vs mars'!D54,'SUIVI JOURNALIER AVRIL'!B:V,20,FALSE)+VLOOKUP('vs mars'!D54,'SUIVI JOURNALIER AVRIL'!B:W,21,FALSE)</f>
        <v>#N/A</v>
      </c>
      <c r="Y54" s="340" t="e">
        <f>VLOOKUP(D54,'SUIVI JOURNALIER AVRIL'!B:CC,80,FALSE)</f>
        <v>#N/A</v>
      </c>
      <c r="Z54" s="340" t="e">
        <f t="shared" si="0"/>
        <v>#N/A</v>
      </c>
      <c r="AA54" s="359" t="e">
        <f>VLOOKUP(D54,'SUIVI JOURNALIER AVRIL'!B:CD,81,FALSE)</f>
        <v>#N/A</v>
      </c>
      <c r="AB54" s="360" t="e">
        <f t="shared" si="1"/>
        <v>#N/A</v>
      </c>
      <c r="AC54" s="360" t="str">
        <f>VLOOKUP(B54,labo!B:D,3,FALSE)</f>
        <v>ug3</v>
      </c>
      <c r="AD54" s="360" t="s">
        <v>2629</v>
      </c>
      <c r="AF54" s="330" t="e">
        <f>VLOOKUP(D54,'SUIVI JOURNALIER AVRIL'!CK:CL,2,FALSE)</f>
        <v>#N/A</v>
      </c>
      <c r="AG54" s="360">
        <v>1</v>
      </c>
    </row>
    <row r="55" spans="1:33" s="360" customFormat="1" ht="13.5" customHeight="1">
      <c r="A55" s="324" t="s">
        <v>1665</v>
      </c>
      <c r="B55" s="325" t="s">
        <v>348</v>
      </c>
      <c r="C55" s="325" t="s">
        <v>509</v>
      </c>
      <c r="D55" s="325" t="s">
        <v>510</v>
      </c>
      <c r="E55" s="324" t="s">
        <v>485</v>
      </c>
      <c r="F55" s="324" t="s">
        <v>2055</v>
      </c>
      <c r="G55" s="324" t="s">
        <v>931</v>
      </c>
      <c r="H55" s="324" t="s">
        <v>897</v>
      </c>
      <c r="I55" s="324" t="s">
        <v>1037</v>
      </c>
      <c r="J55" s="324" t="s">
        <v>1008</v>
      </c>
      <c r="K55" s="324" t="s">
        <v>890</v>
      </c>
      <c r="L55" s="324" t="s">
        <v>891</v>
      </c>
      <c r="M55" s="324" t="s">
        <v>892</v>
      </c>
      <c r="N55" s="324" t="s">
        <v>912</v>
      </c>
      <c r="O55" s="324" t="s">
        <v>1038</v>
      </c>
      <c r="P55" s="324" t="s">
        <v>1038</v>
      </c>
      <c r="Q55" s="324" t="s">
        <v>989</v>
      </c>
      <c r="R55" s="324" t="s">
        <v>1039</v>
      </c>
      <c r="S55" s="356" t="s">
        <v>895</v>
      </c>
      <c r="T55" s="309" t="s">
        <v>909</v>
      </c>
      <c r="U55" s="357" t="e">
        <f>VLOOKUP(D55,'SUIVI JOURNALIER AVRIL'!CK:CM,3,FALSE)</f>
        <v>#N/A</v>
      </c>
      <c r="V55" s="358" t="e">
        <f>IF(VLOOKUP('vs mars'!D55,'point sur les patentes'!B:E,4,FALSE)="","",VLOOKUP(D55,'point sur les patentes'!B:E,4,FALSE)+VLOOKUP(D55,'point sur les patentes'!B:F,5,FALSE)+VLOOKUP('vs mars'!D55,'point sur les patentes'!B:G,6,FALSE)+VLOOKUP('vs mars'!D55,'point sur les patentes'!B:H,7,FALSE)+VLOOKUP('vs mars'!D55,'point sur les patentes'!B:I,8,FALSE)+VLOOKUP(D55,'point sur les patentes'!B:J,9,FALSE)+VLOOKUP(D55,'point sur les patentes'!B:K,10,FALSE)+VLOOKUP(D55,'point sur les patentes'!B:L,11,FALSE)+VLOOKUP(D55,'point sur les patentes'!B:M,12,FALSE)+VLOOKUP(D55,'point sur les patentes'!B:N,13,FALSE)+VLOOKUP(D55,'point sur les patentes'!B:O,14,FALSE)+VLOOKUP(D55,'point sur les patentes'!B:P,15,FALSE)+VLOOKUP(D55,'point sur les patentes'!B:Q,16,FALSE)+VLOOKUP('vs mars'!D55,'point sur les patentes'!B:Z,25,FALSE))</f>
        <v>#N/A</v>
      </c>
      <c r="W55" s="340" t="e">
        <f>VLOOKUP(D55,'SUIVI JOURNALIER AVRIL'!B:J,9,FALSE)</f>
        <v>#N/A</v>
      </c>
      <c r="X55" s="340" t="e">
        <f>VLOOKUP(D55,'SUIVI JOURNALIER AVRIL'!B:P,14,FALSE)+VLOOKUP('vs mars'!D55,'SUIVI JOURNALIER AVRIL'!B:V,20,FALSE)+VLOOKUP('vs mars'!D55,'SUIVI JOURNALIER AVRIL'!B:W,21,FALSE)</f>
        <v>#N/A</v>
      </c>
      <c r="Y55" s="340" t="e">
        <f>VLOOKUP(D55,'SUIVI JOURNALIER AVRIL'!B:CC,80,FALSE)</f>
        <v>#N/A</v>
      </c>
      <c r="Z55" s="340" t="e">
        <f t="shared" si="0"/>
        <v>#N/A</v>
      </c>
      <c r="AA55" s="359" t="e">
        <f>VLOOKUP(D55,'SUIVI JOURNALIER AVRIL'!B:CD,81,FALSE)</f>
        <v>#N/A</v>
      </c>
      <c r="AB55" s="360" t="e">
        <f t="shared" si="1"/>
        <v>#N/A</v>
      </c>
      <c r="AC55" s="360" t="str">
        <f>VLOOKUP(B55,labo!B:D,3,FALSE)</f>
        <v>ug3</v>
      </c>
      <c r="AD55" s="360" t="s">
        <v>2629</v>
      </c>
      <c r="AF55" s="330" t="e">
        <f>VLOOKUP(D55,'SUIVI JOURNALIER AVRIL'!CK:CL,2,FALSE)</f>
        <v>#N/A</v>
      </c>
      <c r="AG55" s="360">
        <v>1</v>
      </c>
    </row>
    <row r="56" spans="1:33" s="360" customFormat="1" ht="13.5" customHeight="1">
      <c r="A56" s="324" t="s">
        <v>1313</v>
      </c>
      <c r="B56" s="325" t="s">
        <v>349</v>
      </c>
      <c r="C56" s="325" t="s">
        <v>2055</v>
      </c>
      <c r="D56" s="325" t="s">
        <v>511</v>
      </c>
      <c r="E56" s="324" t="s">
        <v>485</v>
      </c>
      <c r="F56" s="324" t="s">
        <v>2055</v>
      </c>
      <c r="G56" s="324" t="s">
        <v>931</v>
      </c>
      <c r="H56" s="324" t="s">
        <v>897</v>
      </c>
      <c r="I56" s="324" t="s">
        <v>1451</v>
      </c>
      <c r="J56" s="324" t="s">
        <v>1008</v>
      </c>
      <c r="K56" s="324" t="s">
        <v>890</v>
      </c>
      <c r="L56" s="324" t="s">
        <v>891</v>
      </c>
      <c r="M56" s="324" t="s">
        <v>892</v>
      </c>
      <c r="N56" s="324" t="s">
        <v>954</v>
      </c>
      <c r="O56" s="324" t="s">
        <v>1040</v>
      </c>
      <c r="P56" s="324" t="s">
        <v>1040</v>
      </c>
      <c r="Q56" s="324" t="s">
        <v>924</v>
      </c>
      <c r="R56" s="324" t="s">
        <v>1011</v>
      </c>
      <c r="S56" s="356" t="s">
        <v>895</v>
      </c>
      <c r="T56" s="309" t="s">
        <v>909</v>
      </c>
      <c r="U56" s="357" t="e">
        <f>VLOOKUP(D56,'SUIVI JOURNALIER AVRIL'!CK:CM,3,FALSE)</f>
        <v>#N/A</v>
      </c>
      <c r="V56" s="358" t="e">
        <f>IF(VLOOKUP('vs mars'!D56,'point sur les patentes'!B:E,4,FALSE)="","",VLOOKUP(D56,'point sur les patentes'!B:E,4,FALSE)+VLOOKUP(D56,'point sur les patentes'!B:F,5,FALSE)+VLOOKUP('vs mars'!D56,'point sur les patentes'!B:G,6,FALSE)+VLOOKUP('vs mars'!D56,'point sur les patentes'!B:H,7,FALSE)+VLOOKUP('vs mars'!D56,'point sur les patentes'!B:I,8,FALSE)+VLOOKUP(D56,'point sur les patentes'!B:J,9,FALSE)+VLOOKUP(D56,'point sur les patentes'!B:K,10,FALSE)+VLOOKUP(D56,'point sur les patentes'!B:L,11,FALSE)+VLOOKUP(D56,'point sur les patentes'!B:M,12,FALSE)+VLOOKUP(D56,'point sur les patentes'!B:N,13,FALSE)+VLOOKUP(D56,'point sur les patentes'!B:O,14,FALSE)+VLOOKUP(D56,'point sur les patentes'!B:P,15,FALSE)+VLOOKUP(D56,'point sur les patentes'!B:Q,16,FALSE)+VLOOKUP('vs mars'!D56,'point sur les patentes'!B:Z,25,FALSE))</f>
        <v>#N/A</v>
      </c>
      <c r="W56" s="340" t="e">
        <f>VLOOKUP(D56,'SUIVI JOURNALIER AVRIL'!B:J,9,FALSE)</f>
        <v>#N/A</v>
      </c>
      <c r="X56" s="340" t="e">
        <f>VLOOKUP(D56,'SUIVI JOURNALIER AVRIL'!B:P,14,FALSE)+VLOOKUP('vs mars'!D56,'SUIVI JOURNALIER AVRIL'!B:V,20,FALSE)+VLOOKUP('vs mars'!D56,'SUIVI JOURNALIER AVRIL'!B:W,21,FALSE)</f>
        <v>#N/A</v>
      </c>
      <c r="Y56" s="340" t="e">
        <f>VLOOKUP(D56,'SUIVI JOURNALIER AVRIL'!B:CC,80,FALSE)</f>
        <v>#N/A</v>
      </c>
      <c r="Z56" s="340" t="e">
        <f t="shared" si="0"/>
        <v>#N/A</v>
      </c>
      <c r="AA56" s="359" t="e">
        <f>VLOOKUP(D56,'SUIVI JOURNALIER AVRIL'!B:CD,81,FALSE)</f>
        <v>#N/A</v>
      </c>
      <c r="AB56" s="360" t="e">
        <f t="shared" si="1"/>
        <v>#N/A</v>
      </c>
      <c r="AC56" s="360" t="str">
        <f>VLOOKUP(B56,labo!B:D,3,FALSE)</f>
        <v>ug3</v>
      </c>
      <c r="AD56" s="360" t="s">
        <v>2629</v>
      </c>
      <c r="AF56" s="330" t="e">
        <f>VLOOKUP(D56,'SUIVI JOURNALIER AVRIL'!CK:CL,2,FALSE)</f>
        <v>#N/A</v>
      </c>
      <c r="AG56" s="360">
        <v>1</v>
      </c>
    </row>
    <row r="57" spans="1:33" s="360" customFormat="1" ht="13.5" customHeight="1">
      <c r="A57" s="324" t="s">
        <v>1666</v>
      </c>
      <c r="B57" s="325" t="s">
        <v>319</v>
      </c>
      <c r="C57" s="325" t="s">
        <v>2055</v>
      </c>
      <c r="D57" s="325" t="s">
        <v>512</v>
      </c>
      <c r="E57" s="324" t="s">
        <v>485</v>
      </c>
      <c r="F57" s="324" t="s">
        <v>2055</v>
      </c>
      <c r="G57" s="324" t="s">
        <v>931</v>
      </c>
      <c r="H57" s="324" t="s">
        <v>897</v>
      </c>
      <c r="I57" s="324" t="s">
        <v>1452</v>
      </c>
      <c r="J57" s="324" t="s">
        <v>1008</v>
      </c>
      <c r="K57" s="324" t="s">
        <v>890</v>
      </c>
      <c r="L57" s="324" t="s">
        <v>891</v>
      </c>
      <c r="M57" s="324" t="s">
        <v>892</v>
      </c>
      <c r="N57" s="324" t="s">
        <v>954</v>
      </c>
      <c r="O57" s="324" t="s">
        <v>1041</v>
      </c>
      <c r="P57" s="324" t="s">
        <v>1041</v>
      </c>
      <c r="Q57" s="324" t="s">
        <v>924</v>
      </c>
      <c r="R57" s="324" t="s">
        <v>1011</v>
      </c>
      <c r="S57" s="356" t="s">
        <v>895</v>
      </c>
      <c r="T57" s="309" t="s">
        <v>909</v>
      </c>
      <c r="U57" s="357">
        <f>VLOOKUP(D57,'SUIVI JOURNALIER AVRIL'!CK:CM,3,FALSE)</f>
        <v>0</v>
      </c>
      <c r="V57" s="358" t="e">
        <f>IF(VLOOKUP('vs mars'!D57,'point sur les patentes'!B:E,4,FALSE)="","",VLOOKUP(D57,'point sur les patentes'!B:E,4,FALSE)+VLOOKUP(D57,'point sur les patentes'!B:F,5,FALSE)+VLOOKUP('vs mars'!D57,'point sur les patentes'!B:G,6,FALSE)+VLOOKUP('vs mars'!D57,'point sur les patentes'!B:H,7,FALSE)+VLOOKUP('vs mars'!D57,'point sur les patentes'!B:I,8,FALSE)+VLOOKUP(D57,'point sur les patentes'!B:J,9,FALSE)+VLOOKUP(D57,'point sur les patentes'!B:K,10,FALSE)+VLOOKUP(D57,'point sur les patentes'!B:L,11,FALSE)+VLOOKUP(D57,'point sur les patentes'!B:M,12,FALSE)+VLOOKUP(D57,'point sur les patentes'!B:N,13,FALSE)+VLOOKUP(D57,'point sur les patentes'!B:O,14,FALSE)+VLOOKUP(D57,'point sur les patentes'!B:P,15,FALSE)+VLOOKUP(D57,'point sur les patentes'!B:Q,16,FALSE)+VLOOKUP('vs mars'!D57,'point sur les patentes'!B:Z,25,FALSE))</f>
        <v>#N/A</v>
      </c>
      <c r="W57" s="340">
        <f>VLOOKUP(D57,'SUIVI JOURNALIER AVRIL'!B:J,9,FALSE)</f>
        <v>0</v>
      </c>
      <c r="X57" s="340">
        <f>VLOOKUP(D57,'SUIVI JOURNALIER AVRIL'!B:P,14,FALSE)+VLOOKUP('vs mars'!D57,'SUIVI JOURNALIER AVRIL'!B:V,20,FALSE)+VLOOKUP('vs mars'!D57,'SUIVI JOURNALIER AVRIL'!B:W,21,FALSE)</f>
        <v>0</v>
      </c>
      <c r="Y57" s="340">
        <f>VLOOKUP(D57,'SUIVI JOURNALIER AVRIL'!B:CC,80,FALSE)</f>
        <v>194791</v>
      </c>
      <c r="Z57" s="340">
        <f t="shared" si="0"/>
        <v>194791</v>
      </c>
      <c r="AA57" s="359">
        <f>VLOOKUP(D57,'SUIVI JOURNALIER AVRIL'!B:CD,81,FALSE)</f>
        <v>194791</v>
      </c>
      <c r="AB57" s="360" t="str">
        <f t="shared" si="1"/>
        <v>ok</v>
      </c>
      <c r="AC57" s="360" t="str">
        <f>VLOOKUP(B57,labo!B:D,3,FALSE)</f>
        <v>ug3</v>
      </c>
      <c r="AD57" s="360" t="s">
        <v>2629</v>
      </c>
      <c r="AF57" s="330">
        <f>VLOOKUP(D57,'SUIVI JOURNALIER AVRIL'!CK:CL,2,FALSE)</f>
        <v>0</v>
      </c>
      <c r="AG57" s="360">
        <v>1</v>
      </c>
    </row>
    <row r="58" spans="1:33" s="360" customFormat="1" ht="13.5" customHeight="1">
      <c r="A58" s="324" t="s">
        <v>1667</v>
      </c>
      <c r="B58" s="325" t="s">
        <v>350</v>
      </c>
      <c r="C58" s="325" t="s">
        <v>2055</v>
      </c>
      <c r="D58" s="325" t="s">
        <v>513</v>
      </c>
      <c r="E58" s="324" t="s">
        <v>485</v>
      </c>
      <c r="F58" s="324" t="s">
        <v>2055</v>
      </c>
      <c r="G58" s="324" t="s">
        <v>931</v>
      </c>
      <c r="H58" s="324" t="s">
        <v>897</v>
      </c>
      <c r="I58" s="324" t="s">
        <v>1453</v>
      </c>
      <c r="J58" s="324" t="s">
        <v>1008</v>
      </c>
      <c r="K58" s="324" t="s">
        <v>890</v>
      </c>
      <c r="L58" s="324" t="s">
        <v>891</v>
      </c>
      <c r="M58" s="324" t="s">
        <v>892</v>
      </c>
      <c r="N58" s="324" t="s">
        <v>954</v>
      </c>
      <c r="O58" s="324" t="s">
        <v>1042</v>
      </c>
      <c r="P58" s="324" t="s">
        <v>1042</v>
      </c>
      <c r="Q58" s="324" t="s">
        <v>924</v>
      </c>
      <c r="R58" s="324" t="s">
        <v>1011</v>
      </c>
      <c r="S58" s="356" t="s">
        <v>895</v>
      </c>
      <c r="T58" s="309" t="s">
        <v>909</v>
      </c>
      <c r="U58" s="357" t="e">
        <f>VLOOKUP(D58,'SUIVI JOURNALIER AVRIL'!CK:CM,3,FALSE)</f>
        <v>#N/A</v>
      </c>
      <c r="V58" s="358" t="e">
        <f>IF(VLOOKUP('vs mars'!D58,'point sur les patentes'!B:E,4,FALSE)="","",VLOOKUP(D58,'point sur les patentes'!B:E,4,FALSE)+VLOOKUP(D58,'point sur les patentes'!B:F,5,FALSE)+VLOOKUP('vs mars'!D58,'point sur les patentes'!B:G,6,FALSE)+VLOOKUP('vs mars'!D58,'point sur les patentes'!B:H,7,FALSE)+VLOOKUP('vs mars'!D58,'point sur les patentes'!B:I,8,FALSE)+VLOOKUP(D58,'point sur les patentes'!B:J,9,FALSE)+VLOOKUP(D58,'point sur les patentes'!B:K,10,FALSE)+VLOOKUP(D58,'point sur les patentes'!B:L,11,FALSE)+VLOOKUP(D58,'point sur les patentes'!B:M,12,FALSE)+VLOOKUP(D58,'point sur les patentes'!B:N,13,FALSE)+VLOOKUP(D58,'point sur les patentes'!B:O,14,FALSE)+VLOOKUP(D58,'point sur les patentes'!B:P,15,FALSE)+VLOOKUP(D58,'point sur les patentes'!B:Q,16,FALSE)+VLOOKUP('vs mars'!D58,'point sur les patentes'!B:Z,25,FALSE))</f>
        <v>#N/A</v>
      </c>
      <c r="W58" s="340" t="e">
        <f>VLOOKUP(D58,'SUIVI JOURNALIER AVRIL'!B:J,9,FALSE)</f>
        <v>#N/A</v>
      </c>
      <c r="X58" s="340" t="e">
        <f>VLOOKUP(D58,'SUIVI JOURNALIER AVRIL'!B:P,14,FALSE)+VLOOKUP('vs mars'!D58,'SUIVI JOURNALIER AVRIL'!B:V,20,FALSE)+VLOOKUP('vs mars'!D58,'SUIVI JOURNALIER AVRIL'!B:W,21,FALSE)</f>
        <v>#N/A</v>
      </c>
      <c r="Y58" s="340" t="e">
        <f>VLOOKUP(D58,'SUIVI JOURNALIER AVRIL'!B:CC,80,FALSE)</f>
        <v>#N/A</v>
      </c>
      <c r="Z58" s="340" t="e">
        <f t="shared" si="0"/>
        <v>#N/A</v>
      </c>
      <c r="AA58" s="359" t="e">
        <f>VLOOKUP(D58,'SUIVI JOURNALIER AVRIL'!B:CD,81,FALSE)</f>
        <v>#N/A</v>
      </c>
      <c r="AB58" s="360" t="e">
        <f t="shared" si="1"/>
        <v>#N/A</v>
      </c>
      <c r="AC58" s="360" t="str">
        <f>VLOOKUP(B58,labo!B:D,3,FALSE)</f>
        <v>ug3</v>
      </c>
      <c r="AD58" s="360" t="s">
        <v>2629</v>
      </c>
      <c r="AF58" s="330" t="e">
        <f>VLOOKUP(D58,'SUIVI JOURNALIER AVRIL'!CK:CL,2,FALSE)</f>
        <v>#N/A</v>
      </c>
      <c r="AG58" s="360">
        <v>1</v>
      </c>
    </row>
    <row r="59" spans="1:33" s="360" customFormat="1" ht="13.5" customHeight="1">
      <c r="A59" s="324" t="s">
        <v>1668</v>
      </c>
      <c r="B59" s="325" t="s">
        <v>351</v>
      </c>
      <c r="C59" s="325" t="s">
        <v>2055</v>
      </c>
      <c r="D59" s="325" t="s">
        <v>514</v>
      </c>
      <c r="E59" s="324" t="s">
        <v>485</v>
      </c>
      <c r="F59" s="324" t="s">
        <v>2055</v>
      </c>
      <c r="G59" s="324" t="s">
        <v>931</v>
      </c>
      <c r="H59" s="324" t="s">
        <v>897</v>
      </c>
      <c r="I59" s="324" t="s">
        <v>1448</v>
      </c>
      <c r="J59" s="324" t="s">
        <v>1008</v>
      </c>
      <c r="K59" s="324" t="s">
        <v>890</v>
      </c>
      <c r="L59" s="324" t="s">
        <v>891</v>
      </c>
      <c r="M59" s="324" t="s">
        <v>892</v>
      </c>
      <c r="N59" s="324" t="s">
        <v>954</v>
      </c>
      <c r="O59" s="324" t="s">
        <v>1043</v>
      </c>
      <c r="P59" s="324" t="s">
        <v>1043</v>
      </c>
      <c r="Q59" s="324" t="s">
        <v>956</v>
      </c>
      <c r="R59" s="324" t="s">
        <v>1011</v>
      </c>
      <c r="S59" s="356" t="s">
        <v>895</v>
      </c>
      <c r="T59" s="309" t="s">
        <v>909</v>
      </c>
      <c r="U59" s="357" t="e">
        <f>VLOOKUP(D59,'SUIVI JOURNALIER AVRIL'!CK:CM,3,FALSE)</f>
        <v>#N/A</v>
      </c>
      <c r="V59" s="358" t="e">
        <f>IF(VLOOKUP('vs mars'!D59,'point sur les patentes'!B:E,4,FALSE)="","",VLOOKUP(D59,'point sur les patentes'!B:E,4,FALSE)+VLOOKUP(D59,'point sur les patentes'!B:F,5,FALSE)+VLOOKUP('vs mars'!D59,'point sur les patentes'!B:G,6,FALSE)+VLOOKUP('vs mars'!D59,'point sur les patentes'!B:H,7,FALSE)+VLOOKUP('vs mars'!D59,'point sur les patentes'!B:I,8,FALSE)+VLOOKUP(D59,'point sur les patentes'!B:J,9,FALSE)+VLOOKUP(D59,'point sur les patentes'!B:K,10,FALSE)+VLOOKUP(D59,'point sur les patentes'!B:L,11,FALSE)+VLOOKUP(D59,'point sur les patentes'!B:M,12,FALSE)+VLOOKUP(D59,'point sur les patentes'!B:N,13,FALSE)+VLOOKUP(D59,'point sur les patentes'!B:O,14,FALSE)+VLOOKUP(D59,'point sur les patentes'!B:P,15,FALSE)+VLOOKUP(D59,'point sur les patentes'!B:Q,16,FALSE)+VLOOKUP('vs mars'!D59,'point sur les patentes'!B:Z,25,FALSE))</f>
        <v>#N/A</v>
      </c>
      <c r="W59" s="340" t="e">
        <f>VLOOKUP(D59,'SUIVI JOURNALIER AVRIL'!B:J,9,FALSE)</f>
        <v>#N/A</v>
      </c>
      <c r="X59" s="340" t="e">
        <f>VLOOKUP(D59,'SUIVI JOURNALIER AVRIL'!B:P,14,FALSE)+VLOOKUP('vs mars'!D59,'SUIVI JOURNALIER AVRIL'!B:V,20,FALSE)+VLOOKUP('vs mars'!D59,'SUIVI JOURNALIER AVRIL'!B:W,21,FALSE)</f>
        <v>#N/A</v>
      </c>
      <c r="Y59" s="340" t="e">
        <f>VLOOKUP(D59,'SUIVI JOURNALIER AVRIL'!B:CC,80,FALSE)</f>
        <v>#N/A</v>
      </c>
      <c r="Z59" s="340" t="e">
        <f t="shared" si="0"/>
        <v>#N/A</v>
      </c>
      <c r="AA59" s="359" t="e">
        <f>VLOOKUP(D59,'SUIVI JOURNALIER AVRIL'!B:CD,81,FALSE)</f>
        <v>#N/A</v>
      </c>
      <c r="AB59" s="360" t="e">
        <f t="shared" si="1"/>
        <v>#N/A</v>
      </c>
      <c r="AC59" s="360" t="str">
        <f>VLOOKUP(B59,labo!B:D,3,FALSE)</f>
        <v>ug3</v>
      </c>
      <c r="AD59" s="360" t="s">
        <v>2629</v>
      </c>
      <c r="AF59" s="330" t="e">
        <f>VLOOKUP(D59,'SUIVI JOURNALIER AVRIL'!CK:CL,2,FALSE)</f>
        <v>#N/A</v>
      </c>
      <c r="AG59" s="360">
        <v>1</v>
      </c>
    </row>
    <row r="60" spans="1:33" s="360" customFormat="1" ht="13.5" customHeight="1">
      <c r="A60" s="324" t="s">
        <v>1669</v>
      </c>
      <c r="B60" s="325" t="s">
        <v>352</v>
      </c>
      <c r="C60" s="325" t="s">
        <v>515</v>
      </c>
      <c r="D60" s="325" t="s">
        <v>516</v>
      </c>
      <c r="E60" s="324" t="s">
        <v>485</v>
      </c>
      <c r="F60" s="324" t="s">
        <v>2055</v>
      </c>
      <c r="G60" s="324" t="s">
        <v>931</v>
      </c>
      <c r="H60" s="324" t="s">
        <v>897</v>
      </c>
      <c r="I60" s="324" t="s">
        <v>1044</v>
      </c>
      <c r="J60" s="324" t="s">
        <v>1008</v>
      </c>
      <c r="K60" s="324" t="s">
        <v>890</v>
      </c>
      <c r="L60" s="324" t="s">
        <v>891</v>
      </c>
      <c r="M60" s="324" t="s">
        <v>892</v>
      </c>
      <c r="N60" s="324" t="s">
        <v>905</v>
      </c>
      <c r="O60" s="324" t="s">
        <v>1045</v>
      </c>
      <c r="P60" s="324" t="s">
        <v>1045</v>
      </c>
      <c r="Q60" s="324" t="s">
        <v>956</v>
      </c>
      <c r="R60" s="324" t="s">
        <v>1046</v>
      </c>
      <c r="S60" s="356" t="s">
        <v>895</v>
      </c>
      <c r="T60" s="309" t="s">
        <v>957</v>
      </c>
      <c r="U60" s="357">
        <f>VLOOKUP(D60,'SUIVI JOURNALIER AVRIL'!CK:CM,3,FALSE)</f>
        <v>0</v>
      </c>
      <c r="V60" s="358" t="e">
        <f>IF(VLOOKUP('vs mars'!D60,'point sur les patentes'!B:E,4,FALSE)="","",VLOOKUP(D60,'point sur les patentes'!B:E,4,FALSE)+VLOOKUP(D60,'point sur les patentes'!B:F,5,FALSE)+VLOOKUP('vs mars'!D60,'point sur les patentes'!B:G,6,FALSE)+VLOOKUP('vs mars'!D60,'point sur les patentes'!B:H,7,FALSE)+VLOOKUP('vs mars'!D60,'point sur les patentes'!B:I,8,FALSE)+VLOOKUP(D60,'point sur les patentes'!B:J,9,FALSE)+VLOOKUP(D60,'point sur les patentes'!B:K,10,FALSE)+VLOOKUP(D60,'point sur les patentes'!B:L,11,FALSE)+VLOOKUP(D60,'point sur les patentes'!B:M,12,FALSE)+VLOOKUP(D60,'point sur les patentes'!B:N,13,FALSE)+VLOOKUP(D60,'point sur les patentes'!B:O,14,FALSE)+VLOOKUP(D60,'point sur les patentes'!B:P,15,FALSE)+VLOOKUP(D60,'point sur les patentes'!B:Q,16,FALSE)+VLOOKUP('vs mars'!D60,'point sur les patentes'!B:Z,25,FALSE))</f>
        <v>#N/A</v>
      </c>
      <c r="W60" s="340">
        <f>VLOOKUP(D60,'SUIVI JOURNALIER AVRIL'!B:J,9,FALSE)</f>
        <v>1174040</v>
      </c>
      <c r="X60" s="340">
        <f>VLOOKUP(D60,'SUIVI JOURNALIER AVRIL'!B:P,14,FALSE)+VLOOKUP('vs mars'!D60,'SUIVI JOURNALIER AVRIL'!B:V,20,FALSE)+VLOOKUP('vs mars'!D60,'SUIVI JOURNALIER AVRIL'!B:W,21,FALSE)</f>
        <v>0</v>
      </c>
      <c r="Y60" s="340">
        <f>VLOOKUP(D60,'SUIVI JOURNALIER AVRIL'!B:CC,80,FALSE)</f>
        <v>153892</v>
      </c>
      <c r="Z60" s="340">
        <f t="shared" si="0"/>
        <v>1327932</v>
      </c>
      <c r="AA60" s="359">
        <f>VLOOKUP(D60,'SUIVI JOURNALIER AVRIL'!B:CD,81,FALSE)</f>
        <v>1327932</v>
      </c>
      <c r="AB60" s="360" t="str">
        <f t="shared" si="1"/>
        <v>ok</v>
      </c>
      <c r="AC60" s="360" t="str">
        <f>VLOOKUP(B60,labo!B:D,3,FALSE)</f>
        <v>ug3</v>
      </c>
      <c r="AD60" s="360" t="s">
        <v>2629</v>
      </c>
      <c r="AF60" s="330">
        <f>VLOOKUP(D60,'SUIVI JOURNALIER AVRIL'!CK:CL,2,FALSE)</f>
        <v>0</v>
      </c>
      <c r="AG60" s="360">
        <v>1</v>
      </c>
    </row>
    <row r="61" spans="1:33" s="360" customFormat="1" ht="13.5" customHeight="1">
      <c r="A61" s="324" t="s">
        <v>1150</v>
      </c>
      <c r="B61" s="325" t="s">
        <v>353</v>
      </c>
      <c r="C61" s="325" t="s">
        <v>517</v>
      </c>
      <c r="D61" s="325" t="s">
        <v>518</v>
      </c>
      <c r="E61" s="324" t="s">
        <v>485</v>
      </c>
      <c r="F61" s="324" t="s">
        <v>2055</v>
      </c>
      <c r="G61" s="324" t="s">
        <v>931</v>
      </c>
      <c r="H61" s="324" t="s">
        <v>897</v>
      </c>
      <c r="I61" s="324" t="s">
        <v>1047</v>
      </c>
      <c r="J61" s="324" t="s">
        <v>1008</v>
      </c>
      <c r="K61" s="324" t="s">
        <v>890</v>
      </c>
      <c r="L61" s="324" t="s">
        <v>891</v>
      </c>
      <c r="M61" s="324" t="s">
        <v>892</v>
      </c>
      <c r="N61" s="324" t="s">
        <v>912</v>
      </c>
      <c r="O61" s="324" t="s">
        <v>1048</v>
      </c>
      <c r="P61" s="324" t="s">
        <v>1048</v>
      </c>
      <c r="Q61" s="324" t="s">
        <v>989</v>
      </c>
      <c r="R61" s="324" t="s">
        <v>1049</v>
      </c>
      <c r="S61" s="356" t="s">
        <v>895</v>
      </c>
      <c r="T61" s="309" t="s">
        <v>909</v>
      </c>
      <c r="U61" s="357" t="e">
        <f>VLOOKUP(D61,'SUIVI JOURNALIER AVRIL'!CK:CM,3,FALSE)</f>
        <v>#N/A</v>
      </c>
      <c r="V61" s="358" t="e">
        <f>IF(VLOOKUP('vs mars'!D61,'point sur les patentes'!B:E,4,FALSE)="","",VLOOKUP(D61,'point sur les patentes'!B:E,4,FALSE)+VLOOKUP(D61,'point sur les patentes'!B:F,5,FALSE)+VLOOKUP('vs mars'!D61,'point sur les patentes'!B:G,6,FALSE)+VLOOKUP('vs mars'!D61,'point sur les patentes'!B:H,7,FALSE)+VLOOKUP('vs mars'!D61,'point sur les patentes'!B:I,8,FALSE)+VLOOKUP(D61,'point sur les patentes'!B:J,9,FALSE)+VLOOKUP(D61,'point sur les patentes'!B:K,10,FALSE)+VLOOKUP(D61,'point sur les patentes'!B:L,11,FALSE)+VLOOKUP(D61,'point sur les patentes'!B:M,12,FALSE)+VLOOKUP(D61,'point sur les patentes'!B:N,13,FALSE)+VLOOKUP(D61,'point sur les patentes'!B:O,14,FALSE)+VLOOKUP(D61,'point sur les patentes'!B:P,15,FALSE)+VLOOKUP(D61,'point sur les patentes'!B:Q,16,FALSE)+VLOOKUP('vs mars'!D61,'point sur les patentes'!B:Z,25,FALSE))</f>
        <v>#N/A</v>
      </c>
      <c r="W61" s="340" t="e">
        <f>VLOOKUP(D61,'SUIVI JOURNALIER AVRIL'!B:J,9,FALSE)</f>
        <v>#N/A</v>
      </c>
      <c r="X61" s="340" t="e">
        <f>VLOOKUP(D61,'SUIVI JOURNALIER AVRIL'!B:P,14,FALSE)+VLOOKUP('vs mars'!D61,'SUIVI JOURNALIER AVRIL'!B:V,20,FALSE)+VLOOKUP('vs mars'!D61,'SUIVI JOURNALIER AVRIL'!B:W,21,FALSE)</f>
        <v>#N/A</v>
      </c>
      <c r="Y61" s="340" t="e">
        <f>VLOOKUP(D61,'SUIVI JOURNALIER AVRIL'!B:CC,80,FALSE)</f>
        <v>#N/A</v>
      </c>
      <c r="Z61" s="340" t="e">
        <f t="shared" si="0"/>
        <v>#N/A</v>
      </c>
      <c r="AA61" s="359" t="e">
        <f>VLOOKUP(D61,'SUIVI JOURNALIER AVRIL'!B:CD,81,FALSE)</f>
        <v>#N/A</v>
      </c>
      <c r="AB61" s="360" t="e">
        <f t="shared" si="1"/>
        <v>#N/A</v>
      </c>
      <c r="AC61" s="360" t="str">
        <f>VLOOKUP(B61,labo!B:D,3,FALSE)</f>
        <v>ug3</v>
      </c>
      <c r="AD61" s="360" t="s">
        <v>2629</v>
      </c>
      <c r="AF61" s="330" t="e">
        <f>VLOOKUP(D61,'SUIVI JOURNALIER AVRIL'!CK:CL,2,FALSE)</f>
        <v>#N/A</v>
      </c>
      <c r="AG61" s="360">
        <v>1</v>
      </c>
    </row>
    <row r="62" spans="1:33" s="360" customFormat="1" ht="13.5" customHeight="1">
      <c r="A62" s="324" t="s">
        <v>1670</v>
      </c>
      <c r="B62" s="325" t="s">
        <v>354</v>
      </c>
      <c r="C62" s="325" t="s">
        <v>2055</v>
      </c>
      <c r="D62" s="325" t="s">
        <v>519</v>
      </c>
      <c r="E62" s="324" t="s">
        <v>485</v>
      </c>
      <c r="F62" s="324" t="s">
        <v>2055</v>
      </c>
      <c r="G62" s="324" t="s">
        <v>931</v>
      </c>
      <c r="H62" s="324" t="s">
        <v>897</v>
      </c>
      <c r="I62" s="324" t="s">
        <v>1454</v>
      </c>
      <c r="J62" s="324" t="s">
        <v>1008</v>
      </c>
      <c r="K62" s="324" t="s">
        <v>890</v>
      </c>
      <c r="L62" s="324" t="s">
        <v>891</v>
      </c>
      <c r="M62" s="324" t="s">
        <v>892</v>
      </c>
      <c r="N62" s="324" t="s">
        <v>954</v>
      </c>
      <c r="O62" s="324" t="s">
        <v>1050</v>
      </c>
      <c r="P62" s="324" t="s">
        <v>1050</v>
      </c>
      <c r="Q62" s="324" t="s">
        <v>956</v>
      </c>
      <c r="R62" s="324" t="s">
        <v>1011</v>
      </c>
      <c r="S62" s="356" t="s">
        <v>895</v>
      </c>
      <c r="T62" s="309" t="s">
        <v>909</v>
      </c>
      <c r="U62" s="357" t="e">
        <f>VLOOKUP(D62,'SUIVI JOURNALIER AVRIL'!CK:CM,3,FALSE)</f>
        <v>#N/A</v>
      </c>
      <c r="V62" s="358" t="e">
        <f>IF(VLOOKUP('vs mars'!D62,'point sur les patentes'!B:E,4,FALSE)="","",VLOOKUP(D62,'point sur les patentes'!B:E,4,FALSE)+VLOOKUP(D62,'point sur les patentes'!B:F,5,FALSE)+VLOOKUP('vs mars'!D62,'point sur les patentes'!B:G,6,FALSE)+VLOOKUP('vs mars'!D62,'point sur les patentes'!B:H,7,FALSE)+VLOOKUP('vs mars'!D62,'point sur les patentes'!B:I,8,FALSE)+VLOOKUP(D62,'point sur les patentes'!B:J,9,FALSE)+VLOOKUP(D62,'point sur les patentes'!B:K,10,FALSE)+VLOOKUP(D62,'point sur les patentes'!B:L,11,FALSE)+VLOOKUP(D62,'point sur les patentes'!B:M,12,FALSE)+VLOOKUP(D62,'point sur les patentes'!B:N,13,FALSE)+VLOOKUP(D62,'point sur les patentes'!B:O,14,FALSE)+VLOOKUP(D62,'point sur les patentes'!B:P,15,FALSE)+VLOOKUP(D62,'point sur les patentes'!B:Q,16,FALSE)+VLOOKUP('vs mars'!D62,'point sur les patentes'!B:Z,25,FALSE))</f>
        <v>#N/A</v>
      </c>
      <c r="W62" s="340" t="e">
        <f>VLOOKUP(D62,'SUIVI JOURNALIER AVRIL'!B:J,9,FALSE)</f>
        <v>#N/A</v>
      </c>
      <c r="X62" s="340" t="e">
        <f>VLOOKUP(D62,'SUIVI JOURNALIER AVRIL'!B:P,14,FALSE)+VLOOKUP('vs mars'!D62,'SUIVI JOURNALIER AVRIL'!B:V,20,FALSE)+VLOOKUP('vs mars'!D62,'SUIVI JOURNALIER AVRIL'!B:W,21,FALSE)</f>
        <v>#N/A</v>
      </c>
      <c r="Y62" s="340" t="e">
        <f>VLOOKUP(D62,'SUIVI JOURNALIER AVRIL'!B:CC,80,FALSE)</f>
        <v>#N/A</v>
      </c>
      <c r="Z62" s="340" t="e">
        <f t="shared" si="0"/>
        <v>#N/A</v>
      </c>
      <c r="AA62" s="359" t="e">
        <f>VLOOKUP(D62,'SUIVI JOURNALIER AVRIL'!B:CD,81,FALSE)</f>
        <v>#N/A</v>
      </c>
      <c r="AB62" s="360" t="e">
        <f t="shared" si="1"/>
        <v>#N/A</v>
      </c>
      <c r="AC62" s="360" t="str">
        <f>VLOOKUP(B62,labo!B:D,3,FALSE)</f>
        <v>ug3</v>
      </c>
      <c r="AD62" s="360" t="s">
        <v>2629</v>
      </c>
      <c r="AF62" s="330" t="e">
        <f>VLOOKUP(D62,'SUIVI JOURNALIER AVRIL'!CK:CL,2,FALSE)</f>
        <v>#N/A</v>
      </c>
      <c r="AG62" s="360">
        <v>1</v>
      </c>
    </row>
    <row r="63" spans="1:33" s="360" customFormat="1" ht="13.5" customHeight="1">
      <c r="A63" s="324" t="s">
        <v>1122</v>
      </c>
      <c r="B63" s="325" t="s">
        <v>520</v>
      </c>
      <c r="C63" s="325" t="s">
        <v>2055</v>
      </c>
      <c r="D63" s="325" t="s">
        <v>521</v>
      </c>
      <c r="E63" s="324" t="s">
        <v>485</v>
      </c>
      <c r="F63" s="324" t="s">
        <v>2055</v>
      </c>
      <c r="G63" s="324" t="s">
        <v>931</v>
      </c>
      <c r="H63" s="324" t="s">
        <v>897</v>
      </c>
      <c r="I63" s="324" t="s">
        <v>1455</v>
      </c>
      <c r="J63" s="324" t="s">
        <v>1008</v>
      </c>
      <c r="K63" s="324" t="s">
        <v>890</v>
      </c>
      <c r="L63" s="324" t="s">
        <v>891</v>
      </c>
      <c r="M63" s="324" t="s">
        <v>892</v>
      </c>
      <c r="N63" s="324" t="s">
        <v>912</v>
      </c>
      <c r="O63" s="324" t="s">
        <v>1051</v>
      </c>
      <c r="P63" s="324" t="s">
        <v>1051</v>
      </c>
      <c r="Q63" s="324" t="s">
        <v>956</v>
      </c>
      <c r="R63" s="324" t="s">
        <v>956</v>
      </c>
      <c r="S63" s="356" t="s">
        <v>895</v>
      </c>
      <c r="T63" s="309" t="s">
        <v>909</v>
      </c>
      <c r="U63" s="357" t="e">
        <f>VLOOKUP(D63,'SUIVI JOURNALIER AVRIL'!CK:CM,3,FALSE)</f>
        <v>#N/A</v>
      </c>
      <c r="V63" s="358" t="e">
        <f>IF(VLOOKUP('vs mars'!D63,'point sur les patentes'!B:E,4,FALSE)="","",VLOOKUP(D63,'point sur les patentes'!B:E,4,FALSE)+VLOOKUP(D63,'point sur les patentes'!B:F,5,FALSE)+VLOOKUP('vs mars'!D63,'point sur les patentes'!B:G,6,FALSE)+VLOOKUP('vs mars'!D63,'point sur les patentes'!B:H,7,FALSE)+VLOOKUP('vs mars'!D63,'point sur les patentes'!B:I,8,FALSE)+VLOOKUP(D63,'point sur les patentes'!B:J,9,FALSE)+VLOOKUP(D63,'point sur les patentes'!B:K,10,FALSE)+VLOOKUP(D63,'point sur les patentes'!B:L,11,FALSE)+VLOOKUP(D63,'point sur les patentes'!B:M,12,FALSE)+VLOOKUP(D63,'point sur les patentes'!B:N,13,FALSE)+VLOOKUP(D63,'point sur les patentes'!B:O,14,FALSE)+VLOOKUP(D63,'point sur les patentes'!B:P,15,FALSE)+VLOOKUP(D63,'point sur les patentes'!B:Q,16,FALSE)+VLOOKUP('vs mars'!D63,'point sur les patentes'!B:Z,25,FALSE))</f>
        <v>#N/A</v>
      </c>
      <c r="W63" s="340" t="e">
        <f>VLOOKUP(D63,'SUIVI JOURNALIER AVRIL'!B:J,9,FALSE)</f>
        <v>#N/A</v>
      </c>
      <c r="X63" s="340" t="e">
        <f>VLOOKUP(D63,'SUIVI JOURNALIER AVRIL'!B:P,14,FALSE)+VLOOKUP('vs mars'!D63,'SUIVI JOURNALIER AVRIL'!B:V,20,FALSE)+VLOOKUP('vs mars'!D63,'SUIVI JOURNALIER AVRIL'!B:W,21,FALSE)</f>
        <v>#N/A</v>
      </c>
      <c r="Y63" s="340" t="e">
        <f>VLOOKUP(D63,'SUIVI JOURNALIER AVRIL'!B:CC,80,FALSE)</f>
        <v>#N/A</v>
      </c>
      <c r="Z63" s="340" t="e">
        <f t="shared" si="0"/>
        <v>#N/A</v>
      </c>
      <c r="AA63" s="359" t="e">
        <f>VLOOKUP(D63,'SUIVI JOURNALIER AVRIL'!B:CD,81,FALSE)</f>
        <v>#N/A</v>
      </c>
      <c r="AB63" s="360" t="e">
        <f t="shared" si="1"/>
        <v>#N/A</v>
      </c>
      <c r="AC63" s="360" t="str">
        <f>VLOOKUP(B63,labo!B:D,3,FALSE)</f>
        <v>ug3</v>
      </c>
      <c r="AD63" s="360" t="s">
        <v>2629</v>
      </c>
      <c r="AF63" s="330" t="e">
        <f>VLOOKUP(D63,'SUIVI JOURNALIER AVRIL'!CK:CL,2,FALSE)</f>
        <v>#N/A</v>
      </c>
      <c r="AG63" s="360">
        <v>1</v>
      </c>
    </row>
    <row r="64" spans="1:33" s="360" customFormat="1" ht="13.5" customHeight="1">
      <c r="A64" s="324" t="s">
        <v>1376</v>
      </c>
      <c r="B64" s="325" t="s">
        <v>355</v>
      </c>
      <c r="C64" s="325" t="s">
        <v>2055</v>
      </c>
      <c r="D64" s="325" t="s">
        <v>522</v>
      </c>
      <c r="E64" s="324" t="s">
        <v>485</v>
      </c>
      <c r="F64" s="324" t="s">
        <v>2055</v>
      </c>
      <c r="G64" s="324" t="s">
        <v>931</v>
      </c>
      <c r="H64" s="324" t="s">
        <v>897</v>
      </c>
      <c r="I64" s="324" t="s">
        <v>1455</v>
      </c>
      <c r="J64" s="324" t="s">
        <v>1008</v>
      </c>
      <c r="K64" s="324" t="s">
        <v>890</v>
      </c>
      <c r="L64" s="324" t="s">
        <v>891</v>
      </c>
      <c r="M64" s="324" t="s">
        <v>892</v>
      </c>
      <c r="N64" s="324" t="s">
        <v>954</v>
      </c>
      <c r="O64" s="324" t="s">
        <v>1052</v>
      </c>
      <c r="P64" s="324" t="s">
        <v>1052</v>
      </c>
      <c r="Q64" s="324" t="s">
        <v>956</v>
      </c>
      <c r="R64" s="324" t="s">
        <v>1011</v>
      </c>
      <c r="S64" s="356" t="s">
        <v>895</v>
      </c>
      <c r="T64" s="309" t="s">
        <v>909</v>
      </c>
      <c r="U64" s="357" t="e">
        <f>VLOOKUP(D64,'SUIVI JOURNALIER AVRIL'!CK:CM,3,FALSE)</f>
        <v>#N/A</v>
      </c>
      <c r="V64" s="358" t="e">
        <f>IF(VLOOKUP('vs mars'!D64,'point sur les patentes'!B:E,4,FALSE)="","",VLOOKUP(D64,'point sur les patentes'!B:E,4,FALSE)+VLOOKUP(D64,'point sur les patentes'!B:F,5,FALSE)+VLOOKUP('vs mars'!D64,'point sur les patentes'!B:G,6,FALSE)+VLOOKUP('vs mars'!D64,'point sur les patentes'!B:H,7,FALSE)+VLOOKUP('vs mars'!D64,'point sur les patentes'!B:I,8,FALSE)+VLOOKUP(D64,'point sur les patentes'!B:J,9,FALSE)+VLOOKUP(D64,'point sur les patentes'!B:K,10,FALSE)+VLOOKUP(D64,'point sur les patentes'!B:L,11,FALSE)+VLOOKUP(D64,'point sur les patentes'!B:M,12,FALSE)+VLOOKUP(D64,'point sur les patentes'!B:N,13,FALSE)+VLOOKUP(D64,'point sur les patentes'!B:O,14,FALSE)+VLOOKUP(D64,'point sur les patentes'!B:P,15,FALSE)+VLOOKUP(D64,'point sur les patentes'!B:Q,16,FALSE)+VLOOKUP('vs mars'!D64,'point sur les patentes'!B:Z,25,FALSE))</f>
        <v>#N/A</v>
      </c>
      <c r="W64" s="340" t="e">
        <f>VLOOKUP(D64,'SUIVI JOURNALIER AVRIL'!B:J,9,FALSE)</f>
        <v>#N/A</v>
      </c>
      <c r="X64" s="340" t="e">
        <f>VLOOKUP(D64,'SUIVI JOURNALIER AVRIL'!B:P,14,FALSE)+VLOOKUP('vs mars'!D64,'SUIVI JOURNALIER AVRIL'!B:V,20,FALSE)+VLOOKUP('vs mars'!D64,'SUIVI JOURNALIER AVRIL'!B:W,21,FALSE)</f>
        <v>#N/A</v>
      </c>
      <c r="Y64" s="340" t="e">
        <f>VLOOKUP(D64,'SUIVI JOURNALIER AVRIL'!B:CC,80,FALSE)</f>
        <v>#N/A</v>
      </c>
      <c r="Z64" s="340" t="e">
        <f t="shared" si="0"/>
        <v>#N/A</v>
      </c>
      <c r="AA64" s="359" t="e">
        <f>VLOOKUP(D64,'SUIVI JOURNALIER AVRIL'!B:CD,81,FALSE)</f>
        <v>#N/A</v>
      </c>
      <c r="AB64" s="360" t="e">
        <f t="shared" si="1"/>
        <v>#N/A</v>
      </c>
      <c r="AC64" s="360" t="str">
        <f>VLOOKUP(B64,labo!B:D,3,FALSE)</f>
        <v>ug3</v>
      </c>
      <c r="AD64" s="360" t="s">
        <v>2629</v>
      </c>
      <c r="AF64" s="330" t="e">
        <f>VLOOKUP(D64,'SUIVI JOURNALIER AVRIL'!CK:CL,2,FALSE)</f>
        <v>#N/A</v>
      </c>
      <c r="AG64" s="360">
        <v>1</v>
      </c>
    </row>
    <row r="65" spans="1:33" s="360" customFormat="1" ht="13.5" customHeight="1">
      <c r="A65" s="324" t="s">
        <v>1170</v>
      </c>
      <c r="B65" s="325" t="s">
        <v>356</v>
      </c>
      <c r="C65" s="325" t="s">
        <v>523</v>
      </c>
      <c r="D65" s="325" t="s">
        <v>524</v>
      </c>
      <c r="E65" s="324" t="s">
        <v>485</v>
      </c>
      <c r="F65" s="324" t="s">
        <v>2055</v>
      </c>
      <c r="G65" s="324" t="s">
        <v>931</v>
      </c>
      <c r="H65" s="324" t="s">
        <v>897</v>
      </c>
      <c r="I65" s="324" t="s">
        <v>997</v>
      </c>
      <c r="J65" s="324" t="s">
        <v>1008</v>
      </c>
      <c r="K65" s="324" t="s">
        <v>890</v>
      </c>
      <c r="L65" s="324" t="s">
        <v>891</v>
      </c>
      <c r="M65" s="324" t="s">
        <v>892</v>
      </c>
      <c r="N65" s="324" t="s">
        <v>912</v>
      </c>
      <c r="O65" s="324" t="s">
        <v>1053</v>
      </c>
      <c r="P65" s="324" t="s">
        <v>1053</v>
      </c>
      <c r="Q65" s="324" t="s">
        <v>1054</v>
      </c>
      <c r="R65" s="324" t="s">
        <v>1055</v>
      </c>
      <c r="S65" s="356" t="s">
        <v>895</v>
      </c>
      <c r="T65" s="309" t="s">
        <v>1060</v>
      </c>
      <c r="U65" s="357" t="e">
        <f>VLOOKUP(D65,'SUIVI JOURNALIER AVRIL'!CK:CM,3,FALSE)</f>
        <v>#N/A</v>
      </c>
      <c r="V65" s="358" t="e">
        <f>IF(VLOOKUP('vs mars'!D65,'point sur les patentes'!B:E,4,FALSE)="","",VLOOKUP(D65,'point sur les patentes'!B:E,4,FALSE)+VLOOKUP(D65,'point sur les patentes'!B:F,5,FALSE)+VLOOKUP('vs mars'!D65,'point sur les patentes'!B:G,6,FALSE)+VLOOKUP('vs mars'!D65,'point sur les patentes'!B:H,7,FALSE)+VLOOKUP('vs mars'!D65,'point sur les patentes'!B:I,8,FALSE)+VLOOKUP(D65,'point sur les patentes'!B:J,9,FALSE)+VLOOKUP(D65,'point sur les patentes'!B:K,10,FALSE)+VLOOKUP(D65,'point sur les patentes'!B:L,11,FALSE)+VLOOKUP(D65,'point sur les patentes'!B:M,12,FALSE)+VLOOKUP(D65,'point sur les patentes'!B:N,13,FALSE)+VLOOKUP(D65,'point sur les patentes'!B:O,14,FALSE)+VLOOKUP(D65,'point sur les patentes'!B:P,15,FALSE)+VLOOKUP(D65,'point sur les patentes'!B:Q,16,FALSE)+VLOOKUP('vs mars'!D65,'point sur les patentes'!B:Z,25,FALSE))</f>
        <v>#N/A</v>
      </c>
      <c r="W65" s="340" t="e">
        <f>VLOOKUP(D65,'SUIVI JOURNALIER AVRIL'!B:J,9,FALSE)</f>
        <v>#N/A</v>
      </c>
      <c r="X65" s="340" t="e">
        <f>VLOOKUP(D65,'SUIVI JOURNALIER AVRIL'!B:P,14,FALSE)+VLOOKUP('vs mars'!D65,'SUIVI JOURNALIER AVRIL'!B:V,20,FALSE)+VLOOKUP('vs mars'!D65,'SUIVI JOURNALIER AVRIL'!B:W,21,FALSE)</f>
        <v>#N/A</v>
      </c>
      <c r="Y65" s="340" t="e">
        <f>VLOOKUP(D65,'SUIVI JOURNALIER AVRIL'!B:CC,80,FALSE)</f>
        <v>#N/A</v>
      </c>
      <c r="Z65" s="340" t="e">
        <f t="shared" si="0"/>
        <v>#N/A</v>
      </c>
      <c r="AA65" s="359" t="e">
        <f>VLOOKUP(D65,'SUIVI JOURNALIER AVRIL'!B:CD,81,FALSE)</f>
        <v>#N/A</v>
      </c>
      <c r="AB65" s="360" t="e">
        <f t="shared" si="1"/>
        <v>#N/A</v>
      </c>
      <c r="AC65" s="360" t="str">
        <f>VLOOKUP(B65,labo!B:D,3,FALSE)</f>
        <v>ug3</v>
      </c>
      <c r="AD65" s="360" t="s">
        <v>2629</v>
      </c>
      <c r="AF65" s="330" t="e">
        <f>VLOOKUP(D65,'SUIVI JOURNALIER AVRIL'!CK:CL,2,FALSE)</f>
        <v>#N/A</v>
      </c>
      <c r="AG65" s="360">
        <v>1</v>
      </c>
    </row>
    <row r="66" spans="1:33" s="360" customFormat="1" ht="13.5" customHeight="1">
      <c r="A66" s="324" t="s">
        <v>1671</v>
      </c>
      <c r="B66" s="325" t="s">
        <v>525</v>
      </c>
      <c r="C66" s="325" t="s">
        <v>526</v>
      </c>
      <c r="D66" s="325" t="s">
        <v>527</v>
      </c>
      <c r="E66" s="324" t="s">
        <v>485</v>
      </c>
      <c r="F66" s="324" t="s">
        <v>2055</v>
      </c>
      <c r="G66" s="324" t="s">
        <v>931</v>
      </c>
      <c r="H66" s="324" t="s">
        <v>897</v>
      </c>
      <c r="I66" s="324" t="s">
        <v>1056</v>
      </c>
      <c r="J66" s="324" t="s">
        <v>1008</v>
      </c>
      <c r="K66" s="324" t="s">
        <v>890</v>
      </c>
      <c r="L66" s="324" t="s">
        <v>891</v>
      </c>
      <c r="M66" s="324" t="s">
        <v>892</v>
      </c>
      <c r="N66" s="324" t="s">
        <v>905</v>
      </c>
      <c r="O66" s="324" t="s">
        <v>1057</v>
      </c>
      <c r="P66" s="324" t="s">
        <v>1057</v>
      </c>
      <c r="Q66" s="324" t="s">
        <v>956</v>
      </c>
      <c r="R66" s="324" t="s">
        <v>1058</v>
      </c>
      <c r="S66" s="356" t="s">
        <v>895</v>
      </c>
      <c r="T66" s="309" t="s">
        <v>909</v>
      </c>
      <c r="U66" s="357" t="e">
        <f>VLOOKUP(D66,'SUIVI JOURNALIER AVRIL'!CK:CM,3,FALSE)</f>
        <v>#N/A</v>
      </c>
      <c r="V66" s="358" t="e">
        <f>IF(VLOOKUP('vs mars'!D66,'point sur les patentes'!B:E,4,FALSE)="","",VLOOKUP(D66,'point sur les patentes'!B:E,4,FALSE)+VLOOKUP(D66,'point sur les patentes'!B:F,5,FALSE)+VLOOKUP('vs mars'!D66,'point sur les patentes'!B:G,6,FALSE)+VLOOKUP('vs mars'!D66,'point sur les patentes'!B:H,7,FALSE)+VLOOKUP('vs mars'!D66,'point sur les patentes'!B:I,8,FALSE)+VLOOKUP(D66,'point sur les patentes'!B:J,9,FALSE)+VLOOKUP(D66,'point sur les patentes'!B:K,10,FALSE)+VLOOKUP(D66,'point sur les patentes'!B:L,11,FALSE)+VLOOKUP(D66,'point sur les patentes'!B:M,12,FALSE)+VLOOKUP(D66,'point sur les patentes'!B:N,13,FALSE)+VLOOKUP(D66,'point sur les patentes'!B:O,14,FALSE)+VLOOKUP(D66,'point sur les patentes'!B:P,15,FALSE)+VLOOKUP(D66,'point sur les patentes'!B:Q,16,FALSE)+VLOOKUP('vs mars'!D66,'point sur les patentes'!B:Z,25,FALSE))</f>
        <v>#N/A</v>
      </c>
      <c r="W66" s="340" t="e">
        <f>VLOOKUP(D66,'SUIVI JOURNALIER AVRIL'!B:J,9,FALSE)</f>
        <v>#N/A</v>
      </c>
      <c r="X66" s="340" t="e">
        <f>VLOOKUP(D66,'SUIVI JOURNALIER AVRIL'!B:P,14,FALSE)+VLOOKUP('vs mars'!D66,'SUIVI JOURNALIER AVRIL'!B:V,20,FALSE)+VLOOKUP('vs mars'!D66,'SUIVI JOURNALIER AVRIL'!B:W,21,FALSE)</f>
        <v>#N/A</v>
      </c>
      <c r="Y66" s="340" t="e">
        <f>VLOOKUP(D66,'SUIVI JOURNALIER AVRIL'!B:CC,80,FALSE)</f>
        <v>#N/A</v>
      </c>
      <c r="Z66" s="340" t="e">
        <f t="shared" si="0"/>
        <v>#N/A</v>
      </c>
      <c r="AA66" s="359" t="e">
        <f>VLOOKUP(D66,'SUIVI JOURNALIER AVRIL'!B:CD,81,FALSE)</f>
        <v>#N/A</v>
      </c>
      <c r="AB66" s="360" t="e">
        <f t="shared" si="1"/>
        <v>#N/A</v>
      </c>
      <c r="AC66" s="360" t="str">
        <f>VLOOKUP(B66,labo!B:D,3,FALSE)</f>
        <v>ug3</v>
      </c>
      <c r="AD66" s="360" t="s">
        <v>2629</v>
      </c>
      <c r="AF66" s="330" t="e">
        <f>VLOOKUP(D66,'SUIVI JOURNALIER AVRIL'!CK:CL,2,FALSE)</f>
        <v>#N/A</v>
      </c>
      <c r="AG66" s="360">
        <v>1</v>
      </c>
    </row>
    <row r="67" spans="1:33" s="360" customFormat="1" ht="13.5" customHeight="1">
      <c r="A67" s="324" t="s">
        <v>1672</v>
      </c>
      <c r="B67" s="325" t="s">
        <v>357</v>
      </c>
      <c r="C67" s="325" t="s">
        <v>2055</v>
      </c>
      <c r="D67" s="325" t="s">
        <v>528</v>
      </c>
      <c r="E67" s="324" t="s">
        <v>485</v>
      </c>
      <c r="F67" s="324" t="s">
        <v>2055</v>
      </c>
      <c r="G67" s="324" t="s">
        <v>931</v>
      </c>
      <c r="H67" s="324" t="s">
        <v>897</v>
      </c>
      <c r="I67" s="324" t="s">
        <v>1456</v>
      </c>
      <c r="J67" s="324" t="s">
        <v>1008</v>
      </c>
      <c r="K67" s="324" t="s">
        <v>890</v>
      </c>
      <c r="L67" s="324" t="s">
        <v>891</v>
      </c>
      <c r="M67" s="324" t="s">
        <v>892</v>
      </c>
      <c r="N67" s="324" t="s">
        <v>954</v>
      </c>
      <c r="O67" s="324" t="s">
        <v>1059</v>
      </c>
      <c r="P67" s="324" t="s">
        <v>1059</v>
      </c>
      <c r="Q67" s="324" t="s">
        <v>956</v>
      </c>
      <c r="R67" s="324" t="s">
        <v>1011</v>
      </c>
      <c r="S67" s="356" t="s">
        <v>895</v>
      </c>
      <c r="T67" s="309" t="s">
        <v>909</v>
      </c>
      <c r="U67" s="357" t="e">
        <f>VLOOKUP(D67,'SUIVI JOURNALIER AVRIL'!CK:CM,3,FALSE)</f>
        <v>#N/A</v>
      </c>
      <c r="V67" s="358" t="e">
        <f>IF(VLOOKUP('vs mars'!D67,'point sur les patentes'!B:E,4,FALSE)="","",VLOOKUP(D67,'point sur les patentes'!B:E,4,FALSE)+VLOOKUP(D67,'point sur les patentes'!B:F,5,FALSE)+VLOOKUP('vs mars'!D67,'point sur les patentes'!B:G,6,FALSE)+VLOOKUP('vs mars'!D67,'point sur les patentes'!B:H,7,FALSE)+VLOOKUP('vs mars'!D67,'point sur les patentes'!B:I,8,FALSE)+VLOOKUP(D67,'point sur les patentes'!B:J,9,FALSE)+VLOOKUP(D67,'point sur les patentes'!B:K,10,FALSE)+VLOOKUP(D67,'point sur les patentes'!B:L,11,FALSE)+VLOOKUP(D67,'point sur les patentes'!B:M,12,FALSE)+VLOOKUP(D67,'point sur les patentes'!B:N,13,FALSE)+VLOOKUP(D67,'point sur les patentes'!B:O,14,FALSE)+VLOOKUP(D67,'point sur les patentes'!B:P,15,FALSE)+VLOOKUP(D67,'point sur les patentes'!B:Q,16,FALSE)+VLOOKUP('vs mars'!D67,'point sur les patentes'!B:Z,25,FALSE))</f>
        <v>#N/A</v>
      </c>
      <c r="W67" s="340" t="e">
        <f>VLOOKUP(D67,'SUIVI JOURNALIER AVRIL'!B:J,9,FALSE)</f>
        <v>#N/A</v>
      </c>
      <c r="X67" s="340" t="e">
        <f>VLOOKUP(D67,'SUIVI JOURNALIER AVRIL'!B:P,14,FALSE)+VLOOKUP('vs mars'!D67,'SUIVI JOURNALIER AVRIL'!B:V,20,FALSE)+VLOOKUP('vs mars'!D67,'SUIVI JOURNALIER AVRIL'!B:W,21,FALSE)</f>
        <v>#N/A</v>
      </c>
      <c r="Y67" s="340" t="e">
        <f>VLOOKUP(D67,'SUIVI JOURNALIER AVRIL'!B:CC,80,FALSE)</f>
        <v>#N/A</v>
      </c>
      <c r="Z67" s="340" t="e">
        <f t="shared" ref="Z67:Z130" si="2">W67+X67+Y67</f>
        <v>#N/A</v>
      </c>
      <c r="AA67" s="359" t="e">
        <f>VLOOKUP(D67,'SUIVI JOURNALIER AVRIL'!B:CD,81,FALSE)</f>
        <v>#N/A</v>
      </c>
      <c r="AB67" s="360" t="e">
        <f t="shared" ref="AB67:AB130" si="3">IF(Z67=AA67,"ok","revoir")</f>
        <v>#N/A</v>
      </c>
      <c r="AC67" s="360" t="str">
        <f>VLOOKUP(B67,labo!B:D,3,FALSE)</f>
        <v>ug3</v>
      </c>
      <c r="AD67" s="360" t="s">
        <v>2629</v>
      </c>
      <c r="AF67" s="330" t="e">
        <f>VLOOKUP(D67,'SUIVI JOURNALIER AVRIL'!CK:CL,2,FALSE)</f>
        <v>#N/A</v>
      </c>
      <c r="AG67" s="360">
        <v>1</v>
      </c>
    </row>
    <row r="68" spans="1:33" s="360" customFormat="1" ht="13.5" customHeight="1">
      <c r="A68" s="324" t="s">
        <v>1673</v>
      </c>
      <c r="B68" s="325" t="s">
        <v>358</v>
      </c>
      <c r="C68" s="325" t="s">
        <v>2055</v>
      </c>
      <c r="D68" s="325" t="s">
        <v>529</v>
      </c>
      <c r="E68" s="324" t="s">
        <v>485</v>
      </c>
      <c r="F68" s="324" t="s">
        <v>2055</v>
      </c>
      <c r="G68" s="324" t="s">
        <v>931</v>
      </c>
      <c r="H68" s="324" t="s">
        <v>897</v>
      </c>
      <c r="I68" s="324" t="s">
        <v>1457</v>
      </c>
      <c r="J68" s="324" t="s">
        <v>1008</v>
      </c>
      <c r="K68" s="324" t="s">
        <v>890</v>
      </c>
      <c r="L68" s="324" t="s">
        <v>891</v>
      </c>
      <c r="M68" s="324" t="s">
        <v>892</v>
      </c>
      <c r="N68" s="324" t="s">
        <v>954</v>
      </c>
      <c r="O68" s="324" t="s">
        <v>976</v>
      </c>
      <c r="P68" s="324" t="s">
        <v>976</v>
      </c>
      <c r="Q68" s="324" t="s">
        <v>924</v>
      </c>
      <c r="R68" s="324" t="s">
        <v>1011</v>
      </c>
      <c r="S68" s="356" t="s">
        <v>895</v>
      </c>
      <c r="T68" s="309" t="s">
        <v>909</v>
      </c>
      <c r="U68" s="357" t="e">
        <f>VLOOKUP(D68,'SUIVI JOURNALIER AVRIL'!CK:CM,3,FALSE)</f>
        <v>#N/A</v>
      </c>
      <c r="V68" s="358" t="e">
        <f>IF(VLOOKUP('vs mars'!D68,'point sur les patentes'!B:E,4,FALSE)="","",VLOOKUP(D68,'point sur les patentes'!B:E,4,FALSE)+VLOOKUP(D68,'point sur les patentes'!B:F,5,FALSE)+VLOOKUP('vs mars'!D68,'point sur les patentes'!B:G,6,FALSE)+VLOOKUP('vs mars'!D68,'point sur les patentes'!B:H,7,FALSE)+VLOOKUP('vs mars'!D68,'point sur les patentes'!B:I,8,FALSE)+VLOOKUP(D68,'point sur les patentes'!B:J,9,FALSE)+VLOOKUP(D68,'point sur les patentes'!B:K,10,FALSE)+VLOOKUP(D68,'point sur les patentes'!B:L,11,FALSE)+VLOOKUP(D68,'point sur les patentes'!B:M,12,FALSE)+VLOOKUP(D68,'point sur les patentes'!B:N,13,FALSE)+VLOOKUP(D68,'point sur les patentes'!B:O,14,FALSE)+VLOOKUP(D68,'point sur les patentes'!B:P,15,FALSE)+VLOOKUP(D68,'point sur les patentes'!B:Q,16,FALSE)+VLOOKUP('vs mars'!D68,'point sur les patentes'!B:Z,25,FALSE))</f>
        <v>#N/A</v>
      </c>
      <c r="W68" s="340" t="e">
        <f>VLOOKUP(D68,'SUIVI JOURNALIER AVRIL'!B:J,9,FALSE)</f>
        <v>#N/A</v>
      </c>
      <c r="X68" s="340" t="e">
        <f>VLOOKUP(D68,'SUIVI JOURNALIER AVRIL'!B:P,14,FALSE)+VLOOKUP('vs mars'!D68,'SUIVI JOURNALIER AVRIL'!B:V,20,FALSE)+VLOOKUP('vs mars'!D68,'SUIVI JOURNALIER AVRIL'!B:W,21,FALSE)</f>
        <v>#N/A</v>
      </c>
      <c r="Y68" s="340" t="e">
        <f>VLOOKUP(D68,'SUIVI JOURNALIER AVRIL'!B:CC,80,FALSE)</f>
        <v>#N/A</v>
      </c>
      <c r="Z68" s="340" t="e">
        <f t="shared" si="2"/>
        <v>#N/A</v>
      </c>
      <c r="AA68" s="359" t="e">
        <f>VLOOKUP(D68,'SUIVI JOURNALIER AVRIL'!B:CD,81,FALSE)</f>
        <v>#N/A</v>
      </c>
      <c r="AB68" s="360" t="e">
        <f t="shared" si="3"/>
        <v>#N/A</v>
      </c>
      <c r="AC68" s="360" t="str">
        <f>VLOOKUP(B68,labo!B:D,3,FALSE)</f>
        <v>ug3</v>
      </c>
      <c r="AD68" s="360" t="s">
        <v>2629</v>
      </c>
      <c r="AF68" s="330" t="e">
        <f>VLOOKUP(D68,'SUIVI JOURNALIER AVRIL'!CK:CL,2,FALSE)</f>
        <v>#N/A</v>
      </c>
      <c r="AG68" s="360">
        <v>1</v>
      </c>
    </row>
    <row r="69" spans="1:33" s="360" customFormat="1" ht="13.5" customHeight="1">
      <c r="A69" s="324" t="s">
        <v>1674</v>
      </c>
      <c r="B69" s="325" t="s">
        <v>359</v>
      </c>
      <c r="C69" s="325" t="s">
        <v>2055</v>
      </c>
      <c r="D69" s="325" t="s">
        <v>530</v>
      </c>
      <c r="E69" s="324" t="s">
        <v>485</v>
      </c>
      <c r="F69" s="324" t="s">
        <v>2055</v>
      </c>
      <c r="G69" s="324" t="s">
        <v>931</v>
      </c>
      <c r="H69" s="324" t="s">
        <v>897</v>
      </c>
      <c r="I69" s="324" t="s">
        <v>1061</v>
      </c>
      <c r="J69" s="324" t="s">
        <v>1008</v>
      </c>
      <c r="K69" s="324" t="s">
        <v>890</v>
      </c>
      <c r="L69" s="324" t="s">
        <v>891</v>
      </c>
      <c r="M69" s="324" t="s">
        <v>892</v>
      </c>
      <c r="N69" s="324" t="s">
        <v>893</v>
      </c>
      <c r="O69" s="324" t="s">
        <v>919</v>
      </c>
      <c r="P69" s="324" t="s">
        <v>919</v>
      </c>
      <c r="Q69" s="324" t="s">
        <v>1062</v>
      </c>
      <c r="R69" s="324" t="s">
        <v>1011</v>
      </c>
      <c r="S69" s="356" t="s">
        <v>895</v>
      </c>
      <c r="T69" s="309" t="s">
        <v>1072</v>
      </c>
      <c r="U69" s="357" t="e">
        <f>VLOOKUP(D69,'SUIVI JOURNALIER AVRIL'!CK:CM,3,FALSE)</f>
        <v>#N/A</v>
      </c>
      <c r="V69" s="358" t="e">
        <f>IF(VLOOKUP('vs mars'!D69,'point sur les patentes'!B:E,4,FALSE)="","",VLOOKUP(D69,'point sur les patentes'!B:E,4,FALSE)+VLOOKUP(D69,'point sur les patentes'!B:F,5,FALSE)+VLOOKUP('vs mars'!D69,'point sur les patentes'!B:G,6,FALSE)+VLOOKUP('vs mars'!D69,'point sur les patentes'!B:H,7,FALSE)+VLOOKUP('vs mars'!D69,'point sur les patentes'!B:I,8,FALSE)+VLOOKUP(D69,'point sur les patentes'!B:J,9,FALSE)+VLOOKUP(D69,'point sur les patentes'!B:K,10,FALSE)+VLOOKUP(D69,'point sur les patentes'!B:L,11,FALSE)+VLOOKUP(D69,'point sur les patentes'!B:M,12,FALSE)+VLOOKUP(D69,'point sur les patentes'!B:N,13,FALSE)+VLOOKUP(D69,'point sur les patentes'!B:O,14,FALSE)+VLOOKUP(D69,'point sur les patentes'!B:P,15,FALSE)+VLOOKUP(D69,'point sur les patentes'!B:Q,16,FALSE)+VLOOKUP('vs mars'!D69,'point sur les patentes'!B:Z,25,FALSE))</f>
        <v>#N/A</v>
      </c>
      <c r="W69" s="340" t="e">
        <f>VLOOKUP(D69,'SUIVI JOURNALIER AVRIL'!B:J,9,FALSE)</f>
        <v>#N/A</v>
      </c>
      <c r="X69" s="340" t="e">
        <f>VLOOKUP(D69,'SUIVI JOURNALIER AVRIL'!B:P,14,FALSE)+VLOOKUP('vs mars'!D69,'SUIVI JOURNALIER AVRIL'!B:V,20,FALSE)+VLOOKUP('vs mars'!D69,'SUIVI JOURNALIER AVRIL'!B:W,21,FALSE)</f>
        <v>#N/A</v>
      </c>
      <c r="Y69" s="340" t="e">
        <f>VLOOKUP(D69,'SUIVI JOURNALIER AVRIL'!B:CC,80,FALSE)</f>
        <v>#N/A</v>
      </c>
      <c r="Z69" s="340" t="e">
        <f t="shared" si="2"/>
        <v>#N/A</v>
      </c>
      <c r="AA69" s="359" t="e">
        <f>VLOOKUP(D69,'SUIVI JOURNALIER AVRIL'!B:CD,81,FALSE)</f>
        <v>#N/A</v>
      </c>
      <c r="AB69" s="360" t="e">
        <f t="shared" si="3"/>
        <v>#N/A</v>
      </c>
      <c r="AC69" s="360" t="str">
        <f>VLOOKUP(B69,labo!B:D,3,FALSE)</f>
        <v>ug3</v>
      </c>
      <c r="AD69" s="360" t="s">
        <v>2629</v>
      </c>
      <c r="AF69" s="330" t="e">
        <f>VLOOKUP(D69,'SUIVI JOURNALIER AVRIL'!CK:CL,2,FALSE)</f>
        <v>#N/A</v>
      </c>
      <c r="AG69" s="360">
        <v>1</v>
      </c>
    </row>
    <row r="70" spans="1:33" s="360" customFormat="1" ht="13.5" customHeight="1">
      <c r="A70" s="324" t="s">
        <v>939</v>
      </c>
      <c r="B70" s="325" t="s">
        <v>360</v>
      </c>
      <c r="C70" s="325" t="s">
        <v>2055</v>
      </c>
      <c r="D70" s="325" t="s">
        <v>531</v>
      </c>
      <c r="E70" s="324" t="s">
        <v>485</v>
      </c>
      <c r="F70" s="324" t="s">
        <v>2055</v>
      </c>
      <c r="G70" s="324" t="s">
        <v>931</v>
      </c>
      <c r="H70" s="324" t="s">
        <v>897</v>
      </c>
      <c r="I70" s="324" t="s">
        <v>1063</v>
      </c>
      <c r="J70" s="324" t="s">
        <v>1008</v>
      </c>
      <c r="K70" s="324" t="s">
        <v>890</v>
      </c>
      <c r="L70" s="324" t="s">
        <v>891</v>
      </c>
      <c r="M70" s="324" t="s">
        <v>892</v>
      </c>
      <c r="N70" s="324" t="s">
        <v>893</v>
      </c>
      <c r="O70" s="324" t="s">
        <v>1064</v>
      </c>
      <c r="P70" s="324" t="s">
        <v>1064</v>
      </c>
      <c r="Q70" s="324" t="s">
        <v>924</v>
      </c>
      <c r="R70" s="324" t="s">
        <v>1011</v>
      </c>
      <c r="S70" s="356" t="s">
        <v>2250</v>
      </c>
      <c r="T70" s="309" t="s">
        <v>895</v>
      </c>
      <c r="U70" s="357" t="e">
        <f>VLOOKUP(D70,'SUIVI JOURNALIER AVRIL'!CK:CM,3,FALSE)</f>
        <v>#N/A</v>
      </c>
      <c r="V70" s="358" t="e">
        <f>IF(VLOOKUP('vs mars'!D70,'point sur les patentes'!B:E,4,FALSE)="","",VLOOKUP(D70,'point sur les patentes'!B:E,4,FALSE)+VLOOKUP(D70,'point sur les patentes'!B:F,5,FALSE)+VLOOKUP('vs mars'!D70,'point sur les patentes'!B:G,6,FALSE)+VLOOKUP('vs mars'!D70,'point sur les patentes'!B:H,7,FALSE)+VLOOKUP('vs mars'!D70,'point sur les patentes'!B:I,8,FALSE)+VLOOKUP(D70,'point sur les patentes'!B:J,9,FALSE)+VLOOKUP(D70,'point sur les patentes'!B:K,10,FALSE)+VLOOKUP(D70,'point sur les patentes'!B:L,11,FALSE)+VLOOKUP(D70,'point sur les patentes'!B:M,12,FALSE)+VLOOKUP(D70,'point sur les patentes'!B:N,13,FALSE)+VLOOKUP(D70,'point sur les patentes'!B:O,14,FALSE)+VLOOKUP(D70,'point sur les patentes'!B:P,15,FALSE)+VLOOKUP(D70,'point sur les patentes'!B:Q,16,FALSE)+VLOOKUP('vs mars'!D70,'point sur les patentes'!B:Z,25,FALSE))</f>
        <v>#N/A</v>
      </c>
      <c r="W70" s="340" t="e">
        <f>VLOOKUP(D70,'SUIVI JOURNALIER AVRIL'!B:J,9,FALSE)</f>
        <v>#N/A</v>
      </c>
      <c r="X70" s="340" t="e">
        <f>VLOOKUP(D70,'SUIVI JOURNALIER AVRIL'!B:P,14,FALSE)+VLOOKUP('vs mars'!D70,'SUIVI JOURNALIER AVRIL'!B:V,20,FALSE)+VLOOKUP('vs mars'!D70,'SUIVI JOURNALIER AVRIL'!B:W,21,FALSE)</f>
        <v>#N/A</v>
      </c>
      <c r="Y70" s="340" t="e">
        <f>VLOOKUP(D70,'SUIVI JOURNALIER AVRIL'!B:CC,80,FALSE)</f>
        <v>#N/A</v>
      </c>
      <c r="Z70" s="340" t="e">
        <f t="shared" si="2"/>
        <v>#N/A</v>
      </c>
      <c r="AA70" s="359" t="e">
        <f>VLOOKUP(D70,'SUIVI JOURNALIER AVRIL'!B:CD,81,FALSE)</f>
        <v>#N/A</v>
      </c>
      <c r="AB70" s="360" t="e">
        <f t="shared" si="3"/>
        <v>#N/A</v>
      </c>
      <c r="AC70" s="360" t="str">
        <f>VLOOKUP(B70,labo!B:D,3,FALSE)</f>
        <v>ug3</v>
      </c>
      <c r="AD70" s="360" t="s">
        <v>2629</v>
      </c>
      <c r="AF70" s="330" t="e">
        <f>VLOOKUP(D70,'SUIVI JOURNALIER AVRIL'!CK:CL,2,FALSE)</f>
        <v>#N/A</v>
      </c>
      <c r="AG70" s="360">
        <v>1</v>
      </c>
    </row>
    <row r="71" spans="1:33" s="360" customFormat="1" ht="13.5" customHeight="1">
      <c r="A71" s="324" t="s">
        <v>1167</v>
      </c>
      <c r="B71" s="325" t="s">
        <v>361</v>
      </c>
      <c r="C71" s="325" t="s">
        <v>2055</v>
      </c>
      <c r="D71" s="325" t="s">
        <v>532</v>
      </c>
      <c r="E71" s="324" t="s">
        <v>485</v>
      </c>
      <c r="F71" s="324" t="s">
        <v>2055</v>
      </c>
      <c r="G71" s="324" t="s">
        <v>931</v>
      </c>
      <c r="H71" s="324" t="s">
        <v>897</v>
      </c>
      <c r="I71" s="324" t="s">
        <v>1065</v>
      </c>
      <c r="J71" s="324" t="s">
        <v>1008</v>
      </c>
      <c r="K71" s="324" t="s">
        <v>890</v>
      </c>
      <c r="L71" s="324" t="s">
        <v>891</v>
      </c>
      <c r="M71" s="324" t="s">
        <v>892</v>
      </c>
      <c r="N71" s="324" t="s">
        <v>893</v>
      </c>
      <c r="O71" s="324" t="s">
        <v>1066</v>
      </c>
      <c r="P71" s="324" t="s">
        <v>1066</v>
      </c>
      <c r="Q71" s="324" t="s">
        <v>924</v>
      </c>
      <c r="R71" s="324" t="s">
        <v>1011</v>
      </c>
      <c r="S71" s="356" t="s">
        <v>895</v>
      </c>
      <c r="T71" s="309" t="s">
        <v>999</v>
      </c>
      <c r="U71" s="357" t="e">
        <f>VLOOKUP(D71,'SUIVI JOURNALIER AVRIL'!CK:CM,3,FALSE)</f>
        <v>#N/A</v>
      </c>
      <c r="V71" s="358" t="e">
        <f>IF(VLOOKUP('vs mars'!D71,'point sur les patentes'!B:E,4,FALSE)="","",VLOOKUP(D71,'point sur les patentes'!B:E,4,FALSE)+VLOOKUP(D71,'point sur les patentes'!B:F,5,FALSE)+VLOOKUP('vs mars'!D71,'point sur les patentes'!B:G,6,FALSE)+VLOOKUP('vs mars'!D71,'point sur les patentes'!B:H,7,FALSE)+VLOOKUP('vs mars'!D71,'point sur les patentes'!B:I,8,FALSE)+VLOOKUP(D71,'point sur les patentes'!B:J,9,FALSE)+VLOOKUP(D71,'point sur les patentes'!B:K,10,FALSE)+VLOOKUP(D71,'point sur les patentes'!B:L,11,FALSE)+VLOOKUP(D71,'point sur les patentes'!B:M,12,FALSE)+VLOOKUP(D71,'point sur les patentes'!B:N,13,FALSE)+VLOOKUP(D71,'point sur les patentes'!B:O,14,FALSE)+VLOOKUP(D71,'point sur les patentes'!B:P,15,FALSE)+VLOOKUP(D71,'point sur les patentes'!B:Q,16,FALSE)+VLOOKUP('vs mars'!D71,'point sur les patentes'!B:Z,25,FALSE))</f>
        <v>#N/A</v>
      </c>
      <c r="W71" s="340" t="e">
        <f>VLOOKUP(D71,'SUIVI JOURNALIER AVRIL'!B:J,9,FALSE)</f>
        <v>#N/A</v>
      </c>
      <c r="X71" s="340" t="e">
        <f>VLOOKUP(D71,'SUIVI JOURNALIER AVRIL'!B:P,14,FALSE)+VLOOKUP('vs mars'!D71,'SUIVI JOURNALIER AVRIL'!B:V,20,FALSE)+VLOOKUP('vs mars'!D71,'SUIVI JOURNALIER AVRIL'!B:W,21,FALSE)</f>
        <v>#N/A</v>
      </c>
      <c r="Y71" s="340" t="e">
        <f>VLOOKUP(D71,'SUIVI JOURNALIER AVRIL'!B:CC,80,FALSE)</f>
        <v>#N/A</v>
      </c>
      <c r="Z71" s="340" t="e">
        <f t="shared" si="2"/>
        <v>#N/A</v>
      </c>
      <c r="AA71" s="359" t="e">
        <f>VLOOKUP(D71,'SUIVI JOURNALIER AVRIL'!B:CD,81,FALSE)</f>
        <v>#N/A</v>
      </c>
      <c r="AB71" s="360" t="e">
        <f t="shared" si="3"/>
        <v>#N/A</v>
      </c>
      <c r="AC71" s="360" t="str">
        <f>VLOOKUP(B71,labo!B:D,3,FALSE)</f>
        <v>ug3</v>
      </c>
      <c r="AD71" s="360" t="s">
        <v>2629</v>
      </c>
      <c r="AF71" s="330" t="e">
        <f>VLOOKUP(D71,'SUIVI JOURNALIER AVRIL'!CK:CL,2,FALSE)</f>
        <v>#N/A</v>
      </c>
      <c r="AG71" s="360">
        <v>1</v>
      </c>
    </row>
    <row r="72" spans="1:33" s="360" customFormat="1" ht="13.5" customHeight="1">
      <c r="A72" s="324" t="s">
        <v>1675</v>
      </c>
      <c r="B72" s="325" t="s">
        <v>533</v>
      </c>
      <c r="C72" s="325" t="s">
        <v>534</v>
      </c>
      <c r="D72" s="325" t="s">
        <v>535</v>
      </c>
      <c r="E72" s="324" t="s">
        <v>536</v>
      </c>
      <c r="F72" s="324" t="s">
        <v>2055</v>
      </c>
      <c r="G72" s="324" t="s">
        <v>926</v>
      </c>
      <c r="H72" s="324" t="s">
        <v>1067</v>
      </c>
      <c r="I72" s="324" t="s">
        <v>1068</v>
      </c>
      <c r="J72" s="324" t="s">
        <v>1069</v>
      </c>
      <c r="K72" s="324" t="s">
        <v>890</v>
      </c>
      <c r="L72" s="324" t="s">
        <v>891</v>
      </c>
      <c r="M72" s="324" t="s">
        <v>892</v>
      </c>
      <c r="N72" s="324" t="s">
        <v>912</v>
      </c>
      <c r="O72" s="324" t="s">
        <v>913</v>
      </c>
      <c r="P72" s="324" t="s">
        <v>913</v>
      </c>
      <c r="Q72" s="324" t="s">
        <v>1070</v>
      </c>
      <c r="R72" s="324" t="s">
        <v>1071</v>
      </c>
      <c r="S72" s="356" t="s">
        <v>895</v>
      </c>
      <c r="T72" s="309"/>
      <c r="U72" s="357">
        <f>VLOOKUP(D72,'SUIVI JOURNALIER AVRIL'!CK:CM,3,FALSE)</f>
        <v>0</v>
      </c>
      <c r="V72" s="358" t="e">
        <f>IF(VLOOKUP('vs mars'!D72,'point sur les patentes'!B:E,4,FALSE)="","",VLOOKUP(D72,'point sur les patentes'!B:E,4,FALSE)+VLOOKUP(D72,'point sur les patentes'!B:F,5,FALSE)+VLOOKUP('vs mars'!D72,'point sur les patentes'!B:G,6,FALSE)+VLOOKUP('vs mars'!D72,'point sur les patentes'!B:H,7,FALSE)+VLOOKUP('vs mars'!D72,'point sur les patentes'!B:I,8,FALSE)+VLOOKUP(D72,'point sur les patentes'!B:J,9,FALSE)+VLOOKUP(D72,'point sur les patentes'!B:K,10,FALSE)+VLOOKUP(D72,'point sur les patentes'!B:L,11,FALSE)+VLOOKUP(D72,'point sur les patentes'!B:M,12,FALSE)+VLOOKUP(D72,'point sur les patentes'!B:N,13,FALSE)+VLOOKUP(D72,'point sur les patentes'!B:O,14,FALSE)+VLOOKUP(D72,'point sur les patentes'!B:P,15,FALSE)+VLOOKUP(D72,'point sur les patentes'!B:Q,16,FALSE)+VLOOKUP('vs mars'!D72,'point sur les patentes'!B:Z,25,FALSE))</f>
        <v>#N/A</v>
      </c>
      <c r="W72" s="340">
        <f>VLOOKUP(D72,'SUIVI JOURNALIER AVRIL'!B:J,9,FALSE)</f>
        <v>0</v>
      </c>
      <c r="X72" s="340">
        <f>VLOOKUP(D72,'SUIVI JOURNALIER AVRIL'!B:P,14,FALSE)+VLOOKUP('vs mars'!D72,'SUIVI JOURNALIER AVRIL'!B:V,20,FALSE)+VLOOKUP('vs mars'!D72,'SUIVI JOURNALIER AVRIL'!B:W,21,FALSE)</f>
        <v>0</v>
      </c>
      <c r="Y72" s="340">
        <f>VLOOKUP(D72,'SUIVI JOURNALIER AVRIL'!B:CC,80,FALSE)</f>
        <v>1494112</v>
      </c>
      <c r="Z72" s="340">
        <f t="shared" si="2"/>
        <v>1494112</v>
      </c>
      <c r="AA72" s="359">
        <f>VLOOKUP(D72,'SUIVI JOURNALIER AVRIL'!B:CD,81,FALSE)</f>
        <v>1494112</v>
      </c>
      <c r="AB72" s="360" t="str">
        <f t="shared" si="3"/>
        <v>ok</v>
      </c>
      <c r="AC72" s="360" t="str">
        <f>VLOOKUP(B72,labo!B:D,3,FALSE)</f>
        <v>ug1</v>
      </c>
      <c r="AD72" s="360" t="s">
        <v>2629</v>
      </c>
      <c r="AF72" s="330">
        <f>VLOOKUP(D72,'SUIVI JOURNALIER AVRIL'!CK:CL,2,FALSE)</f>
        <v>0</v>
      </c>
      <c r="AG72" s="360">
        <v>1</v>
      </c>
    </row>
    <row r="73" spans="1:33" s="360" customFormat="1" ht="13.5" customHeight="1">
      <c r="A73" s="324" t="s">
        <v>1676</v>
      </c>
      <c r="B73" s="325" t="s">
        <v>380</v>
      </c>
      <c r="C73" s="325" t="s">
        <v>2055</v>
      </c>
      <c r="D73" s="325" t="s">
        <v>537</v>
      </c>
      <c r="E73" s="324" t="s">
        <v>432</v>
      </c>
      <c r="F73" s="324" t="s">
        <v>2055</v>
      </c>
      <c r="G73" s="324" t="s">
        <v>926</v>
      </c>
      <c r="H73" s="324" t="s">
        <v>897</v>
      </c>
      <c r="I73" s="324" t="s">
        <v>1073</v>
      </c>
      <c r="J73" s="324" t="s">
        <v>940</v>
      </c>
      <c r="K73" s="324" t="s">
        <v>890</v>
      </c>
      <c r="L73" s="324" t="s">
        <v>891</v>
      </c>
      <c r="M73" s="324" t="s">
        <v>892</v>
      </c>
      <c r="N73" s="324" t="s">
        <v>893</v>
      </c>
      <c r="O73" s="324" t="s">
        <v>894</v>
      </c>
      <c r="P73" s="324" t="s">
        <v>899</v>
      </c>
      <c r="Q73" s="324" t="s">
        <v>900</v>
      </c>
      <c r="R73" s="324" t="s">
        <v>901</v>
      </c>
      <c r="S73" s="356" t="s">
        <v>895</v>
      </c>
      <c r="T73" s="309" t="s">
        <v>2205</v>
      </c>
      <c r="U73" s="357">
        <f>VLOOKUP(D73,'SUIVI JOURNALIER AVRIL'!CK:CM,3,FALSE)</f>
        <v>0</v>
      </c>
      <c r="V73" s="358" t="e">
        <f>IF(VLOOKUP('vs mars'!D73,'point sur les patentes'!B:E,4,FALSE)="","",VLOOKUP(D73,'point sur les patentes'!B:E,4,FALSE)+VLOOKUP(D73,'point sur les patentes'!B:F,5,FALSE)+VLOOKUP('vs mars'!D73,'point sur les patentes'!B:G,6,FALSE)+VLOOKUP('vs mars'!D73,'point sur les patentes'!B:H,7,FALSE)+VLOOKUP('vs mars'!D73,'point sur les patentes'!B:I,8,FALSE)+VLOOKUP(D73,'point sur les patentes'!B:J,9,FALSE)+VLOOKUP(D73,'point sur les patentes'!B:K,10,FALSE)+VLOOKUP(D73,'point sur les patentes'!B:L,11,FALSE)+VLOOKUP(D73,'point sur les patentes'!B:M,12,FALSE)+VLOOKUP(D73,'point sur les patentes'!B:N,13,FALSE)+VLOOKUP(D73,'point sur les patentes'!B:O,14,FALSE)+VLOOKUP(D73,'point sur les patentes'!B:P,15,FALSE)+VLOOKUP(D73,'point sur les patentes'!B:Q,16,FALSE)+VLOOKUP('vs mars'!D73,'point sur les patentes'!B:Z,25,FALSE))</f>
        <v>#N/A</v>
      </c>
      <c r="W73" s="340">
        <f>VLOOKUP(D73,'SUIVI JOURNALIER AVRIL'!B:J,9,FALSE)</f>
        <v>601913</v>
      </c>
      <c r="X73" s="340">
        <f>VLOOKUP(D73,'SUIVI JOURNALIER AVRIL'!B:P,14,FALSE)+VLOOKUP('vs mars'!D73,'SUIVI JOURNALIER AVRIL'!B:V,20,FALSE)+VLOOKUP('vs mars'!D73,'SUIVI JOURNALIER AVRIL'!B:W,21,FALSE)</f>
        <v>68790</v>
      </c>
      <c r="Y73" s="340">
        <f>VLOOKUP(D73,'SUIVI JOURNALIER AVRIL'!B:CC,80,FALSE)</f>
        <v>346035</v>
      </c>
      <c r="Z73" s="340">
        <f t="shared" si="2"/>
        <v>1016738</v>
      </c>
      <c r="AA73" s="359">
        <f>VLOOKUP(D73,'SUIVI JOURNALIER AVRIL'!B:CD,81,FALSE)</f>
        <v>1016738</v>
      </c>
      <c r="AB73" s="360" t="str">
        <f t="shared" si="3"/>
        <v>ok</v>
      </c>
      <c r="AC73" s="360" t="str">
        <f>VLOOKUP(B73,labo!B:D,3,FALSE)</f>
        <v>ug2</v>
      </c>
      <c r="AD73" s="360" t="s">
        <v>2629</v>
      </c>
      <c r="AF73" s="330">
        <f>VLOOKUP(D73,'SUIVI JOURNALIER AVRIL'!CK:CL,2,FALSE)</f>
        <v>0</v>
      </c>
      <c r="AG73" s="360">
        <v>1</v>
      </c>
    </row>
    <row r="74" spans="1:33" s="360" customFormat="1" ht="13.5" customHeight="1">
      <c r="A74" s="324" t="s">
        <v>1677</v>
      </c>
      <c r="B74" s="325" t="s">
        <v>2203</v>
      </c>
      <c r="C74" s="325" t="s">
        <v>2055</v>
      </c>
      <c r="D74" s="325" t="s">
        <v>2226</v>
      </c>
      <c r="E74" s="324" t="s">
        <v>2426</v>
      </c>
      <c r="F74" s="324" t="s">
        <v>2055</v>
      </c>
      <c r="G74" s="324" t="s">
        <v>926</v>
      </c>
      <c r="H74" s="324" t="s">
        <v>2055</v>
      </c>
      <c r="I74" s="324" t="s">
        <v>2055</v>
      </c>
      <c r="J74" s="324" t="s">
        <v>2427</v>
      </c>
      <c r="K74" s="324" t="s">
        <v>2405</v>
      </c>
      <c r="L74" s="324" t="s">
        <v>891</v>
      </c>
      <c r="M74" s="324" t="s">
        <v>892</v>
      </c>
      <c r="N74" s="324" t="s">
        <v>893</v>
      </c>
      <c r="O74" s="324" t="s">
        <v>894</v>
      </c>
      <c r="P74" s="324" t="s">
        <v>919</v>
      </c>
      <c r="Q74" s="324" t="s">
        <v>2055</v>
      </c>
      <c r="R74" s="324" t="s">
        <v>2055</v>
      </c>
      <c r="S74" s="356" t="s">
        <v>895</v>
      </c>
      <c r="T74" s="309" t="s">
        <v>948</v>
      </c>
      <c r="U74" s="357" t="e">
        <f>VLOOKUP(D74,'SUIVI JOURNALIER AVRIL'!CK:CM,3,FALSE)</f>
        <v>#N/A</v>
      </c>
      <c r="V74" s="358" t="e">
        <f>IF(VLOOKUP('vs mars'!D74,'point sur les patentes'!B:E,4,FALSE)="","",VLOOKUP(D74,'point sur les patentes'!B:E,4,FALSE)+VLOOKUP(D74,'point sur les patentes'!B:F,5,FALSE)+VLOOKUP('vs mars'!D74,'point sur les patentes'!B:G,6,FALSE)+VLOOKUP('vs mars'!D74,'point sur les patentes'!B:H,7,FALSE)+VLOOKUP('vs mars'!D74,'point sur les patentes'!B:I,8,FALSE)+VLOOKUP(D74,'point sur les patentes'!B:J,9,FALSE)+VLOOKUP(D74,'point sur les patentes'!B:K,10,FALSE)+VLOOKUP(D74,'point sur les patentes'!B:L,11,FALSE)+VLOOKUP(D74,'point sur les patentes'!B:M,12,FALSE)+VLOOKUP(D74,'point sur les patentes'!B:N,13,FALSE)+VLOOKUP(D74,'point sur les patentes'!B:O,14,FALSE)+VLOOKUP(D74,'point sur les patentes'!B:P,15,FALSE)+VLOOKUP(D74,'point sur les patentes'!B:Q,16,FALSE)+VLOOKUP('vs mars'!D74,'point sur les patentes'!B:Z,25,FALSE))</f>
        <v>#N/A</v>
      </c>
      <c r="W74" s="340" t="e">
        <f>VLOOKUP(D74,'SUIVI JOURNALIER AVRIL'!B:J,9,FALSE)</f>
        <v>#N/A</v>
      </c>
      <c r="X74" s="340" t="e">
        <f>VLOOKUP(D74,'SUIVI JOURNALIER AVRIL'!B:P,14,FALSE)+VLOOKUP('vs mars'!D74,'SUIVI JOURNALIER AVRIL'!B:V,20,FALSE)+VLOOKUP('vs mars'!D74,'SUIVI JOURNALIER AVRIL'!B:W,21,FALSE)</f>
        <v>#N/A</v>
      </c>
      <c r="Y74" s="340" t="e">
        <f>VLOOKUP(D74,'SUIVI JOURNALIER AVRIL'!B:CC,80,FALSE)</f>
        <v>#N/A</v>
      </c>
      <c r="Z74" s="340" t="e">
        <f t="shared" si="2"/>
        <v>#N/A</v>
      </c>
      <c r="AA74" s="359" t="e">
        <f>VLOOKUP(D74,'SUIVI JOURNALIER AVRIL'!B:CD,81,FALSE)</f>
        <v>#N/A</v>
      </c>
      <c r="AB74" s="360" t="e">
        <f t="shared" si="3"/>
        <v>#N/A</v>
      </c>
      <c r="AC74" s="360" t="str">
        <f>VLOOKUP(B74,labo!B:D,3,FALSE)</f>
        <v>ug5</v>
      </c>
      <c r="AD74" s="360" t="s">
        <v>2629</v>
      </c>
      <c r="AF74" s="330" t="e">
        <f>VLOOKUP(D74,'SUIVI JOURNALIER AVRIL'!CK:CL,2,FALSE)</f>
        <v>#N/A</v>
      </c>
      <c r="AG74" s="360">
        <v>1</v>
      </c>
    </row>
    <row r="75" spans="1:33" s="360" customFormat="1" ht="13.5" customHeight="1">
      <c r="A75" s="324" t="s">
        <v>1678</v>
      </c>
      <c r="B75" s="325" t="s">
        <v>2263</v>
      </c>
      <c r="C75" s="325" t="s">
        <v>2055</v>
      </c>
      <c r="D75" s="325" t="s">
        <v>2264</v>
      </c>
      <c r="E75" s="324" t="s">
        <v>839</v>
      </c>
      <c r="F75" s="324" t="s">
        <v>2055</v>
      </c>
      <c r="G75" s="324" t="s">
        <v>926</v>
      </c>
      <c r="H75" s="324" t="s">
        <v>897</v>
      </c>
      <c r="I75" s="324" t="s">
        <v>2265</v>
      </c>
      <c r="J75" s="324" t="s">
        <v>940</v>
      </c>
      <c r="K75" s="324" t="s">
        <v>890</v>
      </c>
      <c r="L75" s="324" t="s">
        <v>891</v>
      </c>
      <c r="M75" s="324" t="s">
        <v>892</v>
      </c>
      <c r="N75" s="324" t="s">
        <v>893</v>
      </c>
      <c r="O75" s="324" t="s">
        <v>894</v>
      </c>
      <c r="P75" s="324" t="s">
        <v>899</v>
      </c>
      <c r="Q75" s="324" t="s">
        <v>1172</v>
      </c>
      <c r="R75" s="324" t="s">
        <v>2055</v>
      </c>
      <c r="S75" s="356" t="s">
        <v>895</v>
      </c>
      <c r="T75" s="309" t="s">
        <v>902</v>
      </c>
      <c r="U75" s="357" t="e">
        <f>VLOOKUP(D75,'SUIVI JOURNALIER AVRIL'!CK:CM,3,FALSE)</f>
        <v>#N/A</v>
      </c>
      <c r="V75" s="358" t="e">
        <f>IF(VLOOKUP('vs mars'!D75,'point sur les patentes'!B:E,4,FALSE)="","",VLOOKUP(D75,'point sur les patentes'!B:E,4,FALSE)+VLOOKUP(D75,'point sur les patentes'!B:F,5,FALSE)+VLOOKUP('vs mars'!D75,'point sur les patentes'!B:G,6,FALSE)+VLOOKUP('vs mars'!D75,'point sur les patentes'!B:H,7,FALSE)+VLOOKUP('vs mars'!D75,'point sur les patentes'!B:I,8,FALSE)+VLOOKUP(D75,'point sur les patentes'!B:J,9,FALSE)+VLOOKUP(D75,'point sur les patentes'!B:K,10,FALSE)+VLOOKUP(D75,'point sur les patentes'!B:L,11,FALSE)+VLOOKUP(D75,'point sur les patentes'!B:M,12,FALSE)+VLOOKUP(D75,'point sur les patentes'!B:N,13,FALSE)+VLOOKUP(D75,'point sur les patentes'!B:O,14,FALSE)+VLOOKUP(D75,'point sur les patentes'!B:P,15,FALSE)+VLOOKUP(D75,'point sur les patentes'!B:Q,16,FALSE)+VLOOKUP('vs mars'!D75,'point sur les patentes'!B:Z,25,FALSE))</f>
        <v>#N/A</v>
      </c>
      <c r="W75" s="340" t="e">
        <f>VLOOKUP(D75,'SUIVI JOURNALIER AVRIL'!B:J,9,FALSE)</f>
        <v>#N/A</v>
      </c>
      <c r="X75" s="340" t="e">
        <f>VLOOKUP(D75,'SUIVI JOURNALIER AVRIL'!B:P,14,FALSE)+VLOOKUP('vs mars'!D75,'SUIVI JOURNALIER AVRIL'!B:V,20,FALSE)+VLOOKUP('vs mars'!D75,'SUIVI JOURNALIER AVRIL'!B:W,21,FALSE)</f>
        <v>#N/A</v>
      </c>
      <c r="Y75" s="340" t="e">
        <f>VLOOKUP(D75,'SUIVI JOURNALIER AVRIL'!B:CC,80,FALSE)</f>
        <v>#N/A</v>
      </c>
      <c r="Z75" s="340" t="e">
        <f t="shared" si="2"/>
        <v>#N/A</v>
      </c>
      <c r="AA75" s="359" t="e">
        <f>VLOOKUP(D75,'SUIVI JOURNALIER AVRIL'!B:CD,81,FALSE)</f>
        <v>#N/A</v>
      </c>
      <c r="AB75" s="360" t="e">
        <f t="shared" si="3"/>
        <v>#N/A</v>
      </c>
      <c r="AC75" s="360" t="str">
        <f>VLOOKUP(B75,labo!B:D,3,FALSE)</f>
        <v>ug5</v>
      </c>
      <c r="AD75" s="360" t="s">
        <v>2629</v>
      </c>
      <c r="AF75" s="330" t="e">
        <f>VLOOKUP(D75,'SUIVI JOURNALIER AVRIL'!CK:CL,2,FALSE)</f>
        <v>#N/A</v>
      </c>
      <c r="AG75" s="360">
        <v>1</v>
      </c>
    </row>
    <row r="76" spans="1:33" s="360" customFormat="1" ht="13.5" customHeight="1">
      <c r="A76" s="324" t="s">
        <v>1679</v>
      </c>
      <c r="B76" s="325" t="s">
        <v>288</v>
      </c>
      <c r="C76" s="325" t="s">
        <v>538</v>
      </c>
      <c r="D76" s="325" t="s">
        <v>539</v>
      </c>
      <c r="E76" s="324" t="s">
        <v>436</v>
      </c>
      <c r="F76" s="324" t="s">
        <v>2055</v>
      </c>
      <c r="G76" s="324" t="s">
        <v>887</v>
      </c>
      <c r="H76" s="324" t="s">
        <v>1074</v>
      </c>
      <c r="I76" s="324" t="s">
        <v>1075</v>
      </c>
      <c r="J76" s="324" t="s">
        <v>889</v>
      </c>
      <c r="K76" s="324" t="s">
        <v>890</v>
      </c>
      <c r="L76" s="324" t="s">
        <v>891</v>
      </c>
      <c r="M76" s="324" t="s">
        <v>892</v>
      </c>
      <c r="N76" s="324" t="s">
        <v>893</v>
      </c>
      <c r="O76" s="324" t="s">
        <v>894</v>
      </c>
      <c r="P76" s="324" t="s">
        <v>899</v>
      </c>
      <c r="Q76" s="324" t="s">
        <v>985</v>
      </c>
      <c r="R76" s="324" t="s">
        <v>1076</v>
      </c>
      <c r="S76" s="356" t="s">
        <v>895</v>
      </c>
      <c r="T76" s="309" t="s">
        <v>1079</v>
      </c>
      <c r="U76" s="357" t="e">
        <f>VLOOKUP(D76,'SUIVI JOURNALIER AVRIL'!CK:CM,3,FALSE)</f>
        <v>#N/A</v>
      </c>
      <c r="V76" s="358" t="e">
        <f>IF(VLOOKUP('vs mars'!D76,'point sur les patentes'!B:E,4,FALSE)="","",VLOOKUP(D76,'point sur les patentes'!B:E,4,FALSE)+VLOOKUP(D76,'point sur les patentes'!B:F,5,FALSE)+VLOOKUP('vs mars'!D76,'point sur les patentes'!B:G,6,FALSE)+VLOOKUP('vs mars'!D76,'point sur les patentes'!B:H,7,FALSE)+VLOOKUP('vs mars'!D76,'point sur les patentes'!B:I,8,FALSE)+VLOOKUP(D76,'point sur les patentes'!B:J,9,FALSE)+VLOOKUP(D76,'point sur les patentes'!B:K,10,FALSE)+VLOOKUP(D76,'point sur les patentes'!B:L,11,FALSE)+VLOOKUP(D76,'point sur les patentes'!B:M,12,FALSE)+VLOOKUP(D76,'point sur les patentes'!B:N,13,FALSE)+VLOOKUP(D76,'point sur les patentes'!B:O,14,FALSE)+VLOOKUP(D76,'point sur les patentes'!B:P,15,FALSE)+VLOOKUP(D76,'point sur les patentes'!B:Q,16,FALSE)+VLOOKUP('vs mars'!D76,'point sur les patentes'!B:Z,25,FALSE))</f>
        <v>#N/A</v>
      </c>
      <c r="W76" s="340" t="e">
        <f>VLOOKUP(D76,'SUIVI JOURNALIER AVRIL'!B:J,9,FALSE)</f>
        <v>#N/A</v>
      </c>
      <c r="X76" s="340" t="e">
        <f>VLOOKUP(D76,'SUIVI JOURNALIER AVRIL'!B:P,14,FALSE)+VLOOKUP('vs mars'!D76,'SUIVI JOURNALIER AVRIL'!B:V,20,FALSE)+VLOOKUP('vs mars'!D76,'SUIVI JOURNALIER AVRIL'!B:W,21,FALSE)</f>
        <v>#N/A</v>
      </c>
      <c r="Y76" s="340" t="e">
        <f>VLOOKUP(D76,'SUIVI JOURNALIER AVRIL'!B:CC,80,FALSE)</f>
        <v>#N/A</v>
      </c>
      <c r="Z76" s="340" t="e">
        <f t="shared" si="2"/>
        <v>#N/A</v>
      </c>
      <c r="AA76" s="359" t="e">
        <f>VLOOKUP(D76,'SUIVI JOURNALIER AVRIL'!B:CD,81,FALSE)</f>
        <v>#N/A</v>
      </c>
      <c r="AB76" s="360" t="e">
        <f t="shared" si="3"/>
        <v>#N/A</v>
      </c>
      <c r="AC76" s="360" t="str">
        <f>VLOOKUP(B76,labo!B:D,3,FALSE)</f>
        <v>ug1</v>
      </c>
      <c r="AD76" s="360" t="s">
        <v>2629</v>
      </c>
      <c r="AF76" s="330" t="e">
        <f>VLOOKUP(D76,'SUIVI JOURNALIER AVRIL'!CK:CL,2,FALSE)</f>
        <v>#N/A</v>
      </c>
      <c r="AG76" s="360">
        <v>1</v>
      </c>
    </row>
    <row r="77" spans="1:33" s="360" customFormat="1" ht="13.5" customHeight="1">
      <c r="A77" s="324" t="s">
        <v>1680</v>
      </c>
      <c r="B77" s="325" t="s">
        <v>292</v>
      </c>
      <c r="C77" s="325" t="s">
        <v>540</v>
      </c>
      <c r="D77" s="325" t="s">
        <v>541</v>
      </c>
      <c r="E77" s="324" t="s">
        <v>413</v>
      </c>
      <c r="F77" s="324" t="s">
        <v>2055</v>
      </c>
      <c r="G77" s="324" t="s">
        <v>887</v>
      </c>
      <c r="H77" s="324" t="s">
        <v>897</v>
      </c>
      <c r="I77" s="324" t="s">
        <v>922</v>
      </c>
      <c r="J77" s="324" t="s">
        <v>889</v>
      </c>
      <c r="K77" s="324" t="s">
        <v>890</v>
      </c>
      <c r="L77" s="324" t="s">
        <v>891</v>
      </c>
      <c r="M77" s="324" t="s">
        <v>892</v>
      </c>
      <c r="N77" s="324" t="s">
        <v>893</v>
      </c>
      <c r="O77" s="324" t="s">
        <v>963</v>
      </c>
      <c r="P77" s="324" t="s">
        <v>963</v>
      </c>
      <c r="Q77" s="324" t="s">
        <v>1077</v>
      </c>
      <c r="R77" s="324" t="s">
        <v>1078</v>
      </c>
      <c r="S77" s="356" t="s">
        <v>895</v>
      </c>
      <c r="T77" s="309" t="s">
        <v>953</v>
      </c>
      <c r="U77" s="357" t="e">
        <f>VLOOKUP(D77,'SUIVI JOURNALIER AVRIL'!CK:CM,3,FALSE)</f>
        <v>#N/A</v>
      </c>
      <c r="V77" s="358" t="e">
        <f>IF(VLOOKUP('vs mars'!D77,'point sur les patentes'!B:E,4,FALSE)="","",VLOOKUP(D77,'point sur les patentes'!B:E,4,FALSE)+VLOOKUP(D77,'point sur les patentes'!B:F,5,FALSE)+VLOOKUP('vs mars'!D77,'point sur les patentes'!B:G,6,FALSE)+VLOOKUP('vs mars'!D77,'point sur les patentes'!B:H,7,FALSE)+VLOOKUP('vs mars'!D77,'point sur les patentes'!B:I,8,FALSE)+VLOOKUP(D77,'point sur les patentes'!B:J,9,FALSE)+VLOOKUP(D77,'point sur les patentes'!B:K,10,FALSE)+VLOOKUP(D77,'point sur les patentes'!B:L,11,FALSE)+VLOOKUP(D77,'point sur les patentes'!B:M,12,FALSE)+VLOOKUP(D77,'point sur les patentes'!B:N,13,FALSE)+VLOOKUP(D77,'point sur les patentes'!B:O,14,FALSE)+VLOOKUP(D77,'point sur les patentes'!B:P,15,FALSE)+VLOOKUP(D77,'point sur les patentes'!B:Q,16,FALSE)+VLOOKUP('vs mars'!D77,'point sur les patentes'!B:Z,25,FALSE))</f>
        <v>#N/A</v>
      </c>
      <c r="W77" s="340" t="e">
        <f>VLOOKUP(D77,'SUIVI JOURNALIER AVRIL'!B:J,9,FALSE)</f>
        <v>#N/A</v>
      </c>
      <c r="X77" s="340" t="e">
        <f>VLOOKUP(D77,'SUIVI JOURNALIER AVRIL'!B:P,14,FALSE)+VLOOKUP('vs mars'!D77,'SUIVI JOURNALIER AVRIL'!B:V,20,FALSE)+VLOOKUP('vs mars'!D77,'SUIVI JOURNALIER AVRIL'!B:W,21,FALSE)</f>
        <v>#N/A</v>
      </c>
      <c r="Y77" s="340" t="e">
        <f>VLOOKUP(D77,'SUIVI JOURNALIER AVRIL'!B:CC,80,FALSE)</f>
        <v>#N/A</v>
      </c>
      <c r="Z77" s="340" t="e">
        <f t="shared" si="2"/>
        <v>#N/A</v>
      </c>
      <c r="AA77" s="359" t="e">
        <f>VLOOKUP(D77,'SUIVI JOURNALIER AVRIL'!B:CD,81,FALSE)</f>
        <v>#N/A</v>
      </c>
      <c r="AB77" s="360" t="e">
        <f t="shared" si="3"/>
        <v>#N/A</v>
      </c>
      <c r="AC77" s="360" t="str">
        <f>VLOOKUP(B77,labo!B:D,3,FALSE)</f>
        <v>ug4</v>
      </c>
      <c r="AD77" s="360" t="s">
        <v>2629</v>
      </c>
      <c r="AF77" s="330" t="e">
        <f>VLOOKUP(D77,'SUIVI JOURNALIER AVRIL'!CK:CL,2,FALSE)</f>
        <v>#N/A</v>
      </c>
      <c r="AG77" s="360">
        <v>1</v>
      </c>
    </row>
    <row r="78" spans="1:33" s="360" customFormat="1" ht="13.5" customHeight="1">
      <c r="A78" s="324" t="s">
        <v>1681</v>
      </c>
      <c r="B78" s="325" t="s">
        <v>2320</v>
      </c>
      <c r="C78" s="325" t="s">
        <v>2428</v>
      </c>
      <c r="D78" s="325" t="s">
        <v>2429</v>
      </c>
      <c r="E78" s="324" t="s">
        <v>2430</v>
      </c>
      <c r="F78" s="324" t="s">
        <v>2055</v>
      </c>
      <c r="G78" s="324" t="s">
        <v>887</v>
      </c>
      <c r="H78" s="324" t="s">
        <v>2055</v>
      </c>
      <c r="I78" s="324" t="s">
        <v>2055</v>
      </c>
      <c r="J78" s="324" t="s">
        <v>2055</v>
      </c>
      <c r="K78" s="324" t="s">
        <v>2405</v>
      </c>
      <c r="L78" s="324" t="s">
        <v>891</v>
      </c>
      <c r="M78" s="324" t="s">
        <v>892</v>
      </c>
      <c r="N78" s="324" t="s">
        <v>893</v>
      </c>
      <c r="O78" s="324" t="s">
        <v>894</v>
      </c>
      <c r="P78" s="324" t="s">
        <v>919</v>
      </c>
      <c r="Q78" s="324" t="s">
        <v>2055</v>
      </c>
      <c r="R78" s="324" t="s">
        <v>2055</v>
      </c>
      <c r="S78" s="356" t="s">
        <v>895</v>
      </c>
      <c r="T78" s="309" t="s">
        <v>1082</v>
      </c>
      <c r="U78" s="357" t="e">
        <f>VLOOKUP(D78,'SUIVI JOURNALIER AVRIL'!CK:CM,3,FALSE)</f>
        <v>#N/A</v>
      </c>
      <c r="V78" s="358" t="e">
        <f>IF(VLOOKUP('vs mars'!D78,'point sur les patentes'!B:E,4,FALSE)="","",VLOOKUP(D78,'point sur les patentes'!B:E,4,FALSE)+VLOOKUP(D78,'point sur les patentes'!B:F,5,FALSE)+VLOOKUP('vs mars'!D78,'point sur les patentes'!B:G,6,FALSE)+VLOOKUP('vs mars'!D78,'point sur les patentes'!B:H,7,FALSE)+VLOOKUP('vs mars'!D78,'point sur les patentes'!B:I,8,FALSE)+VLOOKUP(D78,'point sur les patentes'!B:J,9,FALSE)+VLOOKUP(D78,'point sur les patentes'!B:K,10,FALSE)+VLOOKUP(D78,'point sur les patentes'!B:L,11,FALSE)+VLOOKUP(D78,'point sur les patentes'!B:M,12,FALSE)+VLOOKUP(D78,'point sur les patentes'!B:N,13,FALSE)+VLOOKUP(D78,'point sur les patentes'!B:O,14,FALSE)+VLOOKUP(D78,'point sur les patentes'!B:P,15,FALSE)+VLOOKUP(D78,'point sur les patentes'!B:Q,16,FALSE)+VLOOKUP('vs mars'!D78,'point sur les patentes'!B:Z,25,FALSE))</f>
        <v>#N/A</v>
      </c>
      <c r="W78" s="340" t="e">
        <f>VLOOKUP(D78,'SUIVI JOURNALIER AVRIL'!B:J,9,FALSE)</f>
        <v>#N/A</v>
      </c>
      <c r="X78" s="340" t="e">
        <f>VLOOKUP(D78,'SUIVI JOURNALIER AVRIL'!B:P,14,FALSE)+VLOOKUP('vs mars'!D78,'SUIVI JOURNALIER AVRIL'!B:V,20,FALSE)+VLOOKUP('vs mars'!D78,'SUIVI JOURNALIER AVRIL'!B:W,21,FALSE)</f>
        <v>#N/A</v>
      </c>
      <c r="Y78" s="340" t="e">
        <f>VLOOKUP(D78,'SUIVI JOURNALIER AVRIL'!B:CC,80,FALSE)</f>
        <v>#N/A</v>
      </c>
      <c r="Z78" s="340" t="e">
        <f t="shared" si="2"/>
        <v>#N/A</v>
      </c>
      <c r="AA78" s="359" t="e">
        <f>VLOOKUP(D78,'SUIVI JOURNALIER AVRIL'!B:CD,81,FALSE)</f>
        <v>#N/A</v>
      </c>
      <c r="AB78" s="360" t="e">
        <f t="shared" si="3"/>
        <v>#N/A</v>
      </c>
      <c r="AC78" s="360" t="str">
        <f>VLOOKUP(B78,labo!B:D,3,FALSE)</f>
        <v>ug5</v>
      </c>
      <c r="AD78" s="360" t="s">
        <v>2630</v>
      </c>
      <c r="AF78" s="330" t="e">
        <f>VLOOKUP(D78,'SUIVI JOURNALIER AVRIL'!CK:CL,2,FALSE)</f>
        <v>#N/A</v>
      </c>
      <c r="AG78" s="360">
        <v>1</v>
      </c>
    </row>
    <row r="79" spans="1:33" s="360" customFormat="1" ht="13.5" customHeight="1">
      <c r="A79" s="324" t="s">
        <v>1682</v>
      </c>
      <c r="B79" s="325" t="s">
        <v>2321</v>
      </c>
      <c r="C79" s="325" t="s">
        <v>2431</v>
      </c>
      <c r="D79" s="325" t="s">
        <v>2432</v>
      </c>
      <c r="E79" s="324" t="s">
        <v>2433</v>
      </c>
      <c r="F79" s="324" t="s">
        <v>2055</v>
      </c>
      <c r="G79" s="324" t="s">
        <v>887</v>
      </c>
      <c r="H79" s="324" t="s">
        <v>2055</v>
      </c>
      <c r="I79" s="324" t="s">
        <v>2434</v>
      </c>
      <c r="J79" s="324" t="s">
        <v>2055</v>
      </c>
      <c r="K79" s="324" t="s">
        <v>2405</v>
      </c>
      <c r="L79" s="324" t="s">
        <v>891</v>
      </c>
      <c r="M79" s="324" t="s">
        <v>892</v>
      </c>
      <c r="N79" s="324" t="s">
        <v>893</v>
      </c>
      <c r="O79" s="324" t="s">
        <v>894</v>
      </c>
      <c r="P79" s="324" t="s">
        <v>919</v>
      </c>
      <c r="Q79" s="324" t="s">
        <v>2055</v>
      </c>
      <c r="R79" s="324" t="s">
        <v>1091</v>
      </c>
      <c r="S79" s="356" t="s">
        <v>895</v>
      </c>
      <c r="T79" s="309" t="s">
        <v>909</v>
      </c>
      <c r="U79" s="357" t="e">
        <f>VLOOKUP(D79,'SUIVI JOURNALIER AVRIL'!CK:CM,3,FALSE)</f>
        <v>#N/A</v>
      </c>
      <c r="V79" s="358" t="e">
        <f>IF(VLOOKUP('vs mars'!D79,'point sur les patentes'!B:E,4,FALSE)="","",VLOOKUP(D79,'point sur les patentes'!B:E,4,FALSE)+VLOOKUP(D79,'point sur les patentes'!B:F,5,FALSE)+VLOOKUP('vs mars'!D79,'point sur les patentes'!B:G,6,FALSE)+VLOOKUP('vs mars'!D79,'point sur les patentes'!B:H,7,FALSE)+VLOOKUP('vs mars'!D79,'point sur les patentes'!B:I,8,FALSE)+VLOOKUP(D79,'point sur les patentes'!B:J,9,FALSE)+VLOOKUP(D79,'point sur les patentes'!B:K,10,FALSE)+VLOOKUP(D79,'point sur les patentes'!B:L,11,FALSE)+VLOOKUP(D79,'point sur les patentes'!B:M,12,FALSE)+VLOOKUP(D79,'point sur les patentes'!B:N,13,FALSE)+VLOOKUP(D79,'point sur les patentes'!B:O,14,FALSE)+VLOOKUP(D79,'point sur les patentes'!B:P,15,FALSE)+VLOOKUP(D79,'point sur les patentes'!B:Q,16,FALSE)+VLOOKUP('vs mars'!D79,'point sur les patentes'!B:Z,25,FALSE))</f>
        <v>#N/A</v>
      </c>
      <c r="W79" s="340" t="e">
        <f>VLOOKUP(D79,'SUIVI JOURNALIER AVRIL'!B:J,9,FALSE)</f>
        <v>#N/A</v>
      </c>
      <c r="X79" s="340" t="e">
        <f>VLOOKUP(D79,'SUIVI JOURNALIER AVRIL'!B:P,14,FALSE)+VLOOKUP('vs mars'!D79,'SUIVI JOURNALIER AVRIL'!B:V,20,FALSE)+VLOOKUP('vs mars'!D79,'SUIVI JOURNALIER AVRIL'!B:W,21,FALSE)</f>
        <v>#N/A</v>
      </c>
      <c r="Y79" s="340" t="e">
        <f>VLOOKUP(D79,'SUIVI JOURNALIER AVRIL'!B:CC,80,FALSE)</f>
        <v>#N/A</v>
      </c>
      <c r="Z79" s="340" t="e">
        <f t="shared" si="2"/>
        <v>#N/A</v>
      </c>
      <c r="AA79" s="359" t="e">
        <f>VLOOKUP(D79,'SUIVI JOURNALIER AVRIL'!B:CD,81,FALSE)</f>
        <v>#N/A</v>
      </c>
      <c r="AB79" s="360" t="e">
        <f t="shared" si="3"/>
        <v>#N/A</v>
      </c>
      <c r="AC79" s="360" t="str">
        <f>VLOOKUP(B79,labo!B:D,3,FALSE)</f>
        <v>ug2</v>
      </c>
      <c r="AD79" s="360" t="s">
        <v>2630</v>
      </c>
      <c r="AF79" s="330" t="e">
        <f>VLOOKUP(D79,'SUIVI JOURNALIER AVRIL'!CK:CL,2,FALSE)</f>
        <v>#N/A</v>
      </c>
      <c r="AG79" s="360">
        <v>1</v>
      </c>
    </row>
    <row r="80" spans="1:33" s="360" customFormat="1" ht="13.5" customHeight="1">
      <c r="A80" s="324" t="s">
        <v>1683</v>
      </c>
      <c r="B80" s="325" t="s">
        <v>306</v>
      </c>
      <c r="C80" s="325" t="s">
        <v>543</v>
      </c>
      <c r="D80" s="325" t="s">
        <v>544</v>
      </c>
      <c r="E80" s="324" t="s">
        <v>413</v>
      </c>
      <c r="F80" s="324" t="s">
        <v>2055</v>
      </c>
      <c r="G80" s="324" t="s">
        <v>887</v>
      </c>
      <c r="H80" s="324" t="s">
        <v>897</v>
      </c>
      <c r="I80" s="324" t="s">
        <v>898</v>
      </c>
      <c r="J80" s="324" t="s">
        <v>889</v>
      </c>
      <c r="K80" s="324" t="s">
        <v>890</v>
      </c>
      <c r="L80" s="324" t="s">
        <v>891</v>
      </c>
      <c r="M80" s="324" t="s">
        <v>892</v>
      </c>
      <c r="N80" s="324" t="s">
        <v>912</v>
      </c>
      <c r="O80" s="324" t="s">
        <v>998</v>
      </c>
      <c r="P80" s="324" t="s">
        <v>998</v>
      </c>
      <c r="Q80" s="324" t="s">
        <v>1080</v>
      </c>
      <c r="R80" s="324" t="s">
        <v>1081</v>
      </c>
      <c r="S80" s="356" t="s">
        <v>895</v>
      </c>
      <c r="T80" s="309" t="s">
        <v>1089</v>
      </c>
      <c r="U80" s="357" t="e">
        <f>VLOOKUP(D80,'SUIVI JOURNALIER AVRIL'!CK:CM,3,FALSE)</f>
        <v>#N/A</v>
      </c>
      <c r="V80" s="358" t="e">
        <f>IF(VLOOKUP('vs mars'!D80,'point sur les patentes'!B:E,4,FALSE)="","",VLOOKUP(D80,'point sur les patentes'!B:E,4,FALSE)+VLOOKUP(D80,'point sur les patentes'!B:F,5,FALSE)+VLOOKUP('vs mars'!D80,'point sur les patentes'!B:G,6,FALSE)+VLOOKUP('vs mars'!D80,'point sur les patentes'!B:H,7,FALSE)+VLOOKUP('vs mars'!D80,'point sur les patentes'!B:I,8,FALSE)+VLOOKUP(D80,'point sur les patentes'!B:J,9,FALSE)+VLOOKUP(D80,'point sur les patentes'!B:K,10,FALSE)+VLOOKUP(D80,'point sur les patentes'!B:L,11,FALSE)+VLOOKUP(D80,'point sur les patentes'!B:M,12,FALSE)+VLOOKUP(D80,'point sur les patentes'!B:N,13,FALSE)+VLOOKUP(D80,'point sur les patentes'!B:O,14,FALSE)+VLOOKUP(D80,'point sur les patentes'!B:P,15,FALSE)+VLOOKUP(D80,'point sur les patentes'!B:Q,16,FALSE)+VLOOKUP('vs mars'!D80,'point sur les patentes'!B:Z,25,FALSE))</f>
        <v>#N/A</v>
      </c>
      <c r="W80" s="340" t="e">
        <f>VLOOKUP(D80,'SUIVI JOURNALIER AVRIL'!B:J,9,FALSE)</f>
        <v>#N/A</v>
      </c>
      <c r="X80" s="340" t="e">
        <f>VLOOKUP(D80,'SUIVI JOURNALIER AVRIL'!B:P,14,FALSE)+VLOOKUP('vs mars'!D80,'SUIVI JOURNALIER AVRIL'!B:V,20,FALSE)+VLOOKUP('vs mars'!D80,'SUIVI JOURNALIER AVRIL'!B:W,21,FALSE)</f>
        <v>#N/A</v>
      </c>
      <c r="Y80" s="340" t="e">
        <f>VLOOKUP(D80,'SUIVI JOURNALIER AVRIL'!B:CC,80,FALSE)</f>
        <v>#N/A</v>
      </c>
      <c r="Z80" s="340" t="e">
        <f t="shared" si="2"/>
        <v>#N/A</v>
      </c>
      <c r="AA80" s="359" t="e">
        <f>VLOOKUP(D80,'SUIVI JOURNALIER AVRIL'!B:CD,81,FALSE)</f>
        <v>#N/A</v>
      </c>
      <c r="AB80" s="360" t="e">
        <f t="shared" si="3"/>
        <v>#N/A</v>
      </c>
      <c r="AC80" s="360" t="str">
        <f>VLOOKUP(B80,labo!B:D,3,FALSE)</f>
        <v>ug4</v>
      </c>
      <c r="AD80" s="360" t="s">
        <v>2629</v>
      </c>
      <c r="AF80" s="330" t="e">
        <f>VLOOKUP(D80,'SUIVI JOURNALIER AVRIL'!CK:CL,2,FALSE)</f>
        <v>#N/A</v>
      </c>
      <c r="AG80" s="360">
        <v>1</v>
      </c>
    </row>
    <row r="81" spans="1:33" s="360" customFormat="1" ht="13.5" customHeight="1">
      <c r="A81" s="324" t="s">
        <v>1684</v>
      </c>
      <c r="B81" s="325" t="s">
        <v>330</v>
      </c>
      <c r="C81" s="325" t="s">
        <v>545</v>
      </c>
      <c r="D81" s="325" t="s">
        <v>546</v>
      </c>
      <c r="E81" s="324" t="s">
        <v>547</v>
      </c>
      <c r="F81" s="324" t="s">
        <v>2055</v>
      </c>
      <c r="G81" s="324" t="s">
        <v>887</v>
      </c>
      <c r="H81" s="324" t="s">
        <v>1083</v>
      </c>
      <c r="I81" s="324" t="s">
        <v>1084</v>
      </c>
      <c r="J81" s="324" t="s">
        <v>889</v>
      </c>
      <c r="K81" s="324" t="s">
        <v>890</v>
      </c>
      <c r="L81" s="324" t="s">
        <v>891</v>
      </c>
      <c r="M81" s="324" t="s">
        <v>892</v>
      </c>
      <c r="N81" s="324" t="s">
        <v>893</v>
      </c>
      <c r="O81" s="324" t="s">
        <v>894</v>
      </c>
      <c r="P81" s="324" t="s">
        <v>899</v>
      </c>
      <c r="Q81" s="324" t="s">
        <v>1085</v>
      </c>
      <c r="R81" s="324" t="s">
        <v>1086</v>
      </c>
      <c r="S81" s="356" t="s">
        <v>895</v>
      </c>
      <c r="T81" s="309" t="s">
        <v>1089</v>
      </c>
      <c r="U81" s="357" t="e">
        <f>VLOOKUP(D81,'SUIVI JOURNALIER AVRIL'!CK:CM,3,FALSE)</f>
        <v>#N/A</v>
      </c>
      <c r="V81" s="358" t="e">
        <f>IF(VLOOKUP('vs mars'!D81,'point sur les patentes'!B:E,4,FALSE)="","",VLOOKUP(D81,'point sur les patentes'!B:E,4,FALSE)+VLOOKUP(D81,'point sur les patentes'!B:F,5,FALSE)+VLOOKUP('vs mars'!D81,'point sur les patentes'!B:G,6,FALSE)+VLOOKUP('vs mars'!D81,'point sur les patentes'!B:H,7,FALSE)+VLOOKUP('vs mars'!D81,'point sur les patentes'!B:I,8,FALSE)+VLOOKUP(D81,'point sur les patentes'!B:J,9,FALSE)+VLOOKUP(D81,'point sur les patentes'!B:K,10,FALSE)+VLOOKUP(D81,'point sur les patentes'!B:L,11,FALSE)+VLOOKUP(D81,'point sur les patentes'!B:M,12,FALSE)+VLOOKUP(D81,'point sur les patentes'!B:N,13,FALSE)+VLOOKUP(D81,'point sur les patentes'!B:O,14,FALSE)+VLOOKUP(D81,'point sur les patentes'!B:P,15,FALSE)+VLOOKUP(D81,'point sur les patentes'!B:Q,16,FALSE)+VLOOKUP('vs mars'!D81,'point sur les patentes'!B:Z,25,FALSE))</f>
        <v>#N/A</v>
      </c>
      <c r="W81" s="340" t="e">
        <f>VLOOKUP(D81,'SUIVI JOURNALIER AVRIL'!B:J,9,FALSE)</f>
        <v>#N/A</v>
      </c>
      <c r="X81" s="340" t="e">
        <f>VLOOKUP(D81,'SUIVI JOURNALIER AVRIL'!B:P,14,FALSE)+VLOOKUP('vs mars'!D81,'SUIVI JOURNALIER AVRIL'!B:V,20,FALSE)+VLOOKUP('vs mars'!D81,'SUIVI JOURNALIER AVRIL'!B:W,21,FALSE)</f>
        <v>#N/A</v>
      </c>
      <c r="Y81" s="340" t="e">
        <f>VLOOKUP(D81,'SUIVI JOURNALIER AVRIL'!B:CC,80,FALSE)</f>
        <v>#N/A</v>
      </c>
      <c r="Z81" s="340" t="e">
        <f t="shared" si="2"/>
        <v>#N/A</v>
      </c>
      <c r="AA81" s="359" t="e">
        <f>VLOOKUP(D81,'SUIVI JOURNALIER AVRIL'!B:CD,81,FALSE)</f>
        <v>#N/A</v>
      </c>
      <c r="AB81" s="360" t="e">
        <f t="shared" si="3"/>
        <v>#N/A</v>
      </c>
      <c r="AC81" s="360" t="str">
        <f>VLOOKUP(B81,labo!B:D,3,FALSE)</f>
        <v>ug5</v>
      </c>
      <c r="AD81" s="360" t="s">
        <v>2629</v>
      </c>
      <c r="AF81" s="330" t="e">
        <f>VLOOKUP(D81,'SUIVI JOURNALIER AVRIL'!CK:CL,2,FALSE)</f>
        <v>#N/A</v>
      </c>
      <c r="AG81" s="360">
        <v>1</v>
      </c>
    </row>
    <row r="82" spans="1:33" s="360" customFormat="1" ht="13.5" customHeight="1">
      <c r="A82" s="324" t="s">
        <v>1685</v>
      </c>
      <c r="B82" s="325" t="s">
        <v>2322</v>
      </c>
      <c r="C82" s="325" t="s">
        <v>2435</v>
      </c>
      <c r="D82" s="325" t="s">
        <v>2436</v>
      </c>
      <c r="E82" s="324" t="s">
        <v>574</v>
      </c>
      <c r="F82" s="324" t="s">
        <v>2055</v>
      </c>
      <c r="G82" s="324" t="s">
        <v>887</v>
      </c>
      <c r="H82" s="324" t="s">
        <v>1766</v>
      </c>
      <c r="I82" s="324" t="s">
        <v>2055</v>
      </c>
      <c r="J82" s="324" t="s">
        <v>2055</v>
      </c>
      <c r="K82" s="324" t="s">
        <v>2405</v>
      </c>
      <c r="L82" s="324" t="s">
        <v>891</v>
      </c>
      <c r="M82" s="324" t="s">
        <v>892</v>
      </c>
      <c r="N82" s="324" t="s">
        <v>893</v>
      </c>
      <c r="O82" s="324" t="s">
        <v>894</v>
      </c>
      <c r="P82" s="324" t="s">
        <v>919</v>
      </c>
      <c r="Q82" s="324" t="s">
        <v>2055</v>
      </c>
      <c r="R82" s="324" t="s">
        <v>2277</v>
      </c>
      <c r="S82" s="356" t="s">
        <v>895</v>
      </c>
      <c r="T82" s="309" t="s">
        <v>957</v>
      </c>
      <c r="U82" s="357">
        <f>VLOOKUP(D82,'SUIVI JOURNALIER AVRIL'!CK:CM,3,FALSE)</f>
        <v>0</v>
      </c>
      <c r="V82" s="358" t="e">
        <f>IF(VLOOKUP('vs mars'!D82,'point sur les patentes'!B:E,4,FALSE)="","",VLOOKUP(D82,'point sur les patentes'!B:E,4,FALSE)+VLOOKUP(D82,'point sur les patentes'!B:F,5,FALSE)+VLOOKUP('vs mars'!D82,'point sur les patentes'!B:G,6,FALSE)+VLOOKUP('vs mars'!D82,'point sur les patentes'!B:H,7,FALSE)+VLOOKUP('vs mars'!D82,'point sur les patentes'!B:I,8,FALSE)+VLOOKUP(D82,'point sur les patentes'!B:J,9,FALSE)+VLOOKUP(D82,'point sur les patentes'!B:K,10,FALSE)+VLOOKUP(D82,'point sur les patentes'!B:L,11,FALSE)+VLOOKUP(D82,'point sur les patentes'!B:M,12,FALSE)+VLOOKUP(D82,'point sur les patentes'!B:N,13,FALSE)+VLOOKUP(D82,'point sur les patentes'!B:O,14,FALSE)+VLOOKUP(D82,'point sur les patentes'!B:P,15,FALSE)+VLOOKUP(D82,'point sur les patentes'!B:Q,16,FALSE)+VLOOKUP('vs mars'!D82,'point sur les patentes'!B:Z,25,FALSE))</f>
        <v>#N/A</v>
      </c>
      <c r="W82" s="340">
        <f>VLOOKUP(D82,'SUIVI JOURNALIER AVRIL'!B:J,9,FALSE)</f>
        <v>67211</v>
      </c>
      <c r="X82" s="340">
        <f>VLOOKUP(D82,'SUIVI JOURNALIER AVRIL'!B:P,14,FALSE)+VLOOKUP('vs mars'!D82,'SUIVI JOURNALIER AVRIL'!B:V,20,FALSE)+VLOOKUP('vs mars'!D82,'SUIVI JOURNALIER AVRIL'!B:W,21,FALSE)</f>
        <v>16772</v>
      </c>
      <c r="Y82" s="340">
        <f>VLOOKUP(D82,'SUIVI JOURNALIER AVRIL'!B:CC,80,FALSE)</f>
        <v>4354</v>
      </c>
      <c r="Z82" s="340">
        <f t="shared" si="2"/>
        <v>88337</v>
      </c>
      <c r="AA82" s="359">
        <f>VLOOKUP(D82,'SUIVI JOURNALIER AVRIL'!B:CD,81,FALSE)</f>
        <v>88337</v>
      </c>
      <c r="AB82" s="360" t="str">
        <f t="shared" si="3"/>
        <v>ok</v>
      </c>
      <c r="AC82" s="360" t="str">
        <f>VLOOKUP(B82,labo!B:D,3,FALSE)</f>
        <v>ug2</v>
      </c>
      <c r="AD82" s="360" t="s">
        <v>2630</v>
      </c>
      <c r="AF82" s="330">
        <f>VLOOKUP(D82,'SUIVI JOURNALIER AVRIL'!CK:CL,2,FALSE)</f>
        <v>0</v>
      </c>
      <c r="AG82" s="360">
        <v>1</v>
      </c>
    </row>
    <row r="83" spans="1:33" s="360" customFormat="1" ht="13.5" customHeight="1">
      <c r="A83" s="324" t="s">
        <v>1686</v>
      </c>
      <c r="B83" s="325" t="s">
        <v>406</v>
      </c>
      <c r="C83" s="325" t="s">
        <v>548</v>
      </c>
      <c r="D83" s="325" t="s">
        <v>407</v>
      </c>
      <c r="E83" s="324" t="s">
        <v>549</v>
      </c>
      <c r="F83" s="324" t="s">
        <v>2055</v>
      </c>
      <c r="G83" s="324" t="s">
        <v>887</v>
      </c>
      <c r="H83" s="324" t="s">
        <v>1067</v>
      </c>
      <c r="I83" s="324" t="s">
        <v>1087</v>
      </c>
      <c r="J83" s="324" t="s">
        <v>889</v>
      </c>
      <c r="K83" s="324" t="s">
        <v>890</v>
      </c>
      <c r="L83" s="324" t="s">
        <v>891</v>
      </c>
      <c r="M83" s="324" t="s">
        <v>892</v>
      </c>
      <c r="N83" s="324" t="s">
        <v>893</v>
      </c>
      <c r="O83" s="324" t="s">
        <v>894</v>
      </c>
      <c r="P83" s="324" t="s">
        <v>935</v>
      </c>
      <c r="Q83" s="324" t="s">
        <v>924</v>
      </c>
      <c r="R83" s="324" t="s">
        <v>1088</v>
      </c>
      <c r="S83" s="356" t="s">
        <v>895</v>
      </c>
      <c r="T83" s="309" t="s">
        <v>953</v>
      </c>
      <c r="U83" s="357">
        <f>VLOOKUP(D83,'SUIVI JOURNALIER AVRIL'!CK:CM,3,FALSE)</f>
        <v>0</v>
      </c>
      <c r="V83" s="358" t="e">
        <f>IF(VLOOKUP('vs mars'!D83,'point sur les patentes'!B:E,4,FALSE)="","",VLOOKUP(D83,'point sur les patentes'!B:E,4,FALSE)+VLOOKUP(D83,'point sur les patentes'!B:F,5,FALSE)+VLOOKUP('vs mars'!D83,'point sur les patentes'!B:G,6,FALSE)+VLOOKUP('vs mars'!D83,'point sur les patentes'!B:H,7,FALSE)+VLOOKUP('vs mars'!D83,'point sur les patentes'!B:I,8,FALSE)+VLOOKUP(D83,'point sur les patentes'!B:J,9,FALSE)+VLOOKUP(D83,'point sur les patentes'!B:K,10,FALSE)+VLOOKUP(D83,'point sur les patentes'!B:L,11,FALSE)+VLOOKUP(D83,'point sur les patentes'!B:M,12,FALSE)+VLOOKUP(D83,'point sur les patentes'!B:N,13,FALSE)+VLOOKUP(D83,'point sur les patentes'!B:O,14,FALSE)+VLOOKUP(D83,'point sur les patentes'!B:P,15,FALSE)+VLOOKUP(D83,'point sur les patentes'!B:Q,16,FALSE)+VLOOKUP('vs mars'!D83,'point sur les patentes'!B:Z,25,FALSE))</f>
        <v>#N/A</v>
      </c>
      <c r="W83" s="340">
        <f>VLOOKUP(D83,'SUIVI JOURNALIER AVRIL'!B:J,9,FALSE)</f>
        <v>30804</v>
      </c>
      <c r="X83" s="340">
        <f>VLOOKUP(D83,'SUIVI JOURNALIER AVRIL'!B:P,14,FALSE)+VLOOKUP('vs mars'!D83,'SUIVI JOURNALIER AVRIL'!B:V,20,FALSE)+VLOOKUP('vs mars'!D83,'SUIVI JOURNALIER AVRIL'!B:W,21,FALSE)</f>
        <v>11375</v>
      </c>
      <c r="Y83" s="340">
        <f>VLOOKUP(D83,'SUIVI JOURNALIER AVRIL'!B:CC,80,FALSE)</f>
        <v>16510</v>
      </c>
      <c r="Z83" s="340">
        <f t="shared" si="2"/>
        <v>58689</v>
      </c>
      <c r="AA83" s="359">
        <f>VLOOKUP(D83,'SUIVI JOURNALIER AVRIL'!B:CD,81,FALSE)</f>
        <v>58689</v>
      </c>
      <c r="AB83" s="360" t="str">
        <f t="shared" si="3"/>
        <v>ok</v>
      </c>
      <c r="AC83" s="360" t="str">
        <f>VLOOKUP(B83,labo!B:D,3,FALSE)</f>
        <v>ug5</v>
      </c>
      <c r="AD83" s="360" t="s">
        <v>2629</v>
      </c>
      <c r="AF83" s="330">
        <f>VLOOKUP(D83,'SUIVI JOURNALIER AVRIL'!CK:CL,2,FALSE)</f>
        <v>0</v>
      </c>
      <c r="AG83" s="360">
        <v>1</v>
      </c>
    </row>
    <row r="84" spans="1:33" s="360" customFormat="1" ht="13.5" customHeight="1">
      <c r="A84" s="324" t="s">
        <v>1691</v>
      </c>
      <c r="B84" s="325" t="s">
        <v>2741</v>
      </c>
      <c r="C84" s="325" t="s">
        <v>2741</v>
      </c>
      <c r="D84" s="325" t="s">
        <v>2437</v>
      </c>
      <c r="E84" s="324" t="s">
        <v>446</v>
      </c>
      <c r="F84" s="324" t="s">
        <v>2055</v>
      </c>
      <c r="G84" s="324" t="s">
        <v>887</v>
      </c>
      <c r="H84" s="324" t="s">
        <v>2055</v>
      </c>
      <c r="I84" s="324" t="s">
        <v>2055</v>
      </c>
      <c r="J84" s="324" t="s">
        <v>2055</v>
      </c>
      <c r="K84" s="324" t="s">
        <v>2405</v>
      </c>
      <c r="L84" s="324" t="s">
        <v>891</v>
      </c>
      <c r="M84" s="324" t="s">
        <v>892</v>
      </c>
      <c r="N84" s="324" t="s">
        <v>893</v>
      </c>
      <c r="O84" s="324" t="s">
        <v>894</v>
      </c>
      <c r="P84" s="324" t="s">
        <v>919</v>
      </c>
      <c r="Q84" s="324" t="s">
        <v>2055</v>
      </c>
      <c r="R84" s="324" t="s">
        <v>2055</v>
      </c>
      <c r="S84" s="356" t="s">
        <v>895</v>
      </c>
      <c r="T84" s="309" t="s">
        <v>1006</v>
      </c>
      <c r="U84" s="357" t="e">
        <f>VLOOKUP(D84,'SUIVI JOURNALIER AVRIL'!CK:CM,3,FALSE)</f>
        <v>#N/A</v>
      </c>
      <c r="V84" s="358" t="e">
        <f>IF(VLOOKUP('vs mars'!D84,'point sur les patentes'!B:E,4,FALSE)="","",VLOOKUP(D84,'point sur les patentes'!B:E,4,FALSE)+VLOOKUP(D84,'point sur les patentes'!B:F,5,FALSE)+VLOOKUP('vs mars'!D84,'point sur les patentes'!B:G,6,FALSE)+VLOOKUP('vs mars'!D84,'point sur les patentes'!B:H,7,FALSE)+VLOOKUP('vs mars'!D84,'point sur les patentes'!B:I,8,FALSE)+VLOOKUP(D84,'point sur les patentes'!B:J,9,FALSE)+VLOOKUP(D84,'point sur les patentes'!B:K,10,FALSE)+VLOOKUP(D84,'point sur les patentes'!B:L,11,FALSE)+VLOOKUP(D84,'point sur les patentes'!B:M,12,FALSE)+VLOOKUP(D84,'point sur les patentes'!B:N,13,FALSE)+VLOOKUP(D84,'point sur les patentes'!B:O,14,FALSE)+VLOOKUP(D84,'point sur les patentes'!B:P,15,FALSE)+VLOOKUP(D84,'point sur les patentes'!B:Q,16,FALSE)+VLOOKUP('vs mars'!D84,'point sur les patentes'!B:Z,25,FALSE))</f>
        <v>#N/A</v>
      </c>
      <c r="W84" s="340" t="e">
        <f>VLOOKUP(D84,'SUIVI JOURNALIER AVRIL'!B:J,9,FALSE)</f>
        <v>#N/A</v>
      </c>
      <c r="X84" s="340" t="e">
        <f>VLOOKUP(D84,'SUIVI JOURNALIER AVRIL'!B:P,14,FALSE)+VLOOKUP('vs mars'!D84,'SUIVI JOURNALIER AVRIL'!B:V,20,FALSE)+VLOOKUP('vs mars'!D84,'SUIVI JOURNALIER AVRIL'!B:W,21,FALSE)</f>
        <v>#N/A</v>
      </c>
      <c r="Y84" s="340" t="e">
        <f>VLOOKUP(D84,'SUIVI JOURNALIER AVRIL'!B:CC,80,FALSE)</f>
        <v>#N/A</v>
      </c>
      <c r="Z84" s="340" t="e">
        <f t="shared" si="2"/>
        <v>#N/A</v>
      </c>
      <c r="AA84" s="359" t="e">
        <f>VLOOKUP(D84,'SUIVI JOURNALIER AVRIL'!B:CD,81,FALSE)</f>
        <v>#N/A</v>
      </c>
      <c r="AB84" s="360" t="e">
        <f t="shared" si="3"/>
        <v>#N/A</v>
      </c>
      <c r="AC84" s="360" t="str">
        <f>VLOOKUP(B84,labo!B:D,3,FALSE)</f>
        <v>ug5</v>
      </c>
      <c r="AD84" s="360" t="s">
        <v>2630</v>
      </c>
      <c r="AF84" s="330" t="e">
        <f>VLOOKUP(D84,'SUIVI JOURNALIER AVRIL'!CK:CL,2,FALSE)</f>
        <v>#N/A</v>
      </c>
      <c r="AG84" s="360">
        <v>1</v>
      </c>
    </row>
    <row r="85" spans="1:33" s="360" customFormat="1" ht="13.5" customHeight="1">
      <c r="A85" s="324" t="s">
        <v>1692</v>
      </c>
      <c r="B85" s="325" t="s">
        <v>2323</v>
      </c>
      <c r="C85" s="325" t="s">
        <v>2055</v>
      </c>
      <c r="D85" s="325" t="s">
        <v>2438</v>
      </c>
      <c r="E85" s="324" t="s">
        <v>2439</v>
      </c>
      <c r="F85" s="324" t="s">
        <v>2055</v>
      </c>
      <c r="G85" s="324" t="s">
        <v>926</v>
      </c>
      <c r="H85" s="324" t="s">
        <v>2055</v>
      </c>
      <c r="I85" s="324" t="s">
        <v>2055</v>
      </c>
      <c r="J85" s="324" t="s">
        <v>2427</v>
      </c>
      <c r="K85" s="324" t="s">
        <v>2405</v>
      </c>
      <c r="L85" s="324" t="s">
        <v>891</v>
      </c>
      <c r="M85" s="324" t="s">
        <v>892</v>
      </c>
      <c r="N85" s="324" t="s">
        <v>893</v>
      </c>
      <c r="O85" s="324" t="s">
        <v>894</v>
      </c>
      <c r="P85" s="324" t="s">
        <v>919</v>
      </c>
      <c r="Q85" s="324" t="s">
        <v>2055</v>
      </c>
      <c r="R85" s="324" t="s">
        <v>2055</v>
      </c>
      <c r="S85" s="356" t="s">
        <v>895</v>
      </c>
      <c r="T85" s="309" t="s">
        <v>1191</v>
      </c>
      <c r="U85" s="357" t="e">
        <f>VLOOKUP(D85,'SUIVI JOURNALIER AVRIL'!CK:CM,3,FALSE)</f>
        <v>#N/A</v>
      </c>
      <c r="V85" s="358" t="e">
        <f>IF(VLOOKUP('vs mars'!D85,'point sur les patentes'!B:E,4,FALSE)="","",VLOOKUP(D85,'point sur les patentes'!B:E,4,FALSE)+VLOOKUP(D85,'point sur les patentes'!B:F,5,FALSE)+VLOOKUP('vs mars'!D85,'point sur les patentes'!B:G,6,FALSE)+VLOOKUP('vs mars'!D85,'point sur les patentes'!B:H,7,FALSE)+VLOOKUP('vs mars'!D85,'point sur les patentes'!B:I,8,FALSE)+VLOOKUP(D85,'point sur les patentes'!B:J,9,FALSE)+VLOOKUP(D85,'point sur les patentes'!B:K,10,FALSE)+VLOOKUP(D85,'point sur les patentes'!B:L,11,FALSE)+VLOOKUP(D85,'point sur les patentes'!B:M,12,FALSE)+VLOOKUP(D85,'point sur les patentes'!B:N,13,FALSE)+VLOOKUP(D85,'point sur les patentes'!B:O,14,FALSE)+VLOOKUP(D85,'point sur les patentes'!B:P,15,FALSE)+VLOOKUP(D85,'point sur les patentes'!B:Q,16,FALSE)+VLOOKUP('vs mars'!D85,'point sur les patentes'!B:Z,25,FALSE))</f>
        <v>#N/A</v>
      </c>
      <c r="W85" s="340" t="e">
        <f>VLOOKUP(D85,'SUIVI JOURNALIER AVRIL'!B:J,9,FALSE)</f>
        <v>#N/A</v>
      </c>
      <c r="X85" s="340" t="e">
        <f>VLOOKUP(D85,'SUIVI JOURNALIER AVRIL'!B:P,14,FALSE)+VLOOKUP('vs mars'!D85,'SUIVI JOURNALIER AVRIL'!B:V,20,FALSE)+VLOOKUP('vs mars'!D85,'SUIVI JOURNALIER AVRIL'!B:W,21,FALSE)</f>
        <v>#N/A</v>
      </c>
      <c r="Y85" s="340" t="e">
        <f>VLOOKUP(D85,'SUIVI JOURNALIER AVRIL'!B:CC,80,FALSE)</f>
        <v>#N/A</v>
      </c>
      <c r="Z85" s="340" t="e">
        <f t="shared" si="2"/>
        <v>#N/A</v>
      </c>
      <c r="AA85" s="359" t="e">
        <f>VLOOKUP(D85,'SUIVI JOURNALIER AVRIL'!B:CD,81,FALSE)</f>
        <v>#N/A</v>
      </c>
      <c r="AB85" s="360" t="e">
        <f t="shared" si="3"/>
        <v>#N/A</v>
      </c>
      <c r="AC85" s="360" t="str">
        <f>VLOOKUP(B85,labo!B:D,3,FALSE)</f>
        <v>ug4</v>
      </c>
      <c r="AD85" s="360" t="s">
        <v>2630</v>
      </c>
      <c r="AF85" s="330" t="e">
        <f>VLOOKUP(D85,'SUIVI JOURNALIER AVRIL'!CK:CL,2,FALSE)</f>
        <v>#N/A</v>
      </c>
      <c r="AG85" s="360">
        <v>1</v>
      </c>
    </row>
    <row r="86" spans="1:33" s="360" customFormat="1" ht="13.5" customHeight="1">
      <c r="A86" s="324" t="s">
        <v>1133</v>
      </c>
      <c r="B86" s="325" t="s">
        <v>550</v>
      </c>
      <c r="C86" s="325" t="s">
        <v>2055</v>
      </c>
      <c r="D86" s="325" t="s">
        <v>551</v>
      </c>
      <c r="E86" s="324" t="s">
        <v>446</v>
      </c>
      <c r="F86" s="324" t="s">
        <v>2055</v>
      </c>
      <c r="G86" s="324" t="s">
        <v>887</v>
      </c>
      <c r="H86" s="324" t="s">
        <v>1458</v>
      </c>
      <c r="I86" s="324" t="s">
        <v>1459</v>
      </c>
      <c r="J86" s="324" t="s">
        <v>889</v>
      </c>
      <c r="K86" s="324" t="s">
        <v>890</v>
      </c>
      <c r="L86" s="324" t="s">
        <v>891</v>
      </c>
      <c r="M86" s="324" t="s">
        <v>892</v>
      </c>
      <c r="N86" s="324" t="s">
        <v>893</v>
      </c>
      <c r="O86" s="324" t="s">
        <v>919</v>
      </c>
      <c r="P86" s="324" t="s">
        <v>928</v>
      </c>
      <c r="Q86" s="324" t="s">
        <v>1092</v>
      </c>
      <c r="R86" s="324" t="s">
        <v>1093</v>
      </c>
      <c r="S86" s="356" t="s">
        <v>895</v>
      </c>
      <c r="T86" s="309" t="s">
        <v>965</v>
      </c>
      <c r="U86" s="357">
        <f>VLOOKUP(D86,'SUIVI JOURNALIER AVRIL'!CK:CM,3,FALSE)</f>
        <v>0</v>
      </c>
      <c r="V86" s="358" t="e">
        <f>IF(VLOOKUP('vs mars'!D86,'point sur les patentes'!B:E,4,FALSE)="","",VLOOKUP(D86,'point sur les patentes'!B:E,4,FALSE)+VLOOKUP(D86,'point sur les patentes'!B:F,5,FALSE)+VLOOKUP('vs mars'!D86,'point sur les patentes'!B:G,6,FALSE)+VLOOKUP('vs mars'!D86,'point sur les patentes'!B:H,7,FALSE)+VLOOKUP('vs mars'!D86,'point sur les patentes'!B:I,8,FALSE)+VLOOKUP(D86,'point sur les patentes'!B:J,9,FALSE)+VLOOKUP(D86,'point sur les patentes'!B:K,10,FALSE)+VLOOKUP(D86,'point sur les patentes'!B:L,11,FALSE)+VLOOKUP(D86,'point sur les patentes'!B:M,12,FALSE)+VLOOKUP(D86,'point sur les patentes'!B:N,13,FALSE)+VLOOKUP(D86,'point sur les patentes'!B:O,14,FALSE)+VLOOKUP(D86,'point sur les patentes'!B:P,15,FALSE)+VLOOKUP(D86,'point sur les patentes'!B:Q,16,FALSE)+VLOOKUP('vs mars'!D86,'point sur les patentes'!B:Z,25,FALSE))</f>
        <v>#N/A</v>
      </c>
      <c r="W86" s="340">
        <f>VLOOKUP(D86,'SUIVI JOURNALIER AVRIL'!B:J,9,FALSE)</f>
        <v>3484</v>
      </c>
      <c r="X86" s="340">
        <f>VLOOKUP(D86,'SUIVI JOURNALIER AVRIL'!B:P,14,FALSE)+VLOOKUP('vs mars'!D86,'SUIVI JOURNALIER AVRIL'!B:V,20,FALSE)+VLOOKUP('vs mars'!D86,'SUIVI JOURNALIER AVRIL'!B:W,21,FALSE)</f>
        <v>398</v>
      </c>
      <c r="Y86" s="340">
        <f>VLOOKUP(D86,'SUIVI JOURNALIER AVRIL'!B:CC,80,FALSE)</f>
        <v>14754</v>
      </c>
      <c r="Z86" s="340">
        <f t="shared" si="2"/>
        <v>18636</v>
      </c>
      <c r="AA86" s="359">
        <f>VLOOKUP(D86,'SUIVI JOURNALIER AVRIL'!B:CD,81,FALSE)</f>
        <v>18636</v>
      </c>
      <c r="AB86" s="360" t="str">
        <f t="shared" si="3"/>
        <v>ok</v>
      </c>
      <c r="AC86" s="360" t="str">
        <f>VLOOKUP(B86,labo!B:D,3,FALSE)</f>
        <v>ug5</v>
      </c>
      <c r="AD86" s="360" t="s">
        <v>2629</v>
      </c>
      <c r="AF86" s="330">
        <f>VLOOKUP(D86,'SUIVI JOURNALIER AVRIL'!CK:CL,2,FALSE)</f>
        <v>0</v>
      </c>
      <c r="AG86" s="360">
        <v>1</v>
      </c>
    </row>
    <row r="87" spans="1:33" s="360" customFormat="1" ht="13.5" customHeight="1">
      <c r="A87" s="324" t="s">
        <v>1693</v>
      </c>
      <c r="B87" s="325" t="s">
        <v>1460</v>
      </c>
      <c r="C87" s="325" t="s">
        <v>1461</v>
      </c>
      <c r="D87" s="325" t="s">
        <v>1462</v>
      </c>
      <c r="E87" s="324" t="s">
        <v>1562</v>
      </c>
      <c r="F87" s="324" t="s">
        <v>2055</v>
      </c>
      <c r="G87" s="324" t="s">
        <v>887</v>
      </c>
      <c r="H87" s="324" t="s">
        <v>897</v>
      </c>
      <c r="I87" s="324" t="s">
        <v>1463</v>
      </c>
      <c r="J87" s="324" t="s">
        <v>889</v>
      </c>
      <c r="K87" s="324" t="s">
        <v>890</v>
      </c>
      <c r="L87" s="324" t="s">
        <v>891</v>
      </c>
      <c r="M87" s="324" t="s">
        <v>892</v>
      </c>
      <c r="N87" s="324" t="s">
        <v>893</v>
      </c>
      <c r="O87" s="324" t="s">
        <v>894</v>
      </c>
      <c r="P87" s="324" t="s">
        <v>899</v>
      </c>
      <c r="Q87" s="324" t="s">
        <v>1464</v>
      </c>
      <c r="R87" s="324" t="s">
        <v>1465</v>
      </c>
      <c r="S87" s="356" t="s">
        <v>895</v>
      </c>
      <c r="T87" s="309"/>
      <c r="U87" s="357" t="e">
        <f>VLOOKUP(D87,'SUIVI JOURNALIER AVRIL'!CK:CM,3,FALSE)</f>
        <v>#N/A</v>
      </c>
      <c r="V87" s="358" t="e">
        <f>IF(VLOOKUP('vs mars'!D87,'point sur les patentes'!B:E,4,FALSE)="","",VLOOKUP(D87,'point sur les patentes'!B:E,4,FALSE)+VLOOKUP(D87,'point sur les patentes'!B:F,5,FALSE)+VLOOKUP('vs mars'!D87,'point sur les patentes'!B:G,6,FALSE)+VLOOKUP('vs mars'!D87,'point sur les patentes'!B:H,7,FALSE)+VLOOKUP('vs mars'!D87,'point sur les patentes'!B:I,8,FALSE)+VLOOKUP(D87,'point sur les patentes'!B:J,9,FALSE)+VLOOKUP(D87,'point sur les patentes'!B:K,10,FALSE)+VLOOKUP(D87,'point sur les patentes'!B:L,11,FALSE)+VLOOKUP(D87,'point sur les patentes'!B:M,12,FALSE)+VLOOKUP(D87,'point sur les patentes'!B:N,13,FALSE)+VLOOKUP(D87,'point sur les patentes'!B:O,14,FALSE)+VLOOKUP(D87,'point sur les patentes'!B:P,15,FALSE)+VLOOKUP(D87,'point sur les patentes'!B:Q,16,FALSE)+VLOOKUP('vs mars'!D87,'point sur les patentes'!B:Z,25,FALSE))</f>
        <v>#N/A</v>
      </c>
      <c r="W87" s="340" t="e">
        <f>VLOOKUP(D87,'SUIVI JOURNALIER AVRIL'!B:J,9,FALSE)</f>
        <v>#N/A</v>
      </c>
      <c r="X87" s="340" t="e">
        <f>VLOOKUP(D87,'SUIVI JOURNALIER AVRIL'!B:P,14,FALSE)+VLOOKUP('vs mars'!D87,'SUIVI JOURNALIER AVRIL'!B:V,20,FALSE)+VLOOKUP('vs mars'!D87,'SUIVI JOURNALIER AVRIL'!B:W,21,FALSE)</f>
        <v>#N/A</v>
      </c>
      <c r="Y87" s="340" t="e">
        <f>VLOOKUP(D87,'SUIVI JOURNALIER AVRIL'!B:CC,80,FALSE)</f>
        <v>#N/A</v>
      </c>
      <c r="Z87" s="340" t="e">
        <f t="shared" si="2"/>
        <v>#N/A</v>
      </c>
      <c r="AA87" s="359" t="e">
        <f>VLOOKUP(D87,'SUIVI JOURNALIER AVRIL'!B:CD,81,FALSE)</f>
        <v>#N/A</v>
      </c>
      <c r="AB87" s="360" t="e">
        <f t="shared" si="3"/>
        <v>#N/A</v>
      </c>
      <c r="AC87" s="360" t="str">
        <f>VLOOKUP(B87,labo!B:D,3,FALSE)</f>
        <v>ug5</v>
      </c>
      <c r="AD87" s="360" t="s">
        <v>2629</v>
      </c>
      <c r="AF87" s="330" t="e">
        <f>VLOOKUP(D87,'SUIVI JOURNALIER AVRIL'!CK:CL,2,FALSE)</f>
        <v>#N/A</v>
      </c>
      <c r="AG87" s="360">
        <v>1</v>
      </c>
    </row>
    <row r="88" spans="1:33" s="360" customFormat="1" ht="13.5" customHeight="1">
      <c r="A88" s="324" t="s">
        <v>1694</v>
      </c>
      <c r="B88" s="325" t="s">
        <v>2324</v>
      </c>
      <c r="C88" s="325" t="s">
        <v>2440</v>
      </c>
      <c r="D88" s="325" t="s">
        <v>2441</v>
      </c>
      <c r="E88" s="324" t="s">
        <v>1562</v>
      </c>
      <c r="F88" s="324" t="s">
        <v>2055</v>
      </c>
      <c r="G88" s="324" t="s">
        <v>887</v>
      </c>
      <c r="H88" s="324" t="s">
        <v>2055</v>
      </c>
      <c r="I88" s="324" t="s">
        <v>2442</v>
      </c>
      <c r="J88" s="324" t="s">
        <v>2055</v>
      </c>
      <c r="K88" s="324" t="s">
        <v>2405</v>
      </c>
      <c r="L88" s="324" t="s">
        <v>891</v>
      </c>
      <c r="M88" s="324" t="s">
        <v>892</v>
      </c>
      <c r="N88" s="324" t="s">
        <v>893</v>
      </c>
      <c r="O88" s="324" t="s">
        <v>894</v>
      </c>
      <c r="P88" s="324" t="s">
        <v>919</v>
      </c>
      <c r="Q88" s="324" t="s">
        <v>2443</v>
      </c>
      <c r="R88" s="324" t="s">
        <v>2444</v>
      </c>
      <c r="S88" s="356" t="s">
        <v>895</v>
      </c>
      <c r="T88" s="309" t="s">
        <v>965</v>
      </c>
      <c r="U88" s="357" t="e">
        <f>VLOOKUP(D88,'SUIVI JOURNALIER AVRIL'!CK:CM,3,FALSE)</f>
        <v>#N/A</v>
      </c>
      <c r="V88" s="358" t="e">
        <f>IF(VLOOKUP('vs mars'!D88,'point sur les patentes'!B:E,4,FALSE)="","",VLOOKUP(D88,'point sur les patentes'!B:E,4,FALSE)+VLOOKUP(D88,'point sur les patentes'!B:F,5,FALSE)+VLOOKUP('vs mars'!D88,'point sur les patentes'!B:G,6,FALSE)+VLOOKUP('vs mars'!D88,'point sur les patentes'!B:H,7,FALSE)+VLOOKUP('vs mars'!D88,'point sur les patentes'!B:I,8,FALSE)+VLOOKUP(D88,'point sur les patentes'!B:J,9,FALSE)+VLOOKUP(D88,'point sur les patentes'!B:K,10,FALSE)+VLOOKUP(D88,'point sur les patentes'!B:L,11,FALSE)+VLOOKUP(D88,'point sur les patentes'!B:M,12,FALSE)+VLOOKUP(D88,'point sur les patentes'!B:N,13,FALSE)+VLOOKUP(D88,'point sur les patentes'!B:O,14,FALSE)+VLOOKUP(D88,'point sur les patentes'!B:P,15,FALSE)+VLOOKUP(D88,'point sur les patentes'!B:Q,16,FALSE)+VLOOKUP('vs mars'!D88,'point sur les patentes'!B:Z,25,FALSE))</f>
        <v>#N/A</v>
      </c>
      <c r="W88" s="340" t="e">
        <f>VLOOKUP(D88,'SUIVI JOURNALIER AVRIL'!B:J,9,FALSE)</f>
        <v>#N/A</v>
      </c>
      <c r="X88" s="340" t="e">
        <f>VLOOKUP(D88,'SUIVI JOURNALIER AVRIL'!B:P,14,FALSE)+VLOOKUP('vs mars'!D88,'SUIVI JOURNALIER AVRIL'!B:V,20,FALSE)+VLOOKUP('vs mars'!D88,'SUIVI JOURNALIER AVRIL'!B:W,21,FALSE)</f>
        <v>#N/A</v>
      </c>
      <c r="Y88" s="340" t="e">
        <f>VLOOKUP(D88,'SUIVI JOURNALIER AVRIL'!B:CC,80,FALSE)</f>
        <v>#N/A</v>
      </c>
      <c r="Z88" s="340" t="e">
        <f t="shared" si="2"/>
        <v>#N/A</v>
      </c>
      <c r="AA88" s="359" t="e">
        <f>VLOOKUP(D88,'SUIVI JOURNALIER AVRIL'!B:CD,81,FALSE)</f>
        <v>#N/A</v>
      </c>
      <c r="AB88" s="360" t="e">
        <f t="shared" si="3"/>
        <v>#N/A</v>
      </c>
      <c r="AC88" s="360" t="str">
        <f>VLOOKUP(B88,labo!B:D,3,FALSE)</f>
        <v>ug5</v>
      </c>
      <c r="AD88" s="360" t="s">
        <v>2630</v>
      </c>
      <c r="AF88" s="330" t="e">
        <f>VLOOKUP(D88,'SUIVI JOURNALIER AVRIL'!CK:CL,2,FALSE)</f>
        <v>#N/A</v>
      </c>
      <c r="AG88" s="360">
        <v>1</v>
      </c>
    </row>
    <row r="89" spans="1:33" s="360" customFormat="1" ht="13.5" customHeight="1">
      <c r="A89" s="324" t="s">
        <v>1695</v>
      </c>
      <c r="B89" s="325" t="s">
        <v>2306</v>
      </c>
      <c r="C89" s="325" t="s">
        <v>552</v>
      </c>
      <c r="D89" s="325" t="s">
        <v>553</v>
      </c>
      <c r="E89" s="324" t="s">
        <v>554</v>
      </c>
      <c r="F89" s="324" t="s">
        <v>2055</v>
      </c>
      <c r="G89" s="324" t="s">
        <v>887</v>
      </c>
      <c r="H89" s="324" t="s">
        <v>1094</v>
      </c>
      <c r="I89" s="324" t="s">
        <v>1095</v>
      </c>
      <c r="J89" s="324" t="s">
        <v>889</v>
      </c>
      <c r="K89" s="324" t="s">
        <v>890</v>
      </c>
      <c r="L89" s="324" t="s">
        <v>891</v>
      </c>
      <c r="M89" s="324" t="s">
        <v>892</v>
      </c>
      <c r="N89" s="324" t="s">
        <v>893</v>
      </c>
      <c r="O89" s="324" t="s">
        <v>894</v>
      </c>
      <c r="P89" s="324" t="s">
        <v>935</v>
      </c>
      <c r="Q89" s="324" t="s">
        <v>924</v>
      </c>
      <c r="R89" s="324" t="s">
        <v>1096</v>
      </c>
      <c r="S89" s="356" t="s">
        <v>2250</v>
      </c>
      <c r="T89" s="309" t="s">
        <v>895</v>
      </c>
      <c r="U89" s="357" t="e">
        <f>VLOOKUP(D89,'SUIVI JOURNALIER AVRIL'!CK:CM,3,FALSE)</f>
        <v>#N/A</v>
      </c>
      <c r="V89" s="358" t="e">
        <f>IF(VLOOKUP('vs mars'!D89,'point sur les patentes'!B:E,4,FALSE)="","",VLOOKUP(D89,'point sur les patentes'!B:E,4,FALSE)+VLOOKUP(D89,'point sur les patentes'!B:F,5,FALSE)+VLOOKUP('vs mars'!D89,'point sur les patentes'!B:G,6,FALSE)+VLOOKUP('vs mars'!D89,'point sur les patentes'!B:H,7,FALSE)+VLOOKUP('vs mars'!D89,'point sur les patentes'!B:I,8,FALSE)+VLOOKUP(D89,'point sur les patentes'!B:J,9,FALSE)+VLOOKUP(D89,'point sur les patentes'!B:K,10,FALSE)+VLOOKUP(D89,'point sur les patentes'!B:L,11,FALSE)+VLOOKUP(D89,'point sur les patentes'!B:M,12,FALSE)+VLOOKUP(D89,'point sur les patentes'!B:N,13,FALSE)+VLOOKUP(D89,'point sur les patentes'!B:O,14,FALSE)+VLOOKUP(D89,'point sur les patentes'!B:P,15,FALSE)+VLOOKUP(D89,'point sur les patentes'!B:Q,16,FALSE)+VLOOKUP('vs mars'!D89,'point sur les patentes'!B:Z,25,FALSE))</f>
        <v>#N/A</v>
      </c>
      <c r="W89" s="340" t="e">
        <f>VLOOKUP(D89,'SUIVI JOURNALIER AVRIL'!B:J,9,FALSE)</f>
        <v>#N/A</v>
      </c>
      <c r="X89" s="340" t="e">
        <f>VLOOKUP(D89,'SUIVI JOURNALIER AVRIL'!B:P,14,FALSE)+VLOOKUP('vs mars'!D89,'SUIVI JOURNALIER AVRIL'!B:V,20,FALSE)+VLOOKUP('vs mars'!D89,'SUIVI JOURNALIER AVRIL'!B:W,21,FALSE)</f>
        <v>#N/A</v>
      </c>
      <c r="Y89" s="340" t="e">
        <f>VLOOKUP(D89,'SUIVI JOURNALIER AVRIL'!B:CC,80,FALSE)</f>
        <v>#N/A</v>
      </c>
      <c r="Z89" s="340" t="e">
        <f t="shared" si="2"/>
        <v>#N/A</v>
      </c>
      <c r="AA89" s="359" t="e">
        <f>VLOOKUP(D89,'SUIVI JOURNALIER AVRIL'!B:CD,81,FALSE)</f>
        <v>#N/A</v>
      </c>
      <c r="AB89" s="360" t="e">
        <f t="shared" si="3"/>
        <v>#N/A</v>
      </c>
      <c r="AC89" s="360" t="str">
        <f>VLOOKUP(B89,labo!B:D,3,FALSE)</f>
        <v>ug2</v>
      </c>
      <c r="AD89" s="360" t="s">
        <v>2629</v>
      </c>
      <c r="AF89" s="330" t="e">
        <f>VLOOKUP(D89,'SUIVI JOURNALIER AVRIL'!CK:CL,2,FALSE)</f>
        <v>#N/A</v>
      </c>
      <c r="AG89" s="360">
        <v>1</v>
      </c>
    </row>
    <row r="90" spans="1:33" s="360" customFormat="1" ht="13.5" customHeight="1">
      <c r="A90" s="324" t="s">
        <v>1696</v>
      </c>
      <c r="B90" s="325" t="s">
        <v>2033</v>
      </c>
      <c r="C90" s="325" t="s">
        <v>2052</v>
      </c>
      <c r="D90" s="325" t="s">
        <v>868</v>
      </c>
      <c r="E90" s="324" t="s">
        <v>869</v>
      </c>
      <c r="F90" s="324" t="s">
        <v>2055</v>
      </c>
      <c r="G90" s="324" t="s">
        <v>887</v>
      </c>
      <c r="H90" s="324" t="s">
        <v>1416</v>
      </c>
      <c r="I90" s="324" t="s">
        <v>2053</v>
      </c>
      <c r="J90" s="324" t="s">
        <v>889</v>
      </c>
      <c r="K90" s="324" t="s">
        <v>890</v>
      </c>
      <c r="L90" s="324" t="s">
        <v>891</v>
      </c>
      <c r="M90" s="324" t="s">
        <v>892</v>
      </c>
      <c r="N90" s="324" t="s">
        <v>893</v>
      </c>
      <c r="O90" s="324" t="s">
        <v>894</v>
      </c>
      <c r="P90" s="324" t="s">
        <v>935</v>
      </c>
      <c r="Q90" s="324" t="s">
        <v>924</v>
      </c>
      <c r="R90" s="324" t="s">
        <v>1417</v>
      </c>
      <c r="S90" s="356" t="s">
        <v>895</v>
      </c>
      <c r="T90" s="309" t="s">
        <v>957</v>
      </c>
      <c r="U90" s="357" t="e">
        <f>VLOOKUP(D90,'SUIVI JOURNALIER AVRIL'!CK:CM,3,FALSE)</f>
        <v>#N/A</v>
      </c>
      <c r="V90" s="358" t="e">
        <f>IF(VLOOKUP('vs mars'!D90,'point sur les patentes'!B:E,4,FALSE)="","",VLOOKUP(D90,'point sur les patentes'!B:E,4,FALSE)+VLOOKUP(D90,'point sur les patentes'!B:F,5,FALSE)+VLOOKUP('vs mars'!D90,'point sur les patentes'!B:G,6,FALSE)+VLOOKUP('vs mars'!D90,'point sur les patentes'!B:H,7,FALSE)+VLOOKUP('vs mars'!D90,'point sur les patentes'!B:I,8,FALSE)+VLOOKUP(D90,'point sur les patentes'!B:J,9,FALSE)+VLOOKUP(D90,'point sur les patentes'!B:K,10,FALSE)+VLOOKUP(D90,'point sur les patentes'!B:L,11,FALSE)+VLOOKUP(D90,'point sur les patentes'!B:M,12,FALSE)+VLOOKUP(D90,'point sur les patentes'!B:N,13,FALSE)+VLOOKUP(D90,'point sur les patentes'!B:O,14,FALSE)+VLOOKUP(D90,'point sur les patentes'!B:P,15,FALSE)+VLOOKUP(D90,'point sur les patentes'!B:Q,16,FALSE)+VLOOKUP('vs mars'!D90,'point sur les patentes'!B:Z,25,FALSE))</f>
        <v>#N/A</v>
      </c>
      <c r="W90" s="340" t="e">
        <f>VLOOKUP(D90,'SUIVI JOURNALIER AVRIL'!B:J,9,FALSE)</f>
        <v>#N/A</v>
      </c>
      <c r="X90" s="340" t="e">
        <f>VLOOKUP(D90,'SUIVI JOURNALIER AVRIL'!B:P,14,FALSE)+VLOOKUP('vs mars'!D90,'SUIVI JOURNALIER AVRIL'!B:V,20,FALSE)+VLOOKUP('vs mars'!D90,'SUIVI JOURNALIER AVRIL'!B:W,21,FALSE)</f>
        <v>#N/A</v>
      </c>
      <c r="Y90" s="340" t="e">
        <f>VLOOKUP(D90,'SUIVI JOURNALIER AVRIL'!B:CC,80,FALSE)</f>
        <v>#N/A</v>
      </c>
      <c r="Z90" s="340" t="e">
        <f t="shared" si="2"/>
        <v>#N/A</v>
      </c>
      <c r="AA90" s="359" t="e">
        <f>VLOOKUP(D90,'SUIVI JOURNALIER AVRIL'!B:CD,81,FALSE)</f>
        <v>#N/A</v>
      </c>
      <c r="AB90" s="360" t="e">
        <f t="shared" si="3"/>
        <v>#N/A</v>
      </c>
      <c r="AC90" s="360" t="str">
        <f>VLOOKUP(B90,labo!B:D,3,FALSE)</f>
        <v>ug5</v>
      </c>
      <c r="AD90" s="360" t="s">
        <v>2629</v>
      </c>
      <c r="AF90" s="330" t="e">
        <f>VLOOKUP(D90,'SUIVI JOURNALIER AVRIL'!CK:CL,2,FALSE)</f>
        <v>#N/A</v>
      </c>
      <c r="AG90" s="360">
        <v>1</v>
      </c>
    </row>
    <row r="91" spans="1:33" s="360" customFormat="1" ht="13.5" customHeight="1">
      <c r="A91" s="324" t="s">
        <v>1698</v>
      </c>
      <c r="B91" s="325" t="s">
        <v>368</v>
      </c>
      <c r="C91" s="325" t="s">
        <v>555</v>
      </c>
      <c r="D91" s="325" t="s">
        <v>556</v>
      </c>
      <c r="E91" s="324" t="s">
        <v>422</v>
      </c>
      <c r="F91" s="324" t="s">
        <v>2055</v>
      </c>
      <c r="G91" s="324" t="s">
        <v>887</v>
      </c>
      <c r="H91" s="324" t="s">
        <v>1097</v>
      </c>
      <c r="I91" s="324" t="s">
        <v>1098</v>
      </c>
      <c r="J91" s="324" t="s">
        <v>889</v>
      </c>
      <c r="K91" s="324" t="s">
        <v>890</v>
      </c>
      <c r="L91" s="324" t="s">
        <v>891</v>
      </c>
      <c r="M91" s="324" t="s">
        <v>892</v>
      </c>
      <c r="N91" s="324" t="s">
        <v>893</v>
      </c>
      <c r="O91" s="324" t="s">
        <v>894</v>
      </c>
      <c r="P91" s="324" t="s">
        <v>935</v>
      </c>
      <c r="Q91" s="324" t="s">
        <v>1099</v>
      </c>
      <c r="R91" s="324" t="s">
        <v>1100</v>
      </c>
      <c r="S91" s="356" t="s">
        <v>895</v>
      </c>
      <c r="T91" s="309" t="s">
        <v>1082</v>
      </c>
      <c r="U91" s="357">
        <f>VLOOKUP(D91,'SUIVI JOURNALIER AVRIL'!CK:CM,3,FALSE)</f>
        <v>0</v>
      </c>
      <c r="V91" s="358" t="e">
        <f>IF(VLOOKUP('vs mars'!D91,'point sur les patentes'!B:E,4,FALSE)="","",VLOOKUP(D91,'point sur les patentes'!B:E,4,FALSE)+VLOOKUP(D91,'point sur les patentes'!B:F,5,FALSE)+VLOOKUP('vs mars'!D91,'point sur les patentes'!B:G,6,FALSE)+VLOOKUP('vs mars'!D91,'point sur les patentes'!B:H,7,FALSE)+VLOOKUP('vs mars'!D91,'point sur les patentes'!B:I,8,FALSE)+VLOOKUP(D91,'point sur les patentes'!B:J,9,FALSE)+VLOOKUP(D91,'point sur les patentes'!B:K,10,FALSE)+VLOOKUP(D91,'point sur les patentes'!B:L,11,FALSE)+VLOOKUP(D91,'point sur les patentes'!B:M,12,FALSE)+VLOOKUP(D91,'point sur les patentes'!B:N,13,FALSE)+VLOOKUP(D91,'point sur les patentes'!B:O,14,FALSE)+VLOOKUP(D91,'point sur les patentes'!B:P,15,FALSE)+VLOOKUP(D91,'point sur les patentes'!B:Q,16,FALSE)+VLOOKUP('vs mars'!D91,'point sur les patentes'!B:Z,25,FALSE))</f>
        <v>#N/A</v>
      </c>
      <c r="W91" s="340">
        <f>VLOOKUP(D91,'SUIVI JOURNALIER AVRIL'!B:J,9,FALSE)</f>
        <v>0</v>
      </c>
      <c r="X91" s="340">
        <f>VLOOKUP(D91,'SUIVI JOURNALIER AVRIL'!B:P,14,FALSE)+VLOOKUP('vs mars'!D91,'SUIVI JOURNALIER AVRIL'!B:V,20,FALSE)+VLOOKUP('vs mars'!D91,'SUIVI JOURNALIER AVRIL'!B:W,21,FALSE)</f>
        <v>51107</v>
      </c>
      <c r="Y91" s="340">
        <f>VLOOKUP(D91,'SUIVI JOURNALIER AVRIL'!B:CC,80,FALSE)</f>
        <v>2897</v>
      </c>
      <c r="Z91" s="340">
        <f t="shared" si="2"/>
        <v>54004</v>
      </c>
      <c r="AA91" s="359">
        <f>VLOOKUP(D91,'SUIVI JOURNALIER AVRIL'!B:CD,81,FALSE)</f>
        <v>54004</v>
      </c>
      <c r="AB91" s="360" t="str">
        <f t="shared" si="3"/>
        <v>ok</v>
      </c>
      <c r="AC91" s="360" t="str">
        <f>VLOOKUP(B91,labo!B:D,3,FALSE)</f>
        <v>ug4</v>
      </c>
      <c r="AD91" s="360" t="s">
        <v>2629</v>
      </c>
      <c r="AF91" s="330">
        <f>VLOOKUP(D91,'SUIVI JOURNALIER AVRIL'!CK:CL,2,FALSE)</f>
        <v>0</v>
      </c>
      <c r="AG91" s="360">
        <v>1</v>
      </c>
    </row>
    <row r="92" spans="1:33" s="360" customFormat="1" ht="13.5" customHeight="1">
      <c r="A92" s="324" t="s">
        <v>1699</v>
      </c>
      <c r="B92" s="325" t="s">
        <v>1590</v>
      </c>
      <c r="C92" s="325" t="s">
        <v>1687</v>
      </c>
      <c r="D92" s="325" t="s">
        <v>1688</v>
      </c>
      <c r="E92" s="324" t="s">
        <v>1689</v>
      </c>
      <c r="F92" s="324" t="s">
        <v>2055</v>
      </c>
      <c r="G92" s="324" t="s">
        <v>887</v>
      </c>
      <c r="H92" s="324" t="s">
        <v>897</v>
      </c>
      <c r="I92" s="324" t="s">
        <v>1925</v>
      </c>
      <c r="J92" s="324" t="s">
        <v>889</v>
      </c>
      <c r="K92" s="324" t="s">
        <v>890</v>
      </c>
      <c r="L92" s="324" t="s">
        <v>891</v>
      </c>
      <c r="M92" s="324" t="s">
        <v>892</v>
      </c>
      <c r="N92" s="324" t="s">
        <v>893</v>
      </c>
      <c r="O92" s="324" t="s">
        <v>919</v>
      </c>
      <c r="P92" s="324" t="s">
        <v>919</v>
      </c>
      <c r="Q92" s="324" t="s">
        <v>1690</v>
      </c>
      <c r="R92" s="324" t="s">
        <v>920</v>
      </c>
      <c r="S92" s="356" t="s">
        <v>895</v>
      </c>
      <c r="T92" s="309" t="s">
        <v>977</v>
      </c>
      <c r="U92" s="357" t="e">
        <f>VLOOKUP(D92,'SUIVI JOURNALIER AVRIL'!CK:CM,3,FALSE)</f>
        <v>#N/A</v>
      </c>
      <c r="V92" s="358" t="e">
        <f>IF(VLOOKUP('vs mars'!D92,'point sur les patentes'!B:E,4,FALSE)="","",VLOOKUP(D92,'point sur les patentes'!B:E,4,FALSE)+VLOOKUP(D92,'point sur les patentes'!B:F,5,FALSE)+VLOOKUP('vs mars'!D92,'point sur les patentes'!B:G,6,FALSE)+VLOOKUP('vs mars'!D92,'point sur les patentes'!B:H,7,FALSE)+VLOOKUP('vs mars'!D92,'point sur les patentes'!B:I,8,FALSE)+VLOOKUP(D92,'point sur les patentes'!B:J,9,FALSE)+VLOOKUP(D92,'point sur les patentes'!B:K,10,FALSE)+VLOOKUP(D92,'point sur les patentes'!B:L,11,FALSE)+VLOOKUP(D92,'point sur les patentes'!B:M,12,FALSE)+VLOOKUP(D92,'point sur les patentes'!B:N,13,FALSE)+VLOOKUP(D92,'point sur les patentes'!B:O,14,FALSE)+VLOOKUP(D92,'point sur les patentes'!B:P,15,FALSE)+VLOOKUP(D92,'point sur les patentes'!B:Q,16,FALSE)+VLOOKUP('vs mars'!D92,'point sur les patentes'!B:Z,25,FALSE))</f>
        <v>#N/A</v>
      </c>
      <c r="W92" s="340" t="e">
        <f>VLOOKUP(D92,'SUIVI JOURNALIER AVRIL'!B:J,9,FALSE)</f>
        <v>#N/A</v>
      </c>
      <c r="X92" s="340" t="e">
        <f>VLOOKUP(D92,'SUIVI JOURNALIER AVRIL'!B:P,14,FALSE)+VLOOKUP('vs mars'!D92,'SUIVI JOURNALIER AVRIL'!B:V,20,FALSE)+VLOOKUP('vs mars'!D92,'SUIVI JOURNALIER AVRIL'!B:W,21,FALSE)</f>
        <v>#N/A</v>
      </c>
      <c r="Y92" s="340" t="e">
        <f>VLOOKUP(D92,'SUIVI JOURNALIER AVRIL'!B:CC,80,FALSE)</f>
        <v>#N/A</v>
      </c>
      <c r="Z92" s="340" t="e">
        <f t="shared" si="2"/>
        <v>#N/A</v>
      </c>
      <c r="AA92" s="359" t="e">
        <f>VLOOKUP(D92,'SUIVI JOURNALIER AVRIL'!B:CD,81,FALSE)</f>
        <v>#N/A</v>
      </c>
      <c r="AB92" s="360" t="e">
        <f t="shared" si="3"/>
        <v>#N/A</v>
      </c>
      <c r="AC92" s="360" t="str">
        <f>VLOOKUP(B92,labo!B:D,3,FALSE)</f>
        <v>ug4</v>
      </c>
      <c r="AD92" s="360" t="s">
        <v>2629</v>
      </c>
      <c r="AF92" s="330" t="e">
        <f>VLOOKUP(D92,'SUIVI JOURNALIER AVRIL'!CK:CL,2,FALSE)</f>
        <v>#N/A</v>
      </c>
      <c r="AG92" s="360">
        <v>1</v>
      </c>
    </row>
    <row r="93" spans="1:33" s="360" customFormat="1" ht="13.5" customHeight="1">
      <c r="A93" s="324" t="s">
        <v>1701</v>
      </c>
      <c r="B93" s="325" t="s">
        <v>2311</v>
      </c>
      <c r="C93" s="325" t="s">
        <v>2055</v>
      </c>
      <c r="D93" s="325" t="s">
        <v>2288</v>
      </c>
      <c r="E93" s="324" t="s">
        <v>2445</v>
      </c>
      <c r="F93" s="324" t="s">
        <v>2055</v>
      </c>
      <c r="G93" s="324" t="s">
        <v>926</v>
      </c>
      <c r="H93" s="324" t="s">
        <v>897</v>
      </c>
      <c r="I93" s="324" t="s">
        <v>2446</v>
      </c>
      <c r="J93" s="324" t="s">
        <v>2427</v>
      </c>
      <c r="K93" s="324" t="s">
        <v>2405</v>
      </c>
      <c r="L93" s="324" t="s">
        <v>891</v>
      </c>
      <c r="M93" s="324" t="s">
        <v>892</v>
      </c>
      <c r="N93" s="324" t="s">
        <v>893</v>
      </c>
      <c r="O93" s="324" t="s">
        <v>894</v>
      </c>
      <c r="P93" s="324" t="s">
        <v>2447</v>
      </c>
      <c r="Q93" s="324" t="s">
        <v>1172</v>
      </c>
      <c r="R93" s="324" t="s">
        <v>2448</v>
      </c>
      <c r="S93" s="356" t="s">
        <v>895</v>
      </c>
      <c r="T93" s="309" t="s">
        <v>977</v>
      </c>
      <c r="U93" s="357">
        <f>VLOOKUP(D93,'SUIVI JOURNALIER AVRIL'!CK:CM,3,FALSE)</f>
        <v>0</v>
      </c>
      <c r="V93" s="358" t="e">
        <f>IF(VLOOKUP('vs mars'!D93,'point sur les patentes'!B:E,4,FALSE)="","",VLOOKUP(D93,'point sur les patentes'!B:E,4,FALSE)+VLOOKUP(D93,'point sur les patentes'!B:F,5,FALSE)+VLOOKUP('vs mars'!D93,'point sur les patentes'!B:G,6,FALSE)+VLOOKUP('vs mars'!D93,'point sur les patentes'!B:H,7,FALSE)+VLOOKUP('vs mars'!D93,'point sur les patentes'!B:I,8,FALSE)+VLOOKUP(D93,'point sur les patentes'!B:J,9,FALSE)+VLOOKUP(D93,'point sur les patentes'!B:K,10,FALSE)+VLOOKUP(D93,'point sur les patentes'!B:L,11,FALSE)+VLOOKUP(D93,'point sur les patentes'!B:M,12,FALSE)+VLOOKUP(D93,'point sur les patentes'!B:N,13,FALSE)+VLOOKUP(D93,'point sur les patentes'!B:O,14,FALSE)+VLOOKUP(D93,'point sur les patentes'!B:P,15,FALSE)+VLOOKUP(D93,'point sur les patentes'!B:Q,16,FALSE)+VLOOKUP('vs mars'!D93,'point sur les patentes'!B:Z,25,FALSE))</f>
        <v>#N/A</v>
      </c>
      <c r="W93" s="340">
        <f>VLOOKUP(D93,'SUIVI JOURNALIER AVRIL'!B:J,9,FALSE)</f>
        <v>42602</v>
      </c>
      <c r="X93" s="340">
        <f>VLOOKUP(D93,'SUIVI JOURNALIER AVRIL'!B:P,14,FALSE)+VLOOKUP('vs mars'!D93,'SUIVI JOURNALIER AVRIL'!B:V,20,FALSE)+VLOOKUP('vs mars'!D93,'SUIVI JOURNALIER AVRIL'!B:W,21,FALSE)</f>
        <v>105107</v>
      </c>
      <c r="Y93" s="340">
        <f>VLOOKUP(D93,'SUIVI JOURNALIER AVRIL'!B:CC,80,FALSE)</f>
        <v>421968</v>
      </c>
      <c r="Z93" s="340">
        <f t="shared" si="2"/>
        <v>569677</v>
      </c>
      <c r="AA93" s="359">
        <f>VLOOKUP(D93,'SUIVI JOURNALIER AVRIL'!B:CD,81,FALSE)</f>
        <v>569677</v>
      </c>
      <c r="AB93" s="360" t="str">
        <f t="shared" si="3"/>
        <v>ok</v>
      </c>
      <c r="AC93" s="360" t="str">
        <f>VLOOKUP(B93,labo!B:D,3,FALSE)</f>
        <v>UG2</v>
      </c>
      <c r="AD93" s="360" t="s">
        <v>2629</v>
      </c>
      <c r="AF93" s="330">
        <f>VLOOKUP(D93,'SUIVI JOURNALIER AVRIL'!CK:CL,2,FALSE)</f>
        <v>0</v>
      </c>
      <c r="AG93" s="360">
        <v>1</v>
      </c>
    </row>
    <row r="94" spans="1:33" s="360" customFormat="1" ht="13.5" customHeight="1">
      <c r="A94" s="324" t="s">
        <v>1145</v>
      </c>
      <c r="B94" s="325" t="s">
        <v>2283</v>
      </c>
      <c r="C94" s="325" t="s">
        <v>2449</v>
      </c>
      <c r="D94" s="325" t="s">
        <v>2247</v>
      </c>
      <c r="E94" s="324" t="s">
        <v>2248</v>
      </c>
      <c r="F94" s="324" t="s">
        <v>2055</v>
      </c>
      <c r="G94" s="324" t="s">
        <v>887</v>
      </c>
      <c r="H94" s="324" t="s">
        <v>2055</v>
      </c>
      <c r="I94" s="324" t="s">
        <v>2249</v>
      </c>
      <c r="J94" s="324" t="s">
        <v>2055</v>
      </c>
      <c r="K94" s="324" t="s">
        <v>2405</v>
      </c>
      <c r="L94" s="324" t="s">
        <v>891</v>
      </c>
      <c r="M94" s="324" t="s">
        <v>892</v>
      </c>
      <c r="N94" s="324" t="s">
        <v>893</v>
      </c>
      <c r="O94" s="324" t="s">
        <v>894</v>
      </c>
      <c r="P94" s="324" t="s">
        <v>919</v>
      </c>
      <c r="Q94" s="324" t="s">
        <v>2450</v>
      </c>
      <c r="R94" s="324" t="s">
        <v>2067</v>
      </c>
      <c r="S94" s="356" t="s">
        <v>895</v>
      </c>
      <c r="T94" s="309" t="s">
        <v>909</v>
      </c>
      <c r="U94" s="357" t="e">
        <f>VLOOKUP(D94,'SUIVI JOURNALIER AVRIL'!CK:CM,3,FALSE)</f>
        <v>#N/A</v>
      </c>
      <c r="V94" s="358" t="e">
        <f>IF(VLOOKUP('vs mars'!D94,'point sur les patentes'!B:E,4,FALSE)="","",VLOOKUP(D94,'point sur les patentes'!B:E,4,FALSE)+VLOOKUP(D94,'point sur les patentes'!B:F,5,FALSE)+VLOOKUP('vs mars'!D94,'point sur les patentes'!B:G,6,FALSE)+VLOOKUP('vs mars'!D94,'point sur les patentes'!B:H,7,FALSE)+VLOOKUP('vs mars'!D94,'point sur les patentes'!B:I,8,FALSE)+VLOOKUP(D94,'point sur les patentes'!B:J,9,FALSE)+VLOOKUP(D94,'point sur les patentes'!B:K,10,FALSE)+VLOOKUP(D94,'point sur les patentes'!B:L,11,FALSE)+VLOOKUP(D94,'point sur les patentes'!B:M,12,FALSE)+VLOOKUP(D94,'point sur les patentes'!B:N,13,FALSE)+VLOOKUP(D94,'point sur les patentes'!B:O,14,FALSE)+VLOOKUP(D94,'point sur les patentes'!B:P,15,FALSE)+VLOOKUP(D94,'point sur les patentes'!B:Q,16,FALSE)+VLOOKUP('vs mars'!D94,'point sur les patentes'!B:Z,25,FALSE))</f>
        <v>#N/A</v>
      </c>
      <c r="W94" s="340" t="e">
        <f>VLOOKUP(D94,'SUIVI JOURNALIER AVRIL'!B:J,9,FALSE)</f>
        <v>#N/A</v>
      </c>
      <c r="X94" s="340" t="e">
        <f>VLOOKUP(D94,'SUIVI JOURNALIER AVRIL'!B:P,14,FALSE)+VLOOKUP('vs mars'!D94,'SUIVI JOURNALIER AVRIL'!B:V,20,FALSE)+VLOOKUP('vs mars'!D94,'SUIVI JOURNALIER AVRIL'!B:W,21,FALSE)</f>
        <v>#N/A</v>
      </c>
      <c r="Y94" s="340" t="e">
        <f>VLOOKUP(D94,'SUIVI JOURNALIER AVRIL'!B:CC,80,FALSE)</f>
        <v>#N/A</v>
      </c>
      <c r="Z94" s="340" t="e">
        <f t="shared" si="2"/>
        <v>#N/A</v>
      </c>
      <c r="AA94" s="359" t="e">
        <f>VLOOKUP(D94,'SUIVI JOURNALIER AVRIL'!B:CD,81,FALSE)</f>
        <v>#N/A</v>
      </c>
      <c r="AB94" s="360" t="e">
        <f t="shared" si="3"/>
        <v>#N/A</v>
      </c>
      <c r="AC94" s="360" t="str">
        <f>VLOOKUP(B94,labo!B:D,3,FALSE)</f>
        <v>ug5</v>
      </c>
      <c r="AD94" s="360" t="s">
        <v>2629</v>
      </c>
      <c r="AF94" s="330" t="e">
        <f>VLOOKUP(D94,'SUIVI JOURNALIER AVRIL'!CK:CL,2,FALSE)</f>
        <v>#N/A</v>
      </c>
      <c r="AG94" s="360">
        <v>1</v>
      </c>
    </row>
    <row r="95" spans="1:33" s="360" customFormat="1" ht="13.5" customHeight="1">
      <c r="A95" s="324" t="s">
        <v>1702</v>
      </c>
      <c r="B95" s="325" t="s">
        <v>557</v>
      </c>
      <c r="C95" s="325" t="s">
        <v>558</v>
      </c>
      <c r="D95" s="325" t="s">
        <v>559</v>
      </c>
      <c r="E95" s="324" t="s">
        <v>446</v>
      </c>
      <c r="F95" s="324" t="s">
        <v>2055</v>
      </c>
      <c r="G95" s="324" t="s">
        <v>887</v>
      </c>
      <c r="H95" s="324" t="s">
        <v>897</v>
      </c>
      <c r="I95" s="324" t="s">
        <v>1101</v>
      </c>
      <c r="J95" s="324" t="s">
        <v>889</v>
      </c>
      <c r="K95" s="324" t="s">
        <v>890</v>
      </c>
      <c r="L95" s="324" t="s">
        <v>891</v>
      </c>
      <c r="M95" s="324" t="s">
        <v>892</v>
      </c>
      <c r="N95" s="324" t="s">
        <v>893</v>
      </c>
      <c r="O95" s="324" t="s">
        <v>923</v>
      </c>
      <c r="P95" s="324" t="s">
        <v>923</v>
      </c>
      <c r="Q95" s="324" t="s">
        <v>924</v>
      </c>
      <c r="R95" s="324" t="s">
        <v>924</v>
      </c>
      <c r="S95" s="356" t="s">
        <v>895</v>
      </c>
      <c r="T95" s="309" t="s">
        <v>1060</v>
      </c>
      <c r="U95" s="357" t="e">
        <f>VLOOKUP(D95,'SUIVI JOURNALIER AVRIL'!CK:CM,3,FALSE)</f>
        <v>#N/A</v>
      </c>
      <c r="V95" s="358" t="e">
        <f>IF(VLOOKUP('vs mars'!D95,'point sur les patentes'!B:E,4,FALSE)="","",VLOOKUP(D95,'point sur les patentes'!B:E,4,FALSE)+VLOOKUP(D95,'point sur les patentes'!B:F,5,FALSE)+VLOOKUP('vs mars'!D95,'point sur les patentes'!B:G,6,FALSE)+VLOOKUP('vs mars'!D95,'point sur les patentes'!B:H,7,FALSE)+VLOOKUP('vs mars'!D95,'point sur les patentes'!B:I,8,FALSE)+VLOOKUP(D95,'point sur les patentes'!B:J,9,FALSE)+VLOOKUP(D95,'point sur les patentes'!B:K,10,FALSE)+VLOOKUP(D95,'point sur les patentes'!B:L,11,FALSE)+VLOOKUP(D95,'point sur les patentes'!B:M,12,FALSE)+VLOOKUP(D95,'point sur les patentes'!B:N,13,FALSE)+VLOOKUP(D95,'point sur les patentes'!B:O,14,FALSE)+VLOOKUP(D95,'point sur les patentes'!B:P,15,FALSE)+VLOOKUP(D95,'point sur les patentes'!B:Q,16,FALSE)+VLOOKUP('vs mars'!D95,'point sur les patentes'!B:Z,25,FALSE))</f>
        <v>#N/A</v>
      </c>
      <c r="W95" s="340" t="e">
        <f>VLOOKUP(D95,'SUIVI JOURNALIER AVRIL'!B:J,9,FALSE)</f>
        <v>#N/A</v>
      </c>
      <c r="X95" s="340" t="e">
        <f>VLOOKUP(D95,'SUIVI JOURNALIER AVRIL'!B:P,14,FALSE)+VLOOKUP('vs mars'!D95,'SUIVI JOURNALIER AVRIL'!B:V,20,FALSE)+VLOOKUP('vs mars'!D95,'SUIVI JOURNALIER AVRIL'!B:W,21,FALSE)</f>
        <v>#N/A</v>
      </c>
      <c r="Y95" s="340" t="e">
        <f>VLOOKUP(D95,'SUIVI JOURNALIER AVRIL'!B:CC,80,FALSE)</f>
        <v>#N/A</v>
      </c>
      <c r="Z95" s="340" t="e">
        <f t="shared" si="2"/>
        <v>#N/A</v>
      </c>
      <c r="AA95" s="359" t="e">
        <f>VLOOKUP(D95,'SUIVI JOURNALIER AVRIL'!B:CD,81,FALSE)</f>
        <v>#N/A</v>
      </c>
      <c r="AB95" s="360" t="e">
        <f t="shared" si="3"/>
        <v>#N/A</v>
      </c>
      <c r="AC95" s="360" t="str">
        <f>VLOOKUP(B95,labo!B:D,3,FALSE)</f>
        <v>ug5</v>
      </c>
      <c r="AD95" s="360" t="s">
        <v>2629</v>
      </c>
      <c r="AF95" s="330" t="e">
        <f>VLOOKUP(D95,'SUIVI JOURNALIER AVRIL'!CK:CL,2,FALSE)</f>
        <v>#N/A</v>
      </c>
      <c r="AG95" s="360">
        <v>1</v>
      </c>
    </row>
    <row r="96" spans="1:33" s="360" customFormat="1" ht="13.5" customHeight="1">
      <c r="A96" s="324" t="s">
        <v>1703</v>
      </c>
      <c r="B96" s="325" t="s">
        <v>287</v>
      </c>
      <c r="C96" s="325" t="s">
        <v>560</v>
      </c>
      <c r="D96" s="325" t="s">
        <v>561</v>
      </c>
      <c r="E96" s="324" t="s">
        <v>562</v>
      </c>
      <c r="F96" s="324" t="s">
        <v>2055</v>
      </c>
      <c r="G96" s="324" t="s">
        <v>926</v>
      </c>
      <c r="H96" s="324" t="s">
        <v>1104</v>
      </c>
      <c r="I96" s="324" t="s">
        <v>1105</v>
      </c>
      <c r="J96" s="324" t="s">
        <v>1069</v>
      </c>
      <c r="K96" s="324" t="s">
        <v>890</v>
      </c>
      <c r="L96" s="324" t="s">
        <v>891</v>
      </c>
      <c r="M96" s="324" t="s">
        <v>892</v>
      </c>
      <c r="N96" s="324" t="s">
        <v>893</v>
      </c>
      <c r="O96" s="324" t="s">
        <v>1035</v>
      </c>
      <c r="P96" s="324" t="s">
        <v>1035</v>
      </c>
      <c r="Q96" s="324" t="s">
        <v>1106</v>
      </c>
      <c r="R96" s="324" t="s">
        <v>1107</v>
      </c>
      <c r="S96" s="356" t="s">
        <v>895</v>
      </c>
      <c r="T96" s="309" t="s">
        <v>977</v>
      </c>
      <c r="U96" s="357" t="e">
        <f>VLOOKUP(D96,'SUIVI JOURNALIER AVRIL'!CK:CM,3,FALSE)</f>
        <v>#N/A</v>
      </c>
      <c r="V96" s="358" t="e">
        <f>IF(VLOOKUP('vs mars'!D96,'point sur les patentes'!B:E,4,FALSE)="","",VLOOKUP(D96,'point sur les patentes'!B:E,4,FALSE)+VLOOKUP(D96,'point sur les patentes'!B:F,5,FALSE)+VLOOKUP('vs mars'!D96,'point sur les patentes'!B:G,6,FALSE)+VLOOKUP('vs mars'!D96,'point sur les patentes'!B:H,7,FALSE)+VLOOKUP('vs mars'!D96,'point sur les patentes'!B:I,8,FALSE)+VLOOKUP(D96,'point sur les patentes'!B:J,9,FALSE)+VLOOKUP(D96,'point sur les patentes'!B:K,10,FALSE)+VLOOKUP(D96,'point sur les patentes'!B:L,11,FALSE)+VLOOKUP(D96,'point sur les patentes'!B:M,12,FALSE)+VLOOKUP(D96,'point sur les patentes'!B:N,13,FALSE)+VLOOKUP(D96,'point sur les patentes'!B:O,14,FALSE)+VLOOKUP(D96,'point sur les patentes'!B:P,15,FALSE)+VLOOKUP(D96,'point sur les patentes'!B:Q,16,FALSE)+VLOOKUP('vs mars'!D96,'point sur les patentes'!B:Z,25,FALSE))</f>
        <v>#N/A</v>
      </c>
      <c r="W96" s="340" t="e">
        <f>VLOOKUP(D96,'SUIVI JOURNALIER AVRIL'!B:J,9,FALSE)</f>
        <v>#N/A</v>
      </c>
      <c r="X96" s="340" t="e">
        <f>VLOOKUP(D96,'SUIVI JOURNALIER AVRIL'!B:P,14,FALSE)+VLOOKUP('vs mars'!D96,'SUIVI JOURNALIER AVRIL'!B:V,20,FALSE)+VLOOKUP('vs mars'!D96,'SUIVI JOURNALIER AVRIL'!B:W,21,FALSE)</f>
        <v>#N/A</v>
      </c>
      <c r="Y96" s="340" t="e">
        <f>VLOOKUP(D96,'SUIVI JOURNALIER AVRIL'!B:CC,80,FALSE)</f>
        <v>#N/A</v>
      </c>
      <c r="Z96" s="340" t="e">
        <f t="shared" si="2"/>
        <v>#N/A</v>
      </c>
      <c r="AA96" s="359" t="e">
        <f>VLOOKUP(D96,'SUIVI JOURNALIER AVRIL'!B:CD,81,FALSE)</f>
        <v>#N/A</v>
      </c>
      <c r="AB96" s="360" t="e">
        <f t="shared" si="3"/>
        <v>#N/A</v>
      </c>
      <c r="AC96" s="360" t="str">
        <f>VLOOKUP(B96,labo!B:D,3,FALSE)</f>
        <v>ug4</v>
      </c>
      <c r="AD96" s="360" t="s">
        <v>2629</v>
      </c>
      <c r="AF96" s="330" t="e">
        <f>VLOOKUP(D96,'SUIVI JOURNALIER AVRIL'!CK:CL,2,FALSE)</f>
        <v>#N/A</v>
      </c>
      <c r="AG96" s="360">
        <v>1</v>
      </c>
    </row>
    <row r="97" spans="1:33" s="360" customFormat="1" ht="13.5" customHeight="1">
      <c r="A97" s="324" t="s">
        <v>932</v>
      </c>
      <c r="B97" s="325" t="s">
        <v>563</v>
      </c>
      <c r="C97" s="325" t="s">
        <v>369</v>
      </c>
      <c r="D97" s="325" t="s">
        <v>564</v>
      </c>
      <c r="E97" s="324" t="s">
        <v>458</v>
      </c>
      <c r="F97" s="324" t="s">
        <v>2055</v>
      </c>
      <c r="G97" s="324" t="s">
        <v>926</v>
      </c>
      <c r="H97" s="324" t="s">
        <v>1108</v>
      </c>
      <c r="I97" s="324" t="s">
        <v>1109</v>
      </c>
      <c r="J97" s="324" t="s">
        <v>940</v>
      </c>
      <c r="K97" s="324" t="s">
        <v>890</v>
      </c>
      <c r="L97" s="324" t="s">
        <v>891</v>
      </c>
      <c r="M97" s="324" t="s">
        <v>892</v>
      </c>
      <c r="N97" s="324" t="s">
        <v>893</v>
      </c>
      <c r="O97" s="324" t="s">
        <v>894</v>
      </c>
      <c r="P97" s="324" t="s">
        <v>899</v>
      </c>
      <c r="Q97" s="324" t="s">
        <v>995</v>
      </c>
      <c r="R97" s="324" t="s">
        <v>1110</v>
      </c>
      <c r="S97" s="356" t="s">
        <v>895</v>
      </c>
      <c r="T97" s="309" t="s">
        <v>1116</v>
      </c>
      <c r="U97" s="357" t="e">
        <f>VLOOKUP(D97,'SUIVI JOURNALIER AVRIL'!CK:CM,3,FALSE)</f>
        <v>#N/A</v>
      </c>
      <c r="V97" s="358">
        <f>IF(VLOOKUP('vs mars'!D97,'point sur les patentes'!B:E,4,FALSE)="","",VLOOKUP(D97,'point sur les patentes'!B:E,4,FALSE)+VLOOKUP(D97,'point sur les patentes'!B:F,5,FALSE)+VLOOKUP('vs mars'!D97,'point sur les patentes'!B:G,6,FALSE)+VLOOKUP('vs mars'!D97,'point sur les patentes'!B:H,7,FALSE)+VLOOKUP('vs mars'!D97,'point sur les patentes'!B:I,8,FALSE)+VLOOKUP(D97,'point sur les patentes'!B:J,9,FALSE)+VLOOKUP(D97,'point sur les patentes'!B:K,10,FALSE)+VLOOKUP(D97,'point sur les patentes'!B:L,11,FALSE)+VLOOKUP(D97,'point sur les patentes'!B:M,12,FALSE)+VLOOKUP(D97,'point sur les patentes'!B:N,13,FALSE)+VLOOKUP(D97,'point sur les patentes'!B:O,14,FALSE)+VLOOKUP(D97,'point sur les patentes'!B:P,15,FALSE)+VLOOKUP(D97,'point sur les patentes'!B:Q,16,FALSE)+VLOOKUP('vs mars'!D97,'point sur les patentes'!B:Z,25,FALSE))</f>
        <v>369513</v>
      </c>
      <c r="W97" s="340" t="e">
        <f>VLOOKUP(D97,'SUIVI JOURNALIER AVRIL'!B:J,9,FALSE)</f>
        <v>#N/A</v>
      </c>
      <c r="X97" s="340" t="e">
        <f>VLOOKUP(D97,'SUIVI JOURNALIER AVRIL'!B:P,14,FALSE)+VLOOKUP('vs mars'!D97,'SUIVI JOURNALIER AVRIL'!B:V,20,FALSE)+VLOOKUP('vs mars'!D97,'SUIVI JOURNALIER AVRIL'!B:W,21,FALSE)</f>
        <v>#N/A</v>
      </c>
      <c r="Y97" s="340" t="e">
        <f>VLOOKUP(D97,'SUIVI JOURNALIER AVRIL'!B:CC,80,FALSE)</f>
        <v>#N/A</v>
      </c>
      <c r="Z97" s="340" t="e">
        <f t="shared" si="2"/>
        <v>#N/A</v>
      </c>
      <c r="AA97" s="359" t="e">
        <f>VLOOKUP(D97,'SUIVI JOURNALIER AVRIL'!B:CD,81,FALSE)</f>
        <v>#N/A</v>
      </c>
      <c r="AB97" s="360" t="e">
        <f t="shared" si="3"/>
        <v>#N/A</v>
      </c>
      <c r="AC97" s="360" t="str">
        <f>VLOOKUP(B97,labo!B:D,3,FALSE)</f>
        <v>ug4</v>
      </c>
      <c r="AD97" s="360" t="s">
        <v>2629</v>
      </c>
      <c r="AF97" s="330" t="e">
        <f>VLOOKUP(D97,'SUIVI JOURNALIER AVRIL'!CK:CL,2,FALSE)</f>
        <v>#N/A</v>
      </c>
      <c r="AG97" s="360">
        <v>1</v>
      </c>
    </row>
    <row r="98" spans="1:33" s="360" customFormat="1" ht="13.5" customHeight="1">
      <c r="A98" s="324" t="s">
        <v>1704</v>
      </c>
      <c r="B98" s="325" t="s">
        <v>1466</v>
      </c>
      <c r="C98" s="325" t="s">
        <v>2055</v>
      </c>
      <c r="D98" s="325" t="s">
        <v>1467</v>
      </c>
      <c r="E98" s="324" t="s">
        <v>458</v>
      </c>
      <c r="F98" s="324" t="s">
        <v>2055</v>
      </c>
      <c r="G98" s="324" t="s">
        <v>926</v>
      </c>
      <c r="H98" s="324" t="s">
        <v>1468</v>
      </c>
      <c r="I98" s="324" t="s">
        <v>1469</v>
      </c>
      <c r="J98" s="324" t="s">
        <v>940</v>
      </c>
      <c r="K98" s="324" t="s">
        <v>890</v>
      </c>
      <c r="L98" s="324" t="s">
        <v>891</v>
      </c>
      <c r="M98" s="324" t="s">
        <v>892</v>
      </c>
      <c r="N98" s="324" t="s">
        <v>893</v>
      </c>
      <c r="O98" s="324" t="s">
        <v>894</v>
      </c>
      <c r="P98" s="324" t="s">
        <v>899</v>
      </c>
      <c r="Q98" s="324" t="s">
        <v>941</v>
      </c>
      <c r="R98" s="324" t="s">
        <v>1470</v>
      </c>
      <c r="S98" s="356" t="s">
        <v>895</v>
      </c>
      <c r="T98" s="309" t="s">
        <v>1697</v>
      </c>
      <c r="U98" s="357" t="e">
        <f>VLOOKUP(D98,'SUIVI JOURNALIER AVRIL'!CK:CM,3,FALSE)</f>
        <v>#N/A</v>
      </c>
      <c r="V98" s="358" t="e">
        <f>IF(VLOOKUP('vs mars'!D98,'point sur les patentes'!B:E,4,FALSE)="","",VLOOKUP(D98,'point sur les patentes'!B:E,4,FALSE)+VLOOKUP(D98,'point sur les patentes'!B:F,5,FALSE)+VLOOKUP('vs mars'!D98,'point sur les patentes'!B:G,6,FALSE)+VLOOKUP('vs mars'!D98,'point sur les patentes'!B:H,7,FALSE)+VLOOKUP('vs mars'!D98,'point sur les patentes'!B:I,8,FALSE)+VLOOKUP(D98,'point sur les patentes'!B:J,9,FALSE)+VLOOKUP(D98,'point sur les patentes'!B:K,10,FALSE)+VLOOKUP(D98,'point sur les patentes'!B:L,11,FALSE)+VLOOKUP(D98,'point sur les patentes'!B:M,12,FALSE)+VLOOKUP(D98,'point sur les patentes'!B:N,13,FALSE)+VLOOKUP(D98,'point sur les patentes'!B:O,14,FALSE)+VLOOKUP(D98,'point sur les patentes'!B:P,15,FALSE)+VLOOKUP(D98,'point sur les patentes'!B:Q,16,FALSE)+VLOOKUP('vs mars'!D98,'point sur les patentes'!B:Z,25,FALSE))</f>
        <v>#N/A</v>
      </c>
      <c r="W98" s="340" t="e">
        <f>VLOOKUP(D98,'SUIVI JOURNALIER AVRIL'!B:J,9,FALSE)</f>
        <v>#N/A</v>
      </c>
      <c r="X98" s="340" t="e">
        <f>VLOOKUP(D98,'SUIVI JOURNALIER AVRIL'!B:P,14,FALSE)+VLOOKUP('vs mars'!D98,'SUIVI JOURNALIER AVRIL'!B:V,20,FALSE)+VLOOKUP('vs mars'!D98,'SUIVI JOURNALIER AVRIL'!B:W,21,FALSE)</f>
        <v>#N/A</v>
      </c>
      <c r="Y98" s="340" t="e">
        <f>VLOOKUP(D98,'SUIVI JOURNALIER AVRIL'!B:CC,80,FALSE)</f>
        <v>#N/A</v>
      </c>
      <c r="Z98" s="340" t="e">
        <f t="shared" si="2"/>
        <v>#N/A</v>
      </c>
      <c r="AA98" s="359" t="e">
        <f>VLOOKUP(D98,'SUIVI JOURNALIER AVRIL'!B:CD,81,FALSE)</f>
        <v>#N/A</v>
      </c>
      <c r="AB98" s="360" t="e">
        <f t="shared" si="3"/>
        <v>#N/A</v>
      </c>
      <c r="AC98" s="360" t="str">
        <f>VLOOKUP(B98,labo!B:D,3,FALSE)</f>
        <v>ug4</v>
      </c>
      <c r="AD98" s="360" t="s">
        <v>2629</v>
      </c>
      <c r="AF98" s="330" t="e">
        <f>VLOOKUP(D98,'SUIVI JOURNALIER AVRIL'!CK:CL,2,FALSE)</f>
        <v>#N/A</v>
      </c>
      <c r="AG98" s="360">
        <v>1</v>
      </c>
    </row>
    <row r="99" spans="1:33" s="360" customFormat="1" ht="13.5" customHeight="1">
      <c r="A99" s="324" t="s">
        <v>1705</v>
      </c>
      <c r="B99" s="325" t="s">
        <v>2027</v>
      </c>
      <c r="C99" s="325" t="s">
        <v>2055</v>
      </c>
      <c r="D99" s="325" t="s">
        <v>2054</v>
      </c>
      <c r="E99" s="324" t="s">
        <v>416</v>
      </c>
      <c r="F99" s="324" t="s">
        <v>2055</v>
      </c>
      <c r="G99" s="324" t="s">
        <v>887</v>
      </c>
      <c r="H99" s="324" t="s">
        <v>897</v>
      </c>
      <c r="I99" s="324" t="s">
        <v>2056</v>
      </c>
      <c r="J99" s="324" t="s">
        <v>2057</v>
      </c>
      <c r="K99" s="324" t="s">
        <v>890</v>
      </c>
      <c r="L99" s="324" t="s">
        <v>891</v>
      </c>
      <c r="M99" s="324" t="s">
        <v>892</v>
      </c>
      <c r="N99" s="324" t="s">
        <v>905</v>
      </c>
      <c r="O99" s="324" t="s">
        <v>1045</v>
      </c>
      <c r="P99" s="324" t="s">
        <v>1045</v>
      </c>
      <c r="Q99" s="324" t="s">
        <v>956</v>
      </c>
      <c r="R99" s="324" t="s">
        <v>2058</v>
      </c>
      <c r="S99" s="356" t="s">
        <v>895</v>
      </c>
      <c r="T99" s="309" t="s">
        <v>977</v>
      </c>
      <c r="U99" s="357" t="e">
        <f>VLOOKUP(D99,'SUIVI JOURNALIER AVRIL'!CK:CM,3,FALSE)</f>
        <v>#N/A</v>
      </c>
      <c r="V99" s="358" t="e">
        <f>IF(VLOOKUP('vs mars'!D99,'point sur les patentes'!B:E,4,FALSE)="","",VLOOKUP(D99,'point sur les patentes'!B:E,4,FALSE)+VLOOKUP(D99,'point sur les patentes'!B:F,5,FALSE)+VLOOKUP('vs mars'!D99,'point sur les patentes'!B:G,6,FALSE)+VLOOKUP('vs mars'!D99,'point sur les patentes'!B:H,7,FALSE)+VLOOKUP('vs mars'!D99,'point sur les patentes'!B:I,8,FALSE)+VLOOKUP(D99,'point sur les patentes'!B:J,9,FALSE)+VLOOKUP(D99,'point sur les patentes'!B:K,10,FALSE)+VLOOKUP(D99,'point sur les patentes'!B:L,11,FALSE)+VLOOKUP(D99,'point sur les patentes'!B:M,12,FALSE)+VLOOKUP(D99,'point sur les patentes'!B:N,13,FALSE)+VLOOKUP(D99,'point sur les patentes'!B:O,14,FALSE)+VLOOKUP(D99,'point sur les patentes'!B:P,15,FALSE)+VLOOKUP(D99,'point sur les patentes'!B:Q,16,FALSE)+VLOOKUP('vs mars'!D99,'point sur les patentes'!B:Z,25,FALSE))</f>
        <v>#N/A</v>
      </c>
      <c r="W99" s="340" t="e">
        <f>VLOOKUP(D99,'SUIVI JOURNALIER AVRIL'!B:J,9,FALSE)</f>
        <v>#N/A</v>
      </c>
      <c r="X99" s="340" t="e">
        <f>VLOOKUP(D99,'SUIVI JOURNALIER AVRIL'!B:P,14,FALSE)+VLOOKUP('vs mars'!D99,'SUIVI JOURNALIER AVRIL'!B:V,20,FALSE)+VLOOKUP('vs mars'!D99,'SUIVI JOURNALIER AVRIL'!B:W,21,FALSE)</f>
        <v>#N/A</v>
      </c>
      <c r="Y99" s="340" t="e">
        <f>VLOOKUP(D99,'SUIVI JOURNALIER AVRIL'!B:CC,80,FALSE)</f>
        <v>#N/A</v>
      </c>
      <c r="Z99" s="340" t="e">
        <f t="shared" si="2"/>
        <v>#N/A</v>
      </c>
      <c r="AA99" s="359" t="e">
        <f>VLOOKUP(D99,'SUIVI JOURNALIER AVRIL'!B:CD,81,FALSE)</f>
        <v>#N/A</v>
      </c>
      <c r="AB99" s="360" t="e">
        <f t="shared" si="3"/>
        <v>#N/A</v>
      </c>
      <c r="AC99" s="360" t="str">
        <f>VLOOKUP(B99,labo!B:D,3,FALSE)</f>
        <v>ug5</v>
      </c>
      <c r="AD99" s="360" t="s">
        <v>2629</v>
      </c>
      <c r="AF99" s="330" t="e">
        <f>VLOOKUP(D99,'SUIVI JOURNALIER AVRIL'!CK:CL,2,FALSE)</f>
        <v>#N/A</v>
      </c>
      <c r="AG99" s="360">
        <v>1</v>
      </c>
    </row>
    <row r="100" spans="1:33" s="360" customFormat="1" ht="13.5" customHeight="1">
      <c r="A100" s="324" t="s">
        <v>1706</v>
      </c>
      <c r="B100" s="325" t="s">
        <v>2059</v>
      </c>
      <c r="C100" s="325" t="s">
        <v>2055</v>
      </c>
      <c r="D100" s="325" t="s">
        <v>2060</v>
      </c>
      <c r="E100" s="324" t="s">
        <v>432</v>
      </c>
      <c r="F100" s="324" t="s">
        <v>2055</v>
      </c>
      <c r="G100" s="324" t="s">
        <v>926</v>
      </c>
      <c r="H100" s="324" t="s">
        <v>897</v>
      </c>
      <c r="I100" s="324" t="s">
        <v>2208</v>
      </c>
      <c r="J100" s="324" t="s">
        <v>940</v>
      </c>
      <c r="K100" s="324" t="s">
        <v>890</v>
      </c>
      <c r="L100" s="324" t="s">
        <v>891</v>
      </c>
      <c r="M100" s="324" t="s">
        <v>892</v>
      </c>
      <c r="N100" s="324" t="s">
        <v>893</v>
      </c>
      <c r="O100" s="324" t="s">
        <v>894</v>
      </c>
      <c r="P100" s="324" t="s">
        <v>899</v>
      </c>
      <c r="Q100" s="324" t="s">
        <v>1021</v>
      </c>
      <c r="R100" s="324" t="s">
        <v>2061</v>
      </c>
      <c r="S100" s="356" t="s">
        <v>895</v>
      </c>
      <c r="T100" s="309" t="s">
        <v>953</v>
      </c>
      <c r="U100" s="357" t="e">
        <f>VLOOKUP(D100,'SUIVI JOURNALIER AVRIL'!CK:CM,3,FALSE)</f>
        <v>#N/A</v>
      </c>
      <c r="V100" s="358" t="e">
        <f>IF(VLOOKUP('vs mars'!D100,'point sur les patentes'!B:E,4,FALSE)="","",VLOOKUP(D100,'point sur les patentes'!B:E,4,FALSE)+VLOOKUP(D100,'point sur les patentes'!B:F,5,FALSE)+VLOOKUP('vs mars'!D100,'point sur les patentes'!B:G,6,FALSE)+VLOOKUP('vs mars'!D100,'point sur les patentes'!B:H,7,FALSE)+VLOOKUP('vs mars'!D100,'point sur les patentes'!B:I,8,FALSE)+VLOOKUP(D100,'point sur les patentes'!B:J,9,FALSE)+VLOOKUP(D100,'point sur les patentes'!B:K,10,FALSE)+VLOOKUP(D100,'point sur les patentes'!B:L,11,FALSE)+VLOOKUP(D100,'point sur les patentes'!B:M,12,FALSE)+VLOOKUP(D100,'point sur les patentes'!B:N,13,FALSE)+VLOOKUP(D100,'point sur les patentes'!B:O,14,FALSE)+VLOOKUP(D100,'point sur les patentes'!B:P,15,FALSE)+VLOOKUP(D100,'point sur les patentes'!B:Q,16,FALSE)+VLOOKUP('vs mars'!D100,'point sur les patentes'!B:Z,25,FALSE))</f>
        <v>#N/A</v>
      </c>
      <c r="W100" s="340" t="e">
        <f>VLOOKUP(D100,'SUIVI JOURNALIER AVRIL'!B:J,9,FALSE)</f>
        <v>#N/A</v>
      </c>
      <c r="X100" s="340" t="e">
        <f>VLOOKUP(D100,'SUIVI JOURNALIER AVRIL'!B:P,14,FALSE)+VLOOKUP('vs mars'!D100,'SUIVI JOURNALIER AVRIL'!B:V,20,FALSE)+VLOOKUP('vs mars'!D100,'SUIVI JOURNALIER AVRIL'!B:W,21,FALSE)</f>
        <v>#N/A</v>
      </c>
      <c r="Y100" s="340" t="e">
        <f>VLOOKUP(D100,'SUIVI JOURNALIER AVRIL'!B:CC,80,FALSE)</f>
        <v>#N/A</v>
      </c>
      <c r="Z100" s="340" t="e">
        <f t="shared" si="2"/>
        <v>#N/A</v>
      </c>
      <c r="AA100" s="359" t="e">
        <f>VLOOKUP(D100,'SUIVI JOURNALIER AVRIL'!B:CD,81,FALSE)</f>
        <v>#N/A</v>
      </c>
      <c r="AB100" s="360" t="e">
        <f t="shared" si="3"/>
        <v>#N/A</v>
      </c>
      <c r="AC100" s="360" t="str">
        <f>VLOOKUP(B100,labo!B:D,3,FALSE)</f>
        <v>ug2</v>
      </c>
      <c r="AD100" s="360" t="s">
        <v>2629</v>
      </c>
      <c r="AF100" s="330" t="e">
        <f>VLOOKUP(D100,'SUIVI JOURNALIER AVRIL'!CK:CL,2,FALSE)</f>
        <v>#N/A</v>
      </c>
      <c r="AG100" s="360">
        <v>1</v>
      </c>
    </row>
    <row r="101" spans="1:33" s="360" customFormat="1" ht="13.5" customHeight="1">
      <c r="A101" s="324" t="s">
        <v>1707</v>
      </c>
      <c r="B101" s="325" t="s">
        <v>279</v>
      </c>
      <c r="C101" s="325" t="s">
        <v>2055</v>
      </c>
      <c r="D101" s="325" t="s">
        <v>565</v>
      </c>
      <c r="E101" s="324" t="s">
        <v>458</v>
      </c>
      <c r="F101" s="324" t="s">
        <v>2055</v>
      </c>
      <c r="G101" s="324" t="s">
        <v>926</v>
      </c>
      <c r="H101" s="324" t="s">
        <v>1111</v>
      </c>
      <c r="I101" s="324" t="s">
        <v>1112</v>
      </c>
      <c r="J101" s="324" t="s">
        <v>940</v>
      </c>
      <c r="K101" s="324" t="s">
        <v>890</v>
      </c>
      <c r="L101" s="324" t="s">
        <v>891</v>
      </c>
      <c r="M101" s="324" t="s">
        <v>892</v>
      </c>
      <c r="N101" s="324" t="s">
        <v>893</v>
      </c>
      <c r="O101" s="324" t="s">
        <v>919</v>
      </c>
      <c r="P101" s="324" t="s">
        <v>919</v>
      </c>
      <c r="Q101" s="324" t="s">
        <v>1113</v>
      </c>
      <c r="R101" s="324" t="s">
        <v>1114</v>
      </c>
      <c r="S101" s="356" t="s">
        <v>895</v>
      </c>
      <c r="T101" s="309" t="s">
        <v>1089</v>
      </c>
      <c r="U101" s="357" t="e">
        <f>VLOOKUP(D101,'SUIVI JOURNALIER AVRIL'!CK:CM,3,FALSE)</f>
        <v>#N/A</v>
      </c>
      <c r="V101" s="358" t="e">
        <f>IF(VLOOKUP('vs mars'!D101,'point sur les patentes'!B:E,4,FALSE)="","",VLOOKUP(D101,'point sur les patentes'!B:E,4,FALSE)+VLOOKUP(D101,'point sur les patentes'!B:F,5,FALSE)+VLOOKUP('vs mars'!D101,'point sur les patentes'!B:G,6,FALSE)+VLOOKUP('vs mars'!D101,'point sur les patentes'!B:H,7,FALSE)+VLOOKUP('vs mars'!D101,'point sur les patentes'!B:I,8,FALSE)+VLOOKUP(D101,'point sur les patentes'!B:J,9,FALSE)+VLOOKUP(D101,'point sur les patentes'!B:K,10,FALSE)+VLOOKUP(D101,'point sur les patentes'!B:L,11,FALSE)+VLOOKUP(D101,'point sur les patentes'!B:M,12,FALSE)+VLOOKUP(D101,'point sur les patentes'!B:N,13,FALSE)+VLOOKUP(D101,'point sur les patentes'!B:O,14,FALSE)+VLOOKUP(D101,'point sur les patentes'!B:P,15,FALSE)+VLOOKUP(D101,'point sur les patentes'!B:Q,16,FALSE)+VLOOKUP('vs mars'!D101,'point sur les patentes'!B:Z,25,FALSE))</f>
        <v>#N/A</v>
      </c>
      <c r="W101" s="340" t="e">
        <f>VLOOKUP(D101,'SUIVI JOURNALIER AVRIL'!B:J,9,FALSE)</f>
        <v>#N/A</v>
      </c>
      <c r="X101" s="340" t="e">
        <f>VLOOKUP(D101,'SUIVI JOURNALIER AVRIL'!B:P,14,FALSE)+VLOOKUP('vs mars'!D101,'SUIVI JOURNALIER AVRIL'!B:V,20,FALSE)+VLOOKUP('vs mars'!D101,'SUIVI JOURNALIER AVRIL'!B:W,21,FALSE)</f>
        <v>#N/A</v>
      </c>
      <c r="Y101" s="340" t="e">
        <f>VLOOKUP(D101,'SUIVI JOURNALIER AVRIL'!B:CC,80,FALSE)</f>
        <v>#N/A</v>
      </c>
      <c r="Z101" s="340" t="e">
        <f t="shared" si="2"/>
        <v>#N/A</v>
      </c>
      <c r="AA101" s="359" t="e">
        <f>VLOOKUP(D101,'SUIVI JOURNALIER AVRIL'!B:CD,81,FALSE)</f>
        <v>#N/A</v>
      </c>
      <c r="AB101" s="360" t="e">
        <f t="shared" si="3"/>
        <v>#N/A</v>
      </c>
      <c r="AC101" s="360" t="str">
        <f>VLOOKUP(B101,labo!B:D,3,FALSE)</f>
        <v>ug4</v>
      </c>
      <c r="AD101" s="360" t="s">
        <v>2629</v>
      </c>
      <c r="AF101" s="330" t="e">
        <f>VLOOKUP(D101,'SUIVI JOURNALIER AVRIL'!CK:CL,2,FALSE)</f>
        <v>#N/A</v>
      </c>
      <c r="AG101" s="360">
        <v>1</v>
      </c>
    </row>
    <row r="102" spans="1:33" s="360" customFormat="1" ht="13.5" customHeight="1">
      <c r="A102" s="324" t="s">
        <v>1708</v>
      </c>
      <c r="B102" s="325" t="s">
        <v>2325</v>
      </c>
      <c r="C102" s="325" t="s">
        <v>2451</v>
      </c>
      <c r="D102" s="325" t="s">
        <v>2452</v>
      </c>
      <c r="E102" s="324" t="s">
        <v>432</v>
      </c>
      <c r="F102" s="324" t="s">
        <v>2055</v>
      </c>
      <c r="G102" s="324" t="s">
        <v>887</v>
      </c>
      <c r="H102" s="324" t="s">
        <v>2055</v>
      </c>
      <c r="I102" s="324" t="s">
        <v>2453</v>
      </c>
      <c r="J102" s="324" t="s">
        <v>2055</v>
      </c>
      <c r="K102" s="324" t="s">
        <v>2405</v>
      </c>
      <c r="L102" s="324" t="s">
        <v>891</v>
      </c>
      <c r="M102" s="324" t="s">
        <v>892</v>
      </c>
      <c r="N102" s="324" t="s">
        <v>893</v>
      </c>
      <c r="O102" s="324" t="s">
        <v>894</v>
      </c>
      <c r="P102" s="324" t="s">
        <v>919</v>
      </c>
      <c r="Q102" s="324" t="s">
        <v>2055</v>
      </c>
      <c r="R102" s="324" t="s">
        <v>2055</v>
      </c>
      <c r="S102" s="356" t="s">
        <v>895</v>
      </c>
      <c r="T102" s="309" t="s">
        <v>965</v>
      </c>
      <c r="U102" s="357">
        <f>VLOOKUP(D102,'SUIVI JOURNALIER AVRIL'!CK:CM,3,FALSE)</f>
        <v>0</v>
      </c>
      <c r="V102" s="358" t="e">
        <f>IF(VLOOKUP('vs mars'!D102,'point sur les patentes'!B:E,4,FALSE)="","",VLOOKUP(D102,'point sur les patentes'!B:E,4,FALSE)+VLOOKUP(D102,'point sur les patentes'!B:F,5,FALSE)+VLOOKUP('vs mars'!D102,'point sur les patentes'!B:G,6,FALSE)+VLOOKUP('vs mars'!D102,'point sur les patentes'!B:H,7,FALSE)+VLOOKUP('vs mars'!D102,'point sur les patentes'!B:I,8,FALSE)+VLOOKUP(D102,'point sur les patentes'!B:J,9,FALSE)+VLOOKUP(D102,'point sur les patentes'!B:K,10,FALSE)+VLOOKUP(D102,'point sur les patentes'!B:L,11,FALSE)+VLOOKUP(D102,'point sur les patentes'!B:M,12,FALSE)+VLOOKUP(D102,'point sur les patentes'!B:N,13,FALSE)+VLOOKUP(D102,'point sur les patentes'!B:O,14,FALSE)+VLOOKUP(D102,'point sur les patentes'!B:P,15,FALSE)+VLOOKUP(D102,'point sur les patentes'!B:Q,16,FALSE)+VLOOKUP('vs mars'!D102,'point sur les patentes'!B:Z,25,FALSE))</f>
        <v>#N/A</v>
      </c>
      <c r="W102" s="340">
        <f>VLOOKUP(D102,'SUIVI JOURNALIER AVRIL'!B:J,9,FALSE)</f>
        <v>338885</v>
      </c>
      <c r="X102" s="340">
        <f>VLOOKUP(D102,'SUIVI JOURNALIER AVRIL'!B:P,14,FALSE)+VLOOKUP('vs mars'!D102,'SUIVI JOURNALIER AVRIL'!B:V,20,FALSE)+VLOOKUP('vs mars'!D102,'SUIVI JOURNALIER AVRIL'!B:W,21,FALSE)</f>
        <v>197443</v>
      </c>
      <c r="Y102" s="340">
        <f>VLOOKUP(D102,'SUIVI JOURNALIER AVRIL'!B:CC,80,FALSE)</f>
        <v>82266.545454545441</v>
      </c>
      <c r="Z102" s="340">
        <f t="shared" si="2"/>
        <v>618594.54545454541</v>
      </c>
      <c r="AA102" s="359">
        <f>VLOOKUP(D102,'SUIVI JOURNALIER AVRIL'!B:CD,81,FALSE)</f>
        <v>618594.54545454541</v>
      </c>
      <c r="AB102" s="360" t="str">
        <f t="shared" si="3"/>
        <v>ok</v>
      </c>
      <c r="AC102" s="360" t="str">
        <f>VLOOKUP(B102,labo!B:D,3,FALSE)</f>
        <v>ug2</v>
      </c>
      <c r="AD102" s="360" t="s">
        <v>2630</v>
      </c>
      <c r="AF102" s="330">
        <f>VLOOKUP(D102,'SUIVI JOURNALIER AVRIL'!CK:CL,2,FALSE)</f>
        <v>0</v>
      </c>
      <c r="AG102" s="360">
        <v>1</v>
      </c>
    </row>
    <row r="103" spans="1:33" s="360" customFormat="1" ht="13.5" customHeight="1">
      <c r="A103" s="324" t="s">
        <v>1709</v>
      </c>
      <c r="B103" s="325" t="s">
        <v>566</v>
      </c>
      <c r="C103" s="325" t="s">
        <v>567</v>
      </c>
      <c r="D103" s="325" t="s">
        <v>568</v>
      </c>
      <c r="E103" s="324" t="s">
        <v>2062</v>
      </c>
      <c r="F103" s="324" t="s">
        <v>2055</v>
      </c>
      <c r="G103" s="324" t="s">
        <v>926</v>
      </c>
      <c r="H103" s="324" t="s">
        <v>1000</v>
      </c>
      <c r="I103" s="324" t="s">
        <v>2209</v>
      </c>
      <c r="J103" s="324" t="s">
        <v>889</v>
      </c>
      <c r="K103" s="324" t="s">
        <v>890</v>
      </c>
      <c r="L103" s="324" t="s">
        <v>891</v>
      </c>
      <c r="M103" s="324" t="s">
        <v>892</v>
      </c>
      <c r="N103" s="324" t="s">
        <v>893</v>
      </c>
      <c r="O103" s="324" t="s">
        <v>894</v>
      </c>
      <c r="P103" s="324" t="s">
        <v>935</v>
      </c>
      <c r="Q103" s="324" t="s">
        <v>1091</v>
      </c>
      <c r="R103" s="324" t="s">
        <v>1115</v>
      </c>
      <c r="S103" s="356" t="s">
        <v>895</v>
      </c>
      <c r="T103" s="309" t="s">
        <v>1006</v>
      </c>
      <c r="U103" s="357">
        <f>VLOOKUP(D103,'SUIVI JOURNALIER AVRIL'!CK:CM,3,FALSE)</f>
        <v>0</v>
      </c>
      <c r="V103" s="358" t="str">
        <f>IF(VLOOKUP('vs mars'!D103,'point sur les patentes'!B:E,4,FALSE)="","",VLOOKUP(D103,'point sur les patentes'!B:E,4,FALSE)+VLOOKUP(D103,'point sur les patentes'!B:F,5,FALSE)+VLOOKUP('vs mars'!D103,'point sur les patentes'!B:G,6,FALSE)+VLOOKUP('vs mars'!D103,'point sur les patentes'!B:H,7,FALSE)+VLOOKUP('vs mars'!D103,'point sur les patentes'!B:I,8,FALSE)+VLOOKUP(D103,'point sur les patentes'!B:J,9,FALSE)+VLOOKUP(D103,'point sur les patentes'!B:K,10,FALSE)+VLOOKUP(D103,'point sur les patentes'!B:L,11,FALSE)+VLOOKUP(D103,'point sur les patentes'!B:M,12,FALSE)+VLOOKUP(D103,'point sur les patentes'!B:N,13,FALSE)+VLOOKUP(D103,'point sur les patentes'!B:O,14,FALSE)+VLOOKUP(D103,'point sur les patentes'!B:P,15,FALSE)+VLOOKUP(D103,'point sur les patentes'!B:Q,16,FALSE)+VLOOKUP('vs mars'!D103,'point sur les patentes'!B:Z,25,FALSE))</f>
        <v/>
      </c>
      <c r="W103" s="340">
        <f>VLOOKUP(D103,'SUIVI JOURNALIER AVRIL'!B:J,9,FALSE)</f>
        <v>143673</v>
      </c>
      <c r="X103" s="340">
        <f>VLOOKUP(D103,'SUIVI JOURNALIER AVRIL'!B:P,14,FALSE)+VLOOKUP('vs mars'!D103,'SUIVI JOURNALIER AVRIL'!B:V,20,FALSE)+VLOOKUP('vs mars'!D103,'SUIVI JOURNALIER AVRIL'!B:W,21,FALSE)</f>
        <v>28998</v>
      </c>
      <c r="Y103" s="340">
        <f>VLOOKUP(D103,'SUIVI JOURNALIER AVRIL'!B:CC,80,FALSE)</f>
        <v>89583.818181818177</v>
      </c>
      <c r="Z103" s="340">
        <f t="shared" si="2"/>
        <v>262254.81818181818</v>
      </c>
      <c r="AA103" s="359">
        <f>VLOOKUP(D103,'SUIVI JOURNALIER AVRIL'!B:CD,81,FALSE)</f>
        <v>262254.81818181818</v>
      </c>
      <c r="AB103" s="360" t="str">
        <f t="shared" si="3"/>
        <v>ok</v>
      </c>
      <c r="AC103" s="360" t="str">
        <f>VLOOKUP(B103,labo!B:D,3,FALSE)</f>
        <v>ug2</v>
      </c>
      <c r="AD103" s="360" t="s">
        <v>2629</v>
      </c>
      <c r="AF103" s="330">
        <f>VLOOKUP(D103,'SUIVI JOURNALIER AVRIL'!CK:CL,2,FALSE)</f>
        <v>0</v>
      </c>
      <c r="AG103" s="360">
        <v>1</v>
      </c>
    </row>
    <row r="104" spans="1:33" s="360" customFormat="1" ht="13.5" customHeight="1">
      <c r="A104" s="324" t="s">
        <v>1710</v>
      </c>
      <c r="B104" s="325" t="s">
        <v>1471</v>
      </c>
      <c r="C104" s="325" t="s">
        <v>1472</v>
      </c>
      <c r="D104" s="325" t="s">
        <v>1473</v>
      </c>
      <c r="E104" s="324" t="s">
        <v>1474</v>
      </c>
      <c r="F104" s="324" t="s">
        <v>2055</v>
      </c>
      <c r="G104" s="324" t="s">
        <v>926</v>
      </c>
      <c r="H104" s="324" t="s">
        <v>897</v>
      </c>
      <c r="I104" s="324" t="s">
        <v>1475</v>
      </c>
      <c r="J104" s="324" t="s">
        <v>940</v>
      </c>
      <c r="K104" s="324" t="s">
        <v>890</v>
      </c>
      <c r="L104" s="324" t="s">
        <v>891</v>
      </c>
      <c r="M104" s="324" t="s">
        <v>892</v>
      </c>
      <c r="N104" s="324" t="s">
        <v>893</v>
      </c>
      <c r="O104" s="324" t="s">
        <v>894</v>
      </c>
      <c r="P104" s="324" t="s">
        <v>894</v>
      </c>
      <c r="Q104" s="324" t="s">
        <v>1476</v>
      </c>
      <c r="R104" s="324" t="s">
        <v>1476</v>
      </c>
      <c r="S104" s="356" t="s">
        <v>895</v>
      </c>
      <c r="T104" s="309" t="s">
        <v>1116</v>
      </c>
      <c r="U104" s="357" t="e">
        <f>VLOOKUP(D104,'SUIVI JOURNALIER AVRIL'!CK:CM,3,FALSE)</f>
        <v>#N/A</v>
      </c>
      <c r="V104" s="358" t="e">
        <f>IF(VLOOKUP('vs mars'!D104,'point sur les patentes'!B:E,4,FALSE)="","",VLOOKUP(D104,'point sur les patentes'!B:E,4,FALSE)+VLOOKUP(D104,'point sur les patentes'!B:F,5,FALSE)+VLOOKUP('vs mars'!D104,'point sur les patentes'!B:G,6,FALSE)+VLOOKUP('vs mars'!D104,'point sur les patentes'!B:H,7,FALSE)+VLOOKUP('vs mars'!D104,'point sur les patentes'!B:I,8,FALSE)+VLOOKUP(D104,'point sur les patentes'!B:J,9,FALSE)+VLOOKUP(D104,'point sur les patentes'!B:K,10,FALSE)+VLOOKUP(D104,'point sur les patentes'!B:L,11,FALSE)+VLOOKUP(D104,'point sur les patentes'!B:M,12,FALSE)+VLOOKUP(D104,'point sur les patentes'!B:N,13,FALSE)+VLOOKUP(D104,'point sur les patentes'!B:O,14,FALSE)+VLOOKUP(D104,'point sur les patentes'!B:P,15,FALSE)+VLOOKUP(D104,'point sur les patentes'!B:Q,16,FALSE)+VLOOKUP('vs mars'!D104,'point sur les patentes'!B:Z,25,FALSE))</f>
        <v>#N/A</v>
      </c>
      <c r="W104" s="340" t="e">
        <f>VLOOKUP(D104,'SUIVI JOURNALIER AVRIL'!B:J,9,FALSE)</f>
        <v>#N/A</v>
      </c>
      <c r="X104" s="340" t="e">
        <f>VLOOKUP(D104,'SUIVI JOURNALIER AVRIL'!B:P,14,FALSE)+VLOOKUP('vs mars'!D104,'SUIVI JOURNALIER AVRIL'!B:V,20,FALSE)+VLOOKUP('vs mars'!D104,'SUIVI JOURNALIER AVRIL'!B:W,21,FALSE)</f>
        <v>#N/A</v>
      </c>
      <c r="Y104" s="340" t="e">
        <f>VLOOKUP(D104,'SUIVI JOURNALIER AVRIL'!B:CC,80,FALSE)</f>
        <v>#N/A</v>
      </c>
      <c r="Z104" s="340" t="e">
        <f t="shared" si="2"/>
        <v>#N/A</v>
      </c>
      <c r="AA104" s="359" t="e">
        <f>VLOOKUP(D104,'SUIVI JOURNALIER AVRIL'!B:CD,81,FALSE)</f>
        <v>#N/A</v>
      </c>
      <c r="AB104" s="360" t="e">
        <f t="shared" si="3"/>
        <v>#N/A</v>
      </c>
      <c r="AC104" s="360" t="str">
        <f>VLOOKUP(B104,labo!B:D,3,FALSE)</f>
        <v>ug1</v>
      </c>
      <c r="AD104" s="360" t="s">
        <v>2629</v>
      </c>
      <c r="AF104" s="330" t="e">
        <f>VLOOKUP(D104,'SUIVI JOURNALIER AVRIL'!CK:CL,2,FALSE)</f>
        <v>#N/A</v>
      </c>
      <c r="AG104" s="360">
        <v>1</v>
      </c>
    </row>
    <row r="105" spans="1:33" s="360" customFormat="1" ht="13.5" customHeight="1">
      <c r="A105" s="324" t="s">
        <v>1296</v>
      </c>
      <c r="B105" s="325" t="s">
        <v>2130</v>
      </c>
      <c r="C105" s="325" t="s">
        <v>2055</v>
      </c>
      <c r="D105" s="325" t="s">
        <v>2131</v>
      </c>
      <c r="E105" s="324" t="s">
        <v>2135</v>
      </c>
      <c r="F105" s="324" t="s">
        <v>2055</v>
      </c>
      <c r="G105" s="324" t="s">
        <v>926</v>
      </c>
      <c r="H105" s="324" t="s">
        <v>897</v>
      </c>
      <c r="I105" s="324" t="s">
        <v>2136</v>
      </c>
      <c r="J105" s="324" t="s">
        <v>940</v>
      </c>
      <c r="K105" s="324" t="s">
        <v>890</v>
      </c>
      <c r="L105" s="324" t="s">
        <v>891</v>
      </c>
      <c r="M105" s="324" t="s">
        <v>892</v>
      </c>
      <c r="N105" s="324" t="s">
        <v>954</v>
      </c>
      <c r="O105" s="324" t="s">
        <v>955</v>
      </c>
      <c r="P105" s="324" t="s">
        <v>955</v>
      </c>
      <c r="Q105" s="324" t="s">
        <v>956</v>
      </c>
      <c r="R105" s="324" t="s">
        <v>956</v>
      </c>
      <c r="S105" s="356" t="s">
        <v>895</v>
      </c>
      <c r="T105" s="309" t="s">
        <v>1006</v>
      </c>
      <c r="U105" s="357">
        <f>VLOOKUP(D105,'SUIVI JOURNALIER AVRIL'!CK:CM,3,FALSE)</f>
        <v>0</v>
      </c>
      <c r="V105" s="358" t="e">
        <f>IF(VLOOKUP('vs mars'!D105,'point sur les patentes'!B:E,4,FALSE)="","",VLOOKUP(D105,'point sur les patentes'!B:E,4,FALSE)+VLOOKUP(D105,'point sur les patentes'!B:F,5,FALSE)+VLOOKUP('vs mars'!D105,'point sur les patentes'!B:G,6,FALSE)+VLOOKUP('vs mars'!D105,'point sur les patentes'!B:H,7,FALSE)+VLOOKUP('vs mars'!D105,'point sur les patentes'!B:I,8,FALSE)+VLOOKUP(D105,'point sur les patentes'!B:J,9,FALSE)+VLOOKUP(D105,'point sur les patentes'!B:K,10,FALSE)+VLOOKUP(D105,'point sur les patentes'!B:L,11,FALSE)+VLOOKUP(D105,'point sur les patentes'!B:M,12,FALSE)+VLOOKUP(D105,'point sur les patentes'!B:N,13,FALSE)+VLOOKUP(D105,'point sur les patentes'!B:O,14,FALSE)+VLOOKUP(D105,'point sur les patentes'!B:P,15,FALSE)+VLOOKUP(D105,'point sur les patentes'!B:Q,16,FALSE)+VLOOKUP('vs mars'!D105,'point sur les patentes'!B:Z,25,FALSE))</f>
        <v>#N/A</v>
      </c>
      <c r="W105" s="340">
        <f>VLOOKUP(D105,'SUIVI JOURNALIER AVRIL'!B:J,9,FALSE)</f>
        <v>0</v>
      </c>
      <c r="X105" s="340">
        <f>VLOOKUP(D105,'SUIVI JOURNALIER AVRIL'!B:P,14,FALSE)+VLOOKUP('vs mars'!D105,'SUIVI JOURNALIER AVRIL'!B:V,20,FALSE)+VLOOKUP('vs mars'!D105,'SUIVI JOURNALIER AVRIL'!B:W,21,FALSE)</f>
        <v>3428820</v>
      </c>
      <c r="Y105" s="340">
        <f>VLOOKUP(D105,'SUIVI JOURNALIER AVRIL'!B:CC,80,FALSE)</f>
        <v>9593820.5454545449</v>
      </c>
      <c r="Z105" s="340">
        <f t="shared" si="2"/>
        <v>13022640.545454545</v>
      </c>
      <c r="AA105" s="359">
        <f>VLOOKUP(D105,'SUIVI JOURNALIER AVRIL'!B:CD,81,FALSE)</f>
        <v>13022640.545454545</v>
      </c>
      <c r="AB105" s="360" t="str">
        <f t="shared" si="3"/>
        <v>ok</v>
      </c>
      <c r="AC105" s="360" t="str">
        <f>VLOOKUP(B105,labo!B:D,3,FALSE)</f>
        <v>ug4</v>
      </c>
      <c r="AD105" s="360" t="s">
        <v>2629</v>
      </c>
      <c r="AF105" s="330">
        <f>VLOOKUP(D105,'SUIVI JOURNALIER AVRIL'!CK:CL,2,FALSE)</f>
        <v>0</v>
      </c>
      <c r="AG105" s="360">
        <v>1</v>
      </c>
    </row>
    <row r="106" spans="1:33" s="360" customFormat="1" ht="13.5" customHeight="1">
      <c r="A106" s="324" t="s">
        <v>1711</v>
      </c>
      <c r="B106" s="325" t="s">
        <v>1477</v>
      </c>
      <c r="C106" s="325" t="s">
        <v>1478</v>
      </c>
      <c r="D106" s="325" t="s">
        <v>1479</v>
      </c>
      <c r="E106" s="324" t="s">
        <v>1562</v>
      </c>
      <c r="F106" s="324" t="s">
        <v>2055</v>
      </c>
      <c r="G106" s="324" t="s">
        <v>887</v>
      </c>
      <c r="H106" s="324" t="s">
        <v>897</v>
      </c>
      <c r="I106" s="324" t="s">
        <v>1480</v>
      </c>
      <c r="J106" s="324" t="s">
        <v>889</v>
      </c>
      <c r="K106" s="324" t="s">
        <v>890</v>
      </c>
      <c r="L106" s="324" t="s">
        <v>891</v>
      </c>
      <c r="M106" s="324" t="s">
        <v>892</v>
      </c>
      <c r="N106" s="324" t="s">
        <v>893</v>
      </c>
      <c r="O106" s="324" t="s">
        <v>894</v>
      </c>
      <c r="P106" s="324" t="s">
        <v>935</v>
      </c>
      <c r="Q106" s="324" t="s">
        <v>924</v>
      </c>
      <c r="R106" s="324" t="s">
        <v>1481</v>
      </c>
      <c r="S106" s="356" t="s">
        <v>895</v>
      </c>
      <c r="T106" s="309"/>
      <c r="U106" s="357" t="e">
        <f>VLOOKUP(D106,'SUIVI JOURNALIER AVRIL'!CK:CM,3,FALSE)</f>
        <v>#N/A</v>
      </c>
      <c r="V106" s="358" t="e">
        <f>IF(VLOOKUP('vs mars'!D106,'point sur les patentes'!B:E,4,FALSE)="","",VLOOKUP(D106,'point sur les patentes'!B:E,4,FALSE)+VLOOKUP(D106,'point sur les patentes'!B:F,5,FALSE)+VLOOKUP('vs mars'!D106,'point sur les patentes'!B:G,6,FALSE)+VLOOKUP('vs mars'!D106,'point sur les patentes'!B:H,7,FALSE)+VLOOKUP('vs mars'!D106,'point sur les patentes'!B:I,8,FALSE)+VLOOKUP(D106,'point sur les patentes'!B:J,9,FALSE)+VLOOKUP(D106,'point sur les patentes'!B:K,10,FALSE)+VLOOKUP(D106,'point sur les patentes'!B:L,11,FALSE)+VLOOKUP(D106,'point sur les patentes'!B:M,12,FALSE)+VLOOKUP(D106,'point sur les patentes'!B:N,13,FALSE)+VLOOKUP(D106,'point sur les patentes'!B:O,14,FALSE)+VLOOKUP(D106,'point sur les patentes'!B:P,15,FALSE)+VLOOKUP(D106,'point sur les patentes'!B:Q,16,FALSE)+VLOOKUP('vs mars'!D106,'point sur les patentes'!B:Z,25,FALSE))</f>
        <v>#N/A</v>
      </c>
      <c r="W106" s="340" t="e">
        <f>VLOOKUP(D106,'SUIVI JOURNALIER AVRIL'!B:J,9,FALSE)</f>
        <v>#N/A</v>
      </c>
      <c r="X106" s="340" t="e">
        <f>VLOOKUP(D106,'SUIVI JOURNALIER AVRIL'!B:P,14,FALSE)+VLOOKUP('vs mars'!D106,'SUIVI JOURNALIER AVRIL'!B:V,20,FALSE)+VLOOKUP('vs mars'!D106,'SUIVI JOURNALIER AVRIL'!B:W,21,FALSE)</f>
        <v>#N/A</v>
      </c>
      <c r="Y106" s="340" t="e">
        <f>VLOOKUP(D106,'SUIVI JOURNALIER AVRIL'!B:CC,80,FALSE)</f>
        <v>#N/A</v>
      </c>
      <c r="Z106" s="340" t="e">
        <f t="shared" si="2"/>
        <v>#N/A</v>
      </c>
      <c r="AA106" s="359" t="e">
        <f>VLOOKUP(D106,'SUIVI JOURNALIER AVRIL'!B:CD,81,FALSE)</f>
        <v>#N/A</v>
      </c>
      <c r="AB106" s="360" t="e">
        <f t="shared" si="3"/>
        <v>#N/A</v>
      </c>
      <c r="AC106" s="360" t="str">
        <f>VLOOKUP(B106,labo!B:D,3,FALSE)</f>
        <v>ug5</v>
      </c>
      <c r="AD106" s="360" t="s">
        <v>2629</v>
      </c>
      <c r="AF106" s="330" t="e">
        <f>VLOOKUP(D106,'SUIVI JOURNALIER AVRIL'!CK:CL,2,FALSE)</f>
        <v>#N/A</v>
      </c>
      <c r="AG106" s="360">
        <v>1</v>
      </c>
    </row>
    <row r="107" spans="1:33" s="360" customFormat="1" ht="13.5" customHeight="1">
      <c r="A107" s="324" t="s">
        <v>1713</v>
      </c>
      <c r="B107" s="325" t="s">
        <v>1582</v>
      </c>
      <c r="C107" s="325" t="s">
        <v>1583</v>
      </c>
      <c r="D107" s="325" t="s">
        <v>1584</v>
      </c>
      <c r="E107" s="324" t="s">
        <v>542</v>
      </c>
      <c r="F107" s="324" t="s">
        <v>2055</v>
      </c>
      <c r="G107" s="324" t="s">
        <v>887</v>
      </c>
      <c r="H107" s="324" t="s">
        <v>897</v>
      </c>
      <c r="I107" s="324" t="s">
        <v>1700</v>
      </c>
      <c r="J107" s="324" t="s">
        <v>889</v>
      </c>
      <c r="K107" s="324" t="s">
        <v>890</v>
      </c>
      <c r="L107" s="324" t="s">
        <v>891</v>
      </c>
      <c r="M107" s="324" t="s">
        <v>892</v>
      </c>
      <c r="N107" s="324" t="s">
        <v>893</v>
      </c>
      <c r="O107" s="324" t="s">
        <v>894</v>
      </c>
      <c r="P107" s="324" t="s">
        <v>935</v>
      </c>
      <c r="Q107" s="324" t="s">
        <v>1271</v>
      </c>
      <c r="R107" s="324" t="s">
        <v>1585</v>
      </c>
      <c r="S107" s="356" t="s">
        <v>895</v>
      </c>
      <c r="T107" s="309" t="s">
        <v>965</v>
      </c>
      <c r="U107" s="357" t="e">
        <f>VLOOKUP(D107,'SUIVI JOURNALIER AVRIL'!CK:CM,3,FALSE)</f>
        <v>#N/A</v>
      </c>
      <c r="V107" s="358" t="e">
        <f>IF(VLOOKUP('vs mars'!D107,'point sur les patentes'!B:E,4,FALSE)="","",VLOOKUP(D107,'point sur les patentes'!B:E,4,FALSE)+VLOOKUP(D107,'point sur les patentes'!B:F,5,FALSE)+VLOOKUP('vs mars'!D107,'point sur les patentes'!B:G,6,FALSE)+VLOOKUP('vs mars'!D107,'point sur les patentes'!B:H,7,FALSE)+VLOOKUP('vs mars'!D107,'point sur les patentes'!B:I,8,FALSE)+VLOOKUP(D107,'point sur les patentes'!B:J,9,FALSE)+VLOOKUP(D107,'point sur les patentes'!B:K,10,FALSE)+VLOOKUP(D107,'point sur les patentes'!B:L,11,FALSE)+VLOOKUP(D107,'point sur les patentes'!B:M,12,FALSE)+VLOOKUP(D107,'point sur les patentes'!B:N,13,FALSE)+VLOOKUP(D107,'point sur les patentes'!B:O,14,FALSE)+VLOOKUP(D107,'point sur les patentes'!B:P,15,FALSE)+VLOOKUP(D107,'point sur les patentes'!B:Q,16,FALSE)+VLOOKUP('vs mars'!D107,'point sur les patentes'!B:Z,25,FALSE))</f>
        <v>#N/A</v>
      </c>
      <c r="W107" s="340" t="e">
        <f>VLOOKUP(D107,'SUIVI JOURNALIER AVRIL'!B:J,9,FALSE)</f>
        <v>#N/A</v>
      </c>
      <c r="X107" s="340" t="e">
        <f>VLOOKUP(D107,'SUIVI JOURNALIER AVRIL'!B:P,14,FALSE)+VLOOKUP('vs mars'!D107,'SUIVI JOURNALIER AVRIL'!B:V,20,FALSE)+VLOOKUP('vs mars'!D107,'SUIVI JOURNALIER AVRIL'!B:W,21,FALSE)</f>
        <v>#N/A</v>
      </c>
      <c r="Y107" s="340" t="e">
        <f>VLOOKUP(D107,'SUIVI JOURNALIER AVRIL'!B:CC,80,FALSE)</f>
        <v>#N/A</v>
      </c>
      <c r="Z107" s="340" t="e">
        <f t="shared" si="2"/>
        <v>#N/A</v>
      </c>
      <c r="AA107" s="359" t="e">
        <f>VLOOKUP(D107,'SUIVI JOURNALIER AVRIL'!B:CD,81,FALSE)</f>
        <v>#N/A</v>
      </c>
      <c r="AB107" s="360" t="e">
        <f t="shared" si="3"/>
        <v>#N/A</v>
      </c>
      <c r="AC107" s="360" t="str">
        <f>VLOOKUP(B107,labo!B:D,3,FALSE)</f>
        <v>ug2</v>
      </c>
      <c r="AD107" s="360" t="s">
        <v>2629</v>
      </c>
      <c r="AF107" s="330" t="e">
        <f>VLOOKUP(D107,'SUIVI JOURNALIER AVRIL'!CK:CL,2,FALSE)</f>
        <v>#N/A</v>
      </c>
      <c r="AG107" s="360">
        <v>1</v>
      </c>
    </row>
    <row r="108" spans="1:33" s="360" customFormat="1" ht="13.5" customHeight="1">
      <c r="A108" s="324" t="s">
        <v>1714</v>
      </c>
      <c r="B108" s="325" t="s">
        <v>370</v>
      </c>
      <c r="C108" s="325" t="s">
        <v>569</v>
      </c>
      <c r="D108" s="325" t="s">
        <v>570</v>
      </c>
      <c r="E108" s="324" t="s">
        <v>422</v>
      </c>
      <c r="F108" s="324" t="s">
        <v>2055</v>
      </c>
      <c r="G108" s="324" t="s">
        <v>887</v>
      </c>
      <c r="H108" s="324" t="s">
        <v>897</v>
      </c>
      <c r="I108" s="324" t="s">
        <v>1117</v>
      </c>
      <c r="J108" s="324" t="s">
        <v>889</v>
      </c>
      <c r="K108" s="324" t="s">
        <v>890</v>
      </c>
      <c r="L108" s="324" t="s">
        <v>891</v>
      </c>
      <c r="M108" s="324" t="s">
        <v>892</v>
      </c>
      <c r="N108" s="324" t="s">
        <v>954</v>
      </c>
      <c r="O108" s="324" t="s">
        <v>955</v>
      </c>
      <c r="P108" s="324" t="s">
        <v>955</v>
      </c>
      <c r="Q108" s="324" t="s">
        <v>924</v>
      </c>
      <c r="R108" s="324" t="s">
        <v>1118</v>
      </c>
      <c r="S108" s="356" t="s">
        <v>895</v>
      </c>
      <c r="T108" s="309" t="s">
        <v>902</v>
      </c>
      <c r="U108" s="357">
        <f>VLOOKUP(D108,'SUIVI JOURNALIER AVRIL'!CK:CM,3,FALSE)</f>
        <v>0</v>
      </c>
      <c r="V108" s="358" t="e">
        <f>IF(VLOOKUP('vs mars'!D108,'point sur les patentes'!B:E,4,FALSE)="","",VLOOKUP(D108,'point sur les patentes'!B:E,4,FALSE)+VLOOKUP(D108,'point sur les patentes'!B:F,5,FALSE)+VLOOKUP('vs mars'!D108,'point sur les patentes'!B:G,6,FALSE)+VLOOKUP('vs mars'!D108,'point sur les patentes'!B:H,7,FALSE)+VLOOKUP('vs mars'!D108,'point sur les patentes'!B:I,8,FALSE)+VLOOKUP(D108,'point sur les patentes'!B:J,9,FALSE)+VLOOKUP(D108,'point sur les patentes'!B:K,10,FALSE)+VLOOKUP(D108,'point sur les patentes'!B:L,11,FALSE)+VLOOKUP(D108,'point sur les patentes'!B:M,12,FALSE)+VLOOKUP(D108,'point sur les patentes'!B:N,13,FALSE)+VLOOKUP(D108,'point sur les patentes'!B:O,14,FALSE)+VLOOKUP(D108,'point sur les patentes'!B:P,15,FALSE)+VLOOKUP(D108,'point sur les patentes'!B:Q,16,FALSE)+VLOOKUP('vs mars'!D108,'point sur les patentes'!B:Z,25,FALSE))</f>
        <v>#N/A</v>
      </c>
      <c r="W108" s="340">
        <f>VLOOKUP(D108,'SUIVI JOURNALIER AVRIL'!B:J,9,FALSE)</f>
        <v>173702</v>
      </c>
      <c r="X108" s="340">
        <f>VLOOKUP(D108,'SUIVI JOURNALIER AVRIL'!B:P,14,FALSE)+VLOOKUP('vs mars'!D108,'SUIVI JOURNALIER AVRIL'!B:V,20,FALSE)+VLOOKUP('vs mars'!D108,'SUIVI JOURNALIER AVRIL'!B:W,21,FALSE)</f>
        <v>152464</v>
      </c>
      <c r="Y108" s="340">
        <f>VLOOKUP(D108,'SUIVI JOURNALIER AVRIL'!B:CC,80,FALSE)</f>
        <v>21169</v>
      </c>
      <c r="Z108" s="340">
        <f t="shared" si="2"/>
        <v>347335</v>
      </c>
      <c r="AA108" s="359">
        <f>VLOOKUP(D108,'SUIVI JOURNALIER AVRIL'!B:CD,81,FALSE)</f>
        <v>347335</v>
      </c>
      <c r="AB108" s="360" t="str">
        <f t="shared" si="3"/>
        <v>ok</v>
      </c>
      <c r="AC108" s="360" t="str">
        <f>VLOOKUP(B108,labo!B:D,3,FALSE)</f>
        <v>ug4</v>
      </c>
      <c r="AD108" s="360" t="s">
        <v>2629</v>
      </c>
      <c r="AF108" s="330">
        <f>VLOOKUP(D108,'SUIVI JOURNALIER AVRIL'!CK:CL,2,FALSE)</f>
        <v>0</v>
      </c>
      <c r="AG108" s="360">
        <v>1</v>
      </c>
    </row>
    <row r="109" spans="1:33" s="360" customFormat="1" ht="13.5" customHeight="1">
      <c r="A109" s="324" t="s">
        <v>1715</v>
      </c>
      <c r="B109" s="325" t="s">
        <v>2190</v>
      </c>
      <c r="C109" s="325" t="s">
        <v>571</v>
      </c>
      <c r="D109" s="325" t="s">
        <v>409</v>
      </c>
      <c r="E109" s="324" t="s">
        <v>554</v>
      </c>
      <c r="F109" s="324" t="s">
        <v>2055</v>
      </c>
      <c r="G109" s="324" t="s">
        <v>887</v>
      </c>
      <c r="H109" s="324" t="s">
        <v>1119</v>
      </c>
      <c r="I109" s="324" t="s">
        <v>1120</v>
      </c>
      <c r="J109" s="324" t="s">
        <v>889</v>
      </c>
      <c r="K109" s="324" t="s">
        <v>890</v>
      </c>
      <c r="L109" s="324" t="s">
        <v>891</v>
      </c>
      <c r="M109" s="324" t="s">
        <v>892</v>
      </c>
      <c r="N109" s="324" t="s">
        <v>893</v>
      </c>
      <c r="O109" s="324" t="s">
        <v>894</v>
      </c>
      <c r="P109" s="324" t="s">
        <v>899</v>
      </c>
      <c r="Q109" s="324" t="s">
        <v>1121</v>
      </c>
      <c r="R109" s="324" t="s">
        <v>571</v>
      </c>
      <c r="S109" s="356" t="s">
        <v>895</v>
      </c>
      <c r="T109" s="309" t="s">
        <v>953</v>
      </c>
      <c r="U109" s="357">
        <f>VLOOKUP(D109,'SUIVI JOURNALIER AVRIL'!CK:CM,3,FALSE)</f>
        <v>0</v>
      </c>
      <c r="V109" s="358" t="e">
        <f>IF(VLOOKUP('vs mars'!D109,'point sur les patentes'!B:E,4,FALSE)="","",VLOOKUP(D109,'point sur les patentes'!B:E,4,FALSE)+VLOOKUP(D109,'point sur les patentes'!B:F,5,FALSE)+VLOOKUP('vs mars'!D109,'point sur les patentes'!B:G,6,FALSE)+VLOOKUP('vs mars'!D109,'point sur les patentes'!B:H,7,FALSE)+VLOOKUP('vs mars'!D109,'point sur les patentes'!B:I,8,FALSE)+VLOOKUP(D109,'point sur les patentes'!B:J,9,FALSE)+VLOOKUP(D109,'point sur les patentes'!B:K,10,FALSE)+VLOOKUP(D109,'point sur les patentes'!B:L,11,FALSE)+VLOOKUP(D109,'point sur les patentes'!B:M,12,FALSE)+VLOOKUP(D109,'point sur les patentes'!B:N,13,FALSE)+VLOOKUP(D109,'point sur les patentes'!B:O,14,FALSE)+VLOOKUP(D109,'point sur les patentes'!B:P,15,FALSE)+VLOOKUP(D109,'point sur les patentes'!B:Q,16,FALSE)+VLOOKUP('vs mars'!D109,'point sur les patentes'!B:Z,25,FALSE))</f>
        <v>#N/A</v>
      </c>
      <c r="W109" s="340">
        <f>VLOOKUP(D109,'SUIVI JOURNALIER AVRIL'!B:J,9,FALSE)</f>
        <v>166829</v>
      </c>
      <c r="X109" s="340">
        <f>VLOOKUP(D109,'SUIVI JOURNALIER AVRIL'!B:P,14,FALSE)+VLOOKUP('vs mars'!D109,'SUIVI JOURNALIER AVRIL'!B:V,20,FALSE)+VLOOKUP('vs mars'!D109,'SUIVI JOURNALIER AVRIL'!B:W,21,FALSE)</f>
        <v>130665</v>
      </c>
      <c r="Y109" s="340">
        <f>VLOOKUP(D109,'SUIVI JOURNALIER AVRIL'!B:CC,80,FALSE)</f>
        <v>43789</v>
      </c>
      <c r="Z109" s="340">
        <f t="shared" si="2"/>
        <v>341283</v>
      </c>
      <c r="AA109" s="359">
        <f>VLOOKUP(D109,'SUIVI JOURNALIER AVRIL'!B:CD,81,FALSE)</f>
        <v>341283</v>
      </c>
      <c r="AB109" s="360" t="str">
        <f t="shared" si="3"/>
        <v>ok</v>
      </c>
      <c r="AC109" s="360" t="str">
        <f>VLOOKUP(B109,labo!B:D,3,FALSE)</f>
        <v>ug2</v>
      </c>
      <c r="AD109" s="360" t="s">
        <v>2629</v>
      </c>
      <c r="AF109" s="330">
        <f>VLOOKUP(D109,'SUIVI JOURNALIER AVRIL'!CK:CL,2,FALSE)</f>
        <v>0</v>
      </c>
      <c r="AG109" s="360">
        <v>1</v>
      </c>
    </row>
    <row r="110" spans="1:33" s="360" customFormat="1" ht="13.5" customHeight="1">
      <c r="A110" s="324" t="s">
        <v>1716</v>
      </c>
      <c r="B110" s="325" t="s">
        <v>2326</v>
      </c>
      <c r="C110" s="325" t="s">
        <v>2454</v>
      </c>
      <c r="D110" s="325" t="s">
        <v>2455</v>
      </c>
      <c r="E110" s="324" t="s">
        <v>2271</v>
      </c>
      <c r="F110" s="324" t="s">
        <v>2055</v>
      </c>
      <c r="G110" s="324" t="s">
        <v>887</v>
      </c>
      <c r="H110" s="324" t="s">
        <v>2055</v>
      </c>
      <c r="I110" s="324" t="s">
        <v>2055</v>
      </c>
      <c r="J110" s="324" t="s">
        <v>2055</v>
      </c>
      <c r="K110" s="324" t="s">
        <v>2405</v>
      </c>
      <c r="L110" s="324" t="s">
        <v>891</v>
      </c>
      <c r="M110" s="324" t="s">
        <v>892</v>
      </c>
      <c r="N110" s="324" t="s">
        <v>893</v>
      </c>
      <c r="O110" s="324" t="s">
        <v>894</v>
      </c>
      <c r="P110" s="324" t="s">
        <v>919</v>
      </c>
      <c r="Q110" s="324" t="s">
        <v>2055</v>
      </c>
      <c r="R110" s="324" t="s">
        <v>2055</v>
      </c>
      <c r="S110" s="356" t="s">
        <v>895</v>
      </c>
      <c r="T110" s="309" t="s">
        <v>953</v>
      </c>
      <c r="U110" s="357" t="e">
        <f>VLOOKUP(D110,'SUIVI JOURNALIER AVRIL'!CK:CM,3,FALSE)</f>
        <v>#N/A</v>
      </c>
      <c r="V110" s="358" t="e">
        <f>IF(VLOOKUP('vs mars'!D110,'point sur les patentes'!B:E,4,FALSE)="","",VLOOKUP(D110,'point sur les patentes'!B:E,4,FALSE)+VLOOKUP(D110,'point sur les patentes'!B:F,5,FALSE)+VLOOKUP('vs mars'!D110,'point sur les patentes'!B:G,6,FALSE)+VLOOKUP('vs mars'!D110,'point sur les patentes'!B:H,7,FALSE)+VLOOKUP('vs mars'!D110,'point sur les patentes'!B:I,8,FALSE)+VLOOKUP(D110,'point sur les patentes'!B:J,9,FALSE)+VLOOKUP(D110,'point sur les patentes'!B:K,10,FALSE)+VLOOKUP(D110,'point sur les patentes'!B:L,11,FALSE)+VLOOKUP(D110,'point sur les patentes'!B:M,12,FALSE)+VLOOKUP(D110,'point sur les patentes'!B:N,13,FALSE)+VLOOKUP(D110,'point sur les patentes'!B:O,14,FALSE)+VLOOKUP(D110,'point sur les patentes'!B:P,15,FALSE)+VLOOKUP(D110,'point sur les patentes'!B:Q,16,FALSE)+VLOOKUP('vs mars'!D110,'point sur les patentes'!B:Z,25,FALSE))</f>
        <v>#N/A</v>
      </c>
      <c r="W110" s="340" t="e">
        <f>VLOOKUP(D110,'SUIVI JOURNALIER AVRIL'!B:J,9,FALSE)</f>
        <v>#N/A</v>
      </c>
      <c r="X110" s="340" t="e">
        <f>VLOOKUP(D110,'SUIVI JOURNALIER AVRIL'!B:P,14,FALSE)+VLOOKUP('vs mars'!D110,'SUIVI JOURNALIER AVRIL'!B:V,20,FALSE)+VLOOKUP('vs mars'!D110,'SUIVI JOURNALIER AVRIL'!B:W,21,FALSE)</f>
        <v>#N/A</v>
      </c>
      <c r="Y110" s="340" t="e">
        <f>VLOOKUP(D110,'SUIVI JOURNALIER AVRIL'!B:CC,80,FALSE)</f>
        <v>#N/A</v>
      </c>
      <c r="Z110" s="340" t="e">
        <f t="shared" si="2"/>
        <v>#N/A</v>
      </c>
      <c r="AA110" s="359" t="e">
        <f>VLOOKUP(D110,'SUIVI JOURNALIER AVRIL'!B:CD,81,FALSE)</f>
        <v>#N/A</v>
      </c>
      <c r="AB110" s="360" t="e">
        <f t="shared" si="3"/>
        <v>#N/A</v>
      </c>
      <c r="AC110" s="360" t="str">
        <f>VLOOKUP(B110,labo!B:D,3,FALSE)</f>
        <v>ug1</v>
      </c>
      <c r="AD110" s="360" t="s">
        <v>2630</v>
      </c>
      <c r="AF110" s="330" t="e">
        <f>VLOOKUP(D110,'SUIVI JOURNALIER AVRIL'!CK:CL,2,FALSE)</f>
        <v>#N/A</v>
      </c>
      <c r="AG110" s="360">
        <v>1</v>
      </c>
    </row>
    <row r="111" spans="1:33" s="360" customFormat="1" ht="13.5" customHeight="1">
      <c r="A111" s="324" t="s">
        <v>1720</v>
      </c>
      <c r="B111" s="325" t="s">
        <v>308</v>
      </c>
      <c r="C111" s="325" t="s">
        <v>572</v>
      </c>
      <c r="D111" s="325" t="s">
        <v>573</v>
      </c>
      <c r="E111" s="324" t="s">
        <v>574</v>
      </c>
      <c r="F111" s="324" t="s">
        <v>2055</v>
      </c>
      <c r="G111" s="324" t="s">
        <v>887</v>
      </c>
      <c r="H111" s="324" t="s">
        <v>1122</v>
      </c>
      <c r="I111" s="324" t="s">
        <v>1123</v>
      </c>
      <c r="J111" s="324" t="s">
        <v>889</v>
      </c>
      <c r="K111" s="324" t="s">
        <v>890</v>
      </c>
      <c r="L111" s="324" t="s">
        <v>891</v>
      </c>
      <c r="M111" s="324" t="s">
        <v>892</v>
      </c>
      <c r="N111" s="324" t="s">
        <v>893</v>
      </c>
      <c r="O111" s="324" t="s">
        <v>894</v>
      </c>
      <c r="P111" s="324" t="s">
        <v>935</v>
      </c>
      <c r="Q111" s="324" t="s">
        <v>1091</v>
      </c>
      <c r="R111" s="324" t="s">
        <v>1124</v>
      </c>
      <c r="S111" s="356" t="s">
        <v>895</v>
      </c>
      <c r="T111" s="309" t="s">
        <v>999</v>
      </c>
      <c r="U111" s="357" t="e">
        <f>VLOOKUP(D111,'SUIVI JOURNALIER AVRIL'!CK:CM,3,FALSE)</f>
        <v>#N/A</v>
      </c>
      <c r="V111" s="358" t="e">
        <f>IF(VLOOKUP('vs mars'!D111,'point sur les patentes'!B:E,4,FALSE)="","",VLOOKUP(D111,'point sur les patentes'!B:E,4,FALSE)+VLOOKUP(D111,'point sur les patentes'!B:F,5,FALSE)+VLOOKUP('vs mars'!D111,'point sur les patentes'!B:G,6,FALSE)+VLOOKUP('vs mars'!D111,'point sur les patentes'!B:H,7,FALSE)+VLOOKUP('vs mars'!D111,'point sur les patentes'!B:I,8,FALSE)+VLOOKUP(D111,'point sur les patentes'!B:J,9,FALSE)+VLOOKUP(D111,'point sur les patentes'!B:K,10,FALSE)+VLOOKUP(D111,'point sur les patentes'!B:L,11,FALSE)+VLOOKUP(D111,'point sur les patentes'!B:M,12,FALSE)+VLOOKUP(D111,'point sur les patentes'!B:N,13,FALSE)+VLOOKUP(D111,'point sur les patentes'!B:O,14,FALSE)+VLOOKUP(D111,'point sur les patentes'!B:P,15,FALSE)+VLOOKUP(D111,'point sur les patentes'!B:Q,16,FALSE)+VLOOKUP('vs mars'!D111,'point sur les patentes'!B:Z,25,FALSE))</f>
        <v>#N/A</v>
      </c>
      <c r="W111" s="340" t="e">
        <f>VLOOKUP(D111,'SUIVI JOURNALIER AVRIL'!B:J,9,FALSE)</f>
        <v>#N/A</v>
      </c>
      <c r="X111" s="340" t="e">
        <f>VLOOKUP(D111,'SUIVI JOURNALIER AVRIL'!B:P,14,FALSE)+VLOOKUP('vs mars'!D111,'SUIVI JOURNALIER AVRIL'!B:V,20,FALSE)+VLOOKUP('vs mars'!D111,'SUIVI JOURNALIER AVRIL'!B:W,21,FALSE)</f>
        <v>#N/A</v>
      </c>
      <c r="Y111" s="340" t="e">
        <f>VLOOKUP(D111,'SUIVI JOURNALIER AVRIL'!B:CC,80,FALSE)</f>
        <v>#N/A</v>
      </c>
      <c r="Z111" s="340" t="e">
        <f t="shared" si="2"/>
        <v>#N/A</v>
      </c>
      <c r="AA111" s="359" t="e">
        <f>VLOOKUP(D111,'SUIVI JOURNALIER AVRIL'!B:CD,81,FALSE)</f>
        <v>#N/A</v>
      </c>
      <c r="AB111" s="360" t="e">
        <f t="shared" si="3"/>
        <v>#N/A</v>
      </c>
      <c r="AC111" s="360" t="str">
        <f>VLOOKUP(B111,labo!B:D,3,FALSE)</f>
        <v>ug2</v>
      </c>
      <c r="AD111" s="360" t="s">
        <v>2629</v>
      </c>
      <c r="AF111" s="330" t="e">
        <f>VLOOKUP(D111,'SUIVI JOURNALIER AVRIL'!CK:CL,2,FALSE)</f>
        <v>#N/A</v>
      </c>
      <c r="AG111" s="360">
        <v>1</v>
      </c>
    </row>
    <row r="112" spans="1:33" s="360" customFormat="1" ht="13.5" customHeight="1">
      <c r="A112" s="324" t="s">
        <v>1722</v>
      </c>
      <c r="B112" s="325" t="s">
        <v>1482</v>
      </c>
      <c r="C112" s="325" t="s">
        <v>1483</v>
      </c>
      <c r="D112" s="325" t="s">
        <v>1484</v>
      </c>
      <c r="E112" s="324" t="s">
        <v>1485</v>
      </c>
      <c r="F112" s="324" t="s">
        <v>2055</v>
      </c>
      <c r="G112" s="324" t="s">
        <v>931</v>
      </c>
      <c r="H112" s="324" t="s">
        <v>1196</v>
      </c>
      <c r="I112" s="324" t="s">
        <v>1486</v>
      </c>
      <c r="J112" s="324" t="s">
        <v>934</v>
      </c>
      <c r="K112" s="324" t="s">
        <v>890</v>
      </c>
      <c r="L112" s="324" t="s">
        <v>891</v>
      </c>
      <c r="M112" s="324" t="s">
        <v>892</v>
      </c>
      <c r="N112" s="324" t="s">
        <v>893</v>
      </c>
      <c r="O112" s="324" t="s">
        <v>894</v>
      </c>
      <c r="P112" s="324" t="s">
        <v>935</v>
      </c>
      <c r="Q112" s="324" t="s">
        <v>1271</v>
      </c>
      <c r="R112" s="324" t="s">
        <v>1487</v>
      </c>
      <c r="S112" s="356" t="s">
        <v>895</v>
      </c>
      <c r="T112" s="309" t="s">
        <v>953</v>
      </c>
      <c r="U112" s="357" t="e">
        <f>VLOOKUP(D112,'SUIVI JOURNALIER AVRIL'!CK:CM,3,FALSE)</f>
        <v>#N/A</v>
      </c>
      <c r="V112" s="358" t="e">
        <f>IF(VLOOKUP('vs mars'!D112,'point sur les patentes'!B:E,4,FALSE)="","",VLOOKUP(D112,'point sur les patentes'!B:E,4,FALSE)+VLOOKUP(D112,'point sur les patentes'!B:F,5,FALSE)+VLOOKUP('vs mars'!D112,'point sur les patentes'!B:G,6,FALSE)+VLOOKUP('vs mars'!D112,'point sur les patentes'!B:H,7,FALSE)+VLOOKUP('vs mars'!D112,'point sur les patentes'!B:I,8,FALSE)+VLOOKUP(D112,'point sur les patentes'!B:J,9,FALSE)+VLOOKUP(D112,'point sur les patentes'!B:K,10,FALSE)+VLOOKUP(D112,'point sur les patentes'!B:L,11,FALSE)+VLOOKUP(D112,'point sur les patentes'!B:M,12,FALSE)+VLOOKUP(D112,'point sur les patentes'!B:N,13,FALSE)+VLOOKUP(D112,'point sur les patentes'!B:O,14,FALSE)+VLOOKUP(D112,'point sur les patentes'!B:P,15,FALSE)+VLOOKUP(D112,'point sur les patentes'!B:Q,16,FALSE)+VLOOKUP('vs mars'!D112,'point sur les patentes'!B:Z,25,FALSE))</f>
        <v>#N/A</v>
      </c>
      <c r="W112" s="340" t="e">
        <f>VLOOKUP(D112,'SUIVI JOURNALIER AVRIL'!B:J,9,FALSE)</f>
        <v>#N/A</v>
      </c>
      <c r="X112" s="340" t="e">
        <f>VLOOKUP(D112,'SUIVI JOURNALIER AVRIL'!B:P,14,FALSE)+VLOOKUP('vs mars'!D112,'SUIVI JOURNALIER AVRIL'!B:V,20,FALSE)+VLOOKUP('vs mars'!D112,'SUIVI JOURNALIER AVRIL'!B:W,21,FALSE)</f>
        <v>#N/A</v>
      </c>
      <c r="Y112" s="340" t="e">
        <f>VLOOKUP(D112,'SUIVI JOURNALIER AVRIL'!B:CC,80,FALSE)</f>
        <v>#N/A</v>
      </c>
      <c r="Z112" s="340" t="e">
        <f t="shared" si="2"/>
        <v>#N/A</v>
      </c>
      <c r="AA112" s="359" t="e">
        <f>VLOOKUP(D112,'SUIVI JOURNALIER AVRIL'!B:CD,81,FALSE)</f>
        <v>#N/A</v>
      </c>
      <c r="AB112" s="360" t="e">
        <f t="shared" si="3"/>
        <v>#N/A</v>
      </c>
      <c r="AC112" s="360" t="str">
        <f>VLOOKUP(B112,labo!B:D,3,FALSE)</f>
        <v>ug5</v>
      </c>
      <c r="AD112" s="360" t="s">
        <v>2629</v>
      </c>
      <c r="AF112" s="330" t="e">
        <f>VLOOKUP(D112,'SUIVI JOURNALIER AVRIL'!CK:CL,2,FALSE)</f>
        <v>#N/A</v>
      </c>
      <c r="AG112" s="360">
        <v>1</v>
      </c>
    </row>
    <row r="113" spans="1:33" s="360" customFormat="1" ht="13.5" customHeight="1">
      <c r="A113" s="324" t="s">
        <v>1723</v>
      </c>
      <c r="B113" s="325" t="s">
        <v>2195</v>
      </c>
      <c r="C113" s="325" t="s">
        <v>2221</v>
      </c>
      <c r="D113" s="325" t="s">
        <v>2222</v>
      </c>
      <c r="E113" s="324" t="s">
        <v>2456</v>
      </c>
      <c r="F113" s="324" t="s">
        <v>2055</v>
      </c>
      <c r="G113" s="324" t="s">
        <v>931</v>
      </c>
      <c r="H113" s="324" t="s">
        <v>2055</v>
      </c>
      <c r="I113" s="324" t="s">
        <v>2055</v>
      </c>
      <c r="J113" s="324" t="s">
        <v>2457</v>
      </c>
      <c r="K113" s="324" t="s">
        <v>2405</v>
      </c>
      <c r="L113" s="324" t="s">
        <v>891</v>
      </c>
      <c r="M113" s="324" t="s">
        <v>892</v>
      </c>
      <c r="N113" s="324" t="s">
        <v>893</v>
      </c>
      <c r="O113" s="324" t="s">
        <v>894</v>
      </c>
      <c r="P113" s="324" t="s">
        <v>919</v>
      </c>
      <c r="Q113" s="324" t="s">
        <v>2055</v>
      </c>
      <c r="R113" s="324" t="s">
        <v>2055</v>
      </c>
      <c r="S113" s="356" t="s">
        <v>895</v>
      </c>
      <c r="T113" s="309" t="s">
        <v>977</v>
      </c>
      <c r="U113" s="357">
        <f>VLOOKUP(D113,'SUIVI JOURNALIER AVRIL'!CK:CM,3,FALSE)</f>
        <v>0</v>
      </c>
      <c r="V113" s="358" t="e">
        <f>IF(VLOOKUP('vs mars'!D113,'point sur les patentes'!B:E,4,FALSE)="","",VLOOKUP(D113,'point sur les patentes'!B:E,4,FALSE)+VLOOKUP(D113,'point sur les patentes'!B:F,5,FALSE)+VLOOKUP('vs mars'!D113,'point sur les patentes'!B:G,6,FALSE)+VLOOKUP('vs mars'!D113,'point sur les patentes'!B:H,7,FALSE)+VLOOKUP('vs mars'!D113,'point sur les patentes'!B:I,8,FALSE)+VLOOKUP(D113,'point sur les patentes'!B:J,9,FALSE)+VLOOKUP(D113,'point sur les patentes'!B:K,10,FALSE)+VLOOKUP(D113,'point sur les patentes'!B:L,11,FALSE)+VLOOKUP(D113,'point sur les patentes'!B:M,12,FALSE)+VLOOKUP(D113,'point sur les patentes'!B:N,13,FALSE)+VLOOKUP(D113,'point sur les patentes'!B:O,14,FALSE)+VLOOKUP(D113,'point sur les patentes'!B:P,15,FALSE)+VLOOKUP(D113,'point sur les patentes'!B:Q,16,FALSE)+VLOOKUP('vs mars'!D113,'point sur les patentes'!B:Z,25,FALSE))</f>
        <v>#N/A</v>
      </c>
      <c r="W113" s="340">
        <f>VLOOKUP(D113,'SUIVI JOURNALIER AVRIL'!B:J,9,FALSE)</f>
        <v>0</v>
      </c>
      <c r="X113" s="340">
        <f>VLOOKUP(D113,'SUIVI JOURNALIER AVRIL'!B:P,14,FALSE)+VLOOKUP('vs mars'!D113,'SUIVI JOURNALIER AVRIL'!B:V,20,FALSE)+VLOOKUP('vs mars'!D113,'SUIVI JOURNALIER AVRIL'!B:W,21,FALSE)</f>
        <v>120135</v>
      </c>
      <c r="Y113" s="340">
        <f>VLOOKUP(D113,'SUIVI JOURNALIER AVRIL'!B:CC,80,FALSE)</f>
        <v>355265</v>
      </c>
      <c r="Z113" s="340">
        <f t="shared" si="2"/>
        <v>475400</v>
      </c>
      <c r="AA113" s="359">
        <f>VLOOKUP(D113,'SUIVI JOURNALIER AVRIL'!B:CD,81,FALSE)</f>
        <v>475400</v>
      </c>
      <c r="AB113" s="360" t="str">
        <f t="shared" si="3"/>
        <v>ok</v>
      </c>
      <c r="AC113" s="360" t="str">
        <f>VLOOKUP(B113,labo!B:D,3,FALSE)</f>
        <v>ug5</v>
      </c>
      <c r="AD113" s="360" t="s">
        <v>2629</v>
      </c>
      <c r="AF113" s="330">
        <f>VLOOKUP(D113,'SUIVI JOURNALIER AVRIL'!CK:CL,2,FALSE)</f>
        <v>0</v>
      </c>
      <c r="AG113" s="360">
        <v>1</v>
      </c>
    </row>
    <row r="114" spans="1:33" s="360" customFormat="1" ht="13.5" customHeight="1">
      <c r="A114" s="324" t="s">
        <v>1537</v>
      </c>
      <c r="B114" s="325" t="s">
        <v>290</v>
      </c>
      <c r="C114" s="325" t="s">
        <v>575</v>
      </c>
      <c r="D114" s="325" t="s">
        <v>576</v>
      </c>
      <c r="E114" s="324" t="s">
        <v>422</v>
      </c>
      <c r="F114" s="324" t="s">
        <v>2055</v>
      </c>
      <c r="G114" s="324" t="s">
        <v>887</v>
      </c>
      <c r="H114" s="324" t="s">
        <v>917</v>
      </c>
      <c r="I114" s="324" t="s">
        <v>1125</v>
      </c>
      <c r="J114" s="324" t="s">
        <v>889</v>
      </c>
      <c r="K114" s="324" t="s">
        <v>890</v>
      </c>
      <c r="L114" s="324" t="s">
        <v>891</v>
      </c>
      <c r="M114" s="324" t="s">
        <v>892</v>
      </c>
      <c r="N114" s="324" t="s">
        <v>893</v>
      </c>
      <c r="O114" s="324" t="s">
        <v>1035</v>
      </c>
      <c r="P114" s="324" t="s">
        <v>1035</v>
      </c>
      <c r="Q114" s="324" t="s">
        <v>1106</v>
      </c>
      <c r="R114" s="324" t="s">
        <v>1126</v>
      </c>
      <c r="S114" s="356" t="s">
        <v>895</v>
      </c>
      <c r="T114" s="309" t="s">
        <v>999</v>
      </c>
      <c r="U114" s="357">
        <f>VLOOKUP(D114,'SUIVI JOURNALIER AVRIL'!CK:CM,3,FALSE)</f>
        <v>0</v>
      </c>
      <c r="V114" s="358" t="e">
        <f>IF(VLOOKUP('vs mars'!D114,'point sur les patentes'!B:E,4,FALSE)="","",VLOOKUP(D114,'point sur les patentes'!B:E,4,FALSE)+VLOOKUP(D114,'point sur les patentes'!B:F,5,FALSE)+VLOOKUP('vs mars'!D114,'point sur les patentes'!B:G,6,FALSE)+VLOOKUP('vs mars'!D114,'point sur les patentes'!B:H,7,FALSE)+VLOOKUP('vs mars'!D114,'point sur les patentes'!B:I,8,FALSE)+VLOOKUP(D114,'point sur les patentes'!B:J,9,FALSE)+VLOOKUP(D114,'point sur les patentes'!B:K,10,FALSE)+VLOOKUP(D114,'point sur les patentes'!B:L,11,FALSE)+VLOOKUP(D114,'point sur les patentes'!B:M,12,FALSE)+VLOOKUP(D114,'point sur les patentes'!B:N,13,FALSE)+VLOOKUP(D114,'point sur les patentes'!B:O,14,FALSE)+VLOOKUP(D114,'point sur les patentes'!B:P,15,FALSE)+VLOOKUP(D114,'point sur les patentes'!B:Q,16,FALSE)+VLOOKUP('vs mars'!D114,'point sur les patentes'!B:Z,25,FALSE))</f>
        <v>#N/A</v>
      </c>
      <c r="W114" s="340">
        <f>VLOOKUP(D114,'SUIVI JOURNALIER AVRIL'!B:J,9,FALSE)</f>
        <v>170786</v>
      </c>
      <c r="X114" s="340">
        <f>VLOOKUP(D114,'SUIVI JOURNALIER AVRIL'!B:P,14,FALSE)+VLOOKUP('vs mars'!D114,'SUIVI JOURNALIER AVRIL'!B:V,20,FALSE)+VLOOKUP('vs mars'!D114,'SUIVI JOURNALIER AVRIL'!B:W,21,FALSE)</f>
        <v>124827</v>
      </c>
      <c r="Y114" s="340">
        <f>VLOOKUP(D114,'SUIVI JOURNALIER AVRIL'!B:CC,80,FALSE)</f>
        <v>32029</v>
      </c>
      <c r="Z114" s="340">
        <f t="shared" si="2"/>
        <v>327642</v>
      </c>
      <c r="AA114" s="359">
        <f>VLOOKUP(D114,'SUIVI JOURNALIER AVRIL'!B:CD,81,FALSE)</f>
        <v>327642</v>
      </c>
      <c r="AB114" s="360" t="str">
        <f t="shared" si="3"/>
        <v>ok</v>
      </c>
      <c r="AC114" s="360" t="str">
        <f>VLOOKUP(B114,labo!B:D,3,FALSE)</f>
        <v>ug4</v>
      </c>
      <c r="AD114" s="360" t="s">
        <v>2629</v>
      </c>
      <c r="AF114" s="330">
        <f>VLOOKUP(D114,'SUIVI JOURNALIER AVRIL'!CK:CL,2,FALSE)</f>
        <v>0</v>
      </c>
      <c r="AG114" s="360">
        <v>1</v>
      </c>
    </row>
    <row r="115" spans="1:33" s="360" customFormat="1" ht="13.5" customHeight="1">
      <c r="A115" s="324" t="s">
        <v>1724</v>
      </c>
      <c r="B115" s="325" t="s">
        <v>371</v>
      </c>
      <c r="C115" s="325" t="s">
        <v>577</v>
      </c>
      <c r="D115" s="325" t="s">
        <v>578</v>
      </c>
      <c r="E115" s="324" t="s">
        <v>579</v>
      </c>
      <c r="F115" s="324" t="s">
        <v>2055</v>
      </c>
      <c r="G115" s="324" t="s">
        <v>887</v>
      </c>
      <c r="H115" s="324" t="s">
        <v>897</v>
      </c>
      <c r="I115" s="324" t="s">
        <v>1127</v>
      </c>
      <c r="J115" s="324" t="s">
        <v>889</v>
      </c>
      <c r="K115" s="324" t="s">
        <v>890</v>
      </c>
      <c r="L115" s="324" t="s">
        <v>891</v>
      </c>
      <c r="M115" s="324" t="s">
        <v>892</v>
      </c>
      <c r="N115" s="324" t="s">
        <v>912</v>
      </c>
      <c r="O115" s="324" t="s">
        <v>913</v>
      </c>
      <c r="P115" s="324" t="s">
        <v>913</v>
      </c>
      <c r="Q115" s="324" t="s">
        <v>924</v>
      </c>
      <c r="R115" s="324" t="s">
        <v>1128</v>
      </c>
      <c r="S115" s="356" t="s">
        <v>895</v>
      </c>
      <c r="T115" s="309" t="s">
        <v>1006</v>
      </c>
      <c r="U115" s="357">
        <f>VLOOKUP(D115,'SUIVI JOURNALIER AVRIL'!CK:CM,3,FALSE)</f>
        <v>0</v>
      </c>
      <c r="V115" s="358" t="e">
        <f>IF(VLOOKUP('vs mars'!D115,'point sur les patentes'!B:E,4,FALSE)="","",VLOOKUP(D115,'point sur les patentes'!B:E,4,FALSE)+VLOOKUP(D115,'point sur les patentes'!B:F,5,FALSE)+VLOOKUP('vs mars'!D115,'point sur les patentes'!B:G,6,FALSE)+VLOOKUP('vs mars'!D115,'point sur les patentes'!B:H,7,FALSE)+VLOOKUP('vs mars'!D115,'point sur les patentes'!B:I,8,FALSE)+VLOOKUP(D115,'point sur les patentes'!B:J,9,FALSE)+VLOOKUP(D115,'point sur les patentes'!B:K,10,FALSE)+VLOOKUP(D115,'point sur les patentes'!B:L,11,FALSE)+VLOOKUP(D115,'point sur les patentes'!B:M,12,FALSE)+VLOOKUP(D115,'point sur les patentes'!B:N,13,FALSE)+VLOOKUP(D115,'point sur les patentes'!B:O,14,FALSE)+VLOOKUP(D115,'point sur les patentes'!B:P,15,FALSE)+VLOOKUP(D115,'point sur les patentes'!B:Q,16,FALSE)+VLOOKUP('vs mars'!D115,'point sur les patentes'!B:Z,25,FALSE))</f>
        <v>#N/A</v>
      </c>
      <c r="W115" s="340">
        <f>VLOOKUP(D115,'SUIVI JOURNALIER AVRIL'!B:J,9,FALSE)</f>
        <v>100256</v>
      </c>
      <c r="X115" s="340">
        <f>VLOOKUP(D115,'SUIVI JOURNALIER AVRIL'!B:P,14,FALSE)+VLOOKUP('vs mars'!D115,'SUIVI JOURNALIER AVRIL'!B:V,20,FALSE)+VLOOKUP('vs mars'!D115,'SUIVI JOURNALIER AVRIL'!B:W,21,FALSE)</f>
        <v>64668</v>
      </c>
      <c r="Y115" s="340">
        <f>VLOOKUP(D115,'SUIVI JOURNALIER AVRIL'!B:CC,80,FALSE)</f>
        <v>11464</v>
      </c>
      <c r="Z115" s="340">
        <f t="shared" si="2"/>
        <v>176388</v>
      </c>
      <c r="AA115" s="359">
        <f>VLOOKUP(D115,'SUIVI JOURNALIER AVRIL'!B:CD,81,FALSE)</f>
        <v>176388</v>
      </c>
      <c r="AB115" s="360" t="str">
        <f t="shared" si="3"/>
        <v>ok</v>
      </c>
      <c r="AC115" s="360" t="str">
        <f>VLOOKUP(B115,labo!B:D,3,FALSE)</f>
        <v>ug4</v>
      </c>
      <c r="AD115" s="360" t="s">
        <v>2629</v>
      </c>
      <c r="AF115" s="330">
        <f>VLOOKUP(D115,'SUIVI JOURNALIER AVRIL'!CK:CL,2,FALSE)</f>
        <v>0</v>
      </c>
      <c r="AG115" s="360">
        <v>1</v>
      </c>
    </row>
    <row r="116" spans="1:33" s="360" customFormat="1" ht="13.5" customHeight="1">
      <c r="A116" s="324" t="s">
        <v>1725</v>
      </c>
      <c r="B116" s="325" t="s">
        <v>2063</v>
      </c>
      <c r="C116" s="325" t="s">
        <v>2064</v>
      </c>
      <c r="D116" s="325" t="s">
        <v>2065</v>
      </c>
      <c r="E116" s="324" t="s">
        <v>839</v>
      </c>
      <c r="F116" s="324" t="s">
        <v>2055</v>
      </c>
      <c r="G116" s="324" t="s">
        <v>887</v>
      </c>
      <c r="H116" s="324" t="s">
        <v>897</v>
      </c>
      <c r="I116" s="324" t="s">
        <v>2066</v>
      </c>
      <c r="J116" s="324" t="s">
        <v>2050</v>
      </c>
      <c r="K116" s="324" t="s">
        <v>890</v>
      </c>
      <c r="L116" s="324" t="s">
        <v>891</v>
      </c>
      <c r="M116" s="324" t="s">
        <v>892</v>
      </c>
      <c r="N116" s="324" t="s">
        <v>893</v>
      </c>
      <c r="O116" s="324" t="s">
        <v>894</v>
      </c>
      <c r="P116" s="324" t="s">
        <v>935</v>
      </c>
      <c r="Q116" s="324" t="s">
        <v>2067</v>
      </c>
      <c r="R116" s="324" t="s">
        <v>2068</v>
      </c>
      <c r="S116" s="356" t="s">
        <v>895</v>
      </c>
      <c r="T116" s="309" t="s">
        <v>999</v>
      </c>
      <c r="U116" s="357">
        <f>VLOOKUP(D116,'SUIVI JOURNALIER AVRIL'!CK:CM,3,FALSE)</f>
        <v>0</v>
      </c>
      <c r="V116" s="358" t="e">
        <f>IF(VLOOKUP('vs mars'!D116,'point sur les patentes'!B:E,4,FALSE)="","",VLOOKUP(D116,'point sur les patentes'!B:E,4,FALSE)+VLOOKUP(D116,'point sur les patentes'!B:F,5,FALSE)+VLOOKUP('vs mars'!D116,'point sur les patentes'!B:G,6,FALSE)+VLOOKUP('vs mars'!D116,'point sur les patentes'!B:H,7,FALSE)+VLOOKUP('vs mars'!D116,'point sur les patentes'!B:I,8,FALSE)+VLOOKUP(D116,'point sur les patentes'!B:J,9,FALSE)+VLOOKUP(D116,'point sur les patentes'!B:K,10,FALSE)+VLOOKUP(D116,'point sur les patentes'!B:L,11,FALSE)+VLOOKUP(D116,'point sur les patentes'!B:M,12,FALSE)+VLOOKUP(D116,'point sur les patentes'!B:N,13,FALSE)+VLOOKUP(D116,'point sur les patentes'!B:O,14,FALSE)+VLOOKUP(D116,'point sur les patentes'!B:P,15,FALSE)+VLOOKUP(D116,'point sur les patentes'!B:Q,16,FALSE)+VLOOKUP('vs mars'!D116,'point sur les patentes'!B:Z,25,FALSE))</f>
        <v>#N/A</v>
      </c>
      <c r="W116" s="340">
        <f>VLOOKUP(D116,'SUIVI JOURNALIER AVRIL'!B:J,9,FALSE)</f>
        <v>0</v>
      </c>
      <c r="X116" s="340">
        <f>VLOOKUP(D116,'SUIVI JOURNALIER AVRIL'!B:P,14,FALSE)+VLOOKUP('vs mars'!D116,'SUIVI JOURNALIER AVRIL'!B:V,20,FALSE)+VLOOKUP('vs mars'!D116,'SUIVI JOURNALIER AVRIL'!B:W,21,FALSE)</f>
        <v>0</v>
      </c>
      <c r="Y116" s="340">
        <f>VLOOKUP(D116,'SUIVI JOURNALIER AVRIL'!B:CC,80,FALSE)</f>
        <v>4545</v>
      </c>
      <c r="Z116" s="340">
        <f t="shared" si="2"/>
        <v>4545</v>
      </c>
      <c r="AA116" s="359">
        <f>VLOOKUP(D116,'SUIVI JOURNALIER AVRIL'!B:CD,81,FALSE)</f>
        <v>4545</v>
      </c>
      <c r="AB116" s="360" t="str">
        <f t="shared" si="3"/>
        <v>ok</v>
      </c>
      <c r="AC116" s="360" t="str">
        <f>VLOOKUP(B116,labo!B:D,3,FALSE)</f>
        <v>ug5</v>
      </c>
      <c r="AD116" s="360" t="s">
        <v>2629</v>
      </c>
      <c r="AF116" s="330">
        <f>VLOOKUP(D116,'SUIVI JOURNALIER AVRIL'!CK:CL,2,FALSE)</f>
        <v>0</v>
      </c>
      <c r="AG116" s="360">
        <v>1</v>
      </c>
    </row>
    <row r="117" spans="1:33" s="360" customFormat="1" ht="13.5" customHeight="1">
      <c r="A117" s="324" t="s">
        <v>1726</v>
      </c>
      <c r="B117" s="325" t="s">
        <v>2327</v>
      </c>
      <c r="C117" s="325" t="s">
        <v>2458</v>
      </c>
      <c r="D117" s="325" t="s">
        <v>2143</v>
      </c>
      <c r="E117" s="324" t="s">
        <v>733</v>
      </c>
      <c r="F117" s="324" t="s">
        <v>2055</v>
      </c>
      <c r="G117" s="324" t="s">
        <v>887</v>
      </c>
      <c r="H117" s="324" t="s">
        <v>2055</v>
      </c>
      <c r="I117" s="324" t="s">
        <v>2204</v>
      </c>
      <c r="J117" s="324" t="s">
        <v>2055</v>
      </c>
      <c r="K117" s="324" t="s">
        <v>2405</v>
      </c>
      <c r="L117" s="324" t="s">
        <v>891</v>
      </c>
      <c r="M117" s="324" t="s">
        <v>892</v>
      </c>
      <c r="N117" s="324" t="s">
        <v>893</v>
      </c>
      <c r="O117" s="324" t="s">
        <v>894</v>
      </c>
      <c r="P117" s="324" t="s">
        <v>919</v>
      </c>
      <c r="Q117" s="324" t="s">
        <v>2055</v>
      </c>
      <c r="R117" s="324" t="s">
        <v>1021</v>
      </c>
      <c r="S117" s="356" t="s">
        <v>895</v>
      </c>
      <c r="T117" s="309" t="s">
        <v>1006</v>
      </c>
      <c r="U117" s="357">
        <f>VLOOKUP(D117,'SUIVI JOURNALIER AVRIL'!CK:CM,3,FALSE)</f>
        <v>0</v>
      </c>
      <c r="V117" s="358" t="e">
        <f>IF(VLOOKUP('vs mars'!D117,'point sur les patentes'!B:E,4,FALSE)="","",VLOOKUP(D117,'point sur les patentes'!B:E,4,FALSE)+VLOOKUP(D117,'point sur les patentes'!B:F,5,FALSE)+VLOOKUP('vs mars'!D117,'point sur les patentes'!B:G,6,FALSE)+VLOOKUP('vs mars'!D117,'point sur les patentes'!B:H,7,FALSE)+VLOOKUP('vs mars'!D117,'point sur les patentes'!B:I,8,FALSE)+VLOOKUP(D117,'point sur les patentes'!B:J,9,FALSE)+VLOOKUP(D117,'point sur les patentes'!B:K,10,FALSE)+VLOOKUP(D117,'point sur les patentes'!B:L,11,FALSE)+VLOOKUP(D117,'point sur les patentes'!B:M,12,FALSE)+VLOOKUP(D117,'point sur les patentes'!B:N,13,FALSE)+VLOOKUP(D117,'point sur les patentes'!B:O,14,FALSE)+VLOOKUP(D117,'point sur les patentes'!B:P,15,FALSE)+VLOOKUP(D117,'point sur les patentes'!B:Q,16,FALSE)+VLOOKUP('vs mars'!D117,'point sur les patentes'!B:Z,25,FALSE))</f>
        <v>#N/A</v>
      </c>
      <c r="W117" s="340">
        <f>VLOOKUP(D117,'SUIVI JOURNALIER AVRIL'!B:J,9,FALSE)</f>
        <v>76000</v>
      </c>
      <c r="X117" s="340">
        <f>VLOOKUP(D117,'SUIVI JOURNALIER AVRIL'!B:P,14,FALSE)+VLOOKUP('vs mars'!D117,'SUIVI JOURNALIER AVRIL'!B:V,20,FALSE)+VLOOKUP('vs mars'!D117,'SUIVI JOURNALIER AVRIL'!B:W,21,FALSE)</f>
        <v>2000</v>
      </c>
      <c r="Y117" s="340">
        <f>VLOOKUP(D117,'SUIVI JOURNALIER AVRIL'!B:CC,80,FALSE)</f>
        <v>250000</v>
      </c>
      <c r="Z117" s="340">
        <f t="shared" si="2"/>
        <v>328000</v>
      </c>
      <c r="AA117" s="359">
        <f>VLOOKUP(D117,'SUIVI JOURNALIER AVRIL'!B:CD,81,FALSE)</f>
        <v>328000</v>
      </c>
      <c r="AB117" s="360" t="str">
        <f t="shared" si="3"/>
        <v>ok</v>
      </c>
      <c r="AC117" s="360" t="str">
        <f>VLOOKUP(B117,labo!B:D,3,FALSE)</f>
        <v>ug1</v>
      </c>
      <c r="AD117" s="360" t="s">
        <v>2629</v>
      </c>
      <c r="AF117" s="330">
        <f>VLOOKUP(D117,'SUIVI JOURNALIER AVRIL'!CK:CL,2,FALSE)</f>
        <v>0</v>
      </c>
      <c r="AG117" s="360">
        <v>1</v>
      </c>
    </row>
    <row r="118" spans="1:33" s="360" customFormat="1" ht="13.5" customHeight="1">
      <c r="A118" s="324" t="s">
        <v>1727</v>
      </c>
      <c r="B118" s="325" t="s">
        <v>310</v>
      </c>
      <c r="C118" s="325" t="s">
        <v>580</v>
      </c>
      <c r="D118" s="325" t="s">
        <v>581</v>
      </c>
      <c r="E118" s="324" t="s">
        <v>432</v>
      </c>
      <c r="F118" s="324" t="s">
        <v>2055</v>
      </c>
      <c r="G118" s="324" t="s">
        <v>926</v>
      </c>
      <c r="H118" s="324" t="s">
        <v>1129</v>
      </c>
      <c r="I118" s="324" t="s">
        <v>1130</v>
      </c>
      <c r="J118" s="324" t="s">
        <v>940</v>
      </c>
      <c r="K118" s="324" t="s">
        <v>890</v>
      </c>
      <c r="L118" s="324" t="s">
        <v>891</v>
      </c>
      <c r="M118" s="324" t="s">
        <v>892</v>
      </c>
      <c r="N118" s="324" t="s">
        <v>893</v>
      </c>
      <c r="O118" s="324" t="s">
        <v>894</v>
      </c>
      <c r="P118" s="324" t="s">
        <v>935</v>
      </c>
      <c r="Q118" s="324" t="s">
        <v>1131</v>
      </c>
      <c r="R118" s="324" t="s">
        <v>901</v>
      </c>
      <c r="S118" s="356" t="s">
        <v>895</v>
      </c>
      <c r="T118" s="309" t="s">
        <v>1090</v>
      </c>
      <c r="U118" s="357">
        <f>VLOOKUP(D118,'SUIVI JOURNALIER AVRIL'!CK:CM,3,FALSE)</f>
        <v>0</v>
      </c>
      <c r="V118" s="358" t="e">
        <f>IF(VLOOKUP('vs mars'!D118,'point sur les patentes'!B:E,4,FALSE)="","",VLOOKUP(D118,'point sur les patentes'!B:E,4,FALSE)+VLOOKUP(D118,'point sur les patentes'!B:F,5,FALSE)+VLOOKUP('vs mars'!D118,'point sur les patentes'!B:G,6,FALSE)+VLOOKUP('vs mars'!D118,'point sur les patentes'!B:H,7,FALSE)+VLOOKUP('vs mars'!D118,'point sur les patentes'!B:I,8,FALSE)+VLOOKUP(D118,'point sur les patentes'!B:J,9,FALSE)+VLOOKUP(D118,'point sur les patentes'!B:K,10,FALSE)+VLOOKUP(D118,'point sur les patentes'!B:L,11,FALSE)+VLOOKUP(D118,'point sur les patentes'!B:M,12,FALSE)+VLOOKUP(D118,'point sur les patentes'!B:N,13,FALSE)+VLOOKUP(D118,'point sur les patentes'!B:O,14,FALSE)+VLOOKUP(D118,'point sur les patentes'!B:P,15,FALSE)+VLOOKUP(D118,'point sur les patentes'!B:Q,16,FALSE)+VLOOKUP('vs mars'!D118,'point sur les patentes'!B:Z,25,FALSE))</f>
        <v>#N/A</v>
      </c>
      <c r="W118" s="340">
        <f>VLOOKUP(D118,'SUIVI JOURNALIER AVRIL'!B:J,9,FALSE)</f>
        <v>90883</v>
      </c>
      <c r="X118" s="340">
        <f>VLOOKUP(D118,'SUIVI JOURNALIER AVRIL'!B:P,14,FALSE)+VLOOKUP('vs mars'!D118,'SUIVI JOURNALIER AVRIL'!B:V,20,FALSE)+VLOOKUP('vs mars'!D118,'SUIVI JOURNALIER AVRIL'!B:W,21,FALSE)</f>
        <v>15793</v>
      </c>
      <c r="Y118" s="340">
        <f>VLOOKUP(D118,'SUIVI JOURNALIER AVRIL'!B:CC,80,FALSE)</f>
        <v>115160.90909090909</v>
      </c>
      <c r="Z118" s="340">
        <f t="shared" si="2"/>
        <v>221836.90909090909</v>
      </c>
      <c r="AA118" s="359">
        <f>VLOOKUP(D118,'SUIVI JOURNALIER AVRIL'!B:CD,81,FALSE)</f>
        <v>221836.90909090909</v>
      </c>
      <c r="AB118" s="360" t="str">
        <f t="shared" si="3"/>
        <v>ok</v>
      </c>
      <c r="AC118" s="360" t="str">
        <f>VLOOKUP(B118,labo!B:D,3,FALSE)</f>
        <v>ug2</v>
      </c>
      <c r="AD118" s="360" t="s">
        <v>2629</v>
      </c>
      <c r="AF118" s="330">
        <f>VLOOKUP(D118,'SUIVI JOURNALIER AVRIL'!CK:CL,2,FALSE)</f>
        <v>0</v>
      </c>
      <c r="AG118" s="360">
        <v>1</v>
      </c>
    </row>
    <row r="119" spans="1:33" s="360" customFormat="1" ht="13.5" customHeight="1">
      <c r="A119" s="324" t="s">
        <v>949</v>
      </c>
      <c r="B119" s="325" t="s">
        <v>2295</v>
      </c>
      <c r="C119" s="325" t="s">
        <v>2055</v>
      </c>
      <c r="D119" s="325" t="s">
        <v>2296</v>
      </c>
      <c r="E119" s="324" t="s">
        <v>2459</v>
      </c>
      <c r="F119" s="324" t="s">
        <v>2055</v>
      </c>
      <c r="G119" s="324" t="s">
        <v>926</v>
      </c>
      <c r="H119" s="324" t="s">
        <v>2055</v>
      </c>
      <c r="I119" s="324" t="s">
        <v>1374</v>
      </c>
      <c r="J119" s="324" t="s">
        <v>2427</v>
      </c>
      <c r="K119" s="324" t="s">
        <v>2405</v>
      </c>
      <c r="L119" s="324" t="s">
        <v>891</v>
      </c>
      <c r="M119" s="324" t="s">
        <v>892</v>
      </c>
      <c r="N119" s="324" t="s">
        <v>893</v>
      </c>
      <c r="O119" s="324" t="s">
        <v>894</v>
      </c>
      <c r="P119" s="324" t="s">
        <v>919</v>
      </c>
      <c r="Q119" s="324" t="s">
        <v>2460</v>
      </c>
      <c r="R119" s="324" t="s">
        <v>2055</v>
      </c>
      <c r="S119" s="356" t="s">
        <v>895</v>
      </c>
      <c r="T119" s="309" t="s">
        <v>902</v>
      </c>
      <c r="U119" s="357">
        <f>VLOOKUP(D119,'SUIVI JOURNALIER AVRIL'!CK:CM,3,FALSE)</f>
        <v>0</v>
      </c>
      <c r="V119" s="358" t="e">
        <f>IF(VLOOKUP('vs mars'!D119,'point sur les patentes'!B:E,4,FALSE)="","",VLOOKUP(D119,'point sur les patentes'!B:E,4,FALSE)+VLOOKUP(D119,'point sur les patentes'!B:F,5,FALSE)+VLOOKUP('vs mars'!D119,'point sur les patentes'!B:G,6,FALSE)+VLOOKUP('vs mars'!D119,'point sur les patentes'!B:H,7,FALSE)+VLOOKUP('vs mars'!D119,'point sur les patentes'!B:I,8,FALSE)+VLOOKUP(D119,'point sur les patentes'!B:J,9,FALSE)+VLOOKUP(D119,'point sur les patentes'!B:K,10,FALSE)+VLOOKUP(D119,'point sur les patentes'!B:L,11,FALSE)+VLOOKUP(D119,'point sur les patentes'!B:M,12,FALSE)+VLOOKUP(D119,'point sur les patentes'!B:N,13,FALSE)+VLOOKUP(D119,'point sur les patentes'!B:O,14,FALSE)+VLOOKUP(D119,'point sur les patentes'!B:P,15,FALSE)+VLOOKUP(D119,'point sur les patentes'!B:Q,16,FALSE)+VLOOKUP('vs mars'!D119,'point sur les patentes'!B:Z,25,FALSE))</f>
        <v>#N/A</v>
      </c>
      <c r="W119" s="340">
        <f>VLOOKUP(D119,'SUIVI JOURNALIER AVRIL'!B:J,9,FALSE)</f>
        <v>95829</v>
      </c>
      <c r="X119" s="340">
        <f>VLOOKUP(D119,'SUIVI JOURNALIER AVRIL'!B:P,14,FALSE)+VLOOKUP('vs mars'!D119,'SUIVI JOURNALIER AVRIL'!B:V,20,FALSE)+VLOOKUP('vs mars'!D119,'SUIVI JOURNALIER AVRIL'!B:W,21,FALSE)</f>
        <v>15597</v>
      </c>
      <c r="Y119" s="340">
        <f>VLOOKUP(D119,'SUIVI JOURNALIER AVRIL'!B:CC,80,FALSE)</f>
        <v>38400</v>
      </c>
      <c r="Z119" s="340">
        <f t="shared" si="2"/>
        <v>149826</v>
      </c>
      <c r="AA119" s="359">
        <f>VLOOKUP(D119,'SUIVI JOURNALIER AVRIL'!B:CD,81,FALSE)</f>
        <v>149826</v>
      </c>
      <c r="AB119" s="360" t="str">
        <f t="shared" si="3"/>
        <v>ok</v>
      </c>
      <c r="AC119" s="360" t="str">
        <f>VLOOKUP(B119,labo!B:D,3,FALSE)</f>
        <v>ug5</v>
      </c>
      <c r="AD119" s="360" t="s">
        <v>2630</v>
      </c>
      <c r="AF119" s="330">
        <f>VLOOKUP(D119,'SUIVI JOURNALIER AVRIL'!CK:CL,2,FALSE)</f>
        <v>0</v>
      </c>
      <c r="AG119" s="360">
        <v>1</v>
      </c>
    </row>
    <row r="120" spans="1:33" s="360" customFormat="1" ht="13.5" customHeight="1">
      <c r="A120" s="324" t="s">
        <v>1728</v>
      </c>
      <c r="B120" s="325" t="s">
        <v>365</v>
      </c>
      <c r="C120" s="325" t="s">
        <v>582</v>
      </c>
      <c r="D120" s="325" t="s">
        <v>583</v>
      </c>
      <c r="E120" s="324" t="s">
        <v>458</v>
      </c>
      <c r="F120" s="324" t="s">
        <v>2055</v>
      </c>
      <c r="G120" s="324" t="s">
        <v>926</v>
      </c>
      <c r="H120" s="324" t="s">
        <v>993</v>
      </c>
      <c r="I120" s="324" t="s">
        <v>1132</v>
      </c>
      <c r="J120" s="324" t="s">
        <v>940</v>
      </c>
      <c r="K120" s="324" t="s">
        <v>890</v>
      </c>
      <c r="L120" s="324" t="s">
        <v>891</v>
      </c>
      <c r="M120" s="324" t="s">
        <v>892</v>
      </c>
      <c r="N120" s="324" t="s">
        <v>893</v>
      </c>
      <c r="O120" s="324" t="s">
        <v>894</v>
      </c>
      <c r="P120" s="324" t="s">
        <v>935</v>
      </c>
      <c r="Q120" s="324" t="s">
        <v>995</v>
      </c>
      <c r="R120" s="324" t="s">
        <v>996</v>
      </c>
      <c r="S120" s="356" t="s">
        <v>895</v>
      </c>
      <c r="T120" s="309" t="s">
        <v>953</v>
      </c>
      <c r="U120" s="357">
        <f>VLOOKUP(D120,'SUIVI JOURNALIER AVRIL'!CK:CM,3,FALSE)</f>
        <v>0</v>
      </c>
      <c r="V120" s="358" t="e">
        <f>IF(VLOOKUP('vs mars'!D120,'point sur les patentes'!B:E,4,FALSE)="","",VLOOKUP(D120,'point sur les patentes'!B:E,4,FALSE)+VLOOKUP(D120,'point sur les patentes'!B:F,5,FALSE)+VLOOKUP('vs mars'!D120,'point sur les patentes'!B:G,6,FALSE)+VLOOKUP('vs mars'!D120,'point sur les patentes'!B:H,7,FALSE)+VLOOKUP('vs mars'!D120,'point sur les patentes'!B:I,8,FALSE)+VLOOKUP(D120,'point sur les patentes'!B:J,9,FALSE)+VLOOKUP(D120,'point sur les patentes'!B:K,10,FALSE)+VLOOKUP(D120,'point sur les patentes'!B:L,11,FALSE)+VLOOKUP(D120,'point sur les patentes'!B:M,12,FALSE)+VLOOKUP(D120,'point sur les patentes'!B:N,13,FALSE)+VLOOKUP(D120,'point sur les patentes'!B:O,14,FALSE)+VLOOKUP(D120,'point sur les patentes'!B:P,15,FALSE)+VLOOKUP(D120,'point sur les patentes'!B:Q,16,FALSE)+VLOOKUP('vs mars'!D120,'point sur les patentes'!B:Z,25,FALSE))</f>
        <v>#N/A</v>
      </c>
      <c r="W120" s="340">
        <f>VLOOKUP(D120,'SUIVI JOURNALIER AVRIL'!B:J,9,FALSE)</f>
        <v>0</v>
      </c>
      <c r="X120" s="340">
        <f>VLOOKUP(D120,'SUIVI JOURNALIER AVRIL'!B:P,14,FALSE)+VLOOKUP('vs mars'!D120,'SUIVI JOURNALIER AVRIL'!B:V,20,FALSE)+VLOOKUP('vs mars'!D120,'SUIVI JOURNALIER AVRIL'!B:W,21,FALSE)</f>
        <v>488000</v>
      </c>
      <c r="Y120" s="340">
        <f>VLOOKUP(D120,'SUIVI JOURNALIER AVRIL'!B:CC,80,FALSE)</f>
        <v>669106</v>
      </c>
      <c r="Z120" s="340">
        <f t="shared" si="2"/>
        <v>1157106</v>
      </c>
      <c r="AA120" s="359">
        <f>VLOOKUP(D120,'SUIVI JOURNALIER AVRIL'!B:CD,81,FALSE)</f>
        <v>1157106</v>
      </c>
      <c r="AB120" s="360" t="str">
        <f t="shared" si="3"/>
        <v>ok</v>
      </c>
      <c r="AC120" s="360" t="str">
        <f>VLOOKUP(B120,labo!B:D,3,FALSE)</f>
        <v>ug4</v>
      </c>
      <c r="AD120" s="360" t="s">
        <v>2629</v>
      </c>
      <c r="AF120" s="330">
        <f>VLOOKUP(D120,'SUIVI JOURNALIER AVRIL'!CK:CL,2,FALSE)</f>
        <v>0</v>
      </c>
      <c r="AG120" s="360">
        <v>1</v>
      </c>
    </row>
    <row r="121" spans="1:33" s="360" customFormat="1" ht="13.5" customHeight="1">
      <c r="A121" s="324" t="s">
        <v>1729</v>
      </c>
      <c r="B121" s="325" t="s">
        <v>381</v>
      </c>
      <c r="C121" s="325" t="s">
        <v>584</v>
      </c>
      <c r="D121" s="325" t="s">
        <v>585</v>
      </c>
      <c r="E121" s="324" t="s">
        <v>554</v>
      </c>
      <c r="F121" s="324" t="s">
        <v>2055</v>
      </c>
      <c r="G121" s="324" t="s">
        <v>887</v>
      </c>
      <c r="H121" s="324" t="s">
        <v>1133</v>
      </c>
      <c r="I121" s="324" t="s">
        <v>1134</v>
      </c>
      <c r="J121" s="324" t="s">
        <v>889</v>
      </c>
      <c r="K121" s="324" t="s">
        <v>890</v>
      </c>
      <c r="L121" s="324" t="s">
        <v>891</v>
      </c>
      <c r="M121" s="324" t="s">
        <v>892</v>
      </c>
      <c r="N121" s="324" t="s">
        <v>905</v>
      </c>
      <c r="O121" s="324" t="s">
        <v>906</v>
      </c>
      <c r="P121" s="324" t="s">
        <v>906</v>
      </c>
      <c r="Q121" s="324" t="s">
        <v>924</v>
      </c>
      <c r="R121" s="324" t="s">
        <v>1488</v>
      </c>
      <c r="S121" s="356" t="s">
        <v>895</v>
      </c>
      <c r="T121" s="309" t="s">
        <v>2122</v>
      </c>
      <c r="U121" s="357">
        <f>VLOOKUP(D121,'SUIVI JOURNALIER AVRIL'!CK:CM,3,FALSE)</f>
        <v>0</v>
      </c>
      <c r="V121" s="358" t="e">
        <f>IF(VLOOKUP('vs mars'!D121,'point sur les patentes'!B:E,4,FALSE)="","",VLOOKUP(D121,'point sur les patentes'!B:E,4,FALSE)+VLOOKUP(D121,'point sur les patentes'!B:F,5,FALSE)+VLOOKUP('vs mars'!D121,'point sur les patentes'!B:G,6,FALSE)+VLOOKUP('vs mars'!D121,'point sur les patentes'!B:H,7,FALSE)+VLOOKUP('vs mars'!D121,'point sur les patentes'!B:I,8,FALSE)+VLOOKUP(D121,'point sur les patentes'!B:J,9,FALSE)+VLOOKUP(D121,'point sur les patentes'!B:K,10,FALSE)+VLOOKUP(D121,'point sur les patentes'!B:L,11,FALSE)+VLOOKUP(D121,'point sur les patentes'!B:M,12,FALSE)+VLOOKUP(D121,'point sur les patentes'!B:N,13,FALSE)+VLOOKUP(D121,'point sur les patentes'!B:O,14,FALSE)+VLOOKUP(D121,'point sur les patentes'!B:P,15,FALSE)+VLOOKUP(D121,'point sur les patentes'!B:Q,16,FALSE)+VLOOKUP('vs mars'!D121,'point sur les patentes'!B:Z,25,FALSE))</f>
        <v>#N/A</v>
      </c>
      <c r="W121" s="340">
        <f>VLOOKUP(D121,'SUIVI JOURNALIER AVRIL'!B:J,9,FALSE)</f>
        <v>23770</v>
      </c>
      <c r="X121" s="340">
        <f>VLOOKUP(D121,'SUIVI JOURNALIER AVRIL'!B:P,14,FALSE)+VLOOKUP('vs mars'!D121,'SUIVI JOURNALIER AVRIL'!B:V,20,FALSE)+VLOOKUP('vs mars'!D121,'SUIVI JOURNALIER AVRIL'!B:W,21,FALSE)</f>
        <v>84579</v>
      </c>
      <c r="Y121" s="340">
        <f>VLOOKUP(D121,'SUIVI JOURNALIER AVRIL'!B:CC,80,FALSE)</f>
        <v>0</v>
      </c>
      <c r="Z121" s="340">
        <f t="shared" si="2"/>
        <v>108349</v>
      </c>
      <c r="AA121" s="359">
        <f>VLOOKUP(D121,'SUIVI JOURNALIER AVRIL'!B:CD,81,FALSE)</f>
        <v>108349</v>
      </c>
      <c r="AB121" s="360" t="str">
        <f t="shared" si="3"/>
        <v>ok</v>
      </c>
      <c r="AC121" s="360" t="str">
        <f>VLOOKUP(B121,labo!B:D,3,FALSE)</f>
        <v>ug2</v>
      </c>
      <c r="AD121" s="360" t="s">
        <v>2629</v>
      </c>
      <c r="AF121" s="330">
        <f>VLOOKUP(D121,'SUIVI JOURNALIER AVRIL'!CK:CL,2,FALSE)</f>
        <v>0</v>
      </c>
      <c r="AG121" s="360">
        <v>1</v>
      </c>
    </row>
    <row r="122" spans="1:33" s="360" customFormat="1" ht="13.5" customHeight="1">
      <c r="A122" s="324" t="s">
        <v>973</v>
      </c>
      <c r="B122" s="325" t="s">
        <v>2328</v>
      </c>
      <c r="C122" s="325" t="s">
        <v>2461</v>
      </c>
      <c r="D122" s="325" t="s">
        <v>2462</v>
      </c>
      <c r="E122" s="324" t="s">
        <v>2409</v>
      </c>
      <c r="F122" s="324" t="s">
        <v>2055</v>
      </c>
      <c r="G122" s="324" t="s">
        <v>887</v>
      </c>
      <c r="H122" s="324" t="s">
        <v>2055</v>
      </c>
      <c r="I122" s="324" t="s">
        <v>2055</v>
      </c>
      <c r="J122" s="324" t="s">
        <v>2055</v>
      </c>
      <c r="K122" s="324" t="s">
        <v>2405</v>
      </c>
      <c r="L122" s="324" t="s">
        <v>891</v>
      </c>
      <c r="M122" s="324" t="s">
        <v>892</v>
      </c>
      <c r="N122" s="324" t="s">
        <v>893</v>
      </c>
      <c r="O122" s="324" t="s">
        <v>894</v>
      </c>
      <c r="P122" s="324" t="s">
        <v>919</v>
      </c>
      <c r="Q122" s="324" t="s">
        <v>2463</v>
      </c>
      <c r="R122" s="324" t="s">
        <v>2055</v>
      </c>
      <c r="S122" s="356" t="s">
        <v>895</v>
      </c>
      <c r="T122" s="309" t="s">
        <v>902</v>
      </c>
      <c r="U122" s="357">
        <f>VLOOKUP(D122,'SUIVI JOURNALIER AVRIL'!CK:CM,3,FALSE)</f>
        <v>0</v>
      </c>
      <c r="V122" s="358" t="e">
        <f>IF(VLOOKUP('vs mars'!D122,'point sur les patentes'!B:E,4,FALSE)="","",VLOOKUP(D122,'point sur les patentes'!B:E,4,FALSE)+VLOOKUP(D122,'point sur les patentes'!B:F,5,FALSE)+VLOOKUP('vs mars'!D122,'point sur les patentes'!B:G,6,FALSE)+VLOOKUP('vs mars'!D122,'point sur les patentes'!B:H,7,FALSE)+VLOOKUP('vs mars'!D122,'point sur les patentes'!B:I,8,FALSE)+VLOOKUP(D122,'point sur les patentes'!B:J,9,FALSE)+VLOOKUP(D122,'point sur les patentes'!B:K,10,FALSE)+VLOOKUP(D122,'point sur les patentes'!B:L,11,FALSE)+VLOOKUP(D122,'point sur les patentes'!B:M,12,FALSE)+VLOOKUP(D122,'point sur les patentes'!B:N,13,FALSE)+VLOOKUP(D122,'point sur les patentes'!B:O,14,FALSE)+VLOOKUP(D122,'point sur les patentes'!B:P,15,FALSE)+VLOOKUP(D122,'point sur les patentes'!B:Q,16,FALSE)+VLOOKUP('vs mars'!D122,'point sur les patentes'!B:Z,25,FALSE))</f>
        <v>#N/A</v>
      </c>
      <c r="W122" s="340">
        <f>VLOOKUP(D122,'SUIVI JOURNALIER AVRIL'!B:J,9,FALSE)</f>
        <v>13168.454545454546</v>
      </c>
      <c r="X122" s="340">
        <f>VLOOKUP(D122,'SUIVI JOURNALIER AVRIL'!B:P,14,FALSE)+VLOOKUP('vs mars'!D122,'SUIVI JOURNALIER AVRIL'!B:V,20,FALSE)+VLOOKUP('vs mars'!D122,'SUIVI JOURNALIER AVRIL'!B:W,21,FALSE)</f>
        <v>1608.8181818181818</v>
      </c>
      <c r="Y122" s="340">
        <f>VLOOKUP(D122,'SUIVI JOURNALIER AVRIL'!B:CC,80,FALSE)</f>
        <v>3525</v>
      </c>
      <c r="Z122" s="340">
        <f t="shared" si="2"/>
        <v>18302.272727272728</v>
      </c>
      <c r="AA122" s="359">
        <f>VLOOKUP(D122,'SUIVI JOURNALIER AVRIL'!B:CD,81,FALSE)</f>
        <v>18302.272727272728</v>
      </c>
      <c r="AB122" s="360" t="str">
        <f t="shared" si="3"/>
        <v>ok</v>
      </c>
      <c r="AC122" s="360" t="str">
        <f>VLOOKUP(B122,labo!B:D,3,FALSE)</f>
        <v>ug4</v>
      </c>
      <c r="AD122" s="360" t="s">
        <v>2630</v>
      </c>
      <c r="AF122" s="330">
        <f>VLOOKUP(D122,'SUIVI JOURNALIER AVRIL'!CK:CL,2,FALSE)</f>
        <v>0</v>
      </c>
      <c r="AG122" s="360">
        <v>1</v>
      </c>
    </row>
    <row r="123" spans="1:33" s="360" customFormat="1" ht="13.5" customHeight="1">
      <c r="A123" s="324" t="s">
        <v>1730</v>
      </c>
      <c r="B123" s="325" t="s">
        <v>363</v>
      </c>
      <c r="C123" s="325" t="s">
        <v>586</v>
      </c>
      <c r="D123" s="325" t="s">
        <v>587</v>
      </c>
      <c r="E123" s="324" t="s">
        <v>432</v>
      </c>
      <c r="F123" s="324" t="s">
        <v>2055</v>
      </c>
      <c r="G123" s="324" t="s">
        <v>887</v>
      </c>
      <c r="H123" s="324" t="s">
        <v>1135</v>
      </c>
      <c r="I123" s="324" t="s">
        <v>1136</v>
      </c>
      <c r="J123" s="324" t="s">
        <v>889</v>
      </c>
      <c r="K123" s="324" t="s">
        <v>890</v>
      </c>
      <c r="L123" s="324" t="s">
        <v>891</v>
      </c>
      <c r="M123" s="324" t="s">
        <v>892</v>
      </c>
      <c r="N123" s="324" t="s">
        <v>893</v>
      </c>
      <c r="O123" s="324" t="s">
        <v>894</v>
      </c>
      <c r="P123" s="324" t="s">
        <v>935</v>
      </c>
      <c r="Q123" s="324" t="s">
        <v>1137</v>
      </c>
      <c r="R123" s="324" t="s">
        <v>1138</v>
      </c>
      <c r="S123" s="356" t="s">
        <v>895</v>
      </c>
      <c r="T123" s="309" t="s">
        <v>965</v>
      </c>
      <c r="U123" s="357">
        <f>VLOOKUP(D123,'SUIVI JOURNALIER AVRIL'!CK:CM,3,FALSE)</f>
        <v>0</v>
      </c>
      <c r="V123" s="358" t="e">
        <f>IF(VLOOKUP('vs mars'!D123,'point sur les patentes'!B:E,4,FALSE)="","",VLOOKUP(D123,'point sur les patentes'!B:E,4,FALSE)+VLOOKUP(D123,'point sur les patentes'!B:F,5,FALSE)+VLOOKUP('vs mars'!D123,'point sur les patentes'!B:G,6,FALSE)+VLOOKUP('vs mars'!D123,'point sur les patentes'!B:H,7,FALSE)+VLOOKUP('vs mars'!D123,'point sur les patentes'!B:I,8,FALSE)+VLOOKUP(D123,'point sur les patentes'!B:J,9,FALSE)+VLOOKUP(D123,'point sur les patentes'!B:K,10,FALSE)+VLOOKUP(D123,'point sur les patentes'!B:L,11,FALSE)+VLOOKUP(D123,'point sur les patentes'!B:M,12,FALSE)+VLOOKUP(D123,'point sur les patentes'!B:N,13,FALSE)+VLOOKUP(D123,'point sur les patentes'!B:O,14,FALSE)+VLOOKUP(D123,'point sur les patentes'!B:P,15,FALSE)+VLOOKUP(D123,'point sur les patentes'!B:Q,16,FALSE)+VLOOKUP('vs mars'!D123,'point sur les patentes'!B:Z,25,FALSE))</f>
        <v>#N/A</v>
      </c>
      <c r="W123" s="340">
        <f>VLOOKUP(D123,'SUIVI JOURNALIER AVRIL'!B:J,9,FALSE)</f>
        <v>49065</v>
      </c>
      <c r="X123" s="340">
        <f>VLOOKUP(D123,'SUIVI JOURNALIER AVRIL'!B:P,14,FALSE)+VLOOKUP('vs mars'!D123,'SUIVI JOURNALIER AVRIL'!B:V,20,FALSE)+VLOOKUP('vs mars'!D123,'SUIVI JOURNALIER AVRIL'!B:W,21,FALSE)</f>
        <v>5656</v>
      </c>
      <c r="Y123" s="340">
        <f>VLOOKUP(D123,'SUIVI JOURNALIER AVRIL'!B:CC,80,FALSE)</f>
        <v>24000</v>
      </c>
      <c r="Z123" s="340">
        <f t="shared" si="2"/>
        <v>78721</v>
      </c>
      <c r="AA123" s="359">
        <f>VLOOKUP(D123,'SUIVI JOURNALIER AVRIL'!B:CD,81,FALSE)</f>
        <v>78721</v>
      </c>
      <c r="AB123" s="360" t="str">
        <f t="shared" si="3"/>
        <v>ok</v>
      </c>
      <c r="AC123" s="360" t="str">
        <f>VLOOKUP(B123,labo!B:D,3,FALSE)</f>
        <v>ug2</v>
      </c>
      <c r="AD123" s="360" t="s">
        <v>2629</v>
      </c>
      <c r="AF123" s="330">
        <f>VLOOKUP(D123,'SUIVI JOURNALIER AVRIL'!CK:CL,2,FALSE)</f>
        <v>0</v>
      </c>
      <c r="AG123" s="360">
        <v>1</v>
      </c>
    </row>
    <row r="124" spans="1:33" s="360" customFormat="1" ht="13.5" customHeight="1">
      <c r="A124" s="324" t="s">
        <v>1731</v>
      </c>
      <c r="B124" s="325" t="s">
        <v>1565</v>
      </c>
      <c r="C124" s="325" t="s">
        <v>2055</v>
      </c>
      <c r="D124" s="325" t="s">
        <v>1712</v>
      </c>
      <c r="E124" s="324" t="s">
        <v>1566</v>
      </c>
      <c r="F124" s="324" t="s">
        <v>2055</v>
      </c>
      <c r="G124" s="324" t="s">
        <v>931</v>
      </c>
      <c r="H124" s="324" t="s">
        <v>897</v>
      </c>
      <c r="I124" s="324" t="s">
        <v>897</v>
      </c>
      <c r="J124" s="324" t="s">
        <v>1004</v>
      </c>
      <c r="K124" s="324" t="s">
        <v>890</v>
      </c>
      <c r="L124" s="324" t="s">
        <v>891</v>
      </c>
      <c r="M124" s="324" t="s">
        <v>892</v>
      </c>
      <c r="N124" s="324" t="s">
        <v>893</v>
      </c>
      <c r="O124" s="324" t="s">
        <v>894</v>
      </c>
      <c r="P124" s="324" t="s">
        <v>899</v>
      </c>
      <c r="Q124" s="324" t="s">
        <v>1567</v>
      </c>
      <c r="R124" s="324" t="s">
        <v>1568</v>
      </c>
      <c r="S124" s="356" t="s">
        <v>895</v>
      </c>
      <c r="T124" s="309" t="s">
        <v>965</v>
      </c>
      <c r="U124" s="357">
        <f>VLOOKUP(D124,'SUIVI JOURNALIER AVRIL'!CK:CM,3,FALSE)</f>
        <v>0</v>
      </c>
      <c r="V124" s="358" t="e">
        <f>IF(VLOOKUP('vs mars'!D124,'point sur les patentes'!B:E,4,FALSE)="","",VLOOKUP(D124,'point sur les patentes'!B:E,4,FALSE)+VLOOKUP(D124,'point sur les patentes'!B:F,5,FALSE)+VLOOKUP('vs mars'!D124,'point sur les patentes'!B:G,6,FALSE)+VLOOKUP('vs mars'!D124,'point sur les patentes'!B:H,7,FALSE)+VLOOKUP('vs mars'!D124,'point sur les patentes'!B:I,8,FALSE)+VLOOKUP(D124,'point sur les patentes'!B:J,9,FALSE)+VLOOKUP(D124,'point sur les patentes'!B:K,10,FALSE)+VLOOKUP(D124,'point sur les patentes'!B:L,11,FALSE)+VLOOKUP(D124,'point sur les patentes'!B:M,12,FALSE)+VLOOKUP(D124,'point sur les patentes'!B:N,13,FALSE)+VLOOKUP(D124,'point sur les patentes'!B:O,14,FALSE)+VLOOKUP(D124,'point sur les patentes'!B:P,15,FALSE)+VLOOKUP(D124,'point sur les patentes'!B:Q,16,FALSE)+VLOOKUP('vs mars'!D124,'point sur les patentes'!B:Z,25,FALSE))</f>
        <v>#N/A</v>
      </c>
      <c r="W124" s="340">
        <f>VLOOKUP(D124,'SUIVI JOURNALIER AVRIL'!B:J,9,FALSE)</f>
        <v>1216989</v>
      </c>
      <c r="X124" s="340">
        <f>VLOOKUP(D124,'SUIVI JOURNALIER AVRIL'!B:P,14,FALSE)+VLOOKUP('vs mars'!D124,'SUIVI JOURNALIER AVRIL'!B:V,20,FALSE)+VLOOKUP('vs mars'!D124,'SUIVI JOURNALIER AVRIL'!B:W,21,FALSE)</f>
        <v>347711</v>
      </c>
      <c r="Y124" s="340">
        <f>VLOOKUP(D124,'SUIVI JOURNALIER AVRIL'!B:CC,80,FALSE)</f>
        <v>109010</v>
      </c>
      <c r="Z124" s="340">
        <f t="shared" si="2"/>
        <v>1673710</v>
      </c>
      <c r="AA124" s="359">
        <f>VLOOKUP(D124,'SUIVI JOURNALIER AVRIL'!B:CD,81,FALSE)</f>
        <v>1673710</v>
      </c>
      <c r="AB124" s="360" t="str">
        <f t="shared" si="3"/>
        <v>ok</v>
      </c>
      <c r="AC124" s="360" t="str">
        <f>VLOOKUP(B124,labo!B:D,3,FALSE)</f>
        <v>ug5</v>
      </c>
      <c r="AD124" s="360" t="s">
        <v>2629</v>
      </c>
      <c r="AF124" s="330">
        <f>VLOOKUP(D124,'SUIVI JOURNALIER AVRIL'!CK:CL,2,FALSE)</f>
        <v>0</v>
      </c>
      <c r="AG124" s="360">
        <v>1</v>
      </c>
    </row>
    <row r="125" spans="1:33" s="360" customFormat="1" ht="13.5" customHeight="1">
      <c r="A125" s="324" t="s">
        <v>1732</v>
      </c>
      <c r="B125" s="325" t="s">
        <v>284</v>
      </c>
      <c r="C125" s="325" t="s">
        <v>588</v>
      </c>
      <c r="D125" s="325" t="s">
        <v>410</v>
      </c>
      <c r="E125" s="324" t="s">
        <v>549</v>
      </c>
      <c r="F125" s="324" t="s">
        <v>2055</v>
      </c>
      <c r="G125" s="324" t="s">
        <v>926</v>
      </c>
      <c r="H125" s="324" t="s">
        <v>1139</v>
      </c>
      <c r="I125" s="324" t="s">
        <v>2464</v>
      </c>
      <c r="J125" s="324" t="s">
        <v>940</v>
      </c>
      <c r="K125" s="324" t="s">
        <v>890</v>
      </c>
      <c r="L125" s="324" t="s">
        <v>891</v>
      </c>
      <c r="M125" s="324" t="s">
        <v>892</v>
      </c>
      <c r="N125" s="324" t="s">
        <v>893</v>
      </c>
      <c r="O125" s="324" t="s">
        <v>894</v>
      </c>
      <c r="P125" s="324" t="s">
        <v>899</v>
      </c>
      <c r="Q125" s="324" t="s">
        <v>1140</v>
      </c>
      <c r="R125" s="324" t="s">
        <v>1141</v>
      </c>
      <c r="S125" s="356" t="s">
        <v>895</v>
      </c>
      <c r="T125" s="309" t="s">
        <v>909</v>
      </c>
      <c r="U125" s="357" t="e">
        <f>VLOOKUP(D125,'SUIVI JOURNALIER AVRIL'!CK:CM,3,FALSE)</f>
        <v>#N/A</v>
      </c>
      <c r="V125" s="358" t="e">
        <f>IF(VLOOKUP('vs mars'!D125,'point sur les patentes'!B:E,4,FALSE)="","",VLOOKUP(D125,'point sur les patentes'!B:E,4,FALSE)+VLOOKUP(D125,'point sur les patentes'!B:F,5,FALSE)+VLOOKUP('vs mars'!D125,'point sur les patentes'!B:G,6,FALSE)+VLOOKUP('vs mars'!D125,'point sur les patentes'!B:H,7,FALSE)+VLOOKUP('vs mars'!D125,'point sur les patentes'!B:I,8,FALSE)+VLOOKUP(D125,'point sur les patentes'!B:J,9,FALSE)+VLOOKUP(D125,'point sur les patentes'!B:K,10,FALSE)+VLOOKUP(D125,'point sur les patentes'!B:L,11,FALSE)+VLOOKUP(D125,'point sur les patentes'!B:M,12,FALSE)+VLOOKUP(D125,'point sur les patentes'!B:N,13,FALSE)+VLOOKUP(D125,'point sur les patentes'!B:O,14,FALSE)+VLOOKUP(D125,'point sur les patentes'!B:P,15,FALSE)+VLOOKUP(D125,'point sur les patentes'!B:Q,16,FALSE)+VLOOKUP('vs mars'!D125,'point sur les patentes'!B:Z,25,FALSE))</f>
        <v>#N/A</v>
      </c>
      <c r="W125" s="340" t="e">
        <f>VLOOKUP(D125,'SUIVI JOURNALIER AVRIL'!B:J,9,FALSE)</f>
        <v>#N/A</v>
      </c>
      <c r="X125" s="340" t="e">
        <f>VLOOKUP(D125,'SUIVI JOURNALIER AVRIL'!B:P,14,FALSE)+VLOOKUP('vs mars'!D125,'SUIVI JOURNALIER AVRIL'!B:V,20,FALSE)+VLOOKUP('vs mars'!D125,'SUIVI JOURNALIER AVRIL'!B:W,21,FALSE)</f>
        <v>#N/A</v>
      </c>
      <c r="Y125" s="340" t="e">
        <f>VLOOKUP(D125,'SUIVI JOURNALIER AVRIL'!B:CC,80,FALSE)</f>
        <v>#N/A</v>
      </c>
      <c r="Z125" s="340" t="e">
        <f t="shared" si="2"/>
        <v>#N/A</v>
      </c>
      <c r="AA125" s="359" t="e">
        <f>VLOOKUP(D125,'SUIVI JOURNALIER AVRIL'!B:CD,81,FALSE)</f>
        <v>#N/A</v>
      </c>
      <c r="AB125" s="360" t="e">
        <f t="shared" si="3"/>
        <v>#N/A</v>
      </c>
      <c r="AC125" s="360" t="str">
        <f>VLOOKUP(B125,labo!B:D,3,FALSE)</f>
        <v>ug5</v>
      </c>
      <c r="AD125" s="360" t="s">
        <v>2629</v>
      </c>
      <c r="AF125" s="330" t="e">
        <f>VLOOKUP(D125,'SUIVI JOURNALIER AVRIL'!CK:CL,2,FALSE)</f>
        <v>#N/A</v>
      </c>
      <c r="AG125" s="360">
        <v>1</v>
      </c>
    </row>
    <row r="126" spans="1:33" s="360" customFormat="1" ht="13.5" customHeight="1">
      <c r="A126" s="324" t="s">
        <v>1733</v>
      </c>
      <c r="B126" s="325" t="s">
        <v>2028</v>
      </c>
      <c r="C126" s="325" t="s">
        <v>2069</v>
      </c>
      <c r="D126" s="325" t="s">
        <v>2070</v>
      </c>
      <c r="E126" s="324" t="s">
        <v>2071</v>
      </c>
      <c r="F126" s="324" t="s">
        <v>2055</v>
      </c>
      <c r="G126" s="324" t="s">
        <v>887</v>
      </c>
      <c r="H126" s="324" t="s">
        <v>897</v>
      </c>
      <c r="I126" s="324" t="s">
        <v>2055</v>
      </c>
      <c r="J126" s="324" t="s">
        <v>889</v>
      </c>
      <c r="K126" s="324" t="s">
        <v>890</v>
      </c>
      <c r="L126" s="324" t="s">
        <v>891</v>
      </c>
      <c r="M126" s="324" t="s">
        <v>892</v>
      </c>
      <c r="N126" s="324" t="s">
        <v>893</v>
      </c>
      <c r="O126" s="324" t="s">
        <v>894</v>
      </c>
      <c r="P126" s="324" t="s">
        <v>923</v>
      </c>
      <c r="Q126" s="324" t="s">
        <v>2055</v>
      </c>
      <c r="R126" s="324" t="s">
        <v>956</v>
      </c>
      <c r="S126" s="356" t="s">
        <v>895</v>
      </c>
      <c r="T126" s="309" t="s">
        <v>999</v>
      </c>
      <c r="U126" s="357" t="e">
        <f>VLOOKUP(D126,'SUIVI JOURNALIER AVRIL'!CK:CM,3,FALSE)</f>
        <v>#N/A</v>
      </c>
      <c r="V126" s="358" t="e">
        <f>IF(VLOOKUP('vs mars'!D126,'point sur les patentes'!B:E,4,FALSE)="","",VLOOKUP(D126,'point sur les patentes'!B:E,4,FALSE)+VLOOKUP(D126,'point sur les patentes'!B:F,5,FALSE)+VLOOKUP('vs mars'!D126,'point sur les patentes'!B:G,6,FALSE)+VLOOKUP('vs mars'!D126,'point sur les patentes'!B:H,7,FALSE)+VLOOKUP('vs mars'!D126,'point sur les patentes'!B:I,8,FALSE)+VLOOKUP(D126,'point sur les patentes'!B:J,9,FALSE)+VLOOKUP(D126,'point sur les patentes'!B:K,10,FALSE)+VLOOKUP(D126,'point sur les patentes'!B:L,11,FALSE)+VLOOKUP(D126,'point sur les patentes'!B:M,12,FALSE)+VLOOKUP(D126,'point sur les patentes'!B:N,13,FALSE)+VLOOKUP(D126,'point sur les patentes'!B:O,14,FALSE)+VLOOKUP(D126,'point sur les patentes'!B:P,15,FALSE)+VLOOKUP(D126,'point sur les patentes'!B:Q,16,FALSE)+VLOOKUP('vs mars'!D126,'point sur les patentes'!B:Z,25,FALSE))</f>
        <v>#N/A</v>
      </c>
      <c r="W126" s="340" t="e">
        <f>VLOOKUP(D126,'SUIVI JOURNALIER AVRIL'!B:J,9,FALSE)</f>
        <v>#N/A</v>
      </c>
      <c r="X126" s="340" t="e">
        <f>VLOOKUP(D126,'SUIVI JOURNALIER AVRIL'!B:P,14,FALSE)+VLOOKUP('vs mars'!D126,'SUIVI JOURNALIER AVRIL'!B:V,20,FALSE)+VLOOKUP('vs mars'!D126,'SUIVI JOURNALIER AVRIL'!B:W,21,FALSE)</f>
        <v>#N/A</v>
      </c>
      <c r="Y126" s="340" t="e">
        <f>VLOOKUP(D126,'SUIVI JOURNALIER AVRIL'!B:CC,80,FALSE)</f>
        <v>#N/A</v>
      </c>
      <c r="Z126" s="340" t="e">
        <f t="shared" si="2"/>
        <v>#N/A</v>
      </c>
      <c r="AA126" s="359" t="e">
        <f>VLOOKUP(D126,'SUIVI JOURNALIER AVRIL'!B:CD,81,FALSE)</f>
        <v>#N/A</v>
      </c>
      <c r="AB126" s="360" t="e">
        <f t="shared" si="3"/>
        <v>#N/A</v>
      </c>
      <c r="AC126" s="360" t="str">
        <f>VLOOKUP(B126,labo!B:D,3,FALSE)</f>
        <v>ug4</v>
      </c>
      <c r="AD126" s="360" t="s">
        <v>2629</v>
      </c>
      <c r="AF126" s="330" t="e">
        <f>VLOOKUP(D126,'SUIVI JOURNALIER AVRIL'!CK:CL,2,FALSE)</f>
        <v>#N/A</v>
      </c>
      <c r="AG126" s="360">
        <v>1</v>
      </c>
    </row>
    <row r="127" spans="1:33" s="360" customFormat="1" ht="13.5" customHeight="1">
      <c r="A127" s="324" t="s">
        <v>1734</v>
      </c>
      <c r="B127" s="325" t="s">
        <v>2329</v>
      </c>
      <c r="C127" s="325" t="s">
        <v>2461</v>
      </c>
      <c r="D127" s="325" t="s">
        <v>2309</v>
      </c>
      <c r="E127" s="324" t="s">
        <v>2465</v>
      </c>
      <c r="F127" s="324" t="s">
        <v>2055</v>
      </c>
      <c r="G127" s="324" t="s">
        <v>887</v>
      </c>
      <c r="H127" s="324" t="s">
        <v>2055</v>
      </c>
      <c r="I127" s="324" t="s">
        <v>2055</v>
      </c>
      <c r="J127" s="324" t="s">
        <v>2055</v>
      </c>
      <c r="K127" s="324" t="s">
        <v>2405</v>
      </c>
      <c r="L127" s="324" t="s">
        <v>891</v>
      </c>
      <c r="M127" s="324" t="s">
        <v>892</v>
      </c>
      <c r="N127" s="324" t="s">
        <v>893</v>
      </c>
      <c r="O127" s="324" t="s">
        <v>894</v>
      </c>
      <c r="P127" s="324" t="s">
        <v>919</v>
      </c>
      <c r="Q127" s="324" t="s">
        <v>2055</v>
      </c>
      <c r="R127" s="324" t="s">
        <v>2055</v>
      </c>
      <c r="S127" s="356" t="s">
        <v>895</v>
      </c>
      <c r="T127" s="309" t="s">
        <v>909</v>
      </c>
      <c r="U127" s="357" t="e">
        <f>VLOOKUP(D127,'SUIVI JOURNALIER AVRIL'!CK:CM,3,FALSE)</f>
        <v>#N/A</v>
      </c>
      <c r="V127" s="358" t="e">
        <f>IF(VLOOKUP('vs mars'!D127,'point sur les patentes'!B:E,4,FALSE)="","",VLOOKUP(D127,'point sur les patentes'!B:E,4,FALSE)+VLOOKUP(D127,'point sur les patentes'!B:F,5,FALSE)+VLOOKUP('vs mars'!D127,'point sur les patentes'!B:G,6,FALSE)+VLOOKUP('vs mars'!D127,'point sur les patentes'!B:H,7,FALSE)+VLOOKUP('vs mars'!D127,'point sur les patentes'!B:I,8,FALSE)+VLOOKUP(D127,'point sur les patentes'!B:J,9,FALSE)+VLOOKUP(D127,'point sur les patentes'!B:K,10,FALSE)+VLOOKUP(D127,'point sur les patentes'!B:L,11,FALSE)+VLOOKUP(D127,'point sur les patentes'!B:M,12,FALSE)+VLOOKUP(D127,'point sur les patentes'!B:N,13,FALSE)+VLOOKUP(D127,'point sur les patentes'!B:O,14,FALSE)+VLOOKUP(D127,'point sur les patentes'!B:P,15,FALSE)+VLOOKUP(D127,'point sur les patentes'!B:Q,16,FALSE)+VLOOKUP('vs mars'!D127,'point sur les patentes'!B:Z,25,FALSE))</f>
        <v>#N/A</v>
      </c>
      <c r="W127" s="340" t="e">
        <f>VLOOKUP(D127,'SUIVI JOURNALIER AVRIL'!B:J,9,FALSE)</f>
        <v>#N/A</v>
      </c>
      <c r="X127" s="340" t="e">
        <f>VLOOKUP(D127,'SUIVI JOURNALIER AVRIL'!B:P,14,FALSE)+VLOOKUP('vs mars'!D127,'SUIVI JOURNALIER AVRIL'!B:V,20,FALSE)+VLOOKUP('vs mars'!D127,'SUIVI JOURNALIER AVRIL'!B:W,21,FALSE)</f>
        <v>#N/A</v>
      </c>
      <c r="Y127" s="340" t="e">
        <f>VLOOKUP(D127,'SUIVI JOURNALIER AVRIL'!B:CC,80,FALSE)</f>
        <v>#N/A</v>
      </c>
      <c r="Z127" s="340" t="e">
        <f t="shared" si="2"/>
        <v>#N/A</v>
      </c>
      <c r="AA127" s="359" t="e">
        <f>VLOOKUP(D127,'SUIVI JOURNALIER AVRIL'!B:CD,81,FALSE)</f>
        <v>#N/A</v>
      </c>
      <c r="AB127" s="360" t="e">
        <f t="shared" si="3"/>
        <v>#N/A</v>
      </c>
      <c r="AC127" s="360" t="str">
        <f>VLOOKUP(B127,labo!B:D,3,FALSE)</f>
        <v>ug5</v>
      </c>
      <c r="AD127" s="360" t="s">
        <v>2630</v>
      </c>
      <c r="AF127" s="330" t="e">
        <f>VLOOKUP(D127,'SUIVI JOURNALIER AVRIL'!CK:CL,2,FALSE)</f>
        <v>#N/A</v>
      </c>
      <c r="AG127" s="360">
        <v>1</v>
      </c>
    </row>
    <row r="128" spans="1:33" s="360" customFormat="1" ht="13.5" customHeight="1">
      <c r="A128" s="324" t="s">
        <v>1735</v>
      </c>
      <c r="B128" s="325" t="s">
        <v>1954</v>
      </c>
      <c r="C128" s="325" t="s">
        <v>1955</v>
      </c>
      <c r="D128" s="325" t="s">
        <v>2072</v>
      </c>
      <c r="E128" s="324" t="s">
        <v>839</v>
      </c>
      <c r="F128" s="324" t="s">
        <v>2055</v>
      </c>
      <c r="G128" s="324" t="s">
        <v>887</v>
      </c>
      <c r="H128" s="324" t="s">
        <v>1956</v>
      </c>
      <c r="I128" s="324" t="s">
        <v>2073</v>
      </c>
      <c r="J128" s="324" t="s">
        <v>889</v>
      </c>
      <c r="K128" s="324" t="s">
        <v>890</v>
      </c>
      <c r="L128" s="324" t="s">
        <v>891</v>
      </c>
      <c r="M128" s="324" t="s">
        <v>892</v>
      </c>
      <c r="N128" s="324" t="s">
        <v>912</v>
      </c>
      <c r="O128" s="324" t="s">
        <v>913</v>
      </c>
      <c r="P128" s="324" t="s">
        <v>913</v>
      </c>
      <c r="Q128" s="324" t="s">
        <v>1172</v>
      </c>
      <c r="R128" s="324" t="s">
        <v>1172</v>
      </c>
      <c r="S128" s="356" t="s">
        <v>895</v>
      </c>
      <c r="T128" s="309" t="s">
        <v>957</v>
      </c>
      <c r="U128" s="357" t="e">
        <f>VLOOKUP(D128,'SUIVI JOURNALIER AVRIL'!CK:CM,3,FALSE)</f>
        <v>#N/A</v>
      </c>
      <c r="V128" s="358" t="e">
        <f>IF(VLOOKUP('vs mars'!D128,'point sur les patentes'!B:E,4,FALSE)="","",VLOOKUP(D128,'point sur les patentes'!B:E,4,FALSE)+VLOOKUP(D128,'point sur les patentes'!B:F,5,FALSE)+VLOOKUP('vs mars'!D128,'point sur les patentes'!B:G,6,FALSE)+VLOOKUP('vs mars'!D128,'point sur les patentes'!B:H,7,FALSE)+VLOOKUP('vs mars'!D128,'point sur les patentes'!B:I,8,FALSE)+VLOOKUP(D128,'point sur les patentes'!B:J,9,FALSE)+VLOOKUP(D128,'point sur les patentes'!B:K,10,FALSE)+VLOOKUP(D128,'point sur les patentes'!B:L,11,FALSE)+VLOOKUP(D128,'point sur les patentes'!B:M,12,FALSE)+VLOOKUP(D128,'point sur les patentes'!B:N,13,FALSE)+VLOOKUP(D128,'point sur les patentes'!B:O,14,FALSE)+VLOOKUP(D128,'point sur les patentes'!B:P,15,FALSE)+VLOOKUP(D128,'point sur les patentes'!B:Q,16,FALSE)+VLOOKUP('vs mars'!D128,'point sur les patentes'!B:Z,25,FALSE))</f>
        <v>#N/A</v>
      </c>
      <c r="W128" s="340" t="e">
        <f>VLOOKUP(D128,'SUIVI JOURNALIER AVRIL'!B:J,9,FALSE)</f>
        <v>#N/A</v>
      </c>
      <c r="X128" s="340" t="e">
        <f>VLOOKUP(D128,'SUIVI JOURNALIER AVRIL'!B:P,14,FALSE)+VLOOKUP('vs mars'!D128,'SUIVI JOURNALIER AVRIL'!B:V,20,FALSE)+VLOOKUP('vs mars'!D128,'SUIVI JOURNALIER AVRIL'!B:W,21,FALSE)</f>
        <v>#N/A</v>
      </c>
      <c r="Y128" s="340" t="e">
        <f>VLOOKUP(D128,'SUIVI JOURNALIER AVRIL'!B:CC,80,FALSE)</f>
        <v>#N/A</v>
      </c>
      <c r="Z128" s="340" t="e">
        <f t="shared" si="2"/>
        <v>#N/A</v>
      </c>
      <c r="AA128" s="359" t="e">
        <f>VLOOKUP(D128,'SUIVI JOURNALIER AVRIL'!B:CD,81,FALSE)</f>
        <v>#N/A</v>
      </c>
      <c r="AB128" s="360" t="e">
        <f t="shared" si="3"/>
        <v>#N/A</v>
      </c>
      <c r="AC128" s="360" t="str">
        <f>VLOOKUP(B128,labo!B:D,3,FALSE)</f>
        <v>ug5</v>
      </c>
      <c r="AD128" s="360" t="s">
        <v>2629</v>
      </c>
      <c r="AF128" s="330" t="e">
        <f>VLOOKUP(D128,'SUIVI JOURNALIER AVRIL'!CK:CL,2,FALSE)</f>
        <v>#N/A</v>
      </c>
      <c r="AG128" s="360">
        <v>1</v>
      </c>
    </row>
    <row r="129" spans="1:33" s="360" customFormat="1" ht="13.5" customHeight="1">
      <c r="A129" s="324" t="s">
        <v>1736</v>
      </c>
      <c r="B129" s="325" t="s">
        <v>2330</v>
      </c>
      <c r="C129" s="325" t="s">
        <v>2466</v>
      </c>
      <c r="D129" s="325" t="s">
        <v>2467</v>
      </c>
      <c r="E129" s="324" t="s">
        <v>2468</v>
      </c>
      <c r="F129" s="324" t="s">
        <v>2055</v>
      </c>
      <c r="G129" s="324" t="s">
        <v>887</v>
      </c>
      <c r="H129" s="324" t="s">
        <v>2055</v>
      </c>
      <c r="I129" s="324" t="s">
        <v>2469</v>
      </c>
      <c r="J129" s="324" t="s">
        <v>2055</v>
      </c>
      <c r="K129" s="324" t="s">
        <v>2405</v>
      </c>
      <c r="L129" s="324" t="s">
        <v>891</v>
      </c>
      <c r="M129" s="324" t="s">
        <v>892</v>
      </c>
      <c r="N129" s="324" t="s">
        <v>893</v>
      </c>
      <c r="O129" s="324" t="s">
        <v>894</v>
      </c>
      <c r="P129" s="324" t="s">
        <v>919</v>
      </c>
      <c r="Q129" s="324" t="s">
        <v>2470</v>
      </c>
      <c r="R129" s="324" t="s">
        <v>2055</v>
      </c>
      <c r="S129" s="356" t="s">
        <v>895</v>
      </c>
      <c r="T129" s="309" t="s">
        <v>999</v>
      </c>
      <c r="U129" s="357" t="e">
        <f>VLOOKUP(D129,'SUIVI JOURNALIER AVRIL'!CK:CM,3,FALSE)</f>
        <v>#N/A</v>
      </c>
      <c r="V129" s="358" t="e">
        <f>IF(VLOOKUP('vs mars'!D129,'point sur les patentes'!B:E,4,FALSE)="","",VLOOKUP(D129,'point sur les patentes'!B:E,4,FALSE)+VLOOKUP(D129,'point sur les patentes'!B:F,5,FALSE)+VLOOKUP('vs mars'!D129,'point sur les patentes'!B:G,6,FALSE)+VLOOKUP('vs mars'!D129,'point sur les patentes'!B:H,7,FALSE)+VLOOKUP('vs mars'!D129,'point sur les patentes'!B:I,8,FALSE)+VLOOKUP(D129,'point sur les patentes'!B:J,9,FALSE)+VLOOKUP(D129,'point sur les patentes'!B:K,10,FALSE)+VLOOKUP(D129,'point sur les patentes'!B:L,11,FALSE)+VLOOKUP(D129,'point sur les patentes'!B:M,12,FALSE)+VLOOKUP(D129,'point sur les patentes'!B:N,13,FALSE)+VLOOKUP(D129,'point sur les patentes'!B:O,14,FALSE)+VLOOKUP(D129,'point sur les patentes'!B:P,15,FALSE)+VLOOKUP(D129,'point sur les patentes'!B:Q,16,FALSE)+VLOOKUP('vs mars'!D129,'point sur les patentes'!B:Z,25,FALSE))</f>
        <v>#N/A</v>
      </c>
      <c r="W129" s="340" t="e">
        <f>VLOOKUP(D129,'SUIVI JOURNALIER AVRIL'!B:J,9,FALSE)</f>
        <v>#N/A</v>
      </c>
      <c r="X129" s="340" t="e">
        <f>VLOOKUP(D129,'SUIVI JOURNALIER AVRIL'!B:P,14,FALSE)+VLOOKUP('vs mars'!D129,'SUIVI JOURNALIER AVRIL'!B:V,20,FALSE)+VLOOKUP('vs mars'!D129,'SUIVI JOURNALIER AVRIL'!B:W,21,FALSE)</f>
        <v>#N/A</v>
      </c>
      <c r="Y129" s="340" t="e">
        <f>VLOOKUP(D129,'SUIVI JOURNALIER AVRIL'!B:CC,80,FALSE)</f>
        <v>#N/A</v>
      </c>
      <c r="Z129" s="340" t="e">
        <f t="shared" si="2"/>
        <v>#N/A</v>
      </c>
      <c r="AA129" s="359" t="e">
        <f>VLOOKUP(D129,'SUIVI JOURNALIER AVRIL'!B:CD,81,FALSE)</f>
        <v>#N/A</v>
      </c>
      <c r="AB129" s="360" t="e">
        <f t="shared" si="3"/>
        <v>#N/A</v>
      </c>
      <c r="AC129" s="360" t="str">
        <f>VLOOKUP(B129,labo!B:D,3,FALSE)</f>
        <v>ug4</v>
      </c>
      <c r="AD129" s="360" t="s">
        <v>2630</v>
      </c>
      <c r="AF129" s="330" t="e">
        <f>VLOOKUP(D129,'SUIVI JOURNALIER AVRIL'!CK:CL,2,FALSE)</f>
        <v>#N/A</v>
      </c>
      <c r="AG129" s="360">
        <v>1</v>
      </c>
    </row>
    <row r="130" spans="1:33" s="360" customFormat="1" ht="13.5" customHeight="1">
      <c r="A130" s="324" t="s">
        <v>1737</v>
      </c>
      <c r="B130" s="325" t="s">
        <v>321</v>
      </c>
      <c r="C130" s="325" t="s">
        <v>590</v>
      </c>
      <c r="D130" s="325" t="s">
        <v>591</v>
      </c>
      <c r="E130" s="324" t="s">
        <v>413</v>
      </c>
      <c r="F130" s="324" t="s">
        <v>2055</v>
      </c>
      <c r="G130" s="324" t="s">
        <v>887</v>
      </c>
      <c r="H130" s="324" t="s">
        <v>897</v>
      </c>
      <c r="I130" s="324" t="s">
        <v>1142</v>
      </c>
      <c r="J130" s="324" t="s">
        <v>889</v>
      </c>
      <c r="K130" s="324" t="s">
        <v>890</v>
      </c>
      <c r="L130" s="324" t="s">
        <v>891</v>
      </c>
      <c r="M130" s="324" t="s">
        <v>892</v>
      </c>
      <c r="N130" s="324" t="s">
        <v>893</v>
      </c>
      <c r="O130" s="324" t="s">
        <v>923</v>
      </c>
      <c r="P130" s="324" t="s">
        <v>923</v>
      </c>
      <c r="Q130" s="324" t="s">
        <v>924</v>
      </c>
      <c r="R130" s="324" t="s">
        <v>1143</v>
      </c>
      <c r="S130" s="356" t="s">
        <v>895</v>
      </c>
      <c r="T130" s="309" t="s">
        <v>953</v>
      </c>
      <c r="U130" s="357" t="e">
        <f>VLOOKUP(D130,'SUIVI JOURNALIER AVRIL'!CK:CM,3,FALSE)</f>
        <v>#N/A</v>
      </c>
      <c r="V130" s="358" t="e">
        <f>IF(VLOOKUP('vs mars'!D130,'point sur les patentes'!B:E,4,FALSE)="","",VLOOKUP(D130,'point sur les patentes'!B:E,4,FALSE)+VLOOKUP(D130,'point sur les patentes'!B:F,5,FALSE)+VLOOKUP('vs mars'!D130,'point sur les patentes'!B:G,6,FALSE)+VLOOKUP('vs mars'!D130,'point sur les patentes'!B:H,7,FALSE)+VLOOKUP('vs mars'!D130,'point sur les patentes'!B:I,8,FALSE)+VLOOKUP(D130,'point sur les patentes'!B:J,9,FALSE)+VLOOKUP(D130,'point sur les patentes'!B:K,10,FALSE)+VLOOKUP(D130,'point sur les patentes'!B:L,11,FALSE)+VLOOKUP(D130,'point sur les patentes'!B:M,12,FALSE)+VLOOKUP(D130,'point sur les patentes'!B:N,13,FALSE)+VLOOKUP(D130,'point sur les patentes'!B:O,14,FALSE)+VLOOKUP(D130,'point sur les patentes'!B:P,15,FALSE)+VLOOKUP(D130,'point sur les patentes'!B:Q,16,FALSE)+VLOOKUP('vs mars'!D130,'point sur les patentes'!B:Z,25,FALSE))</f>
        <v>#N/A</v>
      </c>
      <c r="W130" s="340" t="e">
        <f>VLOOKUP(D130,'SUIVI JOURNALIER AVRIL'!B:J,9,FALSE)</f>
        <v>#N/A</v>
      </c>
      <c r="X130" s="340" t="e">
        <f>VLOOKUP(D130,'SUIVI JOURNALIER AVRIL'!B:P,14,FALSE)+VLOOKUP('vs mars'!D130,'SUIVI JOURNALIER AVRIL'!B:V,20,FALSE)+VLOOKUP('vs mars'!D130,'SUIVI JOURNALIER AVRIL'!B:W,21,FALSE)</f>
        <v>#N/A</v>
      </c>
      <c r="Y130" s="340" t="e">
        <f>VLOOKUP(D130,'SUIVI JOURNALIER AVRIL'!B:CC,80,FALSE)</f>
        <v>#N/A</v>
      </c>
      <c r="Z130" s="340" t="e">
        <f t="shared" si="2"/>
        <v>#N/A</v>
      </c>
      <c r="AA130" s="359" t="e">
        <f>VLOOKUP(D130,'SUIVI JOURNALIER AVRIL'!B:CD,81,FALSE)</f>
        <v>#N/A</v>
      </c>
      <c r="AB130" s="360" t="e">
        <f t="shared" si="3"/>
        <v>#N/A</v>
      </c>
      <c r="AC130" s="360" t="str">
        <f>VLOOKUP(B130,labo!B:D,3,FALSE)</f>
        <v>ug4</v>
      </c>
      <c r="AD130" s="360" t="s">
        <v>2629</v>
      </c>
      <c r="AF130" s="330" t="e">
        <f>VLOOKUP(D130,'SUIVI JOURNALIER AVRIL'!CK:CL,2,FALSE)</f>
        <v>#N/A</v>
      </c>
      <c r="AG130" s="360">
        <v>1</v>
      </c>
    </row>
    <row r="131" spans="1:33" s="360" customFormat="1" ht="13.5" customHeight="1">
      <c r="A131" s="324" t="s">
        <v>1738</v>
      </c>
      <c r="B131" s="325" t="s">
        <v>2300</v>
      </c>
      <c r="C131" s="325" t="s">
        <v>2471</v>
      </c>
      <c r="D131" s="325" t="s">
        <v>2301</v>
      </c>
      <c r="E131" s="324" t="s">
        <v>562</v>
      </c>
      <c r="F131" s="324" t="s">
        <v>2055</v>
      </c>
      <c r="G131" s="324" t="s">
        <v>926</v>
      </c>
      <c r="H131" s="324" t="s">
        <v>2055</v>
      </c>
      <c r="I131" s="324" t="s">
        <v>2055</v>
      </c>
      <c r="J131" s="324" t="s">
        <v>2427</v>
      </c>
      <c r="K131" s="324" t="s">
        <v>2405</v>
      </c>
      <c r="L131" s="324" t="s">
        <v>891</v>
      </c>
      <c r="M131" s="324" t="s">
        <v>892</v>
      </c>
      <c r="N131" s="324" t="s">
        <v>893</v>
      </c>
      <c r="O131" s="324" t="s">
        <v>894</v>
      </c>
      <c r="P131" s="324" t="s">
        <v>919</v>
      </c>
      <c r="Q131" s="324" t="s">
        <v>2472</v>
      </c>
      <c r="R131" s="324" t="s">
        <v>2055</v>
      </c>
      <c r="S131" s="356" t="s">
        <v>895</v>
      </c>
      <c r="T131" s="309" t="s">
        <v>1006</v>
      </c>
      <c r="U131" s="357" t="e">
        <f>VLOOKUP(D131,'SUIVI JOURNALIER AVRIL'!CK:CM,3,FALSE)</f>
        <v>#N/A</v>
      </c>
      <c r="V131" s="358" t="e">
        <f>IF(VLOOKUP('vs mars'!D131,'point sur les patentes'!B:E,4,FALSE)="","",VLOOKUP(D131,'point sur les patentes'!B:E,4,FALSE)+VLOOKUP(D131,'point sur les patentes'!B:F,5,FALSE)+VLOOKUP('vs mars'!D131,'point sur les patentes'!B:G,6,FALSE)+VLOOKUP('vs mars'!D131,'point sur les patentes'!B:H,7,FALSE)+VLOOKUP('vs mars'!D131,'point sur les patentes'!B:I,8,FALSE)+VLOOKUP(D131,'point sur les patentes'!B:J,9,FALSE)+VLOOKUP(D131,'point sur les patentes'!B:K,10,FALSE)+VLOOKUP(D131,'point sur les patentes'!B:L,11,FALSE)+VLOOKUP(D131,'point sur les patentes'!B:M,12,FALSE)+VLOOKUP(D131,'point sur les patentes'!B:N,13,FALSE)+VLOOKUP(D131,'point sur les patentes'!B:O,14,FALSE)+VLOOKUP(D131,'point sur les patentes'!B:P,15,FALSE)+VLOOKUP(D131,'point sur les patentes'!B:Q,16,FALSE)+VLOOKUP('vs mars'!D131,'point sur les patentes'!B:Z,25,FALSE))</f>
        <v>#N/A</v>
      </c>
      <c r="W131" s="340" t="e">
        <f>VLOOKUP(D131,'SUIVI JOURNALIER AVRIL'!B:J,9,FALSE)</f>
        <v>#N/A</v>
      </c>
      <c r="X131" s="340" t="e">
        <f>VLOOKUP(D131,'SUIVI JOURNALIER AVRIL'!B:P,14,FALSE)+VLOOKUP('vs mars'!D131,'SUIVI JOURNALIER AVRIL'!B:V,20,FALSE)+VLOOKUP('vs mars'!D131,'SUIVI JOURNALIER AVRIL'!B:W,21,FALSE)</f>
        <v>#N/A</v>
      </c>
      <c r="Y131" s="340" t="e">
        <f>VLOOKUP(D131,'SUIVI JOURNALIER AVRIL'!B:CC,80,FALSE)</f>
        <v>#N/A</v>
      </c>
      <c r="Z131" s="340" t="e">
        <f t="shared" ref="Z131:Z195" si="4">W131+X131+Y131</f>
        <v>#N/A</v>
      </c>
      <c r="AA131" s="359" t="e">
        <f>VLOOKUP(D131,'SUIVI JOURNALIER AVRIL'!B:CD,81,FALSE)</f>
        <v>#N/A</v>
      </c>
      <c r="AB131" s="360" t="e">
        <f t="shared" ref="AB131:AB195" si="5">IF(Z131=AA131,"ok","revoir")</f>
        <v>#N/A</v>
      </c>
      <c r="AC131" s="360" t="str">
        <f>VLOOKUP(B131,labo!B:D,3,FALSE)</f>
        <v>ug4</v>
      </c>
      <c r="AD131" s="360" t="s">
        <v>2630</v>
      </c>
      <c r="AF131" s="330" t="e">
        <f>VLOOKUP(D131,'SUIVI JOURNALIER AVRIL'!CK:CL,2,FALSE)</f>
        <v>#N/A</v>
      </c>
      <c r="AG131" s="360">
        <v>1</v>
      </c>
    </row>
    <row r="132" spans="1:33" s="360" customFormat="1" ht="13.5" customHeight="1">
      <c r="A132" s="324" t="s">
        <v>1739</v>
      </c>
      <c r="B132" s="325" t="s">
        <v>1717</v>
      </c>
      <c r="C132" s="325" t="s">
        <v>1718</v>
      </c>
      <c r="D132" s="325" t="s">
        <v>1719</v>
      </c>
      <c r="E132" s="324" t="s">
        <v>1689</v>
      </c>
      <c r="F132" s="324" t="s">
        <v>2055</v>
      </c>
      <c r="G132" s="324" t="s">
        <v>887</v>
      </c>
      <c r="H132" s="324" t="s">
        <v>897</v>
      </c>
      <c r="I132" s="324" t="s">
        <v>1925</v>
      </c>
      <c r="J132" s="324" t="s">
        <v>889</v>
      </c>
      <c r="K132" s="324" t="s">
        <v>890</v>
      </c>
      <c r="L132" s="324" t="s">
        <v>891</v>
      </c>
      <c r="M132" s="324" t="s">
        <v>892</v>
      </c>
      <c r="N132" s="324" t="s">
        <v>893</v>
      </c>
      <c r="O132" s="324" t="s">
        <v>923</v>
      </c>
      <c r="P132" s="324" t="s">
        <v>923</v>
      </c>
      <c r="Q132" s="324" t="s">
        <v>924</v>
      </c>
      <c r="R132" s="324" t="s">
        <v>924</v>
      </c>
      <c r="S132" s="356" t="s">
        <v>895</v>
      </c>
      <c r="T132" s="309" t="s">
        <v>999</v>
      </c>
      <c r="U132" s="357">
        <f>VLOOKUP(D132,'SUIVI JOURNALIER AVRIL'!CK:CM,3,FALSE)</f>
        <v>0</v>
      </c>
      <c r="V132" s="358" t="e">
        <f>IF(VLOOKUP('vs mars'!D132,'point sur les patentes'!B:E,4,FALSE)="","",VLOOKUP(D132,'point sur les patentes'!B:E,4,FALSE)+VLOOKUP(D132,'point sur les patentes'!B:F,5,FALSE)+VLOOKUP('vs mars'!D132,'point sur les patentes'!B:G,6,FALSE)+VLOOKUP('vs mars'!D132,'point sur les patentes'!B:H,7,FALSE)+VLOOKUP('vs mars'!D132,'point sur les patentes'!B:I,8,FALSE)+VLOOKUP(D132,'point sur les patentes'!B:J,9,FALSE)+VLOOKUP(D132,'point sur les patentes'!B:K,10,FALSE)+VLOOKUP(D132,'point sur les patentes'!B:L,11,FALSE)+VLOOKUP(D132,'point sur les patentes'!B:M,12,FALSE)+VLOOKUP(D132,'point sur les patentes'!B:N,13,FALSE)+VLOOKUP(D132,'point sur les patentes'!B:O,14,FALSE)+VLOOKUP(D132,'point sur les patentes'!B:P,15,FALSE)+VLOOKUP(D132,'point sur les patentes'!B:Q,16,FALSE)+VLOOKUP('vs mars'!D132,'point sur les patentes'!B:Z,25,FALSE))</f>
        <v>#N/A</v>
      </c>
      <c r="W132" s="340">
        <f>VLOOKUP(D132,'SUIVI JOURNALIER AVRIL'!B:J,9,FALSE)</f>
        <v>0</v>
      </c>
      <c r="X132" s="340">
        <f>VLOOKUP(D132,'SUIVI JOURNALIER AVRIL'!B:P,14,FALSE)+VLOOKUP('vs mars'!D132,'SUIVI JOURNALIER AVRIL'!B:V,20,FALSE)+VLOOKUP('vs mars'!D132,'SUIVI JOURNALIER AVRIL'!B:W,21,FALSE)</f>
        <v>191397.09090909091</v>
      </c>
      <c r="Y132" s="340">
        <f>VLOOKUP(D132,'SUIVI JOURNALIER AVRIL'!B:CC,80,FALSE)</f>
        <v>3916</v>
      </c>
      <c r="Z132" s="340">
        <f t="shared" si="4"/>
        <v>195313.09090909091</v>
      </c>
      <c r="AA132" s="359">
        <f>VLOOKUP(D132,'SUIVI JOURNALIER AVRIL'!B:CD,81,FALSE)</f>
        <v>195313.09090909091</v>
      </c>
      <c r="AB132" s="360" t="str">
        <f t="shared" si="5"/>
        <v>ok</v>
      </c>
      <c r="AC132" s="360" t="str">
        <f>VLOOKUP(B132,labo!B:D,3,FALSE)</f>
        <v>ug4</v>
      </c>
      <c r="AD132" s="360" t="s">
        <v>2629</v>
      </c>
      <c r="AF132" s="330">
        <f>VLOOKUP(D132,'SUIVI JOURNALIER AVRIL'!CK:CL,2,FALSE)</f>
        <v>0</v>
      </c>
      <c r="AG132" s="360">
        <v>1</v>
      </c>
    </row>
    <row r="133" spans="1:33" s="360" customFormat="1" ht="13.5" customHeight="1">
      <c r="A133" s="324" t="s">
        <v>1094</v>
      </c>
      <c r="B133" s="325" t="s">
        <v>1489</v>
      </c>
      <c r="C133" s="325" t="s">
        <v>1490</v>
      </c>
      <c r="D133" s="325" t="s">
        <v>1491</v>
      </c>
      <c r="E133" s="324" t="s">
        <v>1492</v>
      </c>
      <c r="F133" s="324" t="s">
        <v>2055</v>
      </c>
      <c r="G133" s="324" t="s">
        <v>887</v>
      </c>
      <c r="H133" s="324" t="s">
        <v>897</v>
      </c>
      <c r="I133" s="324" t="s">
        <v>1721</v>
      </c>
      <c r="J133" s="324" t="s">
        <v>889</v>
      </c>
      <c r="K133" s="324" t="s">
        <v>890</v>
      </c>
      <c r="L133" s="324" t="s">
        <v>891</v>
      </c>
      <c r="M133" s="324" t="s">
        <v>892</v>
      </c>
      <c r="N133" s="324" t="s">
        <v>893</v>
      </c>
      <c r="O133" s="324" t="s">
        <v>894</v>
      </c>
      <c r="P133" s="324" t="s">
        <v>935</v>
      </c>
      <c r="Q133" s="324" t="s">
        <v>970</v>
      </c>
      <c r="R133" s="324" t="s">
        <v>1493</v>
      </c>
      <c r="S133" s="356" t="s">
        <v>895</v>
      </c>
      <c r="T133" s="309" t="s">
        <v>953</v>
      </c>
      <c r="U133" s="357">
        <f>VLOOKUP(D133,'SUIVI JOURNALIER AVRIL'!CK:CM,3,FALSE)</f>
        <v>0</v>
      </c>
      <c r="V133" s="358" t="e">
        <f>IF(VLOOKUP('vs mars'!D133,'point sur les patentes'!B:E,4,FALSE)="","",VLOOKUP(D133,'point sur les patentes'!B:E,4,FALSE)+VLOOKUP(D133,'point sur les patentes'!B:F,5,FALSE)+VLOOKUP('vs mars'!D133,'point sur les patentes'!B:G,6,FALSE)+VLOOKUP('vs mars'!D133,'point sur les patentes'!B:H,7,FALSE)+VLOOKUP('vs mars'!D133,'point sur les patentes'!B:I,8,FALSE)+VLOOKUP(D133,'point sur les patentes'!B:J,9,FALSE)+VLOOKUP(D133,'point sur les patentes'!B:K,10,FALSE)+VLOOKUP(D133,'point sur les patentes'!B:L,11,FALSE)+VLOOKUP(D133,'point sur les patentes'!B:M,12,FALSE)+VLOOKUP(D133,'point sur les patentes'!B:N,13,FALSE)+VLOOKUP(D133,'point sur les patentes'!B:O,14,FALSE)+VLOOKUP(D133,'point sur les patentes'!B:P,15,FALSE)+VLOOKUP(D133,'point sur les patentes'!B:Q,16,FALSE)+VLOOKUP('vs mars'!D133,'point sur les patentes'!B:Z,25,FALSE))</f>
        <v>#N/A</v>
      </c>
      <c r="W133" s="340">
        <f>VLOOKUP(D133,'SUIVI JOURNALIER AVRIL'!B:J,9,FALSE)</f>
        <v>55070.909090909088</v>
      </c>
      <c r="X133" s="340">
        <f>VLOOKUP(D133,'SUIVI JOURNALIER AVRIL'!B:P,14,FALSE)+VLOOKUP('vs mars'!D133,'SUIVI JOURNALIER AVRIL'!B:V,20,FALSE)+VLOOKUP('vs mars'!D133,'SUIVI JOURNALIER AVRIL'!B:W,21,FALSE)</f>
        <v>6299.9999999999991</v>
      </c>
      <c r="Y133" s="340">
        <f>VLOOKUP(D133,'SUIVI JOURNALIER AVRIL'!B:CC,80,FALSE)</f>
        <v>0</v>
      </c>
      <c r="Z133" s="340">
        <f t="shared" si="4"/>
        <v>61370.909090909088</v>
      </c>
      <c r="AA133" s="359">
        <f>VLOOKUP(D133,'SUIVI JOURNALIER AVRIL'!B:CD,81,FALSE)</f>
        <v>61370.909090909088</v>
      </c>
      <c r="AB133" s="360" t="str">
        <f t="shared" si="5"/>
        <v>ok</v>
      </c>
      <c r="AC133" s="360" t="str">
        <f>VLOOKUP(B133,labo!B:D,3,FALSE)</f>
        <v>ug4</v>
      </c>
      <c r="AD133" s="360" t="s">
        <v>2629</v>
      </c>
      <c r="AF133" s="330">
        <f>VLOOKUP(D133,'SUIVI JOURNALIER AVRIL'!CK:CL,2,FALSE)</f>
        <v>0</v>
      </c>
      <c r="AG133" s="360">
        <v>1</v>
      </c>
    </row>
    <row r="134" spans="1:33" s="360" customFormat="1" ht="13.5" customHeight="1">
      <c r="A134" s="324" t="s">
        <v>1740</v>
      </c>
      <c r="B134" s="325" t="s">
        <v>592</v>
      </c>
      <c r="C134" s="325" t="s">
        <v>593</v>
      </c>
      <c r="D134" s="325" t="s">
        <v>594</v>
      </c>
      <c r="E134" s="324" t="s">
        <v>446</v>
      </c>
      <c r="F134" s="324" t="s">
        <v>2055</v>
      </c>
      <c r="G134" s="324" t="s">
        <v>887</v>
      </c>
      <c r="H134" s="324" t="s">
        <v>1145</v>
      </c>
      <c r="I134" s="324" t="s">
        <v>1146</v>
      </c>
      <c r="J134" s="324" t="s">
        <v>889</v>
      </c>
      <c r="K134" s="324" t="s">
        <v>890</v>
      </c>
      <c r="L134" s="324" t="s">
        <v>891</v>
      </c>
      <c r="M134" s="324" t="s">
        <v>892</v>
      </c>
      <c r="N134" s="324" t="s">
        <v>912</v>
      </c>
      <c r="O134" s="324" t="s">
        <v>913</v>
      </c>
      <c r="P134" s="324" t="s">
        <v>913</v>
      </c>
      <c r="Q134" s="324" t="s">
        <v>914</v>
      </c>
      <c r="R134" s="324" t="s">
        <v>1147</v>
      </c>
      <c r="S134" s="356" t="s">
        <v>895</v>
      </c>
      <c r="T134" s="309" t="s">
        <v>957</v>
      </c>
      <c r="U134" s="357">
        <f>VLOOKUP(D134,'SUIVI JOURNALIER AVRIL'!CK:CM,3,FALSE)</f>
        <v>0</v>
      </c>
      <c r="V134" s="358" t="e">
        <f>IF(VLOOKUP('vs mars'!D134,'point sur les patentes'!B:E,4,FALSE)="","",VLOOKUP(D134,'point sur les patentes'!B:E,4,FALSE)+VLOOKUP(D134,'point sur les patentes'!B:F,5,FALSE)+VLOOKUP('vs mars'!D134,'point sur les patentes'!B:G,6,FALSE)+VLOOKUP('vs mars'!D134,'point sur les patentes'!B:H,7,FALSE)+VLOOKUP('vs mars'!D134,'point sur les patentes'!B:I,8,FALSE)+VLOOKUP(D134,'point sur les patentes'!B:J,9,FALSE)+VLOOKUP(D134,'point sur les patentes'!B:K,10,FALSE)+VLOOKUP(D134,'point sur les patentes'!B:L,11,FALSE)+VLOOKUP(D134,'point sur les patentes'!B:M,12,FALSE)+VLOOKUP(D134,'point sur les patentes'!B:N,13,FALSE)+VLOOKUP(D134,'point sur les patentes'!B:O,14,FALSE)+VLOOKUP(D134,'point sur les patentes'!B:P,15,FALSE)+VLOOKUP(D134,'point sur les patentes'!B:Q,16,FALSE)+VLOOKUP('vs mars'!D134,'point sur les patentes'!B:Z,25,FALSE))</f>
        <v>#N/A</v>
      </c>
      <c r="W134" s="340">
        <f>VLOOKUP(D134,'SUIVI JOURNALIER AVRIL'!B:J,9,FALSE)</f>
        <v>0</v>
      </c>
      <c r="X134" s="340">
        <f>VLOOKUP(D134,'SUIVI JOURNALIER AVRIL'!B:P,14,FALSE)+VLOOKUP('vs mars'!D134,'SUIVI JOURNALIER AVRIL'!B:V,20,FALSE)+VLOOKUP('vs mars'!D134,'SUIVI JOURNALIER AVRIL'!B:W,21,FALSE)</f>
        <v>0</v>
      </c>
      <c r="Y134" s="340">
        <f>VLOOKUP(D134,'SUIVI JOURNALIER AVRIL'!B:CC,80,FALSE)</f>
        <v>2000</v>
      </c>
      <c r="Z134" s="340">
        <f t="shared" si="4"/>
        <v>2000</v>
      </c>
      <c r="AA134" s="359">
        <f>VLOOKUP(D134,'SUIVI JOURNALIER AVRIL'!B:CD,81,FALSE)</f>
        <v>2000</v>
      </c>
      <c r="AB134" s="360" t="str">
        <f t="shared" si="5"/>
        <v>ok</v>
      </c>
      <c r="AC134" s="360" t="str">
        <f>VLOOKUP(B134,labo!B:D,3,FALSE)</f>
        <v>ug5</v>
      </c>
      <c r="AD134" s="360" t="s">
        <v>2629</v>
      </c>
      <c r="AF134" s="330">
        <f>VLOOKUP(D134,'SUIVI JOURNALIER AVRIL'!CK:CL,2,FALSE)</f>
        <v>0</v>
      </c>
      <c r="AG134" s="360">
        <v>1</v>
      </c>
    </row>
    <row r="135" spans="1:33" s="360" customFormat="1" ht="13.5" customHeight="1">
      <c r="A135" s="324" t="s">
        <v>1741</v>
      </c>
      <c r="B135" s="325" t="s">
        <v>595</v>
      </c>
      <c r="C135" s="325" t="s">
        <v>596</v>
      </c>
      <c r="D135" s="325" t="s">
        <v>597</v>
      </c>
      <c r="E135" s="324" t="s">
        <v>432</v>
      </c>
      <c r="F135" s="324" t="s">
        <v>2055</v>
      </c>
      <c r="G135" s="324" t="s">
        <v>887</v>
      </c>
      <c r="H135" s="324" t="s">
        <v>897</v>
      </c>
      <c r="I135" s="324" t="s">
        <v>1494</v>
      </c>
      <c r="J135" s="324" t="s">
        <v>889</v>
      </c>
      <c r="K135" s="324" t="s">
        <v>890</v>
      </c>
      <c r="L135" s="324" t="s">
        <v>891</v>
      </c>
      <c r="M135" s="324" t="s">
        <v>892</v>
      </c>
      <c r="N135" s="324" t="s">
        <v>905</v>
      </c>
      <c r="O135" s="324" t="s">
        <v>894</v>
      </c>
      <c r="P135" s="324" t="s">
        <v>1148</v>
      </c>
      <c r="Q135" s="324" t="s">
        <v>1148</v>
      </c>
      <c r="R135" s="324" t="s">
        <v>1149</v>
      </c>
      <c r="S135" s="356" t="s">
        <v>895</v>
      </c>
      <c r="T135" s="309"/>
      <c r="U135" s="357" t="e">
        <f>VLOOKUP(D135,'SUIVI JOURNALIER AVRIL'!CK:CM,3,FALSE)</f>
        <v>#N/A</v>
      </c>
      <c r="V135" s="358" t="e">
        <f>IF(VLOOKUP('vs mars'!D135,'point sur les patentes'!B:E,4,FALSE)="","",VLOOKUP(D135,'point sur les patentes'!B:E,4,FALSE)+VLOOKUP(D135,'point sur les patentes'!B:F,5,FALSE)+VLOOKUP('vs mars'!D135,'point sur les patentes'!B:G,6,FALSE)+VLOOKUP('vs mars'!D135,'point sur les patentes'!B:H,7,FALSE)+VLOOKUP('vs mars'!D135,'point sur les patentes'!B:I,8,FALSE)+VLOOKUP(D135,'point sur les patentes'!B:J,9,FALSE)+VLOOKUP(D135,'point sur les patentes'!B:K,10,FALSE)+VLOOKUP(D135,'point sur les patentes'!B:L,11,FALSE)+VLOOKUP(D135,'point sur les patentes'!B:M,12,FALSE)+VLOOKUP(D135,'point sur les patentes'!B:N,13,FALSE)+VLOOKUP(D135,'point sur les patentes'!B:O,14,FALSE)+VLOOKUP(D135,'point sur les patentes'!B:P,15,FALSE)+VLOOKUP(D135,'point sur les patentes'!B:Q,16,FALSE)+VLOOKUP('vs mars'!D135,'point sur les patentes'!B:Z,25,FALSE))</f>
        <v>#N/A</v>
      </c>
      <c r="W135" s="340" t="e">
        <f>VLOOKUP(D135,'SUIVI JOURNALIER AVRIL'!B:J,9,FALSE)</f>
        <v>#N/A</v>
      </c>
      <c r="X135" s="340" t="e">
        <f>VLOOKUP(D135,'SUIVI JOURNALIER AVRIL'!B:P,14,FALSE)+VLOOKUP('vs mars'!D135,'SUIVI JOURNALIER AVRIL'!B:V,20,FALSE)+VLOOKUP('vs mars'!D135,'SUIVI JOURNALIER AVRIL'!B:W,21,FALSE)</f>
        <v>#N/A</v>
      </c>
      <c r="Y135" s="340" t="e">
        <f>VLOOKUP(D135,'SUIVI JOURNALIER AVRIL'!B:CC,80,FALSE)</f>
        <v>#N/A</v>
      </c>
      <c r="Z135" s="340" t="e">
        <f t="shared" si="4"/>
        <v>#N/A</v>
      </c>
      <c r="AA135" s="359" t="e">
        <f>VLOOKUP(D135,'SUIVI JOURNALIER AVRIL'!B:CD,81,FALSE)</f>
        <v>#N/A</v>
      </c>
      <c r="AB135" s="360" t="e">
        <f t="shared" si="5"/>
        <v>#N/A</v>
      </c>
      <c r="AC135" s="360" t="str">
        <f>VLOOKUP(B135,labo!B:D,3,FALSE)</f>
        <v>ug2</v>
      </c>
      <c r="AD135" s="360" t="s">
        <v>2629</v>
      </c>
      <c r="AF135" s="330" t="e">
        <f>VLOOKUP(D135,'SUIVI JOURNALIER AVRIL'!CK:CL,2,FALSE)</f>
        <v>#N/A</v>
      </c>
      <c r="AG135" s="360">
        <v>1</v>
      </c>
    </row>
    <row r="136" spans="1:33" s="360" customFormat="1" ht="13.5" customHeight="1">
      <c r="A136" s="324" t="s">
        <v>1742</v>
      </c>
      <c r="B136" s="325" t="s">
        <v>598</v>
      </c>
      <c r="C136" s="325" t="s">
        <v>599</v>
      </c>
      <c r="D136" s="325" t="s">
        <v>600</v>
      </c>
      <c r="E136" s="324" t="s">
        <v>446</v>
      </c>
      <c r="F136" s="324" t="s">
        <v>2055</v>
      </c>
      <c r="G136" s="324" t="s">
        <v>887</v>
      </c>
      <c r="H136" s="324" t="s">
        <v>1150</v>
      </c>
      <c r="I136" s="324" t="s">
        <v>1151</v>
      </c>
      <c r="J136" s="324" t="s">
        <v>889</v>
      </c>
      <c r="K136" s="324" t="s">
        <v>890</v>
      </c>
      <c r="L136" s="324" t="s">
        <v>891</v>
      </c>
      <c r="M136" s="324" t="s">
        <v>892</v>
      </c>
      <c r="N136" s="324" t="s">
        <v>912</v>
      </c>
      <c r="O136" s="324" t="s">
        <v>1048</v>
      </c>
      <c r="P136" s="324" t="s">
        <v>1048</v>
      </c>
      <c r="Q136" s="324" t="s">
        <v>914</v>
      </c>
      <c r="R136" s="324" t="s">
        <v>1152</v>
      </c>
      <c r="S136" s="356" t="s">
        <v>895</v>
      </c>
      <c r="T136" s="309" t="s">
        <v>2122</v>
      </c>
      <c r="U136" s="357">
        <f>VLOOKUP(D136,'SUIVI JOURNALIER AVRIL'!CK:CM,3,FALSE)</f>
        <v>0</v>
      </c>
      <c r="V136" s="358" t="e">
        <f>IF(VLOOKUP('vs mars'!D136,'point sur les patentes'!B:E,4,FALSE)="","",VLOOKUP(D136,'point sur les patentes'!B:E,4,FALSE)+VLOOKUP(D136,'point sur les patentes'!B:F,5,FALSE)+VLOOKUP('vs mars'!D136,'point sur les patentes'!B:G,6,FALSE)+VLOOKUP('vs mars'!D136,'point sur les patentes'!B:H,7,FALSE)+VLOOKUP('vs mars'!D136,'point sur les patentes'!B:I,8,FALSE)+VLOOKUP(D136,'point sur les patentes'!B:J,9,FALSE)+VLOOKUP(D136,'point sur les patentes'!B:K,10,FALSE)+VLOOKUP(D136,'point sur les patentes'!B:L,11,FALSE)+VLOOKUP(D136,'point sur les patentes'!B:M,12,FALSE)+VLOOKUP(D136,'point sur les patentes'!B:N,13,FALSE)+VLOOKUP(D136,'point sur les patentes'!B:O,14,FALSE)+VLOOKUP(D136,'point sur les patentes'!B:P,15,FALSE)+VLOOKUP(D136,'point sur les patentes'!B:Q,16,FALSE)+VLOOKUP('vs mars'!D136,'point sur les patentes'!B:Z,25,FALSE))</f>
        <v>#N/A</v>
      </c>
      <c r="W136" s="340">
        <f>VLOOKUP(D136,'SUIVI JOURNALIER AVRIL'!B:J,9,FALSE)</f>
        <v>0</v>
      </c>
      <c r="X136" s="340">
        <f>VLOOKUP(D136,'SUIVI JOURNALIER AVRIL'!B:P,14,FALSE)+VLOOKUP('vs mars'!D136,'SUIVI JOURNALIER AVRIL'!B:V,20,FALSE)+VLOOKUP('vs mars'!D136,'SUIVI JOURNALIER AVRIL'!B:W,21,FALSE)</f>
        <v>0</v>
      </c>
      <c r="Y136" s="340">
        <f>VLOOKUP(D136,'SUIVI JOURNALIER AVRIL'!B:CC,80,FALSE)</f>
        <v>0</v>
      </c>
      <c r="Z136" s="340">
        <f t="shared" si="4"/>
        <v>0</v>
      </c>
      <c r="AA136" s="359">
        <f>VLOOKUP(D136,'SUIVI JOURNALIER AVRIL'!B:CD,81,FALSE)</f>
        <v>0</v>
      </c>
      <c r="AB136" s="360" t="str">
        <f t="shared" si="5"/>
        <v>ok</v>
      </c>
      <c r="AC136" s="360" t="str">
        <f>VLOOKUP(B136,labo!B:D,3,FALSE)</f>
        <v>ug5</v>
      </c>
      <c r="AD136" s="360" t="s">
        <v>2629</v>
      </c>
      <c r="AF136" s="330">
        <f>VLOOKUP(D136,'SUIVI JOURNALIER AVRIL'!CK:CL,2,FALSE)</f>
        <v>0</v>
      </c>
      <c r="AG136" s="360">
        <v>1</v>
      </c>
    </row>
    <row r="137" spans="1:33" s="360" customFormat="1" ht="13.5" customHeight="1">
      <c r="A137" s="324" t="s">
        <v>1745</v>
      </c>
      <c r="B137" s="325" t="s">
        <v>601</v>
      </c>
      <c r="C137" s="325" t="s">
        <v>602</v>
      </c>
      <c r="D137" s="325" t="s">
        <v>603</v>
      </c>
      <c r="E137" s="324" t="s">
        <v>455</v>
      </c>
      <c r="F137" s="324" t="s">
        <v>2055</v>
      </c>
      <c r="G137" s="324" t="s">
        <v>887</v>
      </c>
      <c r="H137" s="324" t="s">
        <v>1153</v>
      </c>
      <c r="I137" s="324" t="s">
        <v>1154</v>
      </c>
      <c r="J137" s="324" t="s">
        <v>889</v>
      </c>
      <c r="K137" s="324" t="s">
        <v>890</v>
      </c>
      <c r="L137" s="324" t="s">
        <v>891</v>
      </c>
      <c r="M137" s="324" t="s">
        <v>892</v>
      </c>
      <c r="N137" s="324" t="s">
        <v>893</v>
      </c>
      <c r="O137" s="324" t="s">
        <v>894</v>
      </c>
      <c r="P137" s="324" t="s">
        <v>899</v>
      </c>
      <c r="Q137" s="324" t="s">
        <v>900</v>
      </c>
      <c r="R137" s="324" t="s">
        <v>1155</v>
      </c>
      <c r="S137" s="356" t="s">
        <v>895</v>
      </c>
      <c r="T137" s="309" t="s">
        <v>1079</v>
      </c>
      <c r="U137" s="357" t="e">
        <f>VLOOKUP(D137,'SUIVI JOURNALIER AVRIL'!CK:CM,3,FALSE)</f>
        <v>#N/A</v>
      </c>
      <c r="V137" s="358" t="e">
        <f>IF(VLOOKUP('vs mars'!D137,'point sur les patentes'!B:E,4,FALSE)="","",VLOOKUP(D137,'point sur les patentes'!B:E,4,FALSE)+VLOOKUP(D137,'point sur les patentes'!B:F,5,FALSE)+VLOOKUP('vs mars'!D137,'point sur les patentes'!B:G,6,FALSE)+VLOOKUP('vs mars'!D137,'point sur les patentes'!B:H,7,FALSE)+VLOOKUP('vs mars'!D137,'point sur les patentes'!B:I,8,FALSE)+VLOOKUP(D137,'point sur les patentes'!B:J,9,FALSE)+VLOOKUP(D137,'point sur les patentes'!B:K,10,FALSE)+VLOOKUP(D137,'point sur les patentes'!B:L,11,FALSE)+VLOOKUP(D137,'point sur les patentes'!B:M,12,FALSE)+VLOOKUP(D137,'point sur les patentes'!B:N,13,FALSE)+VLOOKUP(D137,'point sur les patentes'!B:O,14,FALSE)+VLOOKUP(D137,'point sur les patentes'!B:P,15,FALSE)+VLOOKUP(D137,'point sur les patentes'!B:Q,16,FALSE)+VLOOKUP('vs mars'!D137,'point sur les patentes'!B:Z,25,FALSE))</f>
        <v>#N/A</v>
      </c>
      <c r="W137" s="340" t="e">
        <f>VLOOKUP(D137,'SUIVI JOURNALIER AVRIL'!B:J,9,FALSE)</f>
        <v>#N/A</v>
      </c>
      <c r="X137" s="340" t="e">
        <f>VLOOKUP(D137,'SUIVI JOURNALIER AVRIL'!B:P,14,FALSE)+VLOOKUP('vs mars'!D137,'SUIVI JOURNALIER AVRIL'!B:V,20,FALSE)+VLOOKUP('vs mars'!D137,'SUIVI JOURNALIER AVRIL'!B:W,21,FALSE)</f>
        <v>#N/A</v>
      </c>
      <c r="Y137" s="340" t="e">
        <f>VLOOKUP(D137,'SUIVI JOURNALIER AVRIL'!B:CC,80,FALSE)</f>
        <v>#N/A</v>
      </c>
      <c r="Z137" s="340" t="e">
        <f t="shared" si="4"/>
        <v>#N/A</v>
      </c>
      <c r="AA137" s="359" t="e">
        <f>VLOOKUP(D137,'SUIVI JOURNALIER AVRIL'!B:CD,81,FALSE)</f>
        <v>#N/A</v>
      </c>
      <c r="AB137" s="360" t="e">
        <f t="shared" si="5"/>
        <v>#N/A</v>
      </c>
      <c r="AC137" s="360" t="str">
        <f>VLOOKUP(B137,labo!B:D,3,FALSE)</f>
        <v>ug5</v>
      </c>
      <c r="AD137" s="360" t="s">
        <v>2629</v>
      </c>
      <c r="AF137" s="330" t="e">
        <f>VLOOKUP(D137,'SUIVI JOURNALIER AVRIL'!CK:CL,2,FALSE)</f>
        <v>#N/A</v>
      </c>
      <c r="AG137" s="360">
        <v>1</v>
      </c>
    </row>
    <row r="138" spans="1:33" s="360" customFormat="1" ht="13.5" customHeight="1">
      <c r="A138" s="324" t="s">
        <v>1746</v>
      </c>
      <c r="B138" s="325" t="s">
        <v>382</v>
      </c>
      <c r="C138" s="325" t="s">
        <v>604</v>
      </c>
      <c r="D138" s="325" t="s">
        <v>605</v>
      </c>
      <c r="E138" s="324" t="s">
        <v>432</v>
      </c>
      <c r="F138" s="324" t="s">
        <v>2055</v>
      </c>
      <c r="G138" s="324" t="s">
        <v>887</v>
      </c>
      <c r="H138" s="324" t="s">
        <v>897</v>
      </c>
      <c r="I138" s="324" t="s">
        <v>1156</v>
      </c>
      <c r="J138" s="324" t="s">
        <v>889</v>
      </c>
      <c r="K138" s="324" t="s">
        <v>890</v>
      </c>
      <c r="L138" s="324" t="s">
        <v>891</v>
      </c>
      <c r="M138" s="324" t="s">
        <v>892</v>
      </c>
      <c r="N138" s="324" t="s">
        <v>893</v>
      </c>
      <c r="O138" s="324" t="s">
        <v>894</v>
      </c>
      <c r="P138" s="324" t="s">
        <v>899</v>
      </c>
      <c r="Q138" s="324" t="s">
        <v>1021</v>
      </c>
      <c r="R138" s="324" t="s">
        <v>1157</v>
      </c>
      <c r="S138" s="356" t="s">
        <v>895</v>
      </c>
      <c r="T138" s="309" t="s">
        <v>999</v>
      </c>
      <c r="U138" s="357">
        <f>VLOOKUP(D138,'SUIVI JOURNALIER AVRIL'!CK:CM,3,FALSE)</f>
        <v>0</v>
      </c>
      <c r="V138" s="358" t="e">
        <f>IF(VLOOKUP('vs mars'!D138,'point sur les patentes'!B:E,4,FALSE)="","",VLOOKUP(D138,'point sur les patentes'!B:E,4,FALSE)+VLOOKUP(D138,'point sur les patentes'!B:F,5,FALSE)+VLOOKUP('vs mars'!D138,'point sur les patentes'!B:G,6,FALSE)+VLOOKUP('vs mars'!D138,'point sur les patentes'!B:H,7,FALSE)+VLOOKUP('vs mars'!D138,'point sur les patentes'!B:I,8,FALSE)+VLOOKUP(D138,'point sur les patentes'!B:J,9,FALSE)+VLOOKUP(D138,'point sur les patentes'!B:K,10,FALSE)+VLOOKUP(D138,'point sur les patentes'!B:L,11,FALSE)+VLOOKUP(D138,'point sur les patentes'!B:M,12,FALSE)+VLOOKUP(D138,'point sur les patentes'!B:N,13,FALSE)+VLOOKUP(D138,'point sur les patentes'!B:O,14,FALSE)+VLOOKUP(D138,'point sur les patentes'!B:P,15,FALSE)+VLOOKUP(D138,'point sur les patentes'!B:Q,16,FALSE)+VLOOKUP('vs mars'!D138,'point sur les patentes'!B:Z,25,FALSE))</f>
        <v>#N/A</v>
      </c>
      <c r="W138" s="340">
        <f>VLOOKUP(D138,'SUIVI JOURNALIER AVRIL'!B:J,9,FALSE)</f>
        <v>49138</v>
      </c>
      <c r="X138" s="340">
        <f>VLOOKUP(D138,'SUIVI JOURNALIER AVRIL'!B:P,14,FALSE)+VLOOKUP('vs mars'!D138,'SUIVI JOURNALIER AVRIL'!B:V,20,FALSE)+VLOOKUP('vs mars'!D138,'SUIVI JOURNALIER AVRIL'!B:W,21,FALSE)</f>
        <v>29993</v>
      </c>
      <c r="Y138" s="340">
        <f>VLOOKUP(D138,'SUIVI JOURNALIER AVRIL'!B:CC,80,FALSE)</f>
        <v>0</v>
      </c>
      <c r="Z138" s="340">
        <f t="shared" si="4"/>
        <v>79131</v>
      </c>
      <c r="AA138" s="359">
        <f>VLOOKUP(D138,'SUIVI JOURNALIER AVRIL'!B:CD,81,FALSE)</f>
        <v>79131</v>
      </c>
      <c r="AB138" s="360" t="str">
        <f t="shared" si="5"/>
        <v>ok</v>
      </c>
      <c r="AC138" s="360" t="str">
        <f>VLOOKUP(B138,labo!B:D,3,FALSE)</f>
        <v>ug2</v>
      </c>
      <c r="AD138" s="360" t="s">
        <v>2629</v>
      </c>
      <c r="AF138" s="330">
        <f>VLOOKUP(D138,'SUIVI JOURNALIER AVRIL'!CK:CL,2,FALSE)</f>
        <v>0</v>
      </c>
      <c r="AG138" s="360">
        <v>1</v>
      </c>
    </row>
    <row r="139" spans="1:33" s="360" customFormat="1" ht="13.5" customHeight="1">
      <c r="A139" s="324" t="s">
        <v>1747</v>
      </c>
      <c r="B139" s="325" t="s">
        <v>2635</v>
      </c>
      <c r="C139" s="325" t="s">
        <v>2636</v>
      </c>
      <c r="D139" s="325" t="s">
        <v>2637</v>
      </c>
      <c r="E139" s="324" t="s">
        <v>2638</v>
      </c>
      <c r="F139" s="324" t="s">
        <v>2055</v>
      </c>
      <c r="G139" s="324" t="s">
        <v>887</v>
      </c>
      <c r="H139" s="324" t="s">
        <v>897</v>
      </c>
      <c r="I139" s="324" t="s">
        <v>2055</v>
      </c>
      <c r="J139" s="324" t="s">
        <v>2481</v>
      </c>
      <c r="K139" s="324" t="s">
        <v>2405</v>
      </c>
      <c r="L139" s="324" t="s">
        <v>891</v>
      </c>
      <c r="M139" s="324" t="s">
        <v>892</v>
      </c>
      <c r="N139" s="324" t="s">
        <v>893</v>
      </c>
      <c r="O139" s="324" t="s">
        <v>894</v>
      </c>
      <c r="P139" s="324" t="s">
        <v>2447</v>
      </c>
      <c r="Q139" s="324" t="s">
        <v>924</v>
      </c>
      <c r="R139" s="324" t="s">
        <v>1172</v>
      </c>
      <c r="S139" s="356" t="s">
        <v>895</v>
      </c>
      <c r="T139" s="309">
        <v>4</v>
      </c>
      <c r="U139" s="357" t="e">
        <f>VLOOKUP(D139,'SUIVI JOURNALIER AVRIL'!CK:CM,3,FALSE)</f>
        <v>#N/A</v>
      </c>
      <c r="V139" s="358" t="e">
        <f>IF(VLOOKUP('vs mars'!D139,'point sur les patentes'!B:E,4,FALSE)="","",VLOOKUP(D139,'point sur les patentes'!B:E,4,FALSE)+VLOOKUP(D139,'point sur les patentes'!B:F,5,FALSE)+VLOOKUP('vs mars'!D139,'point sur les patentes'!B:G,6,FALSE)+VLOOKUP('vs mars'!D139,'point sur les patentes'!B:H,7,FALSE)+VLOOKUP('vs mars'!D139,'point sur les patentes'!B:I,8,FALSE)+VLOOKUP(D139,'point sur les patentes'!B:J,9,FALSE)+VLOOKUP(D139,'point sur les patentes'!B:K,10,FALSE)+VLOOKUP(D139,'point sur les patentes'!B:L,11,FALSE)+VLOOKUP(D139,'point sur les patentes'!B:M,12,FALSE)+VLOOKUP(D139,'point sur les patentes'!B:N,13,FALSE)+VLOOKUP(D139,'point sur les patentes'!B:O,14,FALSE)+VLOOKUP(D139,'point sur les patentes'!B:P,15,FALSE)+VLOOKUP(D139,'point sur les patentes'!B:Q,16,FALSE)+VLOOKUP('vs mars'!D139,'point sur les patentes'!B:Z,25,FALSE))</f>
        <v>#N/A</v>
      </c>
      <c r="W139" s="340" t="e">
        <f>VLOOKUP(D139,'SUIVI JOURNALIER AVRIL'!B:J,9,FALSE)</f>
        <v>#N/A</v>
      </c>
      <c r="X139" s="340" t="e">
        <f>VLOOKUP(D139,'SUIVI JOURNALIER AVRIL'!B:P,14,FALSE)+VLOOKUP('vs mars'!D139,'SUIVI JOURNALIER AVRIL'!B:V,20,FALSE)+VLOOKUP('vs mars'!D139,'SUIVI JOURNALIER AVRIL'!B:W,21,FALSE)</f>
        <v>#N/A</v>
      </c>
      <c r="Y139" s="340" t="e">
        <f>VLOOKUP(D139,'SUIVI JOURNALIER AVRIL'!B:CC,80,FALSE)</f>
        <v>#N/A</v>
      </c>
      <c r="Z139" s="340" t="e">
        <f>W139+X139+Y139</f>
        <v>#N/A</v>
      </c>
      <c r="AA139" s="359" t="e">
        <f>VLOOKUP(D139,'SUIVI JOURNALIER AVRIL'!B:CD,81,FALSE)</f>
        <v>#N/A</v>
      </c>
      <c r="AB139" s="360" t="e">
        <f>IF(Z139=AA139,"ok","revoir")</f>
        <v>#N/A</v>
      </c>
      <c r="AC139" s="360" t="str">
        <f>VLOOKUP(B139,labo!B:D,3,FALSE)</f>
        <v>ug5</v>
      </c>
      <c r="AD139" s="360" t="s">
        <v>2630</v>
      </c>
      <c r="AF139" s="330" t="e">
        <f>VLOOKUP(D139,'SUIVI JOURNALIER AVRIL'!CK:CL,2,FALSE)</f>
        <v>#N/A</v>
      </c>
      <c r="AG139" s="360">
        <v>1</v>
      </c>
    </row>
    <row r="140" spans="1:33" s="360" customFormat="1" ht="13.5" customHeight="1">
      <c r="A140" s="324" t="s">
        <v>1748</v>
      </c>
      <c r="B140" s="325" t="s">
        <v>606</v>
      </c>
      <c r="C140" s="325" t="s">
        <v>607</v>
      </c>
      <c r="D140" s="325" t="s">
        <v>608</v>
      </c>
      <c r="E140" s="324" t="s">
        <v>439</v>
      </c>
      <c r="F140" s="324" t="s">
        <v>2055</v>
      </c>
      <c r="G140" s="324" t="s">
        <v>887</v>
      </c>
      <c r="H140" s="324" t="s">
        <v>1158</v>
      </c>
      <c r="I140" s="324" t="s">
        <v>1159</v>
      </c>
      <c r="J140" s="324" t="s">
        <v>889</v>
      </c>
      <c r="K140" s="324" t="s">
        <v>890</v>
      </c>
      <c r="L140" s="324" t="s">
        <v>891</v>
      </c>
      <c r="M140" s="324" t="s">
        <v>892</v>
      </c>
      <c r="N140" s="324" t="s">
        <v>893</v>
      </c>
      <c r="O140" s="324" t="s">
        <v>894</v>
      </c>
      <c r="P140" s="324" t="s">
        <v>899</v>
      </c>
      <c r="Q140" s="324" t="s">
        <v>995</v>
      </c>
      <c r="R140" s="324" t="s">
        <v>1160</v>
      </c>
      <c r="S140" s="356" t="s">
        <v>895</v>
      </c>
      <c r="T140" s="309" t="s">
        <v>977</v>
      </c>
      <c r="U140" s="357" t="e">
        <f>VLOOKUP(D140,'SUIVI JOURNALIER AVRIL'!CK:CM,3,FALSE)</f>
        <v>#N/A</v>
      </c>
      <c r="V140" s="358" t="e">
        <f>IF(VLOOKUP('vs mars'!D140,'point sur les patentes'!B:E,4,FALSE)="","",VLOOKUP(D140,'point sur les patentes'!B:E,4,FALSE)+VLOOKUP(D140,'point sur les patentes'!B:F,5,FALSE)+VLOOKUP('vs mars'!D140,'point sur les patentes'!B:G,6,FALSE)+VLOOKUP('vs mars'!D140,'point sur les patentes'!B:H,7,FALSE)+VLOOKUP('vs mars'!D140,'point sur les patentes'!B:I,8,FALSE)+VLOOKUP(D140,'point sur les patentes'!B:J,9,FALSE)+VLOOKUP(D140,'point sur les patentes'!B:K,10,FALSE)+VLOOKUP(D140,'point sur les patentes'!B:L,11,FALSE)+VLOOKUP(D140,'point sur les patentes'!B:M,12,FALSE)+VLOOKUP(D140,'point sur les patentes'!B:N,13,FALSE)+VLOOKUP(D140,'point sur les patentes'!B:O,14,FALSE)+VLOOKUP(D140,'point sur les patentes'!B:P,15,FALSE)+VLOOKUP(D140,'point sur les patentes'!B:Q,16,FALSE)+VLOOKUP('vs mars'!D140,'point sur les patentes'!B:Z,25,FALSE))</f>
        <v>#N/A</v>
      </c>
      <c r="W140" s="340" t="e">
        <f>VLOOKUP(D140,'SUIVI JOURNALIER AVRIL'!B:J,9,FALSE)</f>
        <v>#N/A</v>
      </c>
      <c r="X140" s="340" t="e">
        <f>VLOOKUP(D140,'SUIVI JOURNALIER AVRIL'!B:P,14,FALSE)+VLOOKUP('vs mars'!D140,'SUIVI JOURNALIER AVRIL'!B:V,20,FALSE)+VLOOKUP('vs mars'!D140,'SUIVI JOURNALIER AVRIL'!B:W,21,FALSE)</f>
        <v>#N/A</v>
      </c>
      <c r="Y140" s="340" t="e">
        <f>VLOOKUP(D140,'SUIVI JOURNALIER AVRIL'!B:CC,80,FALSE)</f>
        <v>#N/A</v>
      </c>
      <c r="Z140" s="340" t="e">
        <f t="shared" si="4"/>
        <v>#N/A</v>
      </c>
      <c r="AA140" s="359" t="e">
        <f>VLOOKUP(D140,'SUIVI JOURNALIER AVRIL'!B:CD,81,FALSE)</f>
        <v>#N/A</v>
      </c>
      <c r="AB140" s="360" t="e">
        <f t="shared" si="5"/>
        <v>#N/A</v>
      </c>
      <c r="AC140" s="360" t="str">
        <f>VLOOKUP(B140,labo!B:D,3,FALSE)</f>
        <v>ug5</v>
      </c>
      <c r="AD140" s="360" t="s">
        <v>2629</v>
      </c>
      <c r="AF140" s="330" t="e">
        <f>VLOOKUP(D140,'SUIVI JOURNALIER AVRIL'!CK:CL,2,FALSE)</f>
        <v>#N/A</v>
      </c>
      <c r="AG140" s="360">
        <v>1</v>
      </c>
    </row>
    <row r="141" spans="1:33" s="360" customFormat="1" ht="13.5" customHeight="1">
      <c r="A141" s="324" t="s">
        <v>1749</v>
      </c>
      <c r="B141" s="325" t="s">
        <v>609</v>
      </c>
      <c r="C141" s="325" t="s">
        <v>610</v>
      </c>
      <c r="D141" s="325" t="s">
        <v>611</v>
      </c>
      <c r="E141" s="324" t="s">
        <v>554</v>
      </c>
      <c r="F141" s="324" t="s">
        <v>2055</v>
      </c>
      <c r="G141" s="324" t="s">
        <v>887</v>
      </c>
      <c r="H141" s="324" t="s">
        <v>1014</v>
      </c>
      <c r="I141" s="324" t="s">
        <v>1161</v>
      </c>
      <c r="J141" s="324" t="s">
        <v>889</v>
      </c>
      <c r="K141" s="324" t="s">
        <v>890</v>
      </c>
      <c r="L141" s="324" t="s">
        <v>891</v>
      </c>
      <c r="M141" s="324" t="s">
        <v>892</v>
      </c>
      <c r="N141" s="324" t="s">
        <v>893</v>
      </c>
      <c r="O141" s="324" t="s">
        <v>894</v>
      </c>
      <c r="P141" s="324" t="s">
        <v>899</v>
      </c>
      <c r="Q141" s="324" t="s">
        <v>985</v>
      </c>
      <c r="R141" s="324" t="s">
        <v>610</v>
      </c>
      <c r="S141" s="356" t="s">
        <v>895</v>
      </c>
      <c r="T141" s="309" t="s">
        <v>957</v>
      </c>
      <c r="U141" s="357">
        <f>VLOOKUP(D141,'SUIVI JOURNALIER AVRIL'!CK:CM,3,FALSE)</f>
        <v>0</v>
      </c>
      <c r="V141" s="358" t="e">
        <f>IF(VLOOKUP('vs mars'!D141,'point sur les patentes'!B:E,4,FALSE)="","",VLOOKUP(D141,'point sur les patentes'!B:E,4,FALSE)+VLOOKUP(D141,'point sur les patentes'!B:F,5,FALSE)+VLOOKUP('vs mars'!D141,'point sur les patentes'!B:G,6,FALSE)+VLOOKUP('vs mars'!D141,'point sur les patentes'!B:H,7,FALSE)+VLOOKUP('vs mars'!D141,'point sur les patentes'!B:I,8,FALSE)+VLOOKUP(D141,'point sur les patentes'!B:J,9,FALSE)+VLOOKUP(D141,'point sur les patentes'!B:K,10,FALSE)+VLOOKUP(D141,'point sur les patentes'!B:L,11,FALSE)+VLOOKUP(D141,'point sur les patentes'!B:M,12,FALSE)+VLOOKUP(D141,'point sur les patentes'!B:N,13,FALSE)+VLOOKUP(D141,'point sur les patentes'!B:O,14,FALSE)+VLOOKUP(D141,'point sur les patentes'!B:P,15,FALSE)+VLOOKUP(D141,'point sur les patentes'!B:Q,16,FALSE)+VLOOKUP('vs mars'!D141,'point sur les patentes'!B:Z,25,FALSE))</f>
        <v>#N/A</v>
      </c>
      <c r="W141" s="340">
        <f>VLOOKUP(D141,'SUIVI JOURNALIER AVRIL'!B:J,9,FALSE)</f>
        <v>10449</v>
      </c>
      <c r="X141" s="340">
        <f>VLOOKUP(D141,'SUIVI JOURNALIER AVRIL'!B:P,14,FALSE)+VLOOKUP('vs mars'!D141,'SUIVI JOURNALIER AVRIL'!B:V,20,FALSE)+VLOOKUP('vs mars'!D141,'SUIVI JOURNALIER AVRIL'!B:W,21,FALSE)</f>
        <v>51790</v>
      </c>
      <c r="Y141" s="340">
        <f>VLOOKUP(D141,'SUIVI JOURNALIER AVRIL'!B:CC,80,FALSE)</f>
        <v>11892</v>
      </c>
      <c r="Z141" s="340">
        <f t="shared" si="4"/>
        <v>74131</v>
      </c>
      <c r="AA141" s="359">
        <f>VLOOKUP(D141,'SUIVI JOURNALIER AVRIL'!B:CD,81,FALSE)</f>
        <v>74131</v>
      </c>
      <c r="AB141" s="360" t="str">
        <f t="shared" si="5"/>
        <v>ok</v>
      </c>
      <c r="AC141" s="360" t="str">
        <f>VLOOKUP(B141,labo!B:D,3,FALSE)</f>
        <v>ug2</v>
      </c>
      <c r="AD141" s="360" t="s">
        <v>2629</v>
      </c>
      <c r="AF141" s="330">
        <f>VLOOKUP(D141,'SUIVI JOURNALIER AVRIL'!CK:CL,2,FALSE)</f>
        <v>0</v>
      </c>
      <c r="AG141" s="360">
        <v>1</v>
      </c>
    </row>
    <row r="142" spans="1:33" s="360" customFormat="1" ht="13.5" customHeight="1">
      <c r="A142" s="324" t="s">
        <v>958</v>
      </c>
      <c r="B142" s="325" t="s">
        <v>612</v>
      </c>
      <c r="C142" s="325" t="s">
        <v>613</v>
      </c>
      <c r="D142" s="325" t="s">
        <v>614</v>
      </c>
      <c r="E142" s="324" t="s">
        <v>439</v>
      </c>
      <c r="F142" s="324" t="s">
        <v>2055</v>
      </c>
      <c r="G142" s="324" t="s">
        <v>887</v>
      </c>
      <c r="H142" s="324" t="s">
        <v>897</v>
      </c>
      <c r="I142" s="324" t="s">
        <v>1162</v>
      </c>
      <c r="J142" s="324" t="s">
        <v>889</v>
      </c>
      <c r="K142" s="324" t="s">
        <v>890</v>
      </c>
      <c r="L142" s="324" t="s">
        <v>891</v>
      </c>
      <c r="M142" s="324" t="s">
        <v>892</v>
      </c>
      <c r="N142" s="324" t="s">
        <v>893</v>
      </c>
      <c r="O142" s="324" t="s">
        <v>894</v>
      </c>
      <c r="P142" s="324" t="s">
        <v>899</v>
      </c>
      <c r="Q142" s="324" t="s">
        <v>995</v>
      </c>
      <c r="R142" s="324" t="s">
        <v>1163</v>
      </c>
      <c r="S142" s="356" t="s">
        <v>895</v>
      </c>
      <c r="T142" s="309" t="s">
        <v>1089</v>
      </c>
      <c r="U142" s="357">
        <f>VLOOKUP(D142,'SUIVI JOURNALIER AVRIL'!CK:CM,3,FALSE)</f>
        <v>0</v>
      </c>
      <c r="V142" s="358" t="e">
        <f>IF(VLOOKUP('vs mars'!D142,'point sur les patentes'!B:E,4,FALSE)="","",VLOOKUP(D142,'point sur les patentes'!B:E,4,FALSE)+VLOOKUP(D142,'point sur les patentes'!B:F,5,FALSE)+VLOOKUP('vs mars'!D142,'point sur les patentes'!B:G,6,FALSE)+VLOOKUP('vs mars'!D142,'point sur les patentes'!B:H,7,FALSE)+VLOOKUP('vs mars'!D142,'point sur les patentes'!B:I,8,FALSE)+VLOOKUP(D142,'point sur les patentes'!B:J,9,FALSE)+VLOOKUP(D142,'point sur les patentes'!B:K,10,FALSE)+VLOOKUP(D142,'point sur les patentes'!B:L,11,FALSE)+VLOOKUP(D142,'point sur les patentes'!B:M,12,FALSE)+VLOOKUP(D142,'point sur les patentes'!B:N,13,FALSE)+VLOOKUP(D142,'point sur les patentes'!B:O,14,FALSE)+VLOOKUP(D142,'point sur les patentes'!B:P,15,FALSE)+VLOOKUP(D142,'point sur les patentes'!B:Q,16,FALSE)+VLOOKUP('vs mars'!D142,'point sur les patentes'!B:Z,25,FALSE))</f>
        <v>#N/A</v>
      </c>
      <c r="W142" s="340">
        <f>VLOOKUP(D142,'SUIVI JOURNALIER AVRIL'!B:J,9,FALSE)</f>
        <v>0</v>
      </c>
      <c r="X142" s="340">
        <f>VLOOKUP(D142,'SUIVI JOURNALIER AVRIL'!B:P,14,FALSE)+VLOOKUP('vs mars'!D142,'SUIVI JOURNALIER AVRIL'!B:V,20,FALSE)+VLOOKUP('vs mars'!D142,'SUIVI JOURNALIER AVRIL'!B:W,21,FALSE)</f>
        <v>0</v>
      </c>
      <c r="Y142" s="340">
        <f>VLOOKUP(D142,'SUIVI JOURNALIER AVRIL'!B:CC,80,FALSE)</f>
        <v>8000</v>
      </c>
      <c r="Z142" s="340">
        <f t="shared" si="4"/>
        <v>8000</v>
      </c>
      <c r="AA142" s="359">
        <f>VLOOKUP(D142,'SUIVI JOURNALIER AVRIL'!B:CD,81,FALSE)</f>
        <v>8000</v>
      </c>
      <c r="AB142" s="360" t="str">
        <f t="shared" si="5"/>
        <v>ok</v>
      </c>
      <c r="AC142" s="360" t="str">
        <f>VLOOKUP(B142,labo!B:D,3,FALSE)</f>
        <v>ug5</v>
      </c>
      <c r="AD142" s="360" t="s">
        <v>2629</v>
      </c>
      <c r="AF142" s="330">
        <f>VLOOKUP(D142,'SUIVI JOURNALIER AVRIL'!CK:CL,2,FALSE)</f>
        <v>0</v>
      </c>
      <c r="AG142" s="360">
        <v>1</v>
      </c>
    </row>
    <row r="143" spans="1:33" s="360" customFormat="1" ht="13.5" customHeight="1">
      <c r="A143" s="324" t="s">
        <v>1750</v>
      </c>
      <c r="B143" s="325" t="s">
        <v>615</v>
      </c>
      <c r="C143" s="325" t="s">
        <v>616</v>
      </c>
      <c r="D143" s="325" t="s">
        <v>617</v>
      </c>
      <c r="E143" s="324" t="s">
        <v>446</v>
      </c>
      <c r="F143" s="324" t="s">
        <v>2055</v>
      </c>
      <c r="G143" s="324" t="s">
        <v>887</v>
      </c>
      <c r="H143" s="324" t="s">
        <v>1164</v>
      </c>
      <c r="I143" s="324" t="s">
        <v>1165</v>
      </c>
      <c r="J143" s="324" t="s">
        <v>889</v>
      </c>
      <c r="K143" s="324" t="s">
        <v>890</v>
      </c>
      <c r="L143" s="324" t="s">
        <v>891</v>
      </c>
      <c r="M143" s="324" t="s">
        <v>892</v>
      </c>
      <c r="N143" s="324" t="s">
        <v>893</v>
      </c>
      <c r="O143" s="324" t="s">
        <v>894</v>
      </c>
      <c r="P143" s="324" t="s">
        <v>935</v>
      </c>
      <c r="Q143" s="324" t="s">
        <v>1091</v>
      </c>
      <c r="R143" s="324" t="s">
        <v>1166</v>
      </c>
      <c r="S143" s="356" t="s">
        <v>895</v>
      </c>
      <c r="T143" s="309" t="s">
        <v>1060</v>
      </c>
      <c r="U143" s="357" t="e">
        <f>VLOOKUP(D143,'SUIVI JOURNALIER AVRIL'!CK:CM,3,FALSE)</f>
        <v>#N/A</v>
      </c>
      <c r="V143" s="358" t="e">
        <f>IF(VLOOKUP('vs mars'!D143,'point sur les patentes'!B:E,4,FALSE)="","",VLOOKUP(D143,'point sur les patentes'!B:E,4,FALSE)+VLOOKUP(D143,'point sur les patentes'!B:F,5,FALSE)+VLOOKUP('vs mars'!D143,'point sur les patentes'!B:G,6,FALSE)+VLOOKUP('vs mars'!D143,'point sur les patentes'!B:H,7,FALSE)+VLOOKUP('vs mars'!D143,'point sur les patentes'!B:I,8,FALSE)+VLOOKUP(D143,'point sur les patentes'!B:J,9,FALSE)+VLOOKUP(D143,'point sur les patentes'!B:K,10,FALSE)+VLOOKUP(D143,'point sur les patentes'!B:L,11,FALSE)+VLOOKUP(D143,'point sur les patentes'!B:M,12,FALSE)+VLOOKUP(D143,'point sur les patentes'!B:N,13,FALSE)+VLOOKUP(D143,'point sur les patentes'!B:O,14,FALSE)+VLOOKUP(D143,'point sur les patentes'!B:P,15,FALSE)+VLOOKUP(D143,'point sur les patentes'!B:Q,16,FALSE)+VLOOKUP('vs mars'!D143,'point sur les patentes'!B:Z,25,FALSE))</f>
        <v>#N/A</v>
      </c>
      <c r="W143" s="340" t="e">
        <f>VLOOKUP(D143,'SUIVI JOURNALIER AVRIL'!B:J,9,FALSE)</f>
        <v>#N/A</v>
      </c>
      <c r="X143" s="340" t="e">
        <f>VLOOKUP(D143,'SUIVI JOURNALIER AVRIL'!B:P,14,FALSE)+VLOOKUP('vs mars'!D143,'SUIVI JOURNALIER AVRIL'!B:V,20,FALSE)+VLOOKUP('vs mars'!D143,'SUIVI JOURNALIER AVRIL'!B:W,21,FALSE)</f>
        <v>#N/A</v>
      </c>
      <c r="Y143" s="340" t="e">
        <f>VLOOKUP(D143,'SUIVI JOURNALIER AVRIL'!B:CC,80,FALSE)</f>
        <v>#N/A</v>
      </c>
      <c r="Z143" s="340" t="e">
        <f t="shared" si="4"/>
        <v>#N/A</v>
      </c>
      <c r="AA143" s="359" t="e">
        <f>VLOOKUP(D143,'SUIVI JOURNALIER AVRIL'!B:CD,81,FALSE)</f>
        <v>#N/A</v>
      </c>
      <c r="AB143" s="360" t="e">
        <f t="shared" si="5"/>
        <v>#N/A</v>
      </c>
      <c r="AC143" s="360" t="str">
        <f>VLOOKUP(B143,labo!B:D,3,FALSE)</f>
        <v>ug5</v>
      </c>
      <c r="AD143" s="360" t="s">
        <v>2629</v>
      </c>
      <c r="AF143" s="330" t="e">
        <f>VLOOKUP(D143,'SUIVI JOURNALIER AVRIL'!CK:CL,2,FALSE)</f>
        <v>#N/A</v>
      </c>
      <c r="AG143" s="360">
        <v>1</v>
      </c>
    </row>
    <row r="144" spans="1:33" s="360" customFormat="1" ht="13.5" customHeight="1">
      <c r="A144" s="324" t="s">
        <v>1743</v>
      </c>
      <c r="B144" s="325" t="s">
        <v>2199</v>
      </c>
      <c r="C144" s="325" t="s">
        <v>2055</v>
      </c>
      <c r="D144" s="325" t="s">
        <v>2213</v>
      </c>
      <c r="E144" s="324" t="s">
        <v>542</v>
      </c>
      <c r="F144" s="324" t="s">
        <v>2055</v>
      </c>
      <c r="G144" s="324" t="s">
        <v>887</v>
      </c>
      <c r="H144" s="324" t="s">
        <v>897</v>
      </c>
      <c r="I144" s="324" t="s">
        <v>2055</v>
      </c>
      <c r="J144" s="324" t="s">
        <v>2057</v>
      </c>
      <c r="K144" s="324" t="s">
        <v>890</v>
      </c>
      <c r="L144" s="324" t="s">
        <v>891</v>
      </c>
      <c r="M144" s="324" t="s">
        <v>892</v>
      </c>
      <c r="N144" s="324" t="s">
        <v>893</v>
      </c>
      <c r="O144" s="324" t="s">
        <v>2214</v>
      </c>
      <c r="P144" s="324" t="s">
        <v>2214</v>
      </c>
      <c r="Q144" s="324" t="s">
        <v>924</v>
      </c>
      <c r="R144" s="324" t="s">
        <v>924</v>
      </c>
      <c r="S144" s="356" t="s">
        <v>895</v>
      </c>
      <c r="T144" s="309" t="s">
        <v>977</v>
      </c>
      <c r="U144" s="357">
        <f>VLOOKUP(D144,'SUIVI JOURNALIER AVRIL'!CK:CM,3,FALSE)</f>
        <v>0</v>
      </c>
      <c r="V144" s="358">
        <f>IF(VLOOKUP('vs mars'!D144,'point sur les patentes'!B:E,4,FALSE)="","",VLOOKUP(D144,'point sur les patentes'!B:E,4,FALSE)+VLOOKUP(D144,'point sur les patentes'!B:F,5,FALSE)+VLOOKUP('vs mars'!D144,'point sur les patentes'!B:G,6,FALSE)+VLOOKUP('vs mars'!D144,'point sur les patentes'!B:H,7,FALSE)+VLOOKUP('vs mars'!D144,'point sur les patentes'!B:I,8,FALSE)+VLOOKUP(D144,'point sur les patentes'!B:J,9,FALSE)+VLOOKUP(D144,'point sur les patentes'!B:K,10,FALSE)+VLOOKUP(D144,'point sur les patentes'!B:L,11,FALSE)+VLOOKUP(D144,'point sur les patentes'!B:M,12,FALSE)+VLOOKUP(D144,'point sur les patentes'!B:N,13,FALSE)+VLOOKUP(D144,'point sur les patentes'!B:O,14,FALSE)+VLOOKUP(D144,'point sur les patentes'!B:P,15,FALSE)+VLOOKUP(D144,'point sur les patentes'!B:Q,16,FALSE)+VLOOKUP('vs mars'!D144,'point sur les patentes'!B:Z,25,FALSE))</f>
        <v>383060</v>
      </c>
      <c r="W144" s="340">
        <f>VLOOKUP(D144,'SUIVI JOURNALIER AVRIL'!B:J,9,FALSE)</f>
        <v>56700</v>
      </c>
      <c r="X144" s="340">
        <f>VLOOKUP(D144,'SUIVI JOURNALIER AVRIL'!B:P,14,FALSE)+VLOOKUP('vs mars'!D144,'SUIVI JOURNALIER AVRIL'!B:V,20,FALSE)+VLOOKUP('vs mars'!D144,'SUIVI JOURNALIER AVRIL'!B:W,21,FALSE)</f>
        <v>35937</v>
      </c>
      <c r="Y144" s="340">
        <f>VLOOKUP(D144,'SUIVI JOURNALIER AVRIL'!B:CC,80,FALSE)</f>
        <v>1</v>
      </c>
      <c r="Z144" s="340">
        <f t="shared" si="4"/>
        <v>92638</v>
      </c>
      <c r="AA144" s="359">
        <f>VLOOKUP(D144,'SUIVI JOURNALIER AVRIL'!B:CD,81,FALSE)</f>
        <v>92638</v>
      </c>
      <c r="AB144" s="360" t="str">
        <f t="shared" si="5"/>
        <v>ok</v>
      </c>
      <c r="AC144" s="360" t="str">
        <f>VLOOKUP(B144,labo!B:D,3,FALSE)</f>
        <v>ug2</v>
      </c>
      <c r="AD144" s="360" t="s">
        <v>2629</v>
      </c>
      <c r="AF144" s="330">
        <f>VLOOKUP(D144,'SUIVI JOURNALIER AVRIL'!CK:CL,2,FALSE)</f>
        <v>0</v>
      </c>
      <c r="AG144" s="360">
        <v>1</v>
      </c>
    </row>
    <row r="145" spans="1:33" s="360" customFormat="1" ht="13.5" customHeight="1">
      <c r="A145" s="324" t="s">
        <v>1751</v>
      </c>
      <c r="B145" s="325" t="s">
        <v>2128</v>
      </c>
      <c r="C145" s="325" t="s">
        <v>2055</v>
      </c>
      <c r="D145" s="325" t="s">
        <v>2129</v>
      </c>
      <c r="E145" s="324" t="s">
        <v>2248</v>
      </c>
      <c r="F145" s="324" t="s">
        <v>2055</v>
      </c>
      <c r="G145" s="324" t="s">
        <v>887</v>
      </c>
      <c r="H145" s="324" t="s">
        <v>2055</v>
      </c>
      <c r="I145" s="324" t="s">
        <v>2473</v>
      </c>
      <c r="J145" s="324" t="s">
        <v>2055</v>
      </c>
      <c r="K145" s="324" t="s">
        <v>2405</v>
      </c>
      <c r="L145" s="324" t="s">
        <v>891</v>
      </c>
      <c r="M145" s="324" t="s">
        <v>892</v>
      </c>
      <c r="N145" s="324" t="s">
        <v>893</v>
      </c>
      <c r="O145" s="324" t="s">
        <v>894</v>
      </c>
      <c r="P145" s="324" t="s">
        <v>919</v>
      </c>
      <c r="Q145" s="324" t="s">
        <v>2474</v>
      </c>
      <c r="R145" s="324" t="s">
        <v>900</v>
      </c>
      <c r="S145" s="356" t="s">
        <v>895</v>
      </c>
      <c r="T145" s="309" t="s">
        <v>909</v>
      </c>
      <c r="U145" s="357">
        <f>VLOOKUP(D145,'SUIVI JOURNALIER AVRIL'!CK:CM,3,FALSE)</f>
        <v>0</v>
      </c>
      <c r="V145" s="358" t="e">
        <f>IF(VLOOKUP('vs mars'!D145,'point sur les patentes'!B:E,4,FALSE)="","",VLOOKUP(D145,'point sur les patentes'!B:E,4,FALSE)+VLOOKUP(D145,'point sur les patentes'!B:F,5,FALSE)+VLOOKUP('vs mars'!D145,'point sur les patentes'!B:G,6,FALSE)+VLOOKUP('vs mars'!D145,'point sur les patentes'!B:H,7,FALSE)+VLOOKUP('vs mars'!D145,'point sur les patentes'!B:I,8,FALSE)+VLOOKUP(D145,'point sur les patentes'!B:J,9,FALSE)+VLOOKUP(D145,'point sur les patentes'!B:K,10,FALSE)+VLOOKUP(D145,'point sur les patentes'!B:L,11,FALSE)+VLOOKUP(D145,'point sur les patentes'!B:M,12,FALSE)+VLOOKUP(D145,'point sur les patentes'!B:N,13,FALSE)+VLOOKUP(D145,'point sur les patentes'!B:O,14,FALSE)+VLOOKUP(D145,'point sur les patentes'!B:P,15,FALSE)+VLOOKUP(D145,'point sur les patentes'!B:Q,16,FALSE)+VLOOKUP('vs mars'!D145,'point sur les patentes'!B:Z,25,FALSE))</f>
        <v>#N/A</v>
      </c>
      <c r="W145" s="340">
        <f>VLOOKUP(D145,'SUIVI JOURNALIER AVRIL'!B:J,9,FALSE)</f>
        <v>0</v>
      </c>
      <c r="X145" s="340">
        <f>VLOOKUP(D145,'SUIVI JOURNALIER AVRIL'!B:P,14,FALSE)+VLOOKUP('vs mars'!D145,'SUIVI JOURNALIER AVRIL'!B:V,20,FALSE)+VLOOKUP('vs mars'!D145,'SUIVI JOURNALIER AVRIL'!B:W,21,FALSE)</f>
        <v>250549.99999999997</v>
      </c>
      <c r="Y145" s="340">
        <f>VLOOKUP(D145,'SUIVI JOURNALIER AVRIL'!B:CC,80,FALSE)</f>
        <v>0</v>
      </c>
      <c r="Z145" s="340">
        <f t="shared" si="4"/>
        <v>250549.99999999997</v>
      </c>
      <c r="AA145" s="359">
        <f>VLOOKUP(D145,'SUIVI JOURNALIER AVRIL'!B:CD,81,FALSE)</f>
        <v>250549.99999999997</v>
      </c>
      <c r="AB145" s="360" t="str">
        <f t="shared" si="5"/>
        <v>ok</v>
      </c>
      <c r="AC145" s="360" t="str">
        <f>VLOOKUP(B145,labo!B:D,3,FALSE)</f>
        <v>ug5</v>
      </c>
      <c r="AD145" s="360" t="s">
        <v>2629</v>
      </c>
      <c r="AF145" s="330">
        <f>VLOOKUP(D145,'SUIVI JOURNALIER AVRIL'!CK:CL,2,FALSE)</f>
        <v>0</v>
      </c>
      <c r="AG145" s="360">
        <v>1</v>
      </c>
    </row>
    <row r="146" spans="1:33" s="360" customFormat="1" ht="13.5" customHeight="1">
      <c r="A146" s="324" t="s">
        <v>1752</v>
      </c>
      <c r="B146" s="325" t="s">
        <v>302</v>
      </c>
      <c r="C146" s="325" t="s">
        <v>618</v>
      </c>
      <c r="D146" s="325" t="s">
        <v>619</v>
      </c>
      <c r="E146" s="324" t="s">
        <v>542</v>
      </c>
      <c r="F146" s="324" t="s">
        <v>2055</v>
      </c>
      <c r="G146" s="324" t="s">
        <v>887</v>
      </c>
      <c r="H146" s="324" t="s">
        <v>1167</v>
      </c>
      <c r="I146" s="324" t="s">
        <v>1168</v>
      </c>
      <c r="J146" s="324" t="s">
        <v>889</v>
      </c>
      <c r="K146" s="324" t="s">
        <v>890</v>
      </c>
      <c r="L146" s="324" t="s">
        <v>891</v>
      </c>
      <c r="M146" s="324" t="s">
        <v>892</v>
      </c>
      <c r="N146" s="324" t="s">
        <v>912</v>
      </c>
      <c r="O146" s="324" t="s">
        <v>913</v>
      </c>
      <c r="P146" s="324" t="s">
        <v>913</v>
      </c>
      <c r="Q146" s="324" t="s">
        <v>924</v>
      </c>
      <c r="R146" s="324" t="s">
        <v>1169</v>
      </c>
      <c r="S146" s="356" t="s">
        <v>895</v>
      </c>
      <c r="T146" s="309" t="s">
        <v>957</v>
      </c>
      <c r="U146" s="357">
        <f>VLOOKUP(D146,'SUIVI JOURNALIER AVRIL'!CK:CM,3,FALSE)</f>
        <v>0</v>
      </c>
      <c r="V146" s="358" t="e">
        <f>IF(VLOOKUP('vs mars'!D146,'point sur les patentes'!B:E,4,FALSE)="","",VLOOKUP(D146,'point sur les patentes'!B:E,4,FALSE)+VLOOKUP(D146,'point sur les patentes'!B:F,5,FALSE)+VLOOKUP('vs mars'!D146,'point sur les patentes'!B:G,6,FALSE)+VLOOKUP('vs mars'!D146,'point sur les patentes'!B:H,7,FALSE)+VLOOKUP('vs mars'!D146,'point sur les patentes'!B:I,8,FALSE)+VLOOKUP(D146,'point sur les patentes'!B:J,9,FALSE)+VLOOKUP(D146,'point sur les patentes'!B:K,10,FALSE)+VLOOKUP(D146,'point sur les patentes'!B:L,11,FALSE)+VLOOKUP(D146,'point sur les patentes'!B:M,12,FALSE)+VLOOKUP(D146,'point sur les patentes'!B:N,13,FALSE)+VLOOKUP(D146,'point sur les patentes'!B:O,14,FALSE)+VLOOKUP(D146,'point sur les patentes'!B:P,15,FALSE)+VLOOKUP(D146,'point sur les patentes'!B:Q,16,FALSE)+VLOOKUP('vs mars'!D146,'point sur les patentes'!B:Z,25,FALSE))</f>
        <v>#N/A</v>
      </c>
      <c r="W146" s="340">
        <f>VLOOKUP(D146,'SUIVI JOURNALIER AVRIL'!B:J,9,FALSE)</f>
        <v>318174</v>
      </c>
      <c r="X146" s="340">
        <f>VLOOKUP(D146,'SUIVI JOURNALIER AVRIL'!B:P,14,FALSE)+VLOOKUP('vs mars'!D146,'SUIVI JOURNALIER AVRIL'!B:V,20,FALSE)+VLOOKUP('vs mars'!D146,'SUIVI JOURNALIER AVRIL'!B:W,21,FALSE)</f>
        <v>172395</v>
      </c>
      <c r="Y146" s="340">
        <f>VLOOKUP(D146,'SUIVI JOURNALIER AVRIL'!B:CC,80,FALSE)</f>
        <v>1069227</v>
      </c>
      <c r="Z146" s="340">
        <f t="shared" si="4"/>
        <v>1559796</v>
      </c>
      <c r="AA146" s="359">
        <f>VLOOKUP(D146,'SUIVI JOURNALIER AVRIL'!B:CD,81,FALSE)</f>
        <v>1559796</v>
      </c>
      <c r="AB146" s="360" t="str">
        <f t="shared" si="5"/>
        <v>ok</v>
      </c>
      <c r="AC146" s="360" t="str">
        <f>VLOOKUP(B146,labo!B:D,3,FALSE)</f>
        <v>ug2</v>
      </c>
      <c r="AD146" s="360" t="s">
        <v>2629</v>
      </c>
      <c r="AF146" s="330">
        <f>VLOOKUP(D146,'SUIVI JOURNALIER AVRIL'!CK:CL,2,FALSE)</f>
        <v>0</v>
      </c>
      <c r="AG146" s="360">
        <v>1</v>
      </c>
    </row>
    <row r="147" spans="1:33" s="360" customFormat="1" ht="13.5" customHeight="1">
      <c r="A147" s="324" t="s">
        <v>1753</v>
      </c>
      <c r="B147" s="325" t="s">
        <v>1570</v>
      </c>
      <c r="C147" s="325" t="s">
        <v>620</v>
      </c>
      <c r="D147" s="325" t="s">
        <v>621</v>
      </c>
      <c r="E147" s="324" t="s">
        <v>432</v>
      </c>
      <c r="F147" s="324" t="s">
        <v>2055</v>
      </c>
      <c r="G147" s="324" t="s">
        <v>887</v>
      </c>
      <c r="H147" s="324" t="s">
        <v>1170</v>
      </c>
      <c r="I147" s="324" t="s">
        <v>1171</v>
      </c>
      <c r="J147" s="324" t="s">
        <v>889</v>
      </c>
      <c r="K147" s="324" t="s">
        <v>890</v>
      </c>
      <c r="L147" s="324" t="s">
        <v>891</v>
      </c>
      <c r="M147" s="324" t="s">
        <v>892</v>
      </c>
      <c r="N147" s="324" t="s">
        <v>893</v>
      </c>
      <c r="O147" s="324" t="s">
        <v>894</v>
      </c>
      <c r="P147" s="324" t="s">
        <v>935</v>
      </c>
      <c r="Q147" s="324" t="s">
        <v>1172</v>
      </c>
      <c r="R147" s="324" t="s">
        <v>1173</v>
      </c>
      <c r="S147" s="356" t="s">
        <v>895</v>
      </c>
      <c r="T147" s="309" t="s">
        <v>957</v>
      </c>
      <c r="U147" s="357">
        <f>VLOOKUP(D147,'SUIVI JOURNALIER AVRIL'!CK:CM,3,FALSE)</f>
        <v>0</v>
      </c>
      <c r="V147" s="358" t="e">
        <f>IF(VLOOKUP('vs mars'!D147,'point sur les patentes'!B:E,4,FALSE)="","",VLOOKUP(D147,'point sur les patentes'!B:E,4,FALSE)+VLOOKUP(D147,'point sur les patentes'!B:F,5,FALSE)+VLOOKUP('vs mars'!D147,'point sur les patentes'!B:G,6,FALSE)+VLOOKUP('vs mars'!D147,'point sur les patentes'!B:H,7,FALSE)+VLOOKUP('vs mars'!D147,'point sur les patentes'!B:I,8,FALSE)+VLOOKUP(D147,'point sur les patentes'!B:J,9,FALSE)+VLOOKUP(D147,'point sur les patentes'!B:K,10,FALSE)+VLOOKUP(D147,'point sur les patentes'!B:L,11,FALSE)+VLOOKUP(D147,'point sur les patentes'!B:M,12,FALSE)+VLOOKUP(D147,'point sur les patentes'!B:N,13,FALSE)+VLOOKUP(D147,'point sur les patentes'!B:O,14,FALSE)+VLOOKUP(D147,'point sur les patentes'!B:P,15,FALSE)+VLOOKUP(D147,'point sur les patentes'!B:Q,16,FALSE)+VLOOKUP('vs mars'!D147,'point sur les patentes'!B:Z,25,FALSE))</f>
        <v>#N/A</v>
      </c>
      <c r="W147" s="340">
        <f>VLOOKUP(D147,'SUIVI JOURNALIER AVRIL'!B:J,9,FALSE)</f>
        <v>95950</v>
      </c>
      <c r="X147" s="340">
        <f>VLOOKUP(D147,'SUIVI JOURNALIER AVRIL'!B:P,14,FALSE)+VLOOKUP('vs mars'!D147,'SUIVI JOURNALIER AVRIL'!B:V,20,FALSE)+VLOOKUP('vs mars'!D147,'SUIVI JOURNALIER AVRIL'!B:W,21,FALSE)</f>
        <v>18685</v>
      </c>
      <c r="Y147" s="340">
        <f>VLOOKUP(D147,'SUIVI JOURNALIER AVRIL'!B:CC,80,FALSE)</f>
        <v>110</v>
      </c>
      <c r="Z147" s="340">
        <f t="shared" si="4"/>
        <v>114745</v>
      </c>
      <c r="AA147" s="359">
        <f>VLOOKUP(D147,'SUIVI JOURNALIER AVRIL'!B:CD,81,FALSE)</f>
        <v>114745</v>
      </c>
      <c r="AB147" s="360" t="str">
        <f t="shared" si="5"/>
        <v>ok</v>
      </c>
      <c r="AC147" s="360" t="str">
        <f>VLOOKUP(B147,labo!B:D,3,FALSE)</f>
        <v>ug2</v>
      </c>
      <c r="AD147" s="360" t="s">
        <v>2629</v>
      </c>
      <c r="AF147" s="330">
        <f>VLOOKUP(D147,'SUIVI JOURNALIER AVRIL'!CK:CL,2,FALSE)</f>
        <v>0</v>
      </c>
      <c r="AG147" s="360">
        <v>1</v>
      </c>
    </row>
    <row r="148" spans="1:33" s="360" customFormat="1" ht="13.5" customHeight="1">
      <c r="A148" s="324" t="s">
        <v>1754</v>
      </c>
      <c r="B148" s="325" t="s">
        <v>322</v>
      </c>
      <c r="C148" s="325" t="s">
        <v>622</v>
      </c>
      <c r="D148" s="325" t="s">
        <v>623</v>
      </c>
      <c r="E148" s="324" t="s">
        <v>458</v>
      </c>
      <c r="F148" s="324" t="s">
        <v>2055</v>
      </c>
      <c r="G148" s="324" t="s">
        <v>926</v>
      </c>
      <c r="H148" s="324" t="s">
        <v>1174</v>
      </c>
      <c r="I148" s="324" t="s">
        <v>1175</v>
      </c>
      <c r="J148" s="324" t="s">
        <v>940</v>
      </c>
      <c r="K148" s="324" t="s">
        <v>890</v>
      </c>
      <c r="L148" s="324" t="s">
        <v>891</v>
      </c>
      <c r="M148" s="324" t="s">
        <v>892</v>
      </c>
      <c r="N148" s="324" t="s">
        <v>893</v>
      </c>
      <c r="O148" s="324" t="s">
        <v>894</v>
      </c>
      <c r="P148" s="324" t="s">
        <v>899</v>
      </c>
      <c r="Q148" s="324" t="s">
        <v>985</v>
      </c>
      <c r="R148" s="324" t="s">
        <v>1176</v>
      </c>
      <c r="S148" s="356" t="s">
        <v>895</v>
      </c>
      <c r="T148" s="309" t="s">
        <v>909</v>
      </c>
      <c r="U148" s="357" t="e">
        <f>VLOOKUP(D148,'SUIVI JOURNALIER AVRIL'!CK:CM,3,FALSE)</f>
        <v>#N/A</v>
      </c>
      <c r="V148" s="358" t="e">
        <f>IF(VLOOKUP('vs mars'!D148,'point sur les patentes'!B:E,4,FALSE)="","",VLOOKUP(D148,'point sur les patentes'!B:E,4,FALSE)+VLOOKUP(D148,'point sur les patentes'!B:F,5,FALSE)+VLOOKUP('vs mars'!D148,'point sur les patentes'!B:G,6,FALSE)+VLOOKUP('vs mars'!D148,'point sur les patentes'!B:H,7,FALSE)+VLOOKUP('vs mars'!D148,'point sur les patentes'!B:I,8,FALSE)+VLOOKUP(D148,'point sur les patentes'!B:J,9,FALSE)+VLOOKUP(D148,'point sur les patentes'!B:K,10,FALSE)+VLOOKUP(D148,'point sur les patentes'!B:L,11,FALSE)+VLOOKUP(D148,'point sur les patentes'!B:M,12,FALSE)+VLOOKUP(D148,'point sur les patentes'!B:N,13,FALSE)+VLOOKUP(D148,'point sur les patentes'!B:O,14,FALSE)+VLOOKUP(D148,'point sur les patentes'!B:P,15,FALSE)+VLOOKUP(D148,'point sur les patentes'!B:Q,16,FALSE)+VLOOKUP('vs mars'!D148,'point sur les patentes'!B:Z,25,FALSE))</f>
        <v>#N/A</v>
      </c>
      <c r="W148" s="340" t="e">
        <f>VLOOKUP(D148,'SUIVI JOURNALIER AVRIL'!B:J,9,FALSE)</f>
        <v>#N/A</v>
      </c>
      <c r="X148" s="340" t="e">
        <f>VLOOKUP(D148,'SUIVI JOURNALIER AVRIL'!B:P,14,FALSE)+VLOOKUP('vs mars'!D148,'SUIVI JOURNALIER AVRIL'!B:V,20,FALSE)+VLOOKUP('vs mars'!D148,'SUIVI JOURNALIER AVRIL'!B:W,21,FALSE)</f>
        <v>#N/A</v>
      </c>
      <c r="Y148" s="340" t="e">
        <f>VLOOKUP(D148,'SUIVI JOURNALIER AVRIL'!B:CC,80,FALSE)</f>
        <v>#N/A</v>
      </c>
      <c r="Z148" s="340" t="e">
        <f t="shared" si="4"/>
        <v>#N/A</v>
      </c>
      <c r="AA148" s="359" t="e">
        <f>VLOOKUP(D148,'SUIVI JOURNALIER AVRIL'!B:CD,81,FALSE)</f>
        <v>#N/A</v>
      </c>
      <c r="AB148" s="360" t="e">
        <f t="shared" si="5"/>
        <v>#N/A</v>
      </c>
      <c r="AC148" s="360" t="str">
        <f>VLOOKUP(B148,labo!B:D,3,FALSE)</f>
        <v>ug4</v>
      </c>
      <c r="AD148" s="360" t="s">
        <v>2629</v>
      </c>
      <c r="AF148" s="330" t="e">
        <f>VLOOKUP(D148,'SUIVI JOURNALIER AVRIL'!CK:CL,2,FALSE)</f>
        <v>#N/A</v>
      </c>
      <c r="AG148" s="360">
        <v>1</v>
      </c>
    </row>
    <row r="149" spans="1:33" s="360" customFormat="1" ht="13.5" customHeight="1">
      <c r="A149" s="324" t="s">
        <v>1755</v>
      </c>
      <c r="B149" s="325" t="s">
        <v>624</v>
      </c>
      <c r="C149" s="325" t="s">
        <v>2055</v>
      </c>
      <c r="D149" s="325" t="s">
        <v>625</v>
      </c>
      <c r="E149" s="324" t="s">
        <v>446</v>
      </c>
      <c r="F149" s="324" t="s">
        <v>2055</v>
      </c>
      <c r="G149" s="324" t="s">
        <v>887</v>
      </c>
      <c r="H149" s="324" t="s">
        <v>897</v>
      </c>
      <c r="I149" s="324" t="s">
        <v>1178</v>
      </c>
      <c r="J149" s="324" t="s">
        <v>889</v>
      </c>
      <c r="K149" s="324" t="s">
        <v>890</v>
      </c>
      <c r="L149" s="324" t="s">
        <v>891</v>
      </c>
      <c r="M149" s="324" t="s">
        <v>892</v>
      </c>
      <c r="N149" s="324" t="s">
        <v>954</v>
      </c>
      <c r="O149" s="324" t="s">
        <v>955</v>
      </c>
      <c r="P149" s="324" t="s">
        <v>955</v>
      </c>
      <c r="Q149" s="324" t="s">
        <v>1010</v>
      </c>
      <c r="R149" s="324" t="s">
        <v>1179</v>
      </c>
      <c r="S149" s="356" t="s">
        <v>895</v>
      </c>
      <c r="T149" s="309" t="s">
        <v>953</v>
      </c>
      <c r="U149" s="357">
        <f>VLOOKUP(D149,'SUIVI JOURNALIER AVRIL'!CK:CM,3,FALSE)</f>
        <v>0</v>
      </c>
      <c r="V149" s="358" t="e">
        <f>IF(VLOOKUP('vs mars'!D149,'point sur les patentes'!B:E,4,FALSE)="","",VLOOKUP(D149,'point sur les patentes'!B:E,4,FALSE)+VLOOKUP(D149,'point sur les patentes'!B:F,5,FALSE)+VLOOKUP('vs mars'!D149,'point sur les patentes'!B:G,6,FALSE)+VLOOKUP('vs mars'!D149,'point sur les patentes'!B:H,7,FALSE)+VLOOKUP('vs mars'!D149,'point sur les patentes'!B:I,8,FALSE)+VLOOKUP(D149,'point sur les patentes'!B:J,9,FALSE)+VLOOKUP(D149,'point sur les patentes'!B:K,10,FALSE)+VLOOKUP(D149,'point sur les patentes'!B:L,11,FALSE)+VLOOKUP(D149,'point sur les patentes'!B:M,12,FALSE)+VLOOKUP(D149,'point sur les patentes'!B:N,13,FALSE)+VLOOKUP(D149,'point sur les patentes'!B:O,14,FALSE)+VLOOKUP(D149,'point sur les patentes'!B:P,15,FALSE)+VLOOKUP(D149,'point sur les patentes'!B:Q,16,FALSE)+VLOOKUP('vs mars'!D149,'point sur les patentes'!B:Z,25,FALSE))</f>
        <v>#N/A</v>
      </c>
      <c r="W149" s="340">
        <f>VLOOKUP(D149,'SUIVI JOURNALIER AVRIL'!B:J,9,FALSE)</f>
        <v>0</v>
      </c>
      <c r="X149" s="340">
        <f>VLOOKUP(D149,'SUIVI JOURNALIER AVRIL'!B:P,14,FALSE)+VLOOKUP('vs mars'!D149,'SUIVI JOURNALIER AVRIL'!B:V,20,FALSE)+VLOOKUP('vs mars'!D149,'SUIVI JOURNALIER AVRIL'!B:W,21,FALSE)</f>
        <v>0</v>
      </c>
      <c r="Y149" s="340">
        <f>VLOOKUP(D149,'SUIVI JOURNALIER AVRIL'!B:CC,80,FALSE)</f>
        <v>1209</v>
      </c>
      <c r="Z149" s="340">
        <f t="shared" si="4"/>
        <v>1209</v>
      </c>
      <c r="AA149" s="359">
        <f>VLOOKUP(D149,'SUIVI JOURNALIER AVRIL'!B:CD,81,FALSE)</f>
        <v>1209</v>
      </c>
      <c r="AB149" s="360" t="str">
        <f t="shared" si="5"/>
        <v>ok</v>
      </c>
      <c r="AC149" s="360" t="str">
        <f>VLOOKUP(B149,labo!B:D,3,FALSE)</f>
        <v>ug5</v>
      </c>
      <c r="AD149" s="360" t="s">
        <v>2629</v>
      </c>
      <c r="AF149" s="330">
        <f>VLOOKUP(D149,'SUIVI JOURNALIER AVRIL'!CK:CL,2,FALSE)</f>
        <v>0</v>
      </c>
      <c r="AG149" s="360">
        <v>1</v>
      </c>
    </row>
    <row r="150" spans="1:33" s="360" customFormat="1" ht="13.5" customHeight="1">
      <c r="A150" s="324" t="s">
        <v>1083</v>
      </c>
      <c r="B150" s="325" t="s">
        <v>2331</v>
      </c>
      <c r="C150" s="325" t="s">
        <v>2407</v>
      </c>
      <c r="D150" s="325" t="s">
        <v>2475</v>
      </c>
      <c r="E150" s="324" t="s">
        <v>2476</v>
      </c>
      <c r="F150" s="324" t="s">
        <v>2055</v>
      </c>
      <c r="G150" s="324" t="s">
        <v>887</v>
      </c>
      <c r="H150" s="324" t="s">
        <v>2055</v>
      </c>
      <c r="I150" s="324" t="s">
        <v>2055</v>
      </c>
      <c r="J150" s="324" t="s">
        <v>2055</v>
      </c>
      <c r="K150" s="324" t="s">
        <v>2405</v>
      </c>
      <c r="L150" s="324" t="s">
        <v>891</v>
      </c>
      <c r="M150" s="324" t="s">
        <v>892</v>
      </c>
      <c r="N150" s="324" t="s">
        <v>893</v>
      </c>
      <c r="O150" s="324" t="s">
        <v>894</v>
      </c>
      <c r="P150" s="324" t="s">
        <v>919</v>
      </c>
      <c r="Q150" s="324" t="s">
        <v>2477</v>
      </c>
      <c r="R150" s="324" t="s">
        <v>2055</v>
      </c>
      <c r="S150" s="356" t="s">
        <v>895</v>
      </c>
      <c r="T150" s="309" t="s">
        <v>953</v>
      </c>
      <c r="U150" s="357" t="e">
        <f>VLOOKUP(D150,'SUIVI JOURNALIER AVRIL'!CK:CM,3,FALSE)</f>
        <v>#N/A</v>
      </c>
      <c r="V150" s="358" t="e">
        <f>IF(VLOOKUP('vs mars'!D150,'point sur les patentes'!B:E,4,FALSE)="","",VLOOKUP(D150,'point sur les patentes'!B:E,4,FALSE)+VLOOKUP(D150,'point sur les patentes'!B:F,5,FALSE)+VLOOKUP('vs mars'!D150,'point sur les patentes'!B:G,6,FALSE)+VLOOKUP('vs mars'!D150,'point sur les patentes'!B:H,7,FALSE)+VLOOKUP('vs mars'!D150,'point sur les patentes'!B:I,8,FALSE)+VLOOKUP(D150,'point sur les patentes'!B:J,9,FALSE)+VLOOKUP(D150,'point sur les patentes'!B:K,10,FALSE)+VLOOKUP(D150,'point sur les patentes'!B:L,11,FALSE)+VLOOKUP(D150,'point sur les patentes'!B:M,12,FALSE)+VLOOKUP(D150,'point sur les patentes'!B:N,13,FALSE)+VLOOKUP(D150,'point sur les patentes'!B:O,14,FALSE)+VLOOKUP(D150,'point sur les patentes'!B:P,15,FALSE)+VLOOKUP(D150,'point sur les patentes'!B:Q,16,FALSE)+VLOOKUP('vs mars'!D150,'point sur les patentes'!B:Z,25,FALSE))</f>
        <v>#N/A</v>
      </c>
      <c r="W150" s="340" t="e">
        <f>VLOOKUP(D150,'SUIVI JOURNALIER AVRIL'!B:J,9,FALSE)</f>
        <v>#N/A</v>
      </c>
      <c r="X150" s="340" t="e">
        <f>VLOOKUP(D150,'SUIVI JOURNALIER AVRIL'!B:P,14,FALSE)+VLOOKUP('vs mars'!D150,'SUIVI JOURNALIER AVRIL'!B:V,20,FALSE)+VLOOKUP('vs mars'!D150,'SUIVI JOURNALIER AVRIL'!B:W,21,FALSE)</f>
        <v>#N/A</v>
      </c>
      <c r="Y150" s="340" t="e">
        <f>VLOOKUP(D150,'SUIVI JOURNALIER AVRIL'!B:CC,80,FALSE)</f>
        <v>#N/A</v>
      </c>
      <c r="Z150" s="340" t="e">
        <f t="shared" si="4"/>
        <v>#N/A</v>
      </c>
      <c r="AA150" s="359" t="e">
        <f>VLOOKUP(D150,'SUIVI JOURNALIER AVRIL'!B:CD,81,FALSE)</f>
        <v>#N/A</v>
      </c>
      <c r="AB150" s="360" t="e">
        <f t="shared" si="5"/>
        <v>#N/A</v>
      </c>
      <c r="AC150" s="360" t="str">
        <f>VLOOKUP(B150,labo!B:D,3,FALSE)</f>
        <v>ug2</v>
      </c>
      <c r="AD150" s="360" t="s">
        <v>2630</v>
      </c>
      <c r="AF150" s="330" t="e">
        <f>VLOOKUP(D150,'SUIVI JOURNALIER AVRIL'!CK:CL,2,FALSE)</f>
        <v>#N/A</v>
      </c>
      <c r="AG150" s="360">
        <v>1</v>
      </c>
    </row>
    <row r="151" spans="1:33" s="360" customFormat="1" ht="13.5" customHeight="1">
      <c r="A151" s="324" t="s">
        <v>1067</v>
      </c>
      <c r="B151" s="325" t="s">
        <v>2332</v>
      </c>
      <c r="C151" s="325" t="s">
        <v>2478</v>
      </c>
      <c r="D151" s="325" t="s">
        <v>2479</v>
      </c>
      <c r="E151" s="324" t="s">
        <v>2480</v>
      </c>
      <c r="F151" s="324" t="s">
        <v>2055</v>
      </c>
      <c r="G151" s="324" t="s">
        <v>887</v>
      </c>
      <c r="H151" s="324" t="s">
        <v>897</v>
      </c>
      <c r="I151" s="324" t="s">
        <v>2055</v>
      </c>
      <c r="J151" s="324" t="s">
        <v>2481</v>
      </c>
      <c r="K151" s="324" t="s">
        <v>2405</v>
      </c>
      <c r="L151" s="324" t="s">
        <v>891</v>
      </c>
      <c r="M151" s="324" t="s">
        <v>892</v>
      </c>
      <c r="N151" s="324" t="s">
        <v>893</v>
      </c>
      <c r="O151" s="324" t="s">
        <v>894</v>
      </c>
      <c r="P151" s="324" t="s">
        <v>2447</v>
      </c>
      <c r="Q151" s="324" t="s">
        <v>924</v>
      </c>
      <c r="R151" s="324" t="s">
        <v>1172</v>
      </c>
      <c r="S151" s="356" t="s">
        <v>895</v>
      </c>
      <c r="T151" s="309" t="s">
        <v>957</v>
      </c>
      <c r="U151" s="357">
        <f>VLOOKUP(D151,'SUIVI JOURNALIER AVRIL'!CK:CM,3,FALSE)</f>
        <v>0</v>
      </c>
      <c r="V151" s="358" t="e">
        <f>IF(VLOOKUP('vs mars'!D151,'point sur les patentes'!B:E,4,FALSE)="","",VLOOKUP(D151,'point sur les patentes'!B:E,4,FALSE)+VLOOKUP(D151,'point sur les patentes'!B:F,5,FALSE)+VLOOKUP('vs mars'!D151,'point sur les patentes'!B:G,6,FALSE)+VLOOKUP('vs mars'!D151,'point sur les patentes'!B:H,7,FALSE)+VLOOKUP('vs mars'!D151,'point sur les patentes'!B:I,8,FALSE)+VLOOKUP(D151,'point sur les patentes'!B:J,9,FALSE)+VLOOKUP(D151,'point sur les patentes'!B:K,10,FALSE)+VLOOKUP(D151,'point sur les patentes'!B:L,11,FALSE)+VLOOKUP(D151,'point sur les patentes'!B:M,12,FALSE)+VLOOKUP(D151,'point sur les patentes'!B:N,13,FALSE)+VLOOKUP(D151,'point sur les patentes'!B:O,14,FALSE)+VLOOKUP(D151,'point sur les patentes'!B:P,15,FALSE)+VLOOKUP(D151,'point sur les patentes'!B:Q,16,FALSE)+VLOOKUP('vs mars'!D151,'point sur les patentes'!B:Z,25,FALSE))</f>
        <v>#N/A</v>
      </c>
      <c r="W151" s="340">
        <f>VLOOKUP(D151,'SUIVI JOURNALIER AVRIL'!B:J,9,FALSE)</f>
        <v>0</v>
      </c>
      <c r="X151" s="340">
        <f>VLOOKUP(D151,'SUIVI JOURNALIER AVRIL'!B:P,14,FALSE)+VLOOKUP('vs mars'!D151,'SUIVI JOURNALIER AVRIL'!B:V,20,FALSE)+VLOOKUP('vs mars'!D151,'SUIVI JOURNALIER AVRIL'!B:W,21,FALSE)</f>
        <v>38400</v>
      </c>
      <c r="Y151" s="340">
        <f>VLOOKUP(D151,'SUIVI JOURNALIER AVRIL'!B:CC,80,FALSE)</f>
        <v>4989</v>
      </c>
      <c r="Z151" s="340">
        <f t="shared" si="4"/>
        <v>43389</v>
      </c>
      <c r="AA151" s="359">
        <f>VLOOKUP(D151,'SUIVI JOURNALIER AVRIL'!B:CD,81,FALSE)</f>
        <v>43389</v>
      </c>
      <c r="AB151" s="360" t="str">
        <f t="shared" si="5"/>
        <v>ok</v>
      </c>
      <c r="AC151" s="360" t="str">
        <f>VLOOKUP(B151,labo!B:D,3,FALSE)</f>
        <v>ug5</v>
      </c>
      <c r="AD151" s="360" t="s">
        <v>2629</v>
      </c>
      <c r="AF151" s="330">
        <f>VLOOKUP(D151,'SUIVI JOURNALIER AVRIL'!CK:CL,2,FALSE)</f>
        <v>0</v>
      </c>
      <c r="AG151" s="360">
        <v>1</v>
      </c>
    </row>
    <row r="152" spans="1:33" s="360" customFormat="1" ht="13.5" customHeight="1">
      <c r="A152" s="324" t="s">
        <v>1756</v>
      </c>
      <c r="B152" s="325" t="s">
        <v>626</v>
      </c>
      <c r="C152" s="325" t="s">
        <v>627</v>
      </c>
      <c r="D152" s="325" t="s">
        <v>628</v>
      </c>
      <c r="E152" s="324" t="s">
        <v>629</v>
      </c>
      <c r="F152" s="324" t="s">
        <v>2055</v>
      </c>
      <c r="G152" s="324" t="s">
        <v>887</v>
      </c>
      <c r="H152" s="324" t="s">
        <v>1180</v>
      </c>
      <c r="I152" s="324" t="s">
        <v>1181</v>
      </c>
      <c r="J152" s="324" t="s">
        <v>889</v>
      </c>
      <c r="K152" s="324" t="s">
        <v>890</v>
      </c>
      <c r="L152" s="324" t="s">
        <v>891</v>
      </c>
      <c r="M152" s="324" t="s">
        <v>892</v>
      </c>
      <c r="N152" s="324" t="s">
        <v>893</v>
      </c>
      <c r="O152" s="324" t="s">
        <v>894</v>
      </c>
      <c r="P152" s="324" t="s">
        <v>935</v>
      </c>
      <c r="Q152" s="324" t="s">
        <v>1137</v>
      </c>
      <c r="R152" s="324" t="s">
        <v>1173</v>
      </c>
      <c r="S152" s="356" t="s">
        <v>895</v>
      </c>
      <c r="T152" s="309" t="s">
        <v>909</v>
      </c>
      <c r="U152" s="357" t="e">
        <f>VLOOKUP(D152,'SUIVI JOURNALIER AVRIL'!CK:CM,3,FALSE)</f>
        <v>#N/A</v>
      </c>
      <c r="V152" s="358" t="e">
        <f>IF(VLOOKUP('vs mars'!D152,'point sur les patentes'!B:E,4,FALSE)="","",VLOOKUP(D152,'point sur les patentes'!B:E,4,FALSE)+VLOOKUP(D152,'point sur les patentes'!B:F,5,FALSE)+VLOOKUP('vs mars'!D152,'point sur les patentes'!B:G,6,FALSE)+VLOOKUP('vs mars'!D152,'point sur les patentes'!B:H,7,FALSE)+VLOOKUP('vs mars'!D152,'point sur les patentes'!B:I,8,FALSE)+VLOOKUP(D152,'point sur les patentes'!B:J,9,FALSE)+VLOOKUP(D152,'point sur les patentes'!B:K,10,FALSE)+VLOOKUP(D152,'point sur les patentes'!B:L,11,FALSE)+VLOOKUP(D152,'point sur les patentes'!B:M,12,FALSE)+VLOOKUP(D152,'point sur les patentes'!B:N,13,FALSE)+VLOOKUP(D152,'point sur les patentes'!B:O,14,FALSE)+VLOOKUP(D152,'point sur les patentes'!B:P,15,FALSE)+VLOOKUP(D152,'point sur les patentes'!B:Q,16,FALSE)+VLOOKUP('vs mars'!D152,'point sur les patentes'!B:Z,25,FALSE))</f>
        <v>#N/A</v>
      </c>
      <c r="W152" s="340" t="e">
        <f>VLOOKUP(D152,'SUIVI JOURNALIER AVRIL'!B:J,9,FALSE)</f>
        <v>#N/A</v>
      </c>
      <c r="X152" s="340" t="e">
        <f>VLOOKUP(D152,'SUIVI JOURNALIER AVRIL'!B:P,14,FALSE)+VLOOKUP('vs mars'!D152,'SUIVI JOURNALIER AVRIL'!B:V,20,FALSE)+VLOOKUP('vs mars'!D152,'SUIVI JOURNALIER AVRIL'!B:W,21,FALSE)</f>
        <v>#N/A</v>
      </c>
      <c r="Y152" s="340" t="e">
        <f>VLOOKUP(D152,'SUIVI JOURNALIER AVRIL'!B:CC,80,FALSE)</f>
        <v>#N/A</v>
      </c>
      <c r="Z152" s="340" t="e">
        <f t="shared" si="4"/>
        <v>#N/A</v>
      </c>
      <c r="AA152" s="359" t="e">
        <f>VLOOKUP(D152,'SUIVI JOURNALIER AVRIL'!B:CD,81,FALSE)</f>
        <v>#N/A</v>
      </c>
      <c r="AB152" s="360" t="e">
        <f t="shared" si="5"/>
        <v>#N/A</v>
      </c>
      <c r="AC152" s="360" t="str">
        <f>VLOOKUP(B152,labo!B:D,3,FALSE)</f>
        <v>ug2</v>
      </c>
      <c r="AD152" s="360" t="s">
        <v>2629</v>
      </c>
      <c r="AF152" s="330" t="e">
        <f>VLOOKUP(D152,'SUIVI JOURNALIER AVRIL'!CK:CL,2,FALSE)</f>
        <v>#N/A</v>
      </c>
      <c r="AG152" s="360">
        <v>1</v>
      </c>
    </row>
    <row r="153" spans="1:33" s="360" customFormat="1" ht="13.5" customHeight="1">
      <c r="A153" s="324" t="s">
        <v>1757</v>
      </c>
      <c r="B153" s="325" t="s">
        <v>372</v>
      </c>
      <c r="C153" s="325" t="s">
        <v>630</v>
      </c>
      <c r="D153" s="325" t="s">
        <v>631</v>
      </c>
      <c r="E153" s="324" t="s">
        <v>632</v>
      </c>
      <c r="F153" s="324" t="s">
        <v>2055</v>
      </c>
      <c r="G153" s="324" t="s">
        <v>887</v>
      </c>
      <c r="H153" s="324" t="s">
        <v>1495</v>
      </c>
      <c r="I153" s="324" t="s">
        <v>1496</v>
      </c>
      <c r="J153" s="324" t="s">
        <v>889</v>
      </c>
      <c r="K153" s="324" t="s">
        <v>890</v>
      </c>
      <c r="L153" s="324" t="s">
        <v>891</v>
      </c>
      <c r="M153" s="324" t="s">
        <v>892</v>
      </c>
      <c r="N153" s="324" t="s">
        <v>912</v>
      </c>
      <c r="O153" s="324" t="s">
        <v>913</v>
      </c>
      <c r="P153" s="324" t="s">
        <v>913</v>
      </c>
      <c r="Q153" s="324" t="s">
        <v>1172</v>
      </c>
      <c r="R153" s="324" t="s">
        <v>1172</v>
      </c>
      <c r="S153" s="356" t="s">
        <v>895</v>
      </c>
      <c r="T153" s="309" t="s">
        <v>909</v>
      </c>
      <c r="U153" s="357">
        <f>VLOOKUP(D153,'SUIVI JOURNALIER AVRIL'!CK:CM,3,FALSE)</f>
        <v>0</v>
      </c>
      <c r="V153" s="358">
        <f>IF(VLOOKUP('vs mars'!D153,'point sur les patentes'!B:E,4,FALSE)="","",VLOOKUP(D153,'point sur les patentes'!B:E,4,FALSE)+VLOOKUP(D153,'point sur les patentes'!B:F,5,FALSE)+VLOOKUP('vs mars'!D153,'point sur les patentes'!B:G,6,FALSE)+VLOOKUP('vs mars'!D153,'point sur les patentes'!B:H,7,FALSE)+VLOOKUP('vs mars'!D153,'point sur les patentes'!B:I,8,FALSE)+VLOOKUP(D153,'point sur les patentes'!B:J,9,FALSE)+VLOOKUP(D153,'point sur les patentes'!B:K,10,FALSE)+VLOOKUP(D153,'point sur les patentes'!B:L,11,FALSE)+VLOOKUP(D153,'point sur les patentes'!B:M,12,FALSE)+VLOOKUP(D153,'point sur les patentes'!B:N,13,FALSE)+VLOOKUP(D153,'point sur les patentes'!B:O,14,FALSE)+VLOOKUP(D153,'point sur les patentes'!B:P,15,FALSE)+VLOOKUP(D153,'point sur les patentes'!B:Q,16,FALSE)+VLOOKUP('vs mars'!D153,'point sur les patentes'!B:Z,25,FALSE))</f>
        <v>1622580</v>
      </c>
      <c r="W153" s="340">
        <f>VLOOKUP(D153,'SUIVI JOURNALIER AVRIL'!B:J,9,FALSE)</f>
        <v>167250</v>
      </c>
      <c r="X153" s="340">
        <f>VLOOKUP(D153,'SUIVI JOURNALIER AVRIL'!B:P,14,FALSE)+VLOOKUP('vs mars'!D153,'SUIVI JOURNALIER AVRIL'!B:V,20,FALSE)+VLOOKUP('vs mars'!D153,'SUIVI JOURNALIER AVRIL'!B:W,21,FALSE)</f>
        <v>19114</v>
      </c>
      <c r="Y153" s="340">
        <f>VLOOKUP(D153,'SUIVI JOURNALIER AVRIL'!B:CC,80,FALSE)</f>
        <v>0</v>
      </c>
      <c r="Z153" s="340">
        <f t="shared" si="4"/>
        <v>186364</v>
      </c>
      <c r="AA153" s="359">
        <f>VLOOKUP(D153,'SUIVI JOURNALIER AVRIL'!B:CD,81,FALSE)</f>
        <v>186364</v>
      </c>
      <c r="AB153" s="360" t="str">
        <f t="shared" si="5"/>
        <v>ok</v>
      </c>
      <c r="AC153" s="360" t="str">
        <f>VLOOKUP(B153,labo!B:D,3,FALSE)</f>
        <v>ug4</v>
      </c>
      <c r="AD153" s="360" t="s">
        <v>2629</v>
      </c>
      <c r="AF153" s="330">
        <f>VLOOKUP(D153,'SUIVI JOURNALIER AVRIL'!CK:CL,2,FALSE)</f>
        <v>0</v>
      </c>
      <c r="AG153" s="360">
        <v>1</v>
      </c>
    </row>
    <row r="154" spans="1:33" s="360" customFormat="1" ht="13.5" customHeight="1">
      <c r="A154" s="324" t="s">
        <v>1758</v>
      </c>
      <c r="B154" s="325" t="s">
        <v>633</v>
      </c>
      <c r="C154" s="325" t="s">
        <v>2055</v>
      </c>
      <c r="D154" s="325" t="s">
        <v>634</v>
      </c>
      <c r="E154" s="324" t="s">
        <v>635</v>
      </c>
      <c r="F154" s="324" t="s">
        <v>2055</v>
      </c>
      <c r="G154" s="324" t="s">
        <v>887</v>
      </c>
      <c r="H154" s="324" t="s">
        <v>897</v>
      </c>
      <c r="I154" s="324" t="s">
        <v>897</v>
      </c>
      <c r="J154" s="324" t="s">
        <v>889</v>
      </c>
      <c r="K154" s="324" t="s">
        <v>890</v>
      </c>
      <c r="L154" s="324" t="s">
        <v>891</v>
      </c>
      <c r="M154" s="324" t="s">
        <v>892</v>
      </c>
      <c r="N154" s="324" t="s">
        <v>954</v>
      </c>
      <c r="O154" s="324" t="s">
        <v>955</v>
      </c>
      <c r="P154" s="324" t="s">
        <v>955</v>
      </c>
      <c r="Q154" s="324" t="s">
        <v>956</v>
      </c>
      <c r="R154" s="324" t="s">
        <v>956</v>
      </c>
      <c r="S154" s="356" t="s">
        <v>895</v>
      </c>
      <c r="T154" s="309" t="s">
        <v>957</v>
      </c>
      <c r="U154" s="357" t="e">
        <f>VLOOKUP(D154,'SUIVI JOURNALIER AVRIL'!CK:CM,3,FALSE)</f>
        <v>#N/A</v>
      </c>
      <c r="V154" s="358" t="e">
        <f>IF(VLOOKUP('vs mars'!D154,'point sur les patentes'!B:E,4,FALSE)="","",VLOOKUP(D154,'point sur les patentes'!B:E,4,FALSE)+VLOOKUP(D154,'point sur les patentes'!B:F,5,FALSE)+VLOOKUP('vs mars'!D154,'point sur les patentes'!B:G,6,FALSE)+VLOOKUP('vs mars'!D154,'point sur les patentes'!B:H,7,FALSE)+VLOOKUP('vs mars'!D154,'point sur les patentes'!B:I,8,FALSE)+VLOOKUP(D154,'point sur les patentes'!B:J,9,FALSE)+VLOOKUP(D154,'point sur les patentes'!B:K,10,FALSE)+VLOOKUP(D154,'point sur les patentes'!B:L,11,FALSE)+VLOOKUP(D154,'point sur les patentes'!B:M,12,FALSE)+VLOOKUP(D154,'point sur les patentes'!B:N,13,FALSE)+VLOOKUP(D154,'point sur les patentes'!B:O,14,FALSE)+VLOOKUP(D154,'point sur les patentes'!B:P,15,FALSE)+VLOOKUP(D154,'point sur les patentes'!B:Q,16,FALSE)+VLOOKUP('vs mars'!D154,'point sur les patentes'!B:Z,25,FALSE))</f>
        <v>#N/A</v>
      </c>
      <c r="W154" s="340" t="e">
        <f>VLOOKUP(D154,'SUIVI JOURNALIER AVRIL'!B:J,9,FALSE)</f>
        <v>#N/A</v>
      </c>
      <c r="X154" s="340" t="e">
        <f>VLOOKUP(D154,'SUIVI JOURNALIER AVRIL'!B:P,14,FALSE)+VLOOKUP('vs mars'!D154,'SUIVI JOURNALIER AVRIL'!B:V,20,FALSE)+VLOOKUP('vs mars'!D154,'SUIVI JOURNALIER AVRIL'!B:W,21,FALSE)</f>
        <v>#N/A</v>
      </c>
      <c r="Y154" s="340" t="e">
        <f>VLOOKUP(D154,'SUIVI JOURNALIER AVRIL'!B:CC,80,FALSE)</f>
        <v>#N/A</v>
      </c>
      <c r="Z154" s="340" t="e">
        <f t="shared" si="4"/>
        <v>#N/A</v>
      </c>
      <c r="AA154" s="359" t="e">
        <f>VLOOKUP(D154,'SUIVI JOURNALIER AVRIL'!B:CD,81,FALSE)</f>
        <v>#N/A</v>
      </c>
      <c r="AB154" s="360" t="e">
        <f t="shared" si="5"/>
        <v>#N/A</v>
      </c>
      <c r="AC154" s="360" t="str">
        <f>VLOOKUP(B154,labo!B:D,3,FALSE)</f>
        <v>ug5</v>
      </c>
      <c r="AD154" s="360" t="s">
        <v>2630</v>
      </c>
      <c r="AF154" s="330" t="e">
        <f>VLOOKUP(D154,'SUIVI JOURNALIER AVRIL'!CK:CL,2,FALSE)</f>
        <v>#N/A</v>
      </c>
      <c r="AG154" s="360">
        <v>1</v>
      </c>
    </row>
    <row r="155" spans="1:33" s="360" customFormat="1" ht="13.5" customHeight="1">
      <c r="A155" s="324" t="s">
        <v>1759</v>
      </c>
      <c r="B155" s="325" t="s">
        <v>2740</v>
      </c>
      <c r="C155" s="325" t="s">
        <v>636</v>
      </c>
      <c r="D155" s="325" t="s">
        <v>637</v>
      </c>
      <c r="E155" s="324" t="s">
        <v>446</v>
      </c>
      <c r="F155" s="324" t="s">
        <v>2055</v>
      </c>
      <c r="G155" s="324" t="s">
        <v>887</v>
      </c>
      <c r="H155" s="324" t="s">
        <v>1182</v>
      </c>
      <c r="I155" s="324" t="s">
        <v>1183</v>
      </c>
      <c r="J155" s="324" t="s">
        <v>889</v>
      </c>
      <c r="K155" s="324" t="s">
        <v>890</v>
      </c>
      <c r="L155" s="324" t="s">
        <v>891</v>
      </c>
      <c r="M155" s="324" t="s">
        <v>892</v>
      </c>
      <c r="N155" s="324" t="s">
        <v>893</v>
      </c>
      <c r="O155" s="324" t="s">
        <v>894</v>
      </c>
      <c r="P155" s="324" t="s">
        <v>899</v>
      </c>
      <c r="Q155" s="324" t="s">
        <v>985</v>
      </c>
      <c r="R155" s="324" t="s">
        <v>1184</v>
      </c>
      <c r="S155" s="356" t="s">
        <v>895</v>
      </c>
      <c r="T155" s="309" t="s">
        <v>957</v>
      </c>
      <c r="U155" s="357" t="e">
        <f>VLOOKUP(D155,'SUIVI JOURNALIER AVRIL'!CK:CM,3,FALSE)</f>
        <v>#N/A</v>
      </c>
      <c r="V155" s="358" t="e">
        <f>IF(VLOOKUP('vs mars'!D155,'point sur les patentes'!B:E,4,FALSE)="","",VLOOKUP(D155,'point sur les patentes'!B:E,4,FALSE)+VLOOKUP(D155,'point sur les patentes'!B:F,5,FALSE)+VLOOKUP('vs mars'!D155,'point sur les patentes'!B:G,6,FALSE)+VLOOKUP('vs mars'!D155,'point sur les patentes'!B:H,7,FALSE)+VLOOKUP('vs mars'!D155,'point sur les patentes'!B:I,8,FALSE)+VLOOKUP(D155,'point sur les patentes'!B:J,9,FALSE)+VLOOKUP(D155,'point sur les patentes'!B:K,10,FALSE)+VLOOKUP(D155,'point sur les patentes'!B:L,11,FALSE)+VLOOKUP(D155,'point sur les patentes'!B:M,12,FALSE)+VLOOKUP(D155,'point sur les patentes'!B:N,13,FALSE)+VLOOKUP(D155,'point sur les patentes'!B:O,14,FALSE)+VLOOKUP(D155,'point sur les patentes'!B:P,15,FALSE)+VLOOKUP(D155,'point sur les patentes'!B:Q,16,FALSE)+VLOOKUP('vs mars'!D155,'point sur les patentes'!B:Z,25,FALSE))</f>
        <v>#N/A</v>
      </c>
      <c r="W155" s="340" t="e">
        <f>VLOOKUP(D155,'SUIVI JOURNALIER AVRIL'!B:J,9,FALSE)</f>
        <v>#N/A</v>
      </c>
      <c r="X155" s="340" t="e">
        <f>VLOOKUP(D155,'SUIVI JOURNALIER AVRIL'!B:P,14,FALSE)+VLOOKUP('vs mars'!D155,'SUIVI JOURNALIER AVRIL'!B:V,20,FALSE)+VLOOKUP('vs mars'!D155,'SUIVI JOURNALIER AVRIL'!B:W,21,FALSE)</f>
        <v>#N/A</v>
      </c>
      <c r="Y155" s="340" t="e">
        <f>VLOOKUP(D155,'SUIVI JOURNALIER AVRIL'!B:CC,80,FALSE)</f>
        <v>#N/A</v>
      </c>
      <c r="Z155" s="340" t="e">
        <f t="shared" si="4"/>
        <v>#N/A</v>
      </c>
      <c r="AA155" s="359" t="e">
        <f>VLOOKUP(D155,'SUIVI JOURNALIER AVRIL'!B:CD,81,FALSE)</f>
        <v>#N/A</v>
      </c>
      <c r="AB155" s="360" t="e">
        <f t="shared" si="5"/>
        <v>#N/A</v>
      </c>
      <c r="AC155" s="360" t="str">
        <f>VLOOKUP(B155,labo!B:D,3,FALSE)</f>
        <v>ug5</v>
      </c>
      <c r="AD155" s="360" t="s">
        <v>2629</v>
      </c>
      <c r="AF155" s="330" t="e">
        <f>VLOOKUP(D155,'SUIVI JOURNALIER AVRIL'!CK:CL,2,FALSE)</f>
        <v>#N/A</v>
      </c>
      <c r="AG155" s="360">
        <v>1</v>
      </c>
    </row>
    <row r="156" spans="1:33" s="360" customFormat="1" ht="13.5" customHeight="1">
      <c r="A156" s="324" t="s">
        <v>1760</v>
      </c>
      <c r="B156" s="325" t="s">
        <v>638</v>
      </c>
      <c r="C156" s="325" t="s">
        <v>639</v>
      </c>
      <c r="D156" s="325" t="s">
        <v>640</v>
      </c>
      <c r="E156" s="324" t="s">
        <v>446</v>
      </c>
      <c r="F156" s="324" t="s">
        <v>2055</v>
      </c>
      <c r="G156" s="324" t="s">
        <v>887</v>
      </c>
      <c r="H156" s="324" t="s">
        <v>1185</v>
      </c>
      <c r="I156" s="324" t="s">
        <v>1186</v>
      </c>
      <c r="J156" s="324" t="s">
        <v>889</v>
      </c>
      <c r="K156" s="324" t="s">
        <v>890</v>
      </c>
      <c r="L156" s="324" t="s">
        <v>891</v>
      </c>
      <c r="M156" s="324" t="s">
        <v>892</v>
      </c>
      <c r="N156" s="324" t="s">
        <v>893</v>
      </c>
      <c r="O156" s="324" t="s">
        <v>894</v>
      </c>
      <c r="P156" s="324" t="s">
        <v>899</v>
      </c>
      <c r="Q156" s="324" t="s">
        <v>924</v>
      </c>
      <c r="R156" s="324" t="s">
        <v>1187</v>
      </c>
      <c r="S156" s="356" t="s">
        <v>895</v>
      </c>
      <c r="T156" s="309" t="s">
        <v>999</v>
      </c>
      <c r="U156" s="357" t="e">
        <f>VLOOKUP(D156,'SUIVI JOURNALIER AVRIL'!CK:CM,3,FALSE)</f>
        <v>#N/A</v>
      </c>
      <c r="V156" s="358" t="e">
        <f>IF(VLOOKUP('vs mars'!D156,'point sur les patentes'!B:E,4,FALSE)="","",VLOOKUP(D156,'point sur les patentes'!B:E,4,FALSE)+VLOOKUP(D156,'point sur les patentes'!B:F,5,FALSE)+VLOOKUP('vs mars'!D156,'point sur les patentes'!B:G,6,FALSE)+VLOOKUP('vs mars'!D156,'point sur les patentes'!B:H,7,FALSE)+VLOOKUP('vs mars'!D156,'point sur les patentes'!B:I,8,FALSE)+VLOOKUP(D156,'point sur les patentes'!B:J,9,FALSE)+VLOOKUP(D156,'point sur les patentes'!B:K,10,FALSE)+VLOOKUP(D156,'point sur les patentes'!B:L,11,FALSE)+VLOOKUP(D156,'point sur les patentes'!B:M,12,FALSE)+VLOOKUP(D156,'point sur les patentes'!B:N,13,FALSE)+VLOOKUP(D156,'point sur les patentes'!B:O,14,FALSE)+VLOOKUP(D156,'point sur les patentes'!B:P,15,FALSE)+VLOOKUP(D156,'point sur les patentes'!B:Q,16,FALSE)+VLOOKUP('vs mars'!D156,'point sur les patentes'!B:Z,25,FALSE))</f>
        <v>#N/A</v>
      </c>
      <c r="W156" s="340" t="e">
        <f>VLOOKUP(D156,'SUIVI JOURNALIER AVRIL'!B:J,9,FALSE)</f>
        <v>#N/A</v>
      </c>
      <c r="X156" s="340" t="e">
        <f>VLOOKUP(D156,'SUIVI JOURNALIER AVRIL'!B:P,14,FALSE)+VLOOKUP('vs mars'!D156,'SUIVI JOURNALIER AVRIL'!B:V,20,FALSE)+VLOOKUP('vs mars'!D156,'SUIVI JOURNALIER AVRIL'!B:W,21,FALSE)</f>
        <v>#N/A</v>
      </c>
      <c r="Y156" s="340" t="e">
        <f>VLOOKUP(D156,'SUIVI JOURNALIER AVRIL'!B:CC,80,FALSE)</f>
        <v>#N/A</v>
      </c>
      <c r="Z156" s="340" t="e">
        <f t="shared" si="4"/>
        <v>#N/A</v>
      </c>
      <c r="AA156" s="359" t="e">
        <f>VLOOKUP(D156,'SUIVI JOURNALIER AVRIL'!B:CD,81,FALSE)</f>
        <v>#N/A</v>
      </c>
      <c r="AB156" s="360" t="e">
        <f t="shared" si="5"/>
        <v>#N/A</v>
      </c>
      <c r="AC156" s="360" t="str">
        <f>VLOOKUP(B156,labo!B:D,3,FALSE)</f>
        <v>ug5</v>
      </c>
      <c r="AD156" s="360" t="s">
        <v>2629</v>
      </c>
      <c r="AF156" s="330" t="e">
        <f>VLOOKUP(D156,'SUIVI JOURNALIER AVRIL'!CK:CL,2,FALSE)</f>
        <v>#N/A</v>
      </c>
      <c r="AG156" s="360">
        <v>1</v>
      </c>
    </row>
    <row r="157" spans="1:33" s="360" customFormat="1" ht="13.5" customHeight="1">
      <c r="A157" s="324" t="s">
        <v>1764</v>
      </c>
      <c r="B157" s="325" t="s">
        <v>2333</v>
      </c>
      <c r="C157" s="325" t="s">
        <v>2482</v>
      </c>
      <c r="D157" s="325" t="s">
        <v>2483</v>
      </c>
      <c r="E157" s="324" t="s">
        <v>432</v>
      </c>
      <c r="F157" s="324" t="s">
        <v>2055</v>
      </c>
      <c r="G157" s="324" t="s">
        <v>887</v>
      </c>
      <c r="H157" s="324" t="s">
        <v>2055</v>
      </c>
      <c r="I157" s="324" t="s">
        <v>2484</v>
      </c>
      <c r="J157" s="324" t="s">
        <v>2055</v>
      </c>
      <c r="K157" s="324" t="s">
        <v>2405</v>
      </c>
      <c r="L157" s="324" t="s">
        <v>891</v>
      </c>
      <c r="M157" s="324" t="s">
        <v>892</v>
      </c>
      <c r="N157" s="324" t="s">
        <v>893</v>
      </c>
      <c r="O157" s="324" t="s">
        <v>894</v>
      </c>
      <c r="P157" s="324" t="s">
        <v>919</v>
      </c>
      <c r="Q157" s="324" t="s">
        <v>2055</v>
      </c>
      <c r="R157" s="324" t="s">
        <v>2055</v>
      </c>
      <c r="S157" s="356" t="s">
        <v>895</v>
      </c>
      <c r="T157" s="309" t="s">
        <v>957</v>
      </c>
      <c r="U157" s="357" t="e">
        <f>VLOOKUP(D157,'SUIVI JOURNALIER AVRIL'!CK:CM,3,FALSE)</f>
        <v>#N/A</v>
      </c>
      <c r="V157" s="358" t="e">
        <f>IF(VLOOKUP('vs mars'!D157,'point sur les patentes'!B:E,4,FALSE)="","",VLOOKUP(D157,'point sur les patentes'!B:E,4,FALSE)+VLOOKUP(D157,'point sur les patentes'!B:F,5,FALSE)+VLOOKUP('vs mars'!D157,'point sur les patentes'!B:G,6,FALSE)+VLOOKUP('vs mars'!D157,'point sur les patentes'!B:H,7,FALSE)+VLOOKUP('vs mars'!D157,'point sur les patentes'!B:I,8,FALSE)+VLOOKUP(D157,'point sur les patentes'!B:J,9,FALSE)+VLOOKUP(D157,'point sur les patentes'!B:K,10,FALSE)+VLOOKUP(D157,'point sur les patentes'!B:L,11,FALSE)+VLOOKUP(D157,'point sur les patentes'!B:M,12,FALSE)+VLOOKUP(D157,'point sur les patentes'!B:N,13,FALSE)+VLOOKUP(D157,'point sur les patentes'!B:O,14,FALSE)+VLOOKUP(D157,'point sur les patentes'!B:P,15,FALSE)+VLOOKUP(D157,'point sur les patentes'!B:Q,16,FALSE)+VLOOKUP('vs mars'!D157,'point sur les patentes'!B:Z,25,FALSE))</f>
        <v>#N/A</v>
      </c>
      <c r="W157" s="340" t="e">
        <f>VLOOKUP(D157,'SUIVI JOURNALIER AVRIL'!B:J,9,FALSE)</f>
        <v>#N/A</v>
      </c>
      <c r="X157" s="340" t="e">
        <f>VLOOKUP(D157,'SUIVI JOURNALIER AVRIL'!B:P,14,FALSE)+VLOOKUP('vs mars'!D157,'SUIVI JOURNALIER AVRIL'!B:V,20,FALSE)+VLOOKUP('vs mars'!D157,'SUIVI JOURNALIER AVRIL'!B:W,21,FALSE)</f>
        <v>#N/A</v>
      </c>
      <c r="Y157" s="340" t="e">
        <f>VLOOKUP(D157,'SUIVI JOURNALIER AVRIL'!B:CC,80,FALSE)</f>
        <v>#N/A</v>
      </c>
      <c r="Z157" s="340" t="e">
        <f t="shared" si="4"/>
        <v>#N/A</v>
      </c>
      <c r="AA157" s="359" t="e">
        <f>VLOOKUP(D157,'SUIVI JOURNALIER AVRIL'!B:CD,81,FALSE)</f>
        <v>#N/A</v>
      </c>
      <c r="AB157" s="360" t="e">
        <f t="shared" si="5"/>
        <v>#N/A</v>
      </c>
      <c r="AC157" s="360" t="str">
        <f>VLOOKUP(B157,labo!B:D,3,FALSE)</f>
        <v>ug2</v>
      </c>
      <c r="AD157" s="360" t="s">
        <v>2630</v>
      </c>
      <c r="AF157" s="330" t="e">
        <f>VLOOKUP(D157,'SUIVI JOURNALIER AVRIL'!CK:CL,2,FALSE)</f>
        <v>#N/A</v>
      </c>
      <c r="AG157" s="360">
        <v>1</v>
      </c>
    </row>
    <row r="158" spans="1:33" s="360" customFormat="1" ht="13.5" customHeight="1">
      <c r="A158" s="324" t="s">
        <v>1765</v>
      </c>
      <c r="B158" s="325" t="s">
        <v>641</v>
      </c>
      <c r="C158" s="325" t="s">
        <v>642</v>
      </c>
      <c r="D158" s="325" t="s">
        <v>643</v>
      </c>
      <c r="E158" s="324" t="s">
        <v>635</v>
      </c>
      <c r="F158" s="324" t="s">
        <v>2055</v>
      </c>
      <c r="G158" s="324" t="s">
        <v>887</v>
      </c>
      <c r="H158" s="324" t="s">
        <v>1122</v>
      </c>
      <c r="I158" s="324" t="s">
        <v>1188</v>
      </c>
      <c r="J158" s="324" t="s">
        <v>889</v>
      </c>
      <c r="K158" s="324" t="s">
        <v>890</v>
      </c>
      <c r="L158" s="324" t="s">
        <v>891</v>
      </c>
      <c r="M158" s="324" t="s">
        <v>892</v>
      </c>
      <c r="N158" s="324" t="s">
        <v>912</v>
      </c>
      <c r="O158" s="324" t="s">
        <v>913</v>
      </c>
      <c r="P158" s="324" t="s">
        <v>913</v>
      </c>
      <c r="Q158" s="324" t="s">
        <v>914</v>
      </c>
      <c r="R158" s="324" t="s">
        <v>1189</v>
      </c>
      <c r="S158" s="356" t="s">
        <v>895</v>
      </c>
      <c r="T158" s="309" t="s">
        <v>965</v>
      </c>
      <c r="U158" s="357">
        <f>VLOOKUP(D158,'SUIVI JOURNALIER AVRIL'!CK:CM,3,FALSE)</f>
        <v>0</v>
      </c>
      <c r="V158" s="358" t="e">
        <f>IF(VLOOKUP('vs mars'!D158,'point sur les patentes'!B:E,4,FALSE)="","",VLOOKUP(D158,'point sur les patentes'!B:E,4,FALSE)+VLOOKUP(D158,'point sur les patentes'!B:F,5,FALSE)+VLOOKUP('vs mars'!D158,'point sur les patentes'!B:G,6,FALSE)+VLOOKUP('vs mars'!D158,'point sur les patentes'!B:H,7,FALSE)+VLOOKUP('vs mars'!D158,'point sur les patentes'!B:I,8,FALSE)+VLOOKUP(D158,'point sur les patentes'!B:J,9,FALSE)+VLOOKUP(D158,'point sur les patentes'!B:K,10,FALSE)+VLOOKUP(D158,'point sur les patentes'!B:L,11,FALSE)+VLOOKUP(D158,'point sur les patentes'!B:M,12,FALSE)+VLOOKUP(D158,'point sur les patentes'!B:N,13,FALSE)+VLOOKUP(D158,'point sur les patentes'!B:O,14,FALSE)+VLOOKUP(D158,'point sur les patentes'!B:P,15,FALSE)+VLOOKUP(D158,'point sur les patentes'!B:Q,16,FALSE)+VLOOKUP('vs mars'!D158,'point sur les patentes'!B:Z,25,FALSE))</f>
        <v>#N/A</v>
      </c>
      <c r="W158" s="340">
        <f>VLOOKUP(D158,'SUIVI JOURNALIER AVRIL'!B:J,9,FALSE)</f>
        <v>88550</v>
      </c>
      <c r="X158" s="340">
        <f>VLOOKUP(D158,'SUIVI JOURNALIER AVRIL'!B:P,14,FALSE)+VLOOKUP('vs mars'!D158,'SUIVI JOURNALIER AVRIL'!B:V,20,FALSE)+VLOOKUP('vs mars'!D158,'SUIVI JOURNALIER AVRIL'!B:W,21,FALSE)</f>
        <v>10120</v>
      </c>
      <c r="Y158" s="340">
        <f>VLOOKUP(D158,'SUIVI JOURNALIER AVRIL'!B:CC,80,FALSE)</f>
        <v>23400</v>
      </c>
      <c r="Z158" s="340">
        <f t="shared" si="4"/>
        <v>122070</v>
      </c>
      <c r="AA158" s="359">
        <f>VLOOKUP(D158,'SUIVI JOURNALIER AVRIL'!B:CD,81,FALSE)</f>
        <v>122070</v>
      </c>
      <c r="AB158" s="360" t="str">
        <f t="shared" si="5"/>
        <v>ok</v>
      </c>
      <c r="AC158" s="360" t="str">
        <f>VLOOKUP(B158,labo!B:D,3,FALSE)</f>
        <v>ug5</v>
      </c>
      <c r="AD158" s="360" t="s">
        <v>2629</v>
      </c>
      <c r="AF158" s="330">
        <f>VLOOKUP(D158,'SUIVI JOURNALIER AVRIL'!CK:CL,2,FALSE)</f>
        <v>0</v>
      </c>
      <c r="AG158" s="360">
        <v>1</v>
      </c>
    </row>
    <row r="159" spans="1:33" s="360" customFormat="1" ht="13.5" customHeight="1">
      <c r="A159" s="324" t="s">
        <v>1766</v>
      </c>
      <c r="B159" s="325" t="s">
        <v>1497</v>
      </c>
      <c r="C159" s="325" t="s">
        <v>1498</v>
      </c>
      <c r="D159" s="325" t="s">
        <v>1499</v>
      </c>
      <c r="E159" s="324" t="s">
        <v>1500</v>
      </c>
      <c r="F159" s="324" t="s">
        <v>2055</v>
      </c>
      <c r="G159" s="324" t="s">
        <v>887</v>
      </c>
      <c r="H159" s="324" t="s">
        <v>1743</v>
      </c>
      <c r="I159" s="324" t="s">
        <v>1744</v>
      </c>
      <c r="J159" s="324" t="s">
        <v>889</v>
      </c>
      <c r="K159" s="324" t="s">
        <v>890</v>
      </c>
      <c r="L159" s="324" t="s">
        <v>891</v>
      </c>
      <c r="M159" s="324" t="s">
        <v>892</v>
      </c>
      <c r="N159" s="324" t="s">
        <v>893</v>
      </c>
      <c r="O159" s="324" t="s">
        <v>894</v>
      </c>
      <c r="P159" s="324" t="s">
        <v>899</v>
      </c>
      <c r="Q159" s="324" t="s">
        <v>1501</v>
      </c>
      <c r="R159" s="324" t="s">
        <v>1502</v>
      </c>
      <c r="S159" s="356" t="s">
        <v>895</v>
      </c>
      <c r="T159" s="309" t="s">
        <v>965</v>
      </c>
      <c r="U159" s="357" t="e">
        <f>VLOOKUP(D159,'SUIVI JOURNALIER AVRIL'!CK:CM,3,FALSE)</f>
        <v>#N/A</v>
      </c>
      <c r="V159" s="358" t="e">
        <f>IF(VLOOKUP('vs mars'!D159,'point sur les patentes'!B:E,4,FALSE)="","",VLOOKUP(D159,'point sur les patentes'!B:E,4,FALSE)+VLOOKUP(D159,'point sur les patentes'!B:F,5,FALSE)+VLOOKUP('vs mars'!D159,'point sur les patentes'!B:G,6,FALSE)+VLOOKUP('vs mars'!D159,'point sur les patentes'!B:H,7,FALSE)+VLOOKUP('vs mars'!D159,'point sur les patentes'!B:I,8,FALSE)+VLOOKUP(D159,'point sur les patentes'!B:J,9,FALSE)+VLOOKUP(D159,'point sur les patentes'!B:K,10,FALSE)+VLOOKUP(D159,'point sur les patentes'!B:L,11,FALSE)+VLOOKUP(D159,'point sur les patentes'!B:M,12,FALSE)+VLOOKUP(D159,'point sur les patentes'!B:N,13,FALSE)+VLOOKUP(D159,'point sur les patentes'!B:O,14,FALSE)+VLOOKUP(D159,'point sur les patentes'!B:P,15,FALSE)+VLOOKUP(D159,'point sur les patentes'!B:Q,16,FALSE)+VLOOKUP('vs mars'!D159,'point sur les patentes'!B:Z,25,FALSE))</f>
        <v>#N/A</v>
      </c>
      <c r="W159" s="340" t="e">
        <f>VLOOKUP(D159,'SUIVI JOURNALIER AVRIL'!B:J,9,FALSE)</f>
        <v>#N/A</v>
      </c>
      <c r="X159" s="340" t="e">
        <f>VLOOKUP(D159,'SUIVI JOURNALIER AVRIL'!B:P,14,FALSE)+VLOOKUP('vs mars'!D159,'SUIVI JOURNALIER AVRIL'!B:V,20,FALSE)+VLOOKUP('vs mars'!D159,'SUIVI JOURNALIER AVRIL'!B:W,21,FALSE)</f>
        <v>#N/A</v>
      </c>
      <c r="Y159" s="340" t="e">
        <f>VLOOKUP(D159,'SUIVI JOURNALIER AVRIL'!B:CC,80,FALSE)</f>
        <v>#N/A</v>
      </c>
      <c r="Z159" s="340" t="e">
        <f t="shared" si="4"/>
        <v>#N/A</v>
      </c>
      <c r="AA159" s="359" t="e">
        <f>VLOOKUP(D159,'SUIVI JOURNALIER AVRIL'!B:CD,81,FALSE)</f>
        <v>#N/A</v>
      </c>
      <c r="AB159" s="360" t="e">
        <f t="shared" si="5"/>
        <v>#N/A</v>
      </c>
      <c r="AC159" s="360" t="str">
        <f>VLOOKUP(B159,labo!B:D,3,FALSE)</f>
        <v>ug5</v>
      </c>
      <c r="AD159" s="360" t="s">
        <v>2629</v>
      </c>
      <c r="AF159" s="330" t="e">
        <f>VLOOKUP(D159,'SUIVI JOURNALIER AVRIL'!CK:CL,2,FALSE)</f>
        <v>#N/A</v>
      </c>
      <c r="AG159" s="360">
        <v>1</v>
      </c>
    </row>
    <row r="160" spans="1:33" s="360" customFormat="1" ht="13.5" customHeight="1">
      <c r="A160" s="324" t="s">
        <v>1767</v>
      </c>
      <c r="B160" s="325" t="s">
        <v>2074</v>
      </c>
      <c r="C160" s="325" t="s">
        <v>2075</v>
      </c>
      <c r="D160" s="325" t="s">
        <v>2076</v>
      </c>
      <c r="E160" s="324" t="s">
        <v>2077</v>
      </c>
      <c r="F160" s="324" t="s">
        <v>2055</v>
      </c>
      <c r="G160" s="324" t="s">
        <v>887</v>
      </c>
      <c r="H160" s="324" t="s">
        <v>897</v>
      </c>
      <c r="I160" s="324" t="s">
        <v>2078</v>
      </c>
      <c r="J160" s="324" t="s">
        <v>2050</v>
      </c>
      <c r="K160" s="324" t="s">
        <v>890</v>
      </c>
      <c r="L160" s="324" t="s">
        <v>891</v>
      </c>
      <c r="M160" s="324" t="s">
        <v>892</v>
      </c>
      <c r="N160" s="324" t="s">
        <v>893</v>
      </c>
      <c r="O160" s="324" t="s">
        <v>894</v>
      </c>
      <c r="P160" s="324" t="s">
        <v>935</v>
      </c>
      <c r="Q160" s="324" t="s">
        <v>1091</v>
      </c>
      <c r="R160" s="324" t="s">
        <v>1091</v>
      </c>
      <c r="S160" s="356" t="s">
        <v>895</v>
      </c>
      <c r="T160" s="309" t="s">
        <v>1006</v>
      </c>
      <c r="U160" s="357" t="e">
        <f>VLOOKUP(D160,'SUIVI JOURNALIER AVRIL'!CK:CM,3,FALSE)</f>
        <v>#N/A</v>
      </c>
      <c r="V160" s="358" t="e">
        <f>IF(VLOOKUP('vs mars'!D160,'point sur les patentes'!B:E,4,FALSE)="","",VLOOKUP(D160,'point sur les patentes'!B:E,4,FALSE)+VLOOKUP(D160,'point sur les patentes'!B:F,5,FALSE)+VLOOKUP('vs mars'!D160,'point sur les patentes'!B:G,6,FALSE)+VLOOKUP('vs mars'!D160,'point sur les patentes'!B:H,7,FALSE)+VLOOKUP('vs mars'!D160,'point sur les patentes'!B:I,8,FALSE)+VLOOKUP(D160,'point sur les patentes'!B:J,9,FALSE)+VLOOKUP(D160,'point sur les patentes'!B:K,10,FALSE)+VLOOKUP(D160,'point sur les patentes'!B:L,11,FALSE)+VLOOKUP(D160,'point sur les patentes'!B:M,12,FALSE)+VLOOKUP(D160,'point sur les patentes'!B:N,13,FALSE)+VLOOKUP(D160,'point sur les patentes'!B:O,14,FALSE)+VLOOKUP(D160,'point sur les patentes'!B:P,15,FALSE)+VLOOKUP(D160,'point sur les patentes'!B:Q,16,FALSE)+VLOOKUP('vs mars'!D160,'point sur les patentes'!B:Z,25,FALSE))</f>
        <v>#N/A</v>
      </c>
      <c r="W160" s="340" t="e">
        <f>VLOOKUP(D160,'SUIVI JOURNALIER AVRIL'!B:J,9,FALSE)</f>
        <v>#N/A</v>
      </c>
      <c r="X160" s="340" t="e">
        <f>VLOOKUP(D160,'SUIVI JOURNALIER AVRIL'!B:P,14,FALSE)+VLOOKUP('vs mars'!D160,'SUIVI JOURNALIER AVRIL'!B:V,20,FALSE)+VLOOKUP('vs mars'!D160,'SUIVI JOURNALIER AVRIL'!B:W,21,FALSE)</f>
        <v>#N/A</v>
      </c>
      <c r="Y160" s="340" t="e">
        <f>VLOOKUP(D160,'SUIVI JOURNALIER AVRIL'!B:CC,80,FALSE)</f>
        <v>#N/A</v>
      </c>
      <c r="Z160" s="340" t="e">
        <f t="shared" si="4"/>
        <v>#N/A</v>
      </c>
      <c r="AA160" s="359" t="e">
        <f>VLOOKUP(D160,'SUIVI JOURNALIER AVRIL'!B:CD,81,FALSE)</f>
        <v>#N/A</v>
      </c>
      <c r="AB160" s="360" t="e">
        <f t="shared" si="5"/>
        <v>#N/A</v>
      </c>
      <c r="AC160" s="360" t="str">
        <f>VLOOKUP(B160,labo!B:D,3,FALSE)</f>
        <v>ug5</v>
      </c>
      <c r="AD160" s="360" t="s">
        <v>2629</v>
      </c>
      <c r="AF160" s="330" t="e">
        <f>VLOOKUP(D160,'SUIVI JOURNALIER AVRIL'!CK:CL,2,FALSE)</f>
        <v>#N/A</v>
      </c>
      <c r="AG160" s="360">
        <v>1</v>
      </c>
    </row>
    <row r="161" spans="1:33" s="360" customFormat="1" ht="13.5" customHeight="1">
      <c r="A161" s="324" t="s">
        <v>1768</v>
      </c>
      <c r="B161" s="325" t="s">
        <v>2334</v>
      </c>
      <c r="C161" s="325" t="s">
        <v>2485</v>
      </c>
      <c r="D161" s="325" t="s">
        <v>2486</v>
      </c>
      <c r="E161" s="324" t="s">
        <v>2487</v>
      </c>
      <c r="F161" s="324" t="s">
        <v>2055</v>
      </c>
      <c r="G161" s="324" t="s">
        <v>887</v>
      </c>
      <c r="H161" s="324" t="s">
        <v>2055</v>
      </c>
      <c r="I161" s="324" t="s">
        <v>2488</v>
      </c>
      <c r="J161" s="324" t="s">
        <v>2055</v>
      </c>
      <c r="K161" s="324" t="s">
        <v>2405</v>
      </c>
      <c r="L161" s="324" t="s">
        <v>891</v>
      </c>
      <c r="M161" s="324" t="s">
        <v>892</v>
      </c>
      <c r="N161" s="324" t="s">
        <v>893</v>
      </c>
      <c r="O161" s="324" t="s">
        <v>894</v>
      </c>
      <c r="P161" s="324" t="s">
        <v>919</v>
      </c>
      <c r="Q161" s="324" t="s">
        <v>2489</v>
      </c>
      <c r="R161" s="324" t="s">
        <v>1021</v>
      </c>
      <c r="S161" s="356" t="s">
        <v>895</v>
      </c>
      <c r="T161" s="309" t="s">
        <v>953</v>
      </c>
      <c r="U161" s="357" t="e">
        <f>VLOOKUP(D161,'SUIVI JOURNALIER AVRIL'!CK:CM,3,FALSE)</f>
        <v>#N/A</v>
      </c>
      <c r="V161" s="358" t="e">
        <f>IF(VLOOKUP('vs mars'!D161,'point sur les patentes'!B:E,4,FALSE)="","",VLOOKUP(D161,'point sur les patentes'!B:E,4,FALSE)+VLOOKUP(D161,'point sur les patentes'!B:F,5,FALSE)+VLOOKUP('vs mars'!D161,'point sur les patentes'!B:G,6,FALSE)+VLOOKUP('vs mars'!D161,'point sur les patentes'!B:H,7,FALSE)+VLOOKUP('vs mars'!D161,'point sur les patentes'!B:I,8,FALSE)+VLOOKUP(D161,'point sur les patentes'!B:J,9,FALSE)+VLOOKUP(D161,'point sur les patentes'!B:K,10,FALSE)+VLOOKUP(D161,'point sur les patentes'!B:L,11,FALSE)+VLOOKUP(D161,'point sur les patentes'!B:M,12,FALSE)+VLOOKUP(D161,'point sur les patentes'!B:N,13,FALSE)+VLOOKUP(D161,'point sur les patentes'!B:O,14,FALSE)+VLOOKUP(D161,'point sur les patentes'!B:P,15,FALSE)+VLOOKUP(D161,'point sur les patentes'!B:Q,16,FALSE)+VLOOKUP('vs mars'!D161,'point sur les patentes'!B:Z,25,FALSE))</f>
        <v>#N/A</v>
      </c>
      <c r="W161" s="340" t="e">
        <f>VLOOKUP(D161,'SUIVI JOURNALIER AVRIL'!B:J,9,FALSE)</f>
        <v>#N/A</v>
      </c>
      <c r="X161" s="340" t="e">
        <f>VLOOKUP(D161,'SUIVI JOURNALIER AVRIL'!B:P,14,FALSE)+VLOOKUP('vs mars'!D161,'SUIVI JOURNALIER AVRIL'!B:V,20,FALSE)+VLOOKUP('vs mars'!D161,'SUIVI JOURNALIER AVRIL'!B:W,21,FALSE)</f>
        <v>#N/A</v>
      </c>
      <c r="Y161" s="340" t="e">
        <f>VLOOKUP(D161,'SUIVI JOURNALIER AVRIL'!B:CC,80,FALSE)</f>
        <v>#N/A</v>
      </c>
      <c r="Z161" s="340" t="e">
        <f t="shared" si="4"/>
        <v>#N/A</v>
      </c>
      <c r="AA161" s="359" t="e">
        <f>VLOOKUP(D161,'SUIVI JOURNALIER AVRIL'!B:CD,81,FALSE)</f>
        <v>#N/A</v>
      </c>
      <c r="AB161" s="360" t="e">
        <f t="shared" si="5"/>
        <v>#N/A</v>
      </c>
      <c r="AC161" s="360" t="str">
        <f>VLOOKUP(B161,labo!B:D,3,FALSE)</f>
        <v>ug2</v>
      </c>
      <c r="AD161" s="360" t="s">
        <v>2630</v>
      </c>
      <c r="AF161" s="330" t="e">
        <f>VLOOKUP(D161,'SUIVI JOURNALIER AVRIL'!CK:CL,2,FALSE)</f>
        <v>#N/A</v>
      </c>
      <c r="AG161" s="360">
        <v>1</v>
      </c>
    </row>
    <row r="162" spans="1:33" s="360" customFormat="1" ht="13.5" customHeight="1">
      <c r="A162" s="324" t="s">
        <v>1770</v>
      </c>
      <c r="B162" s="325" t="s">
        <v>2335</v>
      </c>
      <c r="C162" s="325" t="s">
        <v>2490</v>
      </c>
      <c r="D162" s="325" t="s">
        <v>2491</v>
      </c>
      <c r="E162" s="324" t="s">
        <v>2632</v>
      </c>
      <c r="F162" s="324" t="s">
        <v>2055</v>
      </c>
      <c r="G162" s="324" t="s">
        <v>887</v>
      </c>
      <c r="H162" s="324" t="s">
        <v>2055</v>
      </c>
      <c r="I162" s="324" t="s">
        <v>2492</v>
      </c>
      <c r="J162" s="324" t="s">
        <v>2055</v>
      </c>
      <c r="K162" s="324" t="s">
        <v>2405</v>
      </c>
      <c r="L162" s="324" t="s">
        <v>891</v>
      </c>
      <c r="M162" s="324" t="s">
        <v>892</v>
      </c>
      <c r="N162" s="324" t="s">
        <v>893</v>
      </c>
      <c r="O162" s="324" t="s">
        <v>894</v>
      </c>
      <c r="P162" s="324" t="s">
        <v>919</v>
      </c>
      <c r="Q162" s="324" t="s">
        <v>2493</v>
      </c>
      <c r="R162" s="324" t="s">
        <v>2494</v>
      </c>
      <c r="S162" s="356" t="s">
        <v>895</v>
      </c>
      <c r="T162" s="309" t="s">
        <v>909</v>
      </c>
      <c r="U162" s="357">
        <f>VLOOKUP(D162,'SUIVI JOURNALIER AVRIL'!CK:CM,3,FALSE)</f>
        <v>0</v>
      </c>
      <c r="V162" s="358" t="e">
        <f>IF(VLOOKUP('vs mars'!D162,'point sur les patentes'!B:E,4,FALSE)="","",VLOOKUP(D162,'point sur les patentes'!B:E,4,FALSE)+VLOOKUP(D162,'point sur les patentes'!B:F,5,FALSE)+VLOOKUP('vs mars'!D162,'point sur les patentes'!B:G,6,FALSE)+VLOOKUP('vs mars'!D162,'point sur les patentes'!B:H,7,FALSE)+VLOOKUP('vs mars'!D162,'point sur les patentes'!B:I,8,FALSE)+VLOOKUP(D162,'point sur les patentes'!B:J,9,FALSE)+VLOOKUP(D162,'point sur les patentes'!B:K,10,FALSE)+VLOOKUP(D162,'point sur les patentes'!B:L,11,FALSE)+VLOOKUP(D162,'point sur les patentes'!B:M,12,FALSE)+VLOOKUP(D162,'point sur les patentes'!B:N,13,FALSE)+VLOOKUP(D162,'point sur les patentes'!B:O,14,FALSE)+VLOOKUP(D162,'point sur les patentes'!B:P,15,FALSE)+VLOOKUP(D162,'point sur les patentes'!B:Q,16,FALSE)+VLOOKUP('vs mars'!D162,'point sur les patentes'!B:Z,25,FALSE))</f>
        <v>#N/A</v>
      </c>
      <c r="W162" s="340">
        <f>VLOOKUP(D162,'SUIVI JOURNALIER AVRIL'!B:J,9,FALSE)</f>
        <v>0</v>
      </c>
      <c r="X162" s="340">
        <f>VLOOKUP(D162,'SUIVI JOURNALIER AVRIL'!B:P,14,FALSE)+VLOOKUP('vs mars'!D162,'SUIVI JOURNALIER AVRIL'!B:V,20,FALSE)+VLOOKUP('vs mars'!D162,'SUIVI JOURNALIER AVRIL'!B:W,21,FALSE)</f>
        <v>1000</v>
      </c>
      <c r="Y162" s="340">
        <f>VLOOKUP(D162,'SUIVI JOURNALIER AVRIL'!B:CC,80,FALSE)</f>
        <v>8750</v>
      </c>
      <c r="Z162" s="340">
        <f t="shared" si="4"/>
        <v>9750</v>
      </c>
      <c r="AA162" s="359">
        <f>VLOOKUP(D162,'SUIVI JOURNALIER AVRIL'!B:CD,81,FALSE)</f>
        <v>9750</v>
      </c>
      <c r="AB162" s="360" t="str">
        <f t="shared" si="5"/>
        <v>ok</v>
      </c>
      <c r="AC162" s="360" t="str">
        <f>VLOOKUP(B162,labo!B:D,3,FALSE)</f>
        <v>ug5</v>
      </c>
      <c r="AD162" s="360" t="s">
        <v>2630</v>
      </c>
      <c r="AF162" s="330">
        <f>VLOOKUP(D162,'SUIVI JOURNALIER AVRIL'!CK:CL,2,FALSE)</f>
        <v>0</v>
      </c>
      <c r="AG162" s="360">
        <v>1</v>
      </c>
    </row>
    <row r="163" spans="1:33" s="360" customFormat="1" ht="13.5" customHeight="1">
      <c r="A163" s="324" t="s">
        <v>1771</v>
      </c>
      <c r="B163" s="325" t="s">
        <v>2336</v>
      </c>
      <c r="C163" s="325" t="s">
        <v>2495</v>
      </c>
      <c r="D163" s="325" t="s">
        <v>2496</v>
      </c>
      <c r="E163" s="324" t="s">
        <v>1566</v>
      </c>
      <c r="F163" s="324" t="s">
        <v>2055</v>
      </c>
      <c r="G163" s="324" t="s">
        <v>887</v>
      </c>
      <c r="H163" s="324" t="s">
        <v>2055</v>
      </c>
      <c r="I163" s="324" t="s">
        <v>2055</v>
      </c>
      <c r="J163" s="324" t="s">
        <v>2055</v>
      </c>
      <c r="K163" s="324" t="s">
        <v>2405</v>
      </c>
      <c r="L163" s="324" t="s">
        <v>891</v>
      </c>
      <c r="M163" s="324" t="s">
        <v>892</v>
      </c>
      <c r="N163" s="324" t="s">
        <v>893</v>
      </c>
      <c r="O163" s="324" t="s">
        <v>894</v>
      </c>
      <c r="P163" s="324" t="s">
        <v>919</v>
      </c>
      <c r="Q163" s="324" t="s">
        <v>2055</v>
      </c>
      <c r="R163" s="324" t="s">
        <v>2055</v>
      </c>
      <c r="S163" s="356" t="s">
        <v>895</v>
      </c>
      <c r="T163" s="309" t="s">
        <v>1006</v>
      </c>
      <c r="U163" s="357" t="e">
        <f>VLOOKUP(D163,'SUIVI JOURNALIER AVRIL'!CK:CM,3,FALSE)</f>
        <v>#N/A</v>
      </c>
      <c r="V163" s="358" t="e">
        <f>IF(VLOOKUP('vs mars'!D163,'point sur les patentes'!B:E,4,FALSE)="","",VLOOKUP(D163,'point sur les patentes'!B:E,4,FALSE)+VLOOKUP(D163,'point sur les patentes'!B:F,5,FALSE)+VLOOKUP('vs mars'!D163,'point sur les patentes'!B:G,6,FALSE)+VLOOKUP('vs mars'!D163,'point sur les patentes'!B:H,7,FALSE)+VLOOKUP('vs mars'!D163,'point sur les patentes'!B:I,8,FALSE)+VLOOKUP(D163,'point sur les patentes'!B:J,9,FALSE)+VLOOKUP(D163,'point sur les patentes'!B:K,10,FALSE)+VLOOKUP(D163,'point sur les patentes'!B:L,11,FALSE)+VLOOKUP(D163,'point sur les patentes'!B:M,12,FALSE)+VLOOKUP(D163,'point sur les patentes'!B:N,13,FALSE)+VLOOKUP(D163,'point sur les patentes'!B:O,14,FALSE)+VLOOKUP(D163,'point sur les patentes'!B:P,15,FALSE)+VLOOKUP(D163,'point sur les patentes'!B:Q,16,FALSE)+VLOOKUP('vs mars'!D163,'point sur les patentes'!B:Z,25,FALSE))</f>
        <v>#N/A</v>
      </c>
      <c r="W163" s="340" t="e">
        <f>VLOOKUP(D163,'SUIVI JOURNALIER AVRIL'!B:J,9,FALSE)</f>
        <v>#N/A</v>
      </c>
      <c r="X163" s="340" t="e">
        <f>VLOOKUP(D163,'SUIVI JOURNALIER AVRIL'!B:P,14,FALSE)+VLOOKUP('vs mars'!D163,'SUIVI JOURNALIER AVRIL'!B:V,20,FALSE)+VLOOKUP('vs mars'!D163,'SUIVI JOURNALIER AVRIL'!B:W,21,FALSE)</f>
        <v>#N/A</v>
      </c>
      <c r="Y163" s="340" t="e">
        <f>VLOOKUP(D163,'SUIVI JOURNALIER AVRIL'!B:CC,80,FALSE)</f>
        <v>#N/A</v>
      </c>
      <c r="Z163" s="340" t="e">
        <f t="shared" si="4"/>
        <v>#N/A</v>
      </c>
      <c r="AA163" s="359" t="e">
        <f>VLOOKUP(D163,'SUIVI JOURNALIER AVRIL'!B:CD,81,FALSE)</f>
        <v>#N/A</v>
      </c>
      <c r="AB163" s="360" t="e">
        <f t="shared" si="5"/>
        <v>#N/A</v>
      </c>
      <c r="AC163" s="360" t="str">
        <f>VLOOKUP(B163,labo!B:D,3,FALSE)</f>
        <v>ug5</v>
      </c>
      <c r="AD163" s="360" t="s">
        <v>2630</v>
      </c>
      <c r="AF163" s="330" t="e">
        <f>VLOOKUP(D163,'SUIVI JOURNALIER AVRIL'!CK:CL,2,FALSE)</f>
        <v>#N/A</v>
      </c>
      <c r="AG163" s="360">
        <v>1</v>
      </c>
    </row>
    <row r="164" spans="1:33" s="360" customFormat="1" ht="13.5" customHeight="1">
      <c r="A164" s="324" t="s">
        <v>1775</v>
      </c>
      <c r="B164" s="325" t="s">
        <v>644</v>
      </c>
      <c r="C164" s="325" t="s">
        <v>645</v>
      </c>
      <c r="D164" s="325" t="s">
        <v>646</v>
      </c>
      <c r="E164" s="324" t="s">
        <v>446</v>
      </c>
      <c r="F164" s="324" t="s">
        <v>2055</v>
      </c>
      <c r="G164" s="324" t="s">
        <v>887</v>
      </c>
      <c r="H164" s="324" t="s">
        <v>897</v>
      </c>
      <c r="I164" s="324" t="s">
        <v>1193</v>
      </c>
      <c r="J164" s="324" t="s">
        <v>889</v>
      </c>
      <c r="K164" s="324" t="s">
        <v>890</v>
      </c>
      <c r="L164" s="324" t="s">
        <v>891</v>
      </c>
      <c r="M164" s="324" t="s">
        <v>892</v>
      </c>
      <c r="N164" s="324" t="s">
        <v>954</v>
      </c>
      <c r="O164" s="324" t="s">
        <v>955</v>
      </c>
      <c r="P164" s="324" t="s">
        <v>955</v>
      </c>
      <c r="Q164" s="324" t="s">
        <v>1194</v>
      </c>
      <c r="R164" s="324" t="s">
        <v>1195</v>
      </c>
      <c r="S164" s="356" t="s">
        <v>895</v>
      </c>
      <c r="T164" s="309" t="s">
        <v>1221</v>
      </c>
      <c r="U164" s="357">
        <f>VLOOKUP(D164,'SUIVI JOURNALIER AVRIL'!CK:CM,3,FALSE)</f>
        <v>0</v>
      </c>
      <c r="V164" s="358" t="e">
        <f>IF(VLOOKUP('vs mars'!D164,'point sur les patentes'!B:E,4,FALSE)="","",VLOOKUP(D164,'point sur les patentes'!B:E,4,FALSE)+VLOOKUP(D164,'point sur les patentes'!B:F,5,FALSE)+VLOOKUP('vs mars'!D164,'point sur les patentes'!B:G,6,FALSE)+VLOOKUP('vs mars'!D164,'point sur les patentes'!B:H,7,FALSE)+VLOOKUP('vs mars'!D164,'point sur les patentes'!B:I,8,FALSE)+VLOOKUP(D164,'point sur les patentes'!B:J,9,FALSE)+VLOOKUP(D164,'point sur les patentes'!B:K,10,FALSE)+VLOOKUP(D164,'point sur les patentes'!B:L,11,FALSE)+VLOOKUP(D164,'point sur les patentes'!B:M,12,FALSE)+VLOOKUP(D164,'point sur les patentes'!B:N,13,FALSE)+VLOOKUP(D164,'point sur les patentes'!B:O,14,FALSE)+VLOOKUP(D164,'point sur les patentes'!B:P,15,FALSE)+VLOOKUP(D164,'point sur les patentes'!B:Q,16,FALSE)+VLOOKUP('vs mars'!D164,'point sur les patentes'!B:Z,25,FALSE))</f>
        <v>#N/A</v>
      </c>
      <c r="W164" s="340">
        <f>VLOOKUP(D164,'SUIVI JOURNALIER AVRIL'!B:J,9,FALSE)</f>
        <v>0</v>
      </c>
      <c r="X164" s="340">
        <f>VLOOKUP(D164,'SUIVI JOURNALIER AVRIL'!B:P,14,FALSE)+VLOOKUP('vs mars'!D164,'SUIVI JOURNALIER AVRIL'!B:V,20,FALSE)+VLOOKUP('vs mars'!D164,'SUIVI JOURNALIER AVRIL'!B:W,21,FALSE)</f>
        <v>0</v>
      </c>
      <c r="Y164" s="340">
        <f>VLOOKUP(D164,'SUIVI JOURNALIER AVRIL'!B:CC,80,FALSE)</f>
        <v>1399</v>
      </c>
      <c r="Z164" s="340">
        <f t="shared" si="4"/>
        <v>1399</v>
      </c>
      <c r="AA164" s="359">
        <f>VLOOKUP(D164,'SUIVI JOURNALIER AVRIL'!B:CD,81,FALSE)</f>
        <v>1399</v>
      </c>
      <c r="AB164" s="360" t="str">
        <f t="shared" si="5"/>
        <v>ok</v>
      </c>
      <c r="AC164" s="360" t="str">
        <f>VLOOKUP(B164,labo!B:D,3,FALSE)</f>
        <v>ug5</v>
      </c>
      <c r="AD164" s="360" t="s">
        <v>2629</v>
      </c>
      <c r="AF164" s="330">
        <f>VLOOKUP(D164,'SUIVI JOURNALIER AVRIL'!CK:CL,2,FALSE)</f>
        <v>0</v>
      </c>
      <c r="AG164" s="360">
        <v>1</v>
      </c>
    </row>
    <row r="165" spans="1:33" s="360" customFormat="1" ht="13.5" customHeight="1">
      <c r="A165" s="324" t="s">
        <v>1776</v>
      </c>
      <c r="B165" s="325" t="s">
        <v>2337</v>
      </c>
      <c r="C165" s="325" t="s">
        <v>2497</v>
      </c>
      <c r="D165" s="325" t="s">
        <v>2498</v>
      </c>
      <c r="E165" s="324" t="s">
        <v>2499</v>
      </c>
      <c r="F165" s="324" t="s">
        <v>2055</v>
      </c>
      <c r="G165" s="324" t="s">
        <v>887</v>
      </c>
      <c r="H165" s="324" t="s">
        <v>2055</v>
      </c>
      <c r="I165" s="324" t="s">
        <v>2500</v>
      </c>
      <c r="J165" s="324" t="s">
        <v>2055</v>
      </c>
      <c r="K165" s="324" t="s">
        <v>2405</v>
      </c>
      <c r="L165" s="324" t="s">
        <v>891</v>
      </c>
      <c r="M165" s="324" t="s">
        <v>892</v>
      </c>
      <c r="N165" s="324" t="s">
        <v>893</v>
      </c>
      <c r="O165" s="324" t="s">
        <v>894</v>
      </c>
      <c r="P165" s="324" t="s">
        <v>919</v>
      </c>
      <c r="Q165" s="324" t="s">
        <v>2474</v>
      </c>
      <c r="R165" s="324" t="s">
        <v>2055</v>
      </c>
      <c r="S165" s="356" t="s">
        <v>895</v>
      </c>
      <c r="T165" s="309" t="s">
        <v>953</v>
      </c>
      <c r="U165" s="357" t="e">
        <f>VLOOKUP(D165,'SUIVI JOURNALIER AVRIL'!CK:CM,3,FALSE)</f>
        <v>#N/A</v>
      </c>
      <c r="V165" s="358" t="e">
        <f>IF(VLOOKUP('vs mars'!D165,'point sur les patentes'!B:E,4,FALSE)="","",VLOOKUP(D165,'point sur les patentes'!B:E,4,FALSE)+VLOOKUP(D165,'point sur les patentes'!B:F,5,FALSE)+VLOOKUP('vs mars'!D165,'point sur les patentes'!B:G,6,FALSE)+VLOOKUP('vs mars'!D165,'point sur les patentes'!B:H,7,FALSE)+VLOOKUP('vs mars'!D165,'point sur les patentes'!B:I,8,FALSE)+VLOOKUP(D165,'point sur les patentes'!B:J,9,FALSE)+VLOOKUP(D165,'point sur les patentes'!B:K,10,FALSE)+VLOOKUP(D165,'point sur les patentes'!B:L,11,FALSE)+VLOOKUP(D165,'point sur les patentes'!B:M,12,FALSE)+VLOOKUP(D165,'point sur les patentes'!B:N,13,FALSE)+VLOOKUP(D165,'point sur les patentes'!B:O,14,FALSE)+VLOOKUP(D165,'point sur les patentes'!B:P,15,FALSE)+VLOOKUP(D165,'point sur les patentes'!B:Q,16,FALSE)+VLOOKUP('vs mars'!D165,'point sur les patentes'!B:Z,25,FALSE))</f>
        <v>#N/A</v>
      </c>
      <c r="W165" s="340" t="e">
        <f>VLOOKUP(D165,'SUIVI JOURNALIER AVRIL'!B:J,9,FALSE)</f>
        <v>#N/A</v>
      </c>
      <c r="X165" s="340" t="e">
        <f>VLOOKUP(D165,'SUIVI JOURNALIER AVRIL'!B:P,14,FALSE)+VLOOKUP('vs mars'!D165,'SUIVI JOURNALIER AVRIL'!B:V,20,FALSE)+VLOOKUP('vs mars'!D165,'SUIVI JOURNALIER AVRIL'!B:W,21,FALSE)</f>
        <v>#N/A</v>
      </c>
      <c r="Y165" s="340" t="e">
        <f>VLOOKUP(D165,'SUIVI JOURNALIER AVRIL'!B:CC,80,FALSE)</f>
        <v>#N/A</v>
      </c>
      <c r="Z165" s="340" t="e">
        <f t="shared" si="4"/>
        <v>#N/A</v>
      </c>
      <c r="AA165" s="359" t="e">
        <f>VLOOKUP(D165,'SUIVI JOURNALIER AVRIL'!B:CD,81,FALSE)</f>
        <v>#N/A</v>
      </c>
      <c r="AB165" s="360" t="e">
        <f t="shared" si="5"/>
        <v>#N/A</v>
      </c>
      <c r="AC165" s="360" t="str">
        <f>VLOOKUP(B165,labo!B:D,3,FALSE)</f>
        <v>ug2</v>
      </c>
      <c r="AD165" s="360" t="s">
        <v>2630</v>
      </c>
      <c r="AF165" s="330" t="e">
        <f>VLOOKUP(D165,'SUIVI JOURNALIER AVRIL'!CK:CL,2,FALSE)</f>
        <v>#N/A</v>
      </c>
      <c r="AG165" s="360">
        <v>1</v>
      </c>
    </row>
    <row r="166" spans="1:33" s="360" customFormat="1" ht="13.5" customHeight="1">
      <c r="A166" s="324" t="s">
        <v>1777</v>
      </c>
      <c r="B166" s="325" t="s">
        <v>647</v>
      </c>
      <c r="C166" s="325" t="s">
        <v>648</v>
      </c>
      <c r="D166" s="325" t="s">
        <v>649</v>
      </c>
      <c r="E166" s="324" t="s">
        <v>446</v>
      </c>
      <c r="F166" s="324" t="s">
        <v>2055</v>
      </c>
      <c r="G166" s="324" t="s">
        <v>887</v>
      </c>
      <c r="H166" s="324" t="s">
        <v>1196</v>
      </c>
      <c r="I166" s="324" t="s">
        <v>1197</v>
      </c>
      <c r="J166" s="324" t="s">
        <v>889</v>
      </c>
      <c r="K166" s="324" t="s">
        <v>890</v>
      </c>
      <c r="L166" s="324" t="s">
        <v>891</v>
      </c>
      <c r="M166" s="324" t="s">
        <v>892</v>
      </c>
      <c r="N166" s="324" t="s">
        <v>905</v>
      </c>
      <c r="O166" s="324" t="s">
        <v>1027</v>
      </c>
      <c r="P166" s="324" t="s">
        <v>1027</v>
      </c>
      <c r="Q166" s="324" t="s">
        <v>956</v>
      </c>
      <c r="R166" s="324" t="s">
        <v>1198</v>
      </c>
      <c r="S166" s="356" t="s">
        <v>895</v>
      </c>
      <c r="T166" s="309" t="s">
        <v>999</v>
      </c>
      <c r="U166" s="357" t="e">
        <f>VLOOKUP(D166,'SUIVI JOURNALIER AVRIL'!CK:CM,3,FALSE)</f>
        <v>#N/A</v>
      </c>
      <c r="V166" s="358" t="e">
        <f>IF(VLOOKUP('vs mars'!D166,'point sur les patentes'!B:E,4,FALSE)="","",VLOOKUP(D166,'point sur les patentes'!B:E,4,FALSE)+VLOOKUP(D166,'point sur les patentes'!B:F,5,FALSE)+VLOOKUP('vs mars'!D166,'point sur les patentes'!B:G,6,FALSE)+VLOOKUP('vs mars'!D166,'point sur les patentes'!B:H,7,FALSE)+VLOOKUP('vs mars'!D166,'point sur les patentes'!B:I,8,FALSE)+VLOOKUP(D166,'point sur les patentes'!B:J,9,FALSE)+VLOOKUP(D166,'point sur les patentes'!B:K,10,FALSE)+VLOOKUP(D166,'point sur les patentes'!B:L,11,FALSE)+VLOOKUP(D166,'point sur les patentes'!B:M,12,FALSE)+VLOOKUP(D166,'point sur les patentes'!B:N,13,FALSE)+VLOOKUP(D166,'point sur les patentes'!B:O,14,FALSE)+VLOOKUP(D166,'point sur les patentes'!B:P,15,FALSE)+VLOOKUP(D166,'point sur les patentes'!B:Q,16,FALSE)+VLOOKUP('vs mars'!D166,'point sur les patentes'!B:Z,25,FALSE))</f>
        <v>#N/A</v>
      </c>
      <c r="W166" s="340" t="e">
        <f>VLOOKUP(D166,'SUIVI JOURNALIER AVRIL'!B:J,9,FALSE)</f>
        <v>#N/A</v>
      </c>
      <c r="X166" s="340" t="e">
        <f>VLOOKUP(D166,'SUIVI JOURNALIER AVRIL'!B:P,14,FALSE)+VLOOKUP('vs mars'!D166,'SUIVI JOURNALIER AVRIL'!B:V,20,FALSE)+VLOOKUP('vs mars'!D166,'SUIVI JOURNALIER AVRIL'!B:W,21,FALSE)</f>
        <v>#N/A</v>
      </c>
      <c r="Y166" s="340" t="e">
        <f>VLOOKUP(D166,'SUIVI JOURNALIER AVRIL'!B:CC,80,FALSE)</f>
        <v>#N/A</v>
      </c>
      <c r="Z166" s="340" t="e">
        <f t="shared" si="4"/>
        <v>#N/A</v>
      </c>
      <c r="AA166" s="359" t="e">
        <f>VLOOKUP(D166,'SUIVI JOURNALIER AVRIL'!B:CD,81,FALSE)</f>
        <v>#N/A</v>
      </c>
      <c r="AB166" s="360" t="e">
        <f t="shared" si="5"/>
        <v>#N/A</v>
      </c>
      <c r="AC166" s="360" t="str">
        <f>VLOOKUP(B166,labo!B:D,3,FALSE)</f>
        <v>ug5</v>
      </c>
      <c r="AD166" s="360" t="s">
        <v>2629</v>
      </c>
      <c r="AF166" s="330" t="e">
        <f>VLOOKUP(D166,'SUIVI JOURNALIER AVRIL'!CK:CL,2,FALSE)</f>
        <v>#N/A</v>
      </c>
      <c r="AG166" s="360">
        <v>1</v>
      </c>
    </row>
    <row r="167" spans="1:33" s="360" customFormat="1" ht="13.5" customHeight="1">
      <c r="A167" s="324" t="s">
        <v>1778</v>
      </c>
      <c r="B167" s="325" t="s">
        <v>650</v>
      </c>
      <c r="C167" s="325" t="s">
        <v>651</v>
      </c>
      <c r="D167" s="325" t="s">
        <v>652</v>
      </c>
      <c r="E167" s="324" t="s">
        <v>446</v>
      </c>
      <c r="F167" s="324" t="s">
        <v>2055</v>
      </c>
      <c r="G167" s="324" t="s">
        <v>887</v>
      </c>
      <c r="H167" s="324" t="s">
        <v>897</v>
      </c>
      <c r="I167" s="324" t="s">
        <v>1199</v>
      </c>
      <c r="J167" s="324" t="s">
        <v>889</v>
      </c>
      <c r="K167" s="324" t="s">
        <v>890</v>
      </c>
      <c r="L167" s="324" t="s">
        <v>891</v>
      </c>
      <c r="M167" s="324" t="s">
        <v>892</v>
      </c>
      <c r="N167" s="324" t="s">
        <v>905</v>
      </c>
      <c r="O167" s="324" t="s">
        <v>906</v>
      </c>
      <c r="P167" s="324" t="s">
        <v>906</v>
      </c>
      <c r="Q167" s="324" t="s">
        <v>956</v>
      </c>
      <c r="R167" s="324" t="s">
        <v>1200</v>
      </c>
      <c r="S167" s="356" t="s">
        <v>895</v>
      </c>
      <c r="T167" s="309" t="s">
        <v>1079</v>
      </c>
      <c r="U167" s="357" t="e">
        <f>VLOOKUP(D167,'SUIVI JOURNALIER AVRIL'!CK:CM,3,FALSE)</f>
        <v>#N/A</v>
      </c>
      <c r="V167" s="358" t="e">
        <f>IF(VLOOKUP('vs mars'!D167,'point sur les patentes'!B:E,4,FALSE)="","",VLOOKUP(D167,'point sur les patentes'!B:E,4,FALSE)+VLOOKUP(D167,'point sur les patentes'!B:F,5,FALSE)+VLOOKUP('vs mars'!D167,'point sur les patentes'!B:G,6,FALSE)+VLOOKUP('vs mars'!D167,'point sur les patentes'!B:H,7,FALSE)+VLOOKUP('vs mars'!D167,'point sur les patentes'!B:I,8,FALSE)+VLOOKUP(D167,'point sur les patentes'!B:J,9,FALSE)+VLOOKUP(D167,'point sur les patentes'!B:K,10,FALSE)+VLOOKUP(D167,'point sur les patentes'!B:L,11,FALSE)+VLOOKUP(D167,'point sur les patentes'!B:M,12,FALSE)+VLOOKUP(D167,'point sur les patentes'!B:N,13,FALSE)+VLOOKUP(D167,'point sur les patentes'!B:O,14,FALSE)+VLOOKUP(D167,'point sur les patentes'!B:P,15,FALSE)+VLOOKUP(D167,'point sur les patentes'!B:Q,16,FALSE)+VLOOKUP('vs mars'!D167,'point sur les patentes'!B:Z,25,FALSE))</f>
        <v>#N/A</v>
      </c>
      <c r="W167" s="340" t="e">
        <f>VLOOKUP(D167,'SUIVI JOURNALIER AVRIL'!B:J,9,FALSE)</f>
        <v>#N/A</v>
      </c>
      <c r="X167" s="340" t="e">
        <f>VLOOKUP(D167,'SUIVI JOURNALIER AVRIL'!B:P,14,FALSE)+VLOOKUP('vs mars'!D167,'SUIVI JOURNALIER AVRIL'!B:V,20,FALSE)+VLOOKUP('vs mars'!D167,'SUIVI JOURNALIER AVRIL'!B:W,21,FALSE)</f>
        <v>#N/A</v>
      </c>
      <c r="Y167" s="340" t="e">
        <f>VLOOKUP(D167,'SUIVI JOURNALIER AVRIL'!B:CC,80,FALSE)</f>
        <v>#N/A</v>
      </c>
      <c r="Z167" s="340" t="e">
        <f t="shared" si="4"/>
        <v>#N/A</v>
      </c>
      <c r="AA167" s="359" t="e">
        <f>VLOOKUP(D167,'SUIVI JOURNALIER AVRIL'!B:CD,81,FALSE)</f>
        <v>#N/A</v>
      </c>
      <c r="AB167" s="360" t="e">
        <f t="shared" si="5"/>
        <v>#N/A</v>
      </c>
      <c r="AC167" s="360" t="str">
        <f>VLOOKUP(B167,labo!B:D,3,FALSE)</f>
        <v>ug5</v>
      </c>
      <c r="AD167" s="360" t="s">
        <v>2630</v>
      </c>
      <c r="AF167" s="330" t="e">
        <f>VLOOKUP(D167,'SUIVI JOURNALIER AVRIL'!CK:CL,2,FALSE)</f>
        <v>#N/A</v>
      </c>
      <c r="AG167" s="360">
        <v>1</v>
      </c>
    </row>
    <row r="168" spans="1:33" s="360" customFormat="1" ht="13.5" customHeight="1">
      <c r="A168" s="324" t="s">
        <v>1779</v>
      </c>
      <c r="B168" s="325" t="s">
        <v>653</v>
      </c>
      <c r="C168" s="325" t="s">
        <v>654</v>
      </c>
      <c r="D168" s="325" t="s">
        <v>655</v>
      </c>
      <c r="E168" s="324" t="s">
        <v>446</v>
      </c>
      <c r="F168" s="324" t="s">
        <v>2055</v>
      </c>
      <c r="G168" s="324" t="s">
        <v>887</v>
      </c>
      <c r="H168" s="324" t="s">
        <v>1201</v>
      </c>
      <c r="I168" s="324" t="s">
        <v>1202</v>
      </c>
      <c r="J168" s="324" t="s">
        <v>889</v>
      </c>
      <c r="K168" s="324" t="s">
        <v>890</v>
      </c>
      <c r="L168" s="324" t="s">
        <v>891</v>
      </c>
      <c r="M168" s="324" t="s">
        <v>892</v>
      </c>
      <c r="N168" s="324" t="s">
        <v>954</v>
      </c>
      <c r="O168" s="324" t="s">
        <v>955</v>
      </c>
      <c r="P168" s="324" t="s">
        <v>955</v>
      </c>
      <c r="Q168" s="324" t="s">
        <v>1203</v>
      </c>
      <c r="R168" s="324" t="s">
        <v>1204</v>
      </c>
      <c r="S168" s="356" t="s">
        <v>895</v>
      </c>
      <c r="T168" s="309" t="s">
        <v>953</v>
      </c>
      <c r="U168" s="357">
        <f>VLOOKUP(D168,'SUIVI JOURNALIER AVRIL'!CK:CM,3,FALSE)</f>
        <v>0</v>
      </c>
      <c r="V168" s="358" t="e">
        <f>IF(VLOOKUP('vs mars'!D168,'point sur les patentes'!B:E,4,FALSE)="","",VLOOKUP(D168,'point sur les patentes'!B:E,4,FALSE)+VLOOKUP(D168,'point sur les patentes'!B:F,5,FALSE)+VLOOKUP('vs mars'!D168,'point sur les patentes'!B:G,6,FALSE)+VLOOKUP('vs mars'!D168,'point sur les patentes'!B:H,7,FALSE)+VLOOKUP('vs mars'!D168,'point sur les patentes'!B:I,8,FALSE)+VLOOKUP(D168,'point sur les patentes'!B:J,9,FALSE)+VLOOKUP(D168,'point sur les patentes'!B:K,10,FALSE)+VLOOKUP(D168,'point sur les patentes'!B:L,11,FALSE)+VLOOKUP(D168,'point sur les patentes'!B:M,12,FALSE)+VLOOKUP(D168,'point sur les patentes'!B:N,13,FALSE)+VLOOKUP(D168,'point sur les patentes'!B:O,14,FALSE)+VLOOKUP(D168,'point sur les patentes'!B:P,15,FALSE)+VLOOKUP(D168,'point sur les patentes'!B:Q,16,FALSE)+VLOOKUP('vs mars'!D168,'point sur les patentes'!B:Z,25,FALSE))</f>
        <v>#N/A</v>
      </c>
      <c r="W168" s="340">
        <f>VLOOKUP(D168,'SUIVI JOURNALIER AVRIL'!B:J,9,FALSE)</f>
        <v>0</v>
      </c>
      <c r="X168" s="340">
        <f>VLOOKUP(D168,'SUIVI JOURNALIER AVRIL'!B:P,14,FALSE)+VLOOKUP('vs mars'!D168,'SUIVI JOURNALIER AVRIL'!B:V,20,FALSE)+VLOOKUP('vs mars'!D168,'SUIVI JOURNALIER AVRIL'!B:W,21,FALSE)</f>
        <v>0</v>
      </c>
      <c r="Y168" s="340">
        <f>VLOOKUP(D168,'SUIVI JOURNALIER AVRIL'!B:CC,80,FALSE)</f>
        <v>0</v>
      </c>
      <c r="Z168" s="340">
        <f t="shared" si="4"/>
        <v>0</v>
      </c>
      <c r="AA168" s="359">
        <f>VLOOKUP(D168,'SUIVI JOURNALIER AVRIL'!B:CD,81,FALSE)</f>
        <v>0</v>
      </c>
      <c r="AB168" s="360" t="str">
        <f t="shared" si="5"/>
        <v>ok</v>
      </c>
      <c r="AC168" s="360" t="str">
        <f>VLOOKUP(B168,labo!B:D,3,FALSE)</f>
        <v>ug5</v>
      </c>
      <c r="AD168" s="360" t="s">
        <v>2629</v>
      </c>
      <c r="AF168" s="330">
        <f>VLOOKUP(D168,'SUIVI JOURNALIER AVRIL'!CK:CL,2,FALSE)</f>
        <v>0</v>
      </c>
      <c r="AG168" s="360">
        <v>1</v>
      </c>
    </row>
    <row r="169" spans="1:33" s="360" customFormat="1" ht="13.5" customHeight="1">
      <c r="A169" s="324" t="s">
        <v>1780</v>
      </c>
      <c r="B169" s="325" t="s">
        <v>2338</v>
      </c>
      <c r="C169" s="325" t="s">
        <v>2501</v>
      </c>
      <c r="D169" s="325" t="s">
        <v>2502</v>
      </c>
      <c r="E169" s="324" t="s">
        <v>839</v>
      </c>
      <c r="F169" s="324" t="s">
        <v>2055</v>
      </c>
      <c r="G169" s="324" t="s">
        <v>887</v>
      </c>
      <c r="H169" s="324" t="s">
        <v>2055</v>
      </c>
      <c r="I169" s="324" t="s">
        <v>2055</v>
      </c>
      <c r="J169" s="324" t="s">
        <v>2055</v>
      </c>
      <c r="K169" s="324" t="s">
        <v>2405</v>
      </c>
      <c r="L169" s="324" t="s">
        <v>891</v>
      </c>
      <c r="M169" s="324" t="s">
        <v>892</v>
      </c>
      <c r="N169" s="324" t="s">
        <v>893</v>
      </c>
      <c r="O169" s="324" t="s">
        <v>894</v>
      </c>
      <c r="P169" s="324" t="s">
        <v>919</v>
      </c>
      <c r="Q169" s="324" t="s">
        <v>2055</v>
      </c>
      <c r="R169" s="324" t="s">
        <v>2055</v>
      </c>
      <c r="S169" s="356" t="s">
        <v>895</v>
      </c>
      <c r="T169" s="309" t="s">
        <v>965</v>
      </c>
      <c r="U169" s="357" t="e">
        <f>VLOOKUP(D169,'SUIVI JOURNALIER AVRIL'!CK:CM,3,FALSE)</f>
        <v>#N/A</v>
      </c>
      <c r="V169" s="358" t="e">
        <f>IF(VLOOKUP('vs mars'!D169,'point sur les patentes'!B:E,4,FALSE)="","",VLOOKUP(D169,'point sur les patentes'!B:E,4,FALSE)+VLOOKUP(D169,'point sur les patentes'!B:F,5,FALSE)+VLOOKUP('vs mars'!D169,'point sur les patentes'!B:G,6,FALSE)+VLOOKUP('vs mars'!D169,'point sur les patentes'!B:H,7,FALSE)+VLOOKUP('vs mars'!D169,'point sur les patentes'!B:I,8,FALSE)+VLOOKUP(D169,'point sur les patentes'!B:J,9,FALSE)+VLOOKUP(D169,'point sur les patentes'!B:K,10,FALSE)+VLOOKUP(D169,'point sur les patentes'!B:L,11,FALSE)+VLOOKUP(D169,'point sur les patentes'!B:M,12,FALSE)+VLOOKUP(D169,'point sur les patentes'!B:N,13,FALSE)+VLOOKUP(D169,'point sur les patentes'!B:O,14,FALSE)+VLOOKUP(D169,'point sur les patentes'!B:P,15,FALSE)+VLOOKUP(D169,'point sur les patentes'!B:Q,16,FALSE)+VLOOKUP('vs mars'!D169,'point sur les patentes'!B:Z,25,FALSE))</f>
        <v>#N/A</v>
      </c>
      <c r="W169" s="340" t="e">
        <f>VLOOKUP(D169,'SUIVI JOURNALIER AVRIL'!B:J,9,FALSE)</f>
        <v>#N/A</v>
      </c>
      <c r="X169" s="340" t="e">
        <f>VLOOKUP(D169,'SUIVI JOURNALIER AVRIL'!B:P,14,FALSE)+VLOOKUP('vs mars'!D169,'SUIVI JOURNALIER AVRIL'!B:V,20,FALSE)+VLOOKUP('vs mars'!D169,'SUIVI JOURNALIER AVRIL'!B:W,21,FALSE)</f>
        <v>#N/A</v>
      </c>
      <c r="Y169" s="340" t="e">
        <f>VLOOKUP(D169,'SUIVI JOURNALIER AVRIL'!B:CC,80,FALSE)</f>
        <v>#N/A</v>
      </c>
      <c r="Z169" s="340" t="e">
        <f t="shared" si="4"/>
        <v>#N/A</v>
      </c>
      <c r="AA169" s="359" t="e">
        <f>VLOOKUP(D169,'SUIVI JOURNALIER AVRIL'!B:CD,81,FALSE)</f>
        <v>#N/A</v>
      </c>
      <c r="AB169" s="360" t="e">
        <f t="shared" si="5"/>
        <v>#N/A</v>
      </c>
      <c r="AC169" s="360" t="str">
        <f>VLOOKUP(B169,labo!B:D,3,FALSE)</f>
        <v>ug5</v>
      </c>
      <c r="AD169" s="360" t="s">
        <v>2630</v>
      </c>
      <c r="AF169" s="330" t="e">
        <f>VLOOKUP(D169,'SUIVI JOURNALIER AVRIL'!CK:CL,2,FALSE)</f>
        <v>#N/A</v>
      </c>
      <c r="AG169" s="360">
        <v>1</v>
      </c>
    </row>
    <row r="170" spans="1:33" s="360" customFormat="1" ht="13.5" customHeight="1">
      <c r="A170" s="324" t="s">
        <v>1781</v>
      </c>
      <c r="B170" s="325" t="s">
        <v>331</v>
      </c>
      <c r="C170" s="325" t="s">
        <v>656</v>
      </c>
      <c r="D170" s="325" t="s">
        <v>657</v>
      </c>
      <c r="E170" s="324" t="s">
        <v>446</v>
      </c>
      <c r="F170" s="324" t="s">
        <v>2055</v>
      </c>
      <c r="G170" s="324" t="s">
        <v>887</v>
      </c>
      <c r="H170" s="324" t="s">
        <v>1205</v>
      </c>
      <c r="I170" s="324" t="s">
        <v>1206</v>
      </c>
      <c r="J170" s="324" t="s">
        <v>889</v>
      </c>
      <c r="K170" s="324" t="s">
        <v>890</v>
      </c>
      <c r="L170" s="324" t="s">
        <v>891</v>
      </c>
      <c r="M170" s="324" t="s">
        <v>892</v>
      </c>
      <c r="N170" s="324" t="s">
        <v>893</v>
      </c>
      <c r="O170" s="324" t="s">
        <v>894</v>
      </c>
      <c r="P170" s="324" t="s">
        <v>899</v>
      </c>
      <c r="Q170" s="324" t="s">
        <v>985</v>
      </c>
      <c r="R170" s="324" t="s">
        <v>1207</v>
      </c>
      <c r="S170" s="356" t="s">
        <v>895</v>
      </c>
      <c r="T170" s="309" t="s">
        <v>1228</v>
      </c>
      <c r="U170" s="357">
        <f>VLOOKUP(D170,'SUIVI JOURNALIER AVRIL'!CK:CM,3,FALSE)</f>
        <v>0</v>
      </c>
      <c r="V170" s="358" t="e">
        <f>IF(VLOOKUP('vs mars'!D170,'point sur les patentes'!B:E,4,FALSE)="","",VLOOKUP(D170,'point sur les patentes'!B:E,4,FALSE)+VLOOKUP(D170,'point sur les patentes'!B:F,5,FALSE)+VLOOKUP('vs mars'!D170,'point sur les patentes'!B:G,6,FALSE)+VLOOKUP('vs mars'!D170,'point sur les patentes'!B:H,7,FALSE)+VLOOKUP('vs mars'!D170,'point sur les patentes'!B:I,8,FALSE)+VLOOKUP(D170,'point sur les patentes'!B:J,9,FALSE)+VLOOKUP(D170,'point sur les patentes'!B:K,10,FALSE)+VLOOKUP(D170,'point sur les patentes'!B:L,11,FALSE)+VLOOKUP(D170,'point sur les patentes'!B:M,12,FALSE)+VLOOKUP(D170,'point sur les patentes'!B:N,13,FALSE)+VLOOKUP(D170,'point sur les patentes'!B:O,14,FALSE)+VLOOKUP(D170,'point sur les patentes'!B:P,15,FALSE)+VLOOKUP(D170,'point sur les patentes'!B:Q,16,FALSE)+VLOOKUP('vs mars'!D170,'point sur les patentes'!B:Z,25,FALSE))</f>
        <v>#N/A</v>
      </c>
      <c r="W170" s="340">
        <f>VLOOKUP(D170,'SUIVI JOURNALIER AVRIL'!B:J,9,FALSE)</f>
        <v>0</v>
      </c>
      <c r="X170" s="340">
        <f>VLOOKUP(D170,'SUIVI JOURNALIER AVRIL'!B:P,14,FALSE)+VLOOKUP('vs mars'!D170,'SUIVI JOURNALIER AVRIL'!B:V,20,FALSE)+VLOOKUP('vs mars'!D170,'SUIVI JOURNALIER AVRIL'!B:W,21,FALSE)</f>
        <v>0</v>
      </c>
      <c r="Y170" s="340">
        <f>VLOOKUP(D170,'SUIVI JOURNALIER AVRIL'!B:CC,80,FALSE)</f>
        <v>88270.909090909088</v>
      </c>
      <c r="Z170" s="340">
        <f t="shared" si="4"/>
        <v>88270.909090909088</v>
      </c>
      <c r="AA170" s="359">
        <f>VLOOKUP(D170,'SUIVI JOURNALIER AVRIL'!B:CD,81,FALSE)</f>
        <v>88270.909090909088</v>
      </c>
      <c r="AB170" s="360" t="str">
        <f t="shared" si="5"/>
        <v>ok</v>
      </c>
      <c r="AC170" s="360" t="str">
        <f>VLOOKUP(B170,labo!B:D,3,FALSE)</f>
        <v>ug5</v>
      </c>
      <c r="AD170" s="360" t="s">
        <v>2629</v>
      </c>
      <c r="AF170" s="330">
        <f>VLOOKUP(D170,'SUIVI JOURNALIER AVRIL'!CK:CL,2,FALSE)</f>
        <v>0</v>
      </c>
      <c r="AG170" s="360">
        <v>1</v>
      </c>
    </row>
    <row r="171" spans="1:33" s="360" customFormat="1" ht="13.5" customHeight="1">
      <c r="A171" s="324" t="s">
        <v>1239</v>
      </c>
      <c r="B171" s="325" t="s">
        <v>658</v>
      </c>
      <c r="C171" s="325" t="s">
        <v>659</v>
      </c>
      <c r="D171" s="325" t="s">
        <v>660</v>
      </c>
      <c r="E171" s="324" t="s">
        <v>446</v>
      </c>
      <c r="F171" s="324" t="s">
        <v>2055</v>
      </c>
      <c r="G171" s="324" t="s">
        <v>887</v>
      </c>
      <c r="H171" s="324" t="s">
        <v>1209</v>
      </c>
      <c r="I171" s="324" t="s">
        <v>2503</v>
      </c>
      <c r="J171" s="324" t="s">
        <v>889</v>
      </c>
      <c r="K171" s="324" t="s">
        <v>890</v>
      </c>
      <c r="L171" s="324" t="s">
        <v>891</v>
      </c>
      <c r="M171" s="324" t="s">
        <v>892</v>
      </c>
      <c r="N171" s="324" t="s">
        <v>893</v>
      </c>
      <c r="O171" s="324" t="s">
        <v>894</v>
      </c>
      <c r="P171" s="324" t="s">
        <v>935</v>
      </c>
      <c r="Q171" s="324" t="s">
        <v>924</v>
      </c>
      <c r="R171" s="324" t="s">
        <v>1210</v>
      </c>
      <c r="S171" s="356" t="s">
        <v>895</v>
      </c>
      <c r="T171" s="309" t="s">
        <v>965</v>
      </c>
      <c r="U171" s="357">
        <f>VLOOKUP(D171,'SUIVI JOURNALIER AVRIL'!CK:CM,3,FALSE)</f>
        <v>0</v>
      </c>
      <c r="V171" s="358" t="e">
        <f>IF(VLOOKUP('vs mars'!D171,'point sur les patentes'!B:E,4,FALSE)="","",VLOOKUP(D171,'point sur les patentes'!B:E,4,FALSE)+VLOOKUP(D171,'point sur les patentes'!B:F,5,FALSE)+VLOOKUP('vs mars'!D171,'point sur les patentes'!B:G,6,FALSE)+VLOOKUP('vs mars'!D171,'point sur les patentes'!B:H,7,FALSE)+VLOOKUP('vs mars'!D171,'point sur les patentes'!B:I,8,FALSE)+VLOOKUP(D171,'point sur les patentes'!B:J,9,FALSE)+VLOOKUP(D171,'point sur les patentes'!B:K,10,FALSE)+VLOOKUP(D171,'point sur les patentes'!B:L,11,FALSE)+VLOOKUP(D171,'point sur les patentes'!B:M,12,FALSE)+VLOOKUP(D171,'point sur les patentes'!B:N,13,FALSE)+VLOOKUP(D171,'point sur les patentes'!B:O,14,FALSE)+VLOOKUP(D171,'point sur les patentes'!B:P,15,FALSE)+VLOOKUP(D171,'point sur les patentes'!B:Q,16,FALSE)+VLOOKUP('vs mars'!D171,'point sur les patentes'!B:Z,25,FALSE))</f>
        <v>#N/A</v>
      </c>
      <c r="W171" s="340">
        <f>VLOOKUP(D171,'SUIVI JOURNALIER AVRIL'!B:J,9,FALSE)</f>
        <v>2455</v>
      </c>
      <c r="X171" s="340">
        <f>VLOOKUP(D171,'SUIVI JOURNALIER AVRIL'!B:P,14,FALSE)+VLOOKUP('vs mars'!D171,'SUIVI JOURNALIER AVRIL'!B:V,20,FALSE)+VLOOKUP('vs mars'!D171,'SUIVI JOURNALIER AVRIL'!B:W,21,FALSE)</f>
        <v>5454</v>
      </c>
      <c r="Y171" s="340">
        <f>VLOOKUP(D171,'SUIVI JOURNALIER AVRIL'!B:CC,80,FALSE)</f>
        <v>0</v>
      </c>
      <c r="Z171" s="340">
        <f t="shared" si="4"/>
        <v>7909</v>
      </c>
      <c r="AA171" s="359">
        <f>VLOOKUP(D171,'SUIVI JOURNALIER AVRIL'!B:CD,81,FALSE)</f>
        <v>7909</v>
      </c>
      <c r="AB171" s="360" t="str">
        <f t="shared" si="5"/>
        <v>ok</v>
      </c>
      <c r="AC171" s="360" t="str">
        <f>VLOOKUP(B171,labo!B:D,3,FALSE)</f>
        <v>ug5</v>
      </c>
      <c r="AD171" s="360" t="s">
        <v>2629</v>
      </c>
      <c r="AF171" s="330">
        <f>VLOOKUP(D171,'SUIVI JOURNALIER AVRIL'!CK:CL,2,FALSE)</f>
        <v>0</v>
      </c>
      <c r="AG171" s="360">
        <v>1</v>
      </c>
    </row>
    <row r="172" spans="1:33" s="360" customFormat="1" ht="13.5" customHeight="1">
      <c r="A172" s="324" t="s">
        <v>1782</v>
      </c>
      <c r="B172" s="325" t="s">
        <v>2339</v>
      </c>
      <c r="C172" s="325" t="s">
        <v>2055</v>
      </c>
      <c r="D172" s="325" t="s">
        <v>2504</v>
      </c>
      <c r="E172" s="324" t="s">
        <v>839</v>
      </c>
      <c r="F172" s="324" t="s">
        <v>2055</v>
      </c>
      <c r="G172" s="324" t="s">
        <v>887</v>
      </c>
      <c r="H172" s="324" t="s">
        <v>2055</v>
      </c>
      <c r="I172" s="324" t="s">
        <v>2055</v>
      </c>
      <c r="J172" s="324" t="s">
        <v>2055</v>
      </c>
      <c r="K172" s="324" t="s">
        <v>2405</v>
      </c>
      <c r="L172" s="324" t="s">
        <v>891</v>
      </c>
      <c r="M172" s="324" t="s">
        <v>892</v>
      </c>
      <c r="N172" s="324" t="s">
        <v>893</v>
      </c>
      <c r="O172" s="324" t="s">
        <v>894</v>
      </c>
      <c r="P172" s="324" t="s">
        <v>919</v>
      </c>
      <c r="Q172" s="324" t="s">
        <v>2055</v>
      </c>
      <c r="R172" s="324" t="s">
        <v>2055</v>
      </c>
      <c r="S172" s="356" t="s">
        <v>895</v>
      </c>
      <c r="T172" s="309" t="s">
        <v>977</v>
      </c>
      <c r="U172" s="357" t="e">
        <f>VLOOKUP(D172,'SUIVI JOURNALIER AVRIL'!CK:CM,3,FALSE)</f>
        <v>#N/A</v>
      </c>
      <c r="V172" s="358" t="e">
        <f>IF(VLOOKUP('vs mars'!D172,'point sur les patentes'!B:E,4,FALSE)="","",VLOOKUP(D172,'point sur les patentes'!B:E,4,FALSE)+VLOOKUP(D172,'point sur les patentes'!B:F,5,FALSE)+VLOOKUP('vs mars'!D172,'point sur les patentes'!B:G,6,FALSE)+VLOOKUP('vs mars'!D172,'point sur les patentes'!B:H,7,FALSE)+VLOOKUP('vs mars'!D172,'point sur les patentes'!B:I,8,FALSE)+VLOOKUP(D172,'point sur les patentes'!B:J,9,FALSE)+VLOOKUP(D172,'point sur les patentes'!B:K,10,FALSE)+VLOOKUP(D172,'point sur les patentes'!B:L,11,FALSE)+VLOOKUP(D172,'point sur les patentes'!B:M,12,FALSE)+VLOOKUP(D172,'point sur les patentes'!B:N,13,FALSE)+VLOOKUP(D172,'point sur les patentes'!B:O,14,FALSE)+VLOOKUP(D172,'point sur les patentes'!B:P,15,FALSE)+VLOOKUP(D172,'point sur les patentes'!B:Q,16,FALSE)+VLOOKUP('vs mars'!D172,'point sur les patentes'!B:Z,25,FALSE))</f>
        <v>#N/A</v>
      </c>
      <c r="W172" s="340" t="e">
        <f>VLOOKUP(D172,'SUIVI JOURNALIER AVRIL'!B:J,9,FALSE)</f>
        <v>#N/A</v>
      </c>
      <c r="X172" s="340" t="e">
        <f>VLOOKUP(D172,'SUIVI JOURNALIER AVRIL'!B:P,14,FALSE)+VLOOKUP('vs mars'!D172,'SUIVI JOURNALIER AVRIL'!B:V,20,FALSE)+VLOOKUP('vs mars'!D172,'SUIVI JOURNALIER AVRIL'!B:W,21,FALSE)</f>
        <v>#N/A</v>
      </c>
      <c r="Y172" s="340" t="e">
        <f>VLOOKUP(D172,'SUIVI JOURNALIER AVRIL'!B:CC,80,FALSE)</f>
        <v>#N/A</v>
      </c>
      <c r="Z172" s="340" t="e">
        <f t="shared" si="4"/>
        <v>#N/A</v>
      </c>
      <c r="AA172" s="359" t="e">
        <f>VLOOKUP(D172,'SUIVI JOURNALIER AVRIL'!B:CD,81,FALSE)</f>
        <v>#N/A</v>
      </c>
      <c r="AB172" s="360" t="e">
        <f t="shared" si="5"/>
        <v>#N/A</v>
      </c>
      <c r="AC172" s="360" t="str">
        <f>VLOOKUP(B172,labo!B:D,3,FALSE)</f>
        <v>ug5</v>
      </c>
      <c r="AD172" s="360" t="s">
        <v>2630</v>
      </c>
      <c r="AF172" s="330" t="e">
        <f>VLOOKUP(D172,'SUIVI JOURNALIER AVRIL'!CK:CL,2,FALSE)</f>
        <v>#N/A</v>
      </c>
      <c r="AG172" s="360">
        <v>1</v>
      </c>
    </row>
    <row r="173" spans="1:33" s="360" customFormat="1" ht="13.5" customHeight="1">
      <c r="A173" s="324" t="s">
        <v>1783</v>
      </c>
      <c r="B173" s="325" t="s">
        <v>311</v>
      </c>
      <c r="C173" s="325" t="s">
        <v>661</v>
      </c>
      <c r="D173" s="325" t="s">
        <v>662</v>
      </c>
      <c r="E173" s="324" t="s">
        <v>422</v>
      </c>
      <c r="F173" s="324" t="s">
        <v>2055</v>
      </c>
      <c r="G173" s="324" t="s">
        <v>887</v>
      </c>
      <c r="H173" s="324" t="s">
        <v>897</v>
      </c>
      <c r="I173" s="324" t="s">
        <v>918</v>
      </c>
      <c r="J173" s="324" t="s">
        <v>889</v>
      </c>
      <c r="K173" s="324" t="s">
        <v>890</v>
      </c>
      <c r="L173" s="324" t="s">
        <v>891</v>
      </c>
      <c r="M173" s="324" t="s">
        <v>892</v>
      </c>
      <c r="N173" s="324" t="s">
        <v>912</v>
      </c>
      <c r="O173" s="324" t="s">
        <v>998</v>
      </c>
      <c r="P173" s="324" t="s">
        <v>998</v>
      </c>
      <c r="Q173" s="324" t="s">
        <v>924</v>
      </c>
      <c r="R173" s="324" t="s">
        <v>1211</v>
      </c>
      <c r="S173" s="356" t="s">
        <v>895</v>
      </c>
      <c r="T173" s="309" t="s">
        <v>1238</v>
      </c>
      <c r="U173" s="357" t="e">
        <f>VLOOKUP(D173,'SUIVI JOURNALIER AVRIL'!CK:CM,3,FALSE)</f>
        <v>#N/A</v>
      </c>
      <c r="V173" s="358" t="e">
        <f>IF(VLOOKUP('vs mars'!D173,'point sur les patentes'!B:E,4,FALSE)="","",VLOOKUP(D173,'point sur les patentes'!B:E,4,FALSE)+VLOOKUP(D173,'point sur les patentes'!B:F,5,FALSE)+VLOOKUP('vs mars'!D173,'point sur les patentes'!B:G,6,FALSE)+VLOOKUP('vs mars'!D173,'point sur les patentes'!B:H,7,FALSE)+VLOOKUP('vs mars'!D173,'point sur les patentes'!B:I,8,FALSE)+VLOOKUP(D173,'point sur les patentes'!B:J,9,FALSE)+VLOOKUP(D173,'point sur les patentes'!B:K,10,FALSE)+VLOOKUP(D173,'point sur les patentes'!B:L,11,FALSE)+VLOOKUP(D173,'point sur les patentes'!B:M,12,FALSE)+VLOOKUP(D173,'point sur les patentes'!B:N,13,FALSE)+VLOOKUP(D173,'point sur les patentes'!B:O,14,FALSE)+VLOOKUP(D173,'point sur les patentes'!B:P,15,FALSE)+VLOOKUP(D173,'point sur les patentes'!B:Q,16,FALSE)+VLOOKUP('vs mars'!D173,'point sur les patentes'!B:Z,25,FALSE))</f>
        <v>#N/A</v>
      </c>
      <c r="W173" s="340" t="e">
        <f>VLOOKUP(D173,'SUIVI JOURNALIER AVRIL'!B:J,9,FALSE)</f>
        <v>#N/A</v>
      </c>
      <c r="X173" s="340" t="e">
        <f>VLOOKUP(D173,'SUIVI JOURNALIER AVRIL'!B:P,14,FALSE)+VLOOKUP('vs mars'!D173,'SUIVI JOURNALIER AVRIL'!B:V,20,FALSE)+VLOOKUP('vs mars'!D173,'SUIVI JOURNALIER AVRIL'!B:W,21,FALSE)</f>
        <v>#N/A</v>
      </c>
      <c r="Y173" s="340" t="e">
        <f>VLOOKUP(D173,'SUIVI JOURNALIER AVRIL'!B:CC,80,FALSE)</f>
        <v>#N/A</v>
      </c>
      <c r="Z173" s="340" t="e">
        <f t="shared" si="4"/>
        <v>#N/A</v>
      </c>
      <c r="AA173" s="359" t="e">
        <f>VLOOKUP(D173,'SUIVI JOURNALIER AVRIL'!B:CD,81,FALSE)</f>
        <v>#N/A</v>
      </c>
      <c r="AB173" s="360" t="e">
        <f t="shared" si="5"/>
        <v>#N/A</v>
      </c>
      <c r="AC173" s="360" t="str">
        <f>VLOOKUP(B173,labo!B:D,3,FALSE)</f>
        <v>ug4</v>
      </c>
      <c r="AD173" s="360" t="s">
        <v>2629</v>
      </c>
      <c r="AF173" s="330" t="e">
        <f>VLOOKUP(D173,'SUIVI JOURNALIER AVRIL'!CK:CL,2,FALSE)</f>
        <v>#N/A</v>
      </c>
      <c r="AG173" s="360">
        <v>1</v>
      </c>
    </row>
    <row r="174" spans="1:33" s="360" customFormat="1" ht="13.5" customHeight="1">
      <c r="A174" s="324" t="s">
        <v>1784</v>
      </c>
      <c r="B174" s="325" t="s">
        <v>663</v>
      </c>
      <c r="C174" s="325" t="s">
        <v>664</v>
      </c>
      <c r="D174" s="325" t="s">
        <v>665</v>
      </c>
      <c r="E174" s="324" t="s">
        <v>554</v>
      </c>
      <c r="F174" s="324" t="s">
        <v>2055</v>
      </c>
      <c r="G174" s="324" t="s">
        <v>887</v>
      </c>
      <c r="H174" s="324" t="s">
        <v>1212</v>
      </c>
      <c r="I174" s="324" t="s">
        <v>1213</v>
      </c>
      <c r="J174" s="324" t="s">
        <v>889</v>
      </c>
      <c r="K174" s="324" t="s">
        <v>890</v>
      </c>
      <c r="L174" s="324" t="s">
        <v>891</v>
      </c>
      <c r="M174" s="324" t="s">
        <v>892</v>
      </c>
      <c r="N174" s="324" t="s">
        <v>893</v>
      </c>
      <c r="O174" s="324" t="s">
        <v>894</v>
      </c>
      <c r="P174" s="324" t="s">
        <v>935</v>
      </c>
      <c r="Q174" s="324" t="s">
        <v>924</v>
      </c>
      <c r="R174" s="324" t="s">
        <v>1214</v>
      </c>
      <c r="S174" s="356" t="s">
        <v>895</v>
      </c>
      <c r="T174" s="309" t="s">
        <v>1238</v>
      </c>
      <c r="U174" s="357">
        <f>VLOOKUP(D174,'SUIVI JOURNALIER AVRIL'!CK:CM,3,FALSE)</f>
        <v>0</v>
      </c>
      <c r="V174" s="358" t="e">
        <f>IF(VLOOKUP('vs mars'!D174,'point sur les patentes'!B:E,4,FALSE)="","",VLOOKUP(D174,'point sur les patentes'!B:E,4,FALSE)+VLOOKUP(D174,'point sur les patentes'!B:F,5,FALSE)+VLOOKUP('vs mars'!D174,'point sur les patentes'!B:G,6,FALSE)+VLOOKUP('vs mars'!D174,'point sur les patentes'!B:H,7,FALSE)+VLOOKUP('vs mars'!D174,'point sur les patentes'!B:I,8,FALSE)+VLOOKUP(D174,'point sur les patentes'!B:J,9,FALSE)+VLOOKUP(D174,'point sur les patentes'!B:K,10,FALSE)+VLOOKUP(D174,'point sur les patentes'!B:L,11,FALSE)+VLOOKUP(D174,'point sur les patentes'!B:M,12,FALSE)+VLOOKUP(D174,'point sur les patentes'!B:N,13,FALSE)+VLOOKUP(D174,'point sur les patentes'!B:O,14,FALSE)+VLOOKUP(D174,'point sur les patentes'!B:P,15,FALSE)+VLOOKUP(D174,'point sur les patentes'!B:Q,16,FALSE)+VLOOKUP('vs mars'!D174,'point sur les patentes'!B:Z,25,FALSE))</f>
        <v>#N/A</v>
      </c>
      <c r="W174" s="340">
        <f>VLOOKUP(D174,'SUIVI JOURNALIER AVRIL'!B:J,9,FALSE)</f>
        <v>136318</v>
      </c>
      <c r="X174" s="340">
        <f>VLOOKUP(D174,'SUIVI JOURNALIER AVRIL'!B:P,14,FALSE)+VLOOKUP('vs mars'!D174,'SUIVI JOURNALIER AVRIL'!B:V,20,FALSE)+VLOOKUP('vs mars'!D174,'SUIVI JOURNALIER AVRIL'!B:W,21,FALSE)</f>
        <v>167195</v>
      </c>
      <c r="Y174" s="340">
        <f>VLOOKUP(D174,'SUIVI JOURNALIER AVRIL'!B:CC,80,FALSE)</f>
        <v>32152</v>
      </c>
      <c r="Z174" s="340">
        <f t="shared" si="4"/>
        <v>335665</v>
      </c>
      <c r="AA174" s="359">
        <f>VLOOKUP(D174,'SUIVI JOURNALIER AVRIL'!B:CD,81,FALSE)</f>
        <v>335665</v>
      </c>
      <c r="AB174" s="360" t="str">
        <f t="shared" si="5"/>
        <v>ok</v>
      </c>
      <c r="AC174" s="360" t="str">
        <f>VLOOKUP(B174,labo!B:D,3,FALSE)</f>
        <v>ug2</v>
      </c>
      <c r="AD174" s="360" t="s">
        <v>2629</v>
      </c>
      <c r="AF174" s="330">
        <f>VLOOKUP(D174,'SUIVI JOURNALIER AVRIL'!CK:CL,2,FALSE)</f>
        <v>0</v>
      </c>
      <c r="AG174" s="360">
        <v>1</v>
      </c>
    </row>
    <row r="175" spans="1:33" s="360" customFormat="1" ht="13.5" customHeight="1">
      <c r="A175" s="324" t="s">
        <v>1174</v>
      </c>
      <c r="B175" s="325" t="s">
        <v>666</v>
      </c>
      <c r="C175" s="325" t="s">
        <v>667</v>
      </c>
      <c r="D175" s="325" t="s">
        <v>668</v>
      </c>
      <c r="E175" s="324" t="s">
        <v>446</v>
      </c>
      <c r="F175" s="324" t="s">
        <v>2055</v>
      </c>
      <c r="G175" s="324" t="s">
        <v>887</v>
      </c>
      <c r="H175" s="324" t="s">
        <v>897</v>
      </c>
      <c r="I175" s="324" t="s">
        <v>1215</v>
      </c>
      <c r="J175" s="324" t="s">
        <v>889</v>
      </c>
      <c r="K175" s="324" t="s">
        <v>890</v>
      </c>
      <c r="L175" s="324" t="s">
        <v>891</v>
      </c>
      <c r="M175" s="324" t="s">
        <v>892</v>
      </c>
      <c r="N175" s="324" t="s">
        <v>905</v>
      </c>
      <c r="O175" s="324" t="s">
        <v>906</v>
      </c>
      <c r="P175" s="324" t="s">
        <v>906</v>
      </c>
      <c r="Q175" s="324" t="s">
        <v>924</v>
      </c>
      <c r="R175" s="324" t="s">
        <v>1216</v>
      </c>
      <c r="S175" s="356" t="s">
        <v>895</v>
      </c>
      <c r="T175" s="309" t="s">
        <v>1238</v>
      </c>
      <c r="U175" s="357">
        <f>VLOOKUP(D175,'SUIVI JOURNALIER AVRIL'!CK:CM,3,FALSE)</f>
        <v>0</v>
      </c>
      <c r="V175" s="358" t="e">
        <f>IF(VLOOKUP('vs mars'!D175,'point sur les patentes'!B:E,4,FALSE)="","",VLOOKUP(D175,'point sur les patentes'!B:E,4,FALSE)+VLOOKUP(D175,'point sur les patentes'!B:F,5,FALSE)+VLOOKUP('vs mars'!D175,'point sur les patentes'!B:G,6,FALSE)+VLOOKUP('vs mars'!D175,'point sur les patentes'!B:H,7,FALSE)+VLOOKUP('vs mars'!D175,'point sur les patentes'!B:I,8,FALSE)+VLOOKUP(D175,'point sur les patentes'!B:J,9,FALSE)+VLOOKUP(D175,'point sur les patentes'!B:K,10,FALSE)+VLOOKUP(D175,'point sur les patentes'!B:L,11,FALSE)+VLOOKUP(D175,'point sur les patentes'!B:M,12,FALSE)+VLOOKUP(D175,'point sur les patentes'!B:N,13,FALSE)+VLOOKUP(D175,'point sur les patentes'!B:O,14,FALSE)+VLOOKUP(D175,'point sur les patentes'!B:P,15,FALSE)+VLOOKUP(D175,'point sur les patentes'!B:Q,16,FALSE)+VLOOKUP('vs mars'!D175,'point sur les patentes'!B:Z,25,FALSE))</f>
        <v>#N/A</v>
      </c>
      <c r="W175" s="340">
        <f>VLOOKUP(D175,'SUIVI JOURNALIER AVRIL'!B:J,9,FALSE)</f>
        <v>0</v>
      </c>
      <c r="X175" s="340">
        <f>VLOOKUP(D175,'SUIVI JOURNALIER AVRIL'!B:P,14,FALSE)+VLOOKUP('vs mars'!D175,'SUIVI JOURNALIER AVRIL'!B:V,20,FALSE)+VLOOKUP('vs mars'!D175,'SUIVI JOURNALIER AVRIL'!B:W,21,FALSE)</f>
        <v>0</v>
      </c>
      <c r="Y175" s="340">
        <f>VLOOKUP(D175,'SUIVI JOURNALIER AVRIL'!B:CC,80,FALSE)</f>
        <v>34287.909090909088</v>
      </c>
      <c r="Z175" s="340">
        <f t="shared" si="4"/>
        <v>34287.909090909088</v>
      </c>
      <c r="AA175" s="359">
        <f>VLOOKUP(D175,'SUIVI JOURNALIER AVRIL'!B:CD,81,FALSE)</f>
        <v>34287.909090909088</v>
      </c>
      <c r="AB175" s="360" t="str">
        <f t="shared" si="5"/>
        <v>ok</v>
      </c>
      <c r="AC175" s="360" t="str">
        <f>VLOOKUP(B175,labo!B:D,3,FALSE)</f>
        <v>ug5</v>
      </c>
      <c r="AD175" s="360" t="s">
        <v>2629</v>
      </c>
      <c r="AF175" s="330">
        <f>VLOOKUP(D175,'SUIVI JOURNALIER AVRIL'!CK:CL,2,FALSE)</f>
        <v>0</v>
      </c>
      <c r="AG175" s="360">
        <v>1</v>
      </c>
    </row>
    <row r="176" spans="1:33" s="360" customFormat="1" ht="13.5" customHeight="1">
      <c r="A176" s="324" t="s">
        <v>1785</v>
      </c>
      <c r="B176" s="325" t="s">
        <v>669</v>
      </c>
      <c r="C176" s="325" t="s">
        <v>670</v>
      </c>
      <c r="D176" s="325" t="s">
        <v>671</v>
      </c>
      <c r="E176" s="324" t="s">
        <v>672</v>
      </c>
      <c r="F176" s="324" t="s">
        <v>2055</v>
      </c>
      <c r="G176" s="324" t="s">
        <v>887</v>
      </c>
      <c r="H176" s="324" t="s">
        <v>897</v>
      </c>
      <c r="I176" s="324" t="s">
        <v>1217</v>
      </c>
      <c r="J176" s="324" t="s">
        <v>889</v>
      </c>
      <c r="K176" s="324" t="s">
        <v>890</v>
      </c>
      <c r="L176" s="324" t="s">
        <v>891</v>
      </c>
      <c r="M176" s="324" t="s">
        <v>892</v>
      </c>
      <c r="N176" s="324" t="s">
        <v>893</v>
      </c>
      <c r="O176" s="324" t="s">
        <v>894</v>
      </c>
      <c r="P176" s="324" t="s">
        <v>899</v>
      </c>
      <c r="Q176" s="324" t="s">
        <v>995</v>
      </c>
      <c r="R176" s="324" t="s">
        <v>1218</v>
      </c>
      <c r="S176" s="356" t="s">
        <v>895</v>
      </c>
      <c r="T176" s="309" t="s">
        <v>1238</v>
      </c>
      <c r="U176" s="357" t="e">
        <f>VLOOKUP(D176,'SUIVI JOURNALIER AVRIL'!CK:CM,3,FALSE)</f>
        <v>#N/A</v>
      </c>
      <c r="V176" s="358" t="e">
        <f>IF(VLOOKUP('vs mars'!D176,'point sur les patentes'!B:E,4,FALSE)="","",VLOOKUP(D176,'point sur les patentes'!B:E,4,FALSE)+VLOOKUP(D176,'point sur les patentes'!B:F,5,FALSE)+VLOOKUP('vs mars'!D176,'point sur les patentes'!B:G,6,FALSE)+VLOOKUP('vs mars'!D176,'point sur les patentes'!B:H,7,FALSE)+VLOOKUP('vs mars'!D176,'point sur les patentes'!B:I,8,FALSE)+VLOOKUP(D176,'point sur les patentes'!B:J,9,FALSE)+VLOOKUP(D176,'point sur les patentes'!B:K,10,FALSE)+VLOOKUP(D176,'point sur les patentes'!B:L,11,FALSE)+VLOOKUP(D176,'point sur les patentes'!B:M,12,FALSE)+VLOOKUP(D176,'point sur les patentes'!B:N,13,FALSE)+VLOOKUP(D176,'point sur les patentes'!B:O,14,FALSE)+VLOOKUP(D176,'point sur les patentes'!B:P,15,FALSE)+VLOOKUP(D176,'point sur les patentes'!B:Q,16,FALSE)+VLOOKUP('vs mars'!D176,'point sur les patentes'!B:Z,25,FALSE))</f>
        <v>#N/A</v>
      </c>
      <c r="W176" s="340" t="e">
        <f>VLOOKUP(D176,'SUIVI JOURNALIER AVRIL'!B:J,9,FALSE)</f>
        <v>#N/A</v>
      </c>
      <c r="X176" s="340" t="e">
        <f>VLOOKUP(D176,'SUIVI JOURNALIER AVRIL'!B:P,14,FALSE)+VLOOKUP('vs mars'!D176,'SUIVI JOURNALIER AVRIL'!B:V,20,FALSE)+VLOOKUP('vs mars'!D176,'SUIVI JOURNALIER AVRIL'!B:W,21,FALSE)</f>
        <v>#N/A</v>
      </c>
      <c r="Y176" s="340" t="e">
        <f>VLOOKUP(D176,'SUIVI JOURNALIER AVRIL'!B:CC,80,FALSE)</f>
        <v>#N/A</v>
      </c>
      <c r="Z176" s="340" t="e">
        <f t="shared" si="4"/>
        <v>#N/A</v>
      </c>
      <c r="AA176" s="359" t="e">
        <f>VLOOKUP(D176,'SUIVI JOURNALIER AVRIL'!B:CD,81,FALSE)</f>
        <v>#N/A</v>
      </c>
      <c r="AB176" s="360" t="e">
        <f t="shared" si="5"/>
        <v>#N/A</v>
      </c>
      <c r="AC176" s="360" t="str">
        <f>VLOOKUP(B176,labo!B:D,3,FALSE)</f>
        <v>ug5</v>
      </c>
      <c r="AD176" s="360" t="s">
        <v>2629</v>
      </c>
      <c r="AF176" s="330" t="e">
        <f>VLOOKUP(D176,'SUIVI JOURNALIER AVRIL'!CK:CL,2,FALSE)</f>
        <v>#N/A</v>
      </c>
      <c r="AG176" s="360">
        <v>1</v>
      </c>
    </row>
    <row r="177" spans="1:33" s="360" customFormat="1" ht="13.5" customHeight="1">
      <c r="A177" s="324" t="s">
        <v>1786</v>
      </c>
      <c r="B177" s="325" t="s">
        <v>332</v>
      </c>
      <c r="C177" s="325" t="s">
        <v>673</v>
      </c>
      <c r="D177" s="325" t="s">
        <v>674</v>
      </c>
      <c r="E177" s="324" t="s">
        <v>675</v>
      </c>
      <c r="F177" s="324" t="s">
        <v>2055</v>
      </c>
      <c r="G177" s="324" t="s">
        <v>887</v>
      </c>
      <c r="H177" s="324" t="s">
        <v>1503</v>
      </c>
      <c r="I177" s="324" t="s">
        <v>1219</v>
      </c>
      <c r="J177" s="324" t="s">
        <v>889</v>
      </c>
      <c r="K177" s="324" t="s">
        <v>890</v>
      </c>
      <c r="L177" s="324" t="s">
        <v>891</v>
      </c>
      <c r="M177" s="324" t="s">
        <v>892</v>
      </c>
      <c r="N177" s="324" t="s">
        <v>912</v>
      </c>
      <c r="O177" s="324" t="s">
        <v>913</v>
      </c>
      <c r="P177" s="324" t="s">
        <v>913</v>
      </c>
      <c r="Q177" s="324" t="s">
        <v>1172</v>
      </c>
      <c r="R177" s="324" t="s">
        <v>1220</v>
      </c>
      <c r="S177" s="356" t="s">
        <v>895</v>
      </c>
      <c r="T177" s="309" t="s">
        <v>977</v>
      </c>
      <c r="U177" s="357" t="e">
        <f>VLOOKUP(D177,'SUIVI JOURNALIER AVRIL'!CK:CM,3,FALSE)</f>
        <v>#N/A</v>
      </c>
      <c r="V177" s="358" t="e">
        <f>IF(VLOOKUP('vs mars'!D177,'point sur les patentes'!B:E,4,FALSE)="","",VLOOKUP(D177,'point sur les patentes'!B:E,4,FALSE)+VLOOKUP(D177,'point sur les patentes'!B:F,5,FALSE)+VLOOKUP('vs mars'!D177,'point sur les patentes'!B:G,6,FALSE)+VLOOKUP('vs mars'!D177,'point sur les patentes'!B:H,7,FALSE)+VLOOKUP('vs mars'!D177,'point sur les patentes'!B:I,8,FALSE)+VLOOKUP(D177,'point sur les patentes'!B:J,9,FALSE)+VLOOKUP(D177,'point sur les patentes'!B:K,10,FALSE)+VLOOKUP(D177,'point sur les patentes'!B:L,11,FALSE)+VLOOKUP(D177,'point sur les patentes'!B:M,12,FALSE)+VLOOKUP(D177,'point sur les patentes'!B:N,13,FALSE)+VLOOKUP(D177,'point sur les patentes'!B:O,14,FALSE)+VLOOKUP(D177,'point sur les patentes'!B:P,15,FALSE)+VLOOKUP(D177,'point sur les patentes'!B:Q,16,FALSE)+VLOOKUP('vs mars'!D177,'point sur les patentes'!B:Z,25,FALSE))</f>
        <v>#N/A</v>
      </c>
      <c r="W177" s="340" t="e">
        <f>VLOOKUP(D177,'SUIVI JOURNALIER AVRIL'!B:J,9,FALSE)</f>
        <v>#N/A</v>
      </c>
      <c r="X177" s="340" t="e">
        <f>VLOOKUP(D177,'SUIVI JOURNALIER AVRIL'!B:P,14,FALSE)+VLOOKUP('vs mars'!D177,'SUIVI JOURNALIER AVRIL'!B:V,20,FALSE)+VLOOKUP('vs mars'!D177,'SUIVI JOURNALIER AVRIL'!B:W,21,FALSE)</f>
        <v>#N/A</v>
      </c>
      <c r="Y177" s="340" t="e">
        <f>VLOOKUP(D177,'SUIVI JOURNALIER AVRIL'!B:CC,80,FALSE)</f>
        <v>#N/A</v>
      </c>
      <c r="Z177" s="340" t="e">
        <f t="shared" si="4"/>
        <v>#N/A</v>
      </c>
      <c r="AA177" s="359" t="e">
        <f>VLOOKUP(D177,'SUIVI JOURNALIER AVRIL'!B:CD,81,FALSE)</f>
        <v>#N/A</v>
      </c>
      <c r="AB177" s="360" t="e">
        <f t="shared" si="5"/>
        <v>#N/A</v>
      </c>
      <c r="AC177" s="360" t="str">
        <f>VLOOKUP(B177,labo!B:D,3,FALSE)</f>
        <v>ug5</v>
      </c>
      <c r="AD177" s="360" t="s">
        <v>2629</v>
      </c>
      <c r="AF177" s="330" t="e">
        <f>VLOOKUP(D177,'SUIVI JOURNALIER AVRIL'!CK:CL,2,FALSE)</f>
        <v>#N/A</v>
      </c>
      <c r="AG177" s="360">
        <v>1</v>
      </c>
    </row>
    <row r="178" spans="1:33" s="360" customFormat="1" ht="13.5" customHeight="1">
      <c r="A178" s="324" t="s">
        <v>1787</v>
      </c>
      <c r="B178" s="325" t="s">
        <v>2030</v>
      </c>
      <c r="C178" s="325" t="s">
        <v>2055</v>
      </c>
      <c r="D178" s="325" t="s">
        <v>2079</v>
      </c>
      <c r="E178" s="324" t="s">
        <v>1562</v>
      </c>
      <c r="F178" s="324" t="s">
        <v>2055</v>
      </c>
      <c r="G178" s="324" t="s">
        <v>887</v>
      </c>
      <c r="H178" s="324" t="s">
        <v>1674</v>
      </c>
      <c r="I178" s="324" t="s">
        <v>2080</v>
      </c>
      <c r="J178" s="324" t="s">
        <v>889</v>
      </c>
      <c r="K178" s="324" t="s">
        <v>890</v>
      </c>
      <c r="L178" s="324" t="s">
        <v>891</v>
      </c>
      <c r="M178" s="324" t="s">
        <v>892</v>
      </c>
      <c r="N178" s="324" t="s">
        <v>893</v>
      </c>
      <c r="O178" s="324" t="s">
        <v>894</v>
      </c>
      <c r="P178" s="324" t="s">
        <v>919</v>
      </c>
      <c r="Q178" s="324" t="s">
        <v>2081</v>
      </c>
      <c r="R178" s="324" t="s">
        <v>2082</v>
      </c>
      <c r="S178" s="356" t="s">
        <v>895</v>
      </c>
      <c r="T178" s="309" t="s">
        <v>957</v>
      </c>
      <c r="U178" s="357" t="e">
        <f>VLOOKUP(D178,'SUIVI JOURNALIER AVRIL'!CK:CM,3,FALSE)</f>
        <v>#N/A</v>
      </c>
      <c r="V178" s="358" t="e">
        <f>IF(VLOOKUP('vs mars'!D178,'point sur les patentes'!B:E,4,FALSE)="","",VLOOKUP(D178,'point sur les patentes'!B:E,4,FALSE)+VLOOKUP(D178,'point sur les patentes'!B:F,5,FALSE)+VLOOKUP('vs mars'!D178,'point sur les patentes'!B:G,6,FALSE)+VLOOKUP('vs mars'!D178,'point sur les patentes'!B:H,7,FALSE)+VLOOKUP('vs mars'!D178,'point sur les patentes'!B:I,8,FALSE)+VLOOKUP(D178,'point sur les patentes'!B:J,9,FALSE)+VLOOKUP(D178,'point sur les patentes'!B:K,10,FALSE)+VLOOKUP(D178,'point sur les patentes'!B:L,11,FALSE)+VLOOKUP(D178,'point sur les patentes'!B:M,12,FALSE)+VLOOKUP(D178,'point sur les patentes'!B:N,13,FALSE)+VLOOKUP(D178,'point sur les patentes'!B:O,14,FALSE)+VLOOKUP(D178,'point sur les patentes'!B:P,15,FALSE)+VLOOKUP(D178,'point sur les patentes'!B:Q,16,FALSE)+VLOOKUP('vs mars'!D178,'point sur les patentes'!B:Z,25,FALSE))</f>
        <v>#N/A</v>
      </c>
      <c r="W178" s="340" t="e">
        <f>VLOOKUP(D178,'SUIVI JOURNALIER AVRIL'!B:J,9,FALSE)</f>
        <v>#N/A</v>
      </c>
      <c r="X178" s="340" t="e">
        <f>VLOOKUP(D178,'SUIVI JOURNALIER AVRIL'!B:P,14,FALSE)+VLOOKUP('vs mars'!D178,'SUIVI JOURNALIER AVRIL'!B:V,20,FALSE)+VLOOKUP('vs mars'!D178,'SUIVI JOURNALIER AVRIL'!B:W,21,FALSE)</f>
        <v>#N/A</v>
      </c>
      <c r="Y178" s="340" t="e">
        <f>VLOOKUP(D178,'SUIVI JOURNALIER AVRIL'!B:CC,80,FALSE)</f>
        <v>#N/A</v>
      </c>
      <c r="Z178" s="340" t="e">
        <f t="shared" si="4"/>
        <v>#N/A</v>
      </c>
      <c r="AA178" s="359" t="e">
        <f>VLOOKUP(D178,'SUIVI JOURNALIER AVRIL'!B:CD,81,FALSE)</f>
        <v>#N/A</v>
      </c>
      <c r="AB178" s="360" t="e">
        <f t="shared" si="5"/>
        <v>#N/A</v>
      </c>
      <c r="AC178" s="360" t="str">
        <f>VLOOKUP(B178,labo!B:D,3,FALSE)</f>
        <v>ug5</v>
      </c>
      <c r="AD178" s="360" t="s">
        <v>2629</v>
      </c>
      <c r="AF178" s="330" t="e">
        <f>VLOOKUP(D178,'SUIVI JOURNALIER AVRIL'!CK:CL,2,FALSE)</f>
        <v>#N/A</v>
      </c>
      <c r="AG178" s="360">
        <v>1</v>
      </c>
    </row>
    <row r="179" spans="1:33" s="360" customFormat="1" ht="13.5" customHeight="1">
      <c r="A179" s="324" t="s">
        <v>1788</v>
      </c>
      <c r="B179" s="325" t="s">
        <v>1504</v>
      </c>
      <c r="C179" s="325" t="s">
        <v>2739</v>
      </c>
      <c r="D179" s="325" t="s">
        <v>1505</v>
      </c>
      <c r="E179" s="324" t="s">
        <v>432</v>
      </c>
      <c r="F179" s="324" t="s">
        <v>2055</v>
      </c>
      <c r="G179" s="324" t="s">
        <v>887</v>
      </c>
      <c r="H179" s="324" t="s">
        <v>897</v>
      </c>
      <c r="I179" s="324" t="s">
        <v>1506</v>
      </c>
      <c r="J179" s="324" t="s">
        <v>889</v>
      </c>
      <c r="K179" s="324" t="s">
        <v>890</v>
      </c>
      <c r="L179" s="324" t="s">
        <v>891</v>
      </c>
      <c r="M179" s="324" t="s">
        <v>892</v>
      </c>
      <c r="N179" s="324" t="s">
        <v>893</v>
      </c>
      <c r="O179" s="324" t="s">
        <v>894</v>
      </c>
      <c r="P179" s="324" t="s">
        <v>935</v>
      </c>
      <c r="Q179" s="324" t="s">
        <v>1476</v>
      </c>
      <c r="R179" s="324" t="s">
        <v>1507</v>
      </c>
      <c r="S179" s="356" t="s">
        <v>895</v>
      </c>
      <c r="T179" s="309" t="s">
        <v>953</v>
      </c>
      <c r="U179" s="357" t="e">
        <f>VLOOKUP(D179,'SUIVI JOURNALIER AVRIL'!CK:CM,3,FALSE)</f>
        <v>#N/A</v>
      </c>
      <c r="V179" s="358" t="e">
        <f>IF(VLOOKUP('vs mars'!D179,'point sur les patentes'!B:E,4,FALSE)="","",VLOOKUP(D179,'point sur les patentes'!B:E,4,FALSE)+VLOOKUP(D179,'point sur les patentes'!B:F,5,FALSE)+VLOOKUP('vs mars'!D179,'point sur les patentes'!B:G,6,FALSE)+VLOOKUP('vs mars'!D179,'point sur les patentes'!B:H,7,FALSE)+VLOOKUP('vs mars'!D179,'point sur les patentes'!B:I,8,FALSE)+VLOOKUP(D179,'point sur les patentes'!B:J,9,FALSE)+VLOOKUP(D179,'point sur les patentes'!B:K,10,FALSE)+VLOOKUP(D179,'point sur les patentes'!B:L,11,FALSE)+VLOOKUP(D179,'point sur les patentes'!B:M,12,FALSE)+VLOOKUP(D179,'point sur les patentes'!B:N,13,FALSE)+VLOOKUP(D179,'point sur les patentes'!B:O,14,FALSE)+VLOOKUP(D179,'point sur les patentes'!B:P,15,FALSE)+VLOOKUP(D179,'point sur les patentes'!B:Q,16,FALSE)+VLOOKUP('vs mars'!D179,'point sur les patentes'!B:Z,25,FALSE))</f>
        <v>#N/A</v>
      </c>
      <c r="W179" s="340" t="e">
        <f>VLOOKUP(D179,'SUIVI JOURNALIER AVRIL'!B:J,9,FALSE)</f>
        <v>#N/A</v>
      </c>
      <c r="X179" s="340" t="e">
        <f>VLOOKUP(D179,'SUIVI JOURNALIER AVRIL'!B:P,14,FALSE)+VLOOKUP('vs mars'!D179,'SUIVI JOURNALIER AVRIL'!B:V,20,FALSE)+VLOOKUP('vs mars'!D179,'SUIVI JOURNALIER AVRIL'!B:W,21,FALSE)</f>
        <v>#N/A</v>
      </c>
      <c r="Y179" s="340" t="e">
        <f>VLOOKUP(D179,'SUIVI JOURNALIER AVRIL'!B:CC,80,FALSE)</f>
        <v>#N/A</v>
      </c>
      <c r="Z179" s="340" t="e">
        <f t="shared" si="4"/>
        <v>#N/A</v>
      </c>
      <c r="AA179" s="359" t="e">
        <f>VLOOKUP(D179,'SUIVI JOURNALIER AVRIL'!B:CD,81,FALSE)</f>
        <v>#N/A</v>
      </c>
      <c r="AB179" s="360" t="e">
        <f t="shared" si="5"/>
        <v>#N/A</v>
      </c>
      <c r="AC179" s="360" t="str">
        <f>VLOOKUP(B179,labo!B:D,3,FALSE)</f>
        <v>ug2</v>
      </c>
      <c r="AD179" s="360" t="s">
        <v>2629</v>
      </c>
      <c r="AF179" s="330" t="e">
        <f>VLOOKUP(D179,'SUIVI JOURNALIER AVRIL'!CK:CL,2,FALSE)</f>
        <v>#N/A</v>
      </c>
      <c r="AG179" s="360">
        <v>1</v>
      </c>
    </row>
    <row r="180" spans="1:33" s="360" customFormat="1" ht="13.5" customHeight="1">
      <c r="A180" s="324" t="s">
        <v>1789</v>
      </c>
      <c r="B180" s="325" t="s">
        <v>2340</v>
      </c>
      <c r="C180" s="325" t="s">
        <v>2505</v>
      </c>
      <c r="D180" s="325" t="s">
        <v>2506</v>
      </c>
      <c r="E180" s="324" t="s">
        <v>2507</v>
      </c>
      <c r="F180" s="324" t="s">
        <v>2055</v>
      </c>
      <c r="G180" s="324" t="s">
        <v>887</v>
      </c>
      <c r="H180" s="324" t="s">
        <v>2055</v>
      </c>
      <c r="I180" s="324" t="s">
        <v>2508</v>
      </c>
      <c r="J180" s="324" t="s">
        <v>2055</v>
      </c>
      <c r="K180" s="324" t="s">
        <v>2405</v>
      </c>
      <c r="L180" s="324" t="s">
        <v>891</v>
      </c>
      <c r="M180" s="324" t="s">
        <v>892</v>
      </c>
      <c r="N180" s="324" t="s">
        <v>893</v>
      </c>
      <c r="O180" s="324" t="s">
        <v>894</v>
      </c>
      <c r="P180" s="324" t="s">
        <v>919</v>
      </c>
      <c r="Q180" s="324" t="s">
        <v>2509</v>
      </c>
      <c r="R180" s="324" t="s">
        <v>2055</v>
      </c>
      <c r="S180" s="356" t="s">
        <v>895</v>
      </c>
      <c r="T180" s="309" t="s">
        <v>916</v>
      </c>
      <c r="U180" s="357" t="e">
        <f>VLOOKUP(D180,'SUIVI JOURNALIER AVRIL'!CK:CM,3,FALSE)</f>
        <v>#N/A</v>
      </c>
      <c r="V180" s="358" t="e">
        <f>IF(VLOOKUP('vs mars'!D180,'point sur les patentes'!B:E,4,FALSE)="","",VLOOKUP(D180,'point sur les patentes'!B:E,4,FALSE)+VLOOKUP(D180,'point sur les patentes'!B:F,5,FALSE)+VLOOKUP('vs mars'!D180,'point sur les patentes'!B:G,6,FALSE)+VLOOKUP('vs mars'!D180,'point sur les patentes'!B:H,7,FALSE)+VLOOKUP('vs mars'!D180,'point sur les patentes'!B:I,8,FALSE)+VLOOKUP(D180,'point sur les patentes'!B:J,9,FALSE)+VLOOKUP(D180,'point sur les patentes'!B:K,10,FALSE)+VLOOKUP(D180,'point sur les patentes'!B:L,11,FALSE)+VLOOKUP(D180,'point sur les patentes'!B:M,12,FALSE)+VLOOKUP(D180,'point sur les patentes'!B:N,13,FALSE)+VLOOKUP(D180,'point sur les patentes'!B:O,14,FALSE)+VLOOKUP(D180,'point sur les patentes'!B:P,15,FALSE)+VLOOKUP(D180,'point sur les patentes'!B:Q,16,FALSE)+VLOOKUP('vs mars'!D180,'point sur les patentes'!B:Z,25,FALSE))</f>
        <v>#N/A</v>
      </c>
      <c r="W180" s="340" t="e">
        <f>VLOOKUP(D180,'SUIVI JOURNALIER AVRIL'!B:J,9,FALSE)</f>
        <v>#N/A</v>
      </c>
      <c r="X180" s="340" t="e">
        <f>VLOOKUP(D180,'SUIVI JOURNALIER AVRIL'!B:P,14,FALSE)+VLOOKUP('vs mars'!D180,'SUIVI JOURNALIER AVRIL'!B:V,20,FALSE)+VLOOKUP('vs mars'!D180,'SUIVI JOURNALIER AVRIL'!B:W,21,FALSE)</f>
        <v>#N/A</v>
      </c>
      <c r="Y180" s="340" t="e">
        <f>VLOOKUP(D180,'SUIVI JOURNALIER AVRIL'!B:CC,80,FALSE)</f>
        <v>#N/A</v>
      </c>
      <c r="Z180" s="340" t="e">
        <f t="shared" si="4"/>
        <v>#N/A</v>
      </c>
      <c r="AA180" s="359" t="e">
        <f>VLOOKUP(D180,'SUIVI JOURNALIER AVRIL'!B:CD,81,FALSE)</f>
        <v>#N/A</v>
      </c>
      <c r="AB180" s="360" t="e">
        <f t="shared" si="5"/>
        <v>#N/A</v>
      </c>
      <c r="AC180" s="360" t="str">
        <f>VLOOKUP(B180,labo!B:D,3,FALSE)</f>
        <v>ug2</v>
      </c>
      <c r="AD180" s="360" t="s">
        <v>2630</v>
      </c>
      <c r="AF180" s="330" t="e">
        <f>VLOOKUP(D180,'SUIVI JOURNALIER AVRIL'!CK:CL,2,FALSE)</f>
        <v>#N/A</v>
      </c>
      <c r="AG180" s="360">
        <v>1</v>
      </c>
    </row>
    <row r="181" spans="1:33" s="360" customFormat="1" ht="13.5" customHeight="1">
      <c r="A181" s="324" t="s">
        <v>1790</v>
      </c>
      <c r="B181" s="325" t="s">
        <v>676</v>
      </c>
      <c r="C181" s="325" t="s">
        <v>677</v>
      </c>
      <c r="D181" s="325" t="s">
        <v>678</v>
      </c>
      <c r="E181" s="324" t="s">
        <v>542</v>
      </c>
      <c r="F181" s="324" t="s">
        <v>2055</v>
      </c>
      <c r="G181" s="324" t="s">
        <v>887</v>
      </c>
      <c r="H181" s="324" t="s">
        <v>897</v>
      </c>
      <c r="I181" s="324" t="s">
        <v>1222</v>
      </c>
      <c r="J181" s="324" t="s">
        <v>889</v>
      </c>
      <c r="K181" s="324" t="s">
        <v>890</v>
      </c>
      <c r="L181" s="324" t="s">
        <v>891</v>
      </c>
      <c r="M181" s="324" t="s">
        <v>892</v>
      </c>
      <c r="N181" s="324" t="s">
        <v>893</v>
      </c>
      <c r="O181" s="324" t="s">
        <v>919</v>
      </c>
      <c r="P181" s="324" t="s">
        <v>919</v>
      </c>
      <c r="Q181" s="324" t="s">
        <v>1223</v>
      </c>
      <c r="R181" s="324" t="s">
        <v>1224</v>
      </c>
      <c r="S181" s="356" t="s">
        <v>895</v>
      </c>
      <c r="T181" s="309" t="s">
        <v>953</v>
      </c>
      <c r="U181" s="357">
        <f>VLOOKUP(D181,'SUIVI JOURNALIER AVRIL'!CK:CM,3,FALSE)</f>
        <v>0</v>
      </c>
      <c r="V181" s="358" t="e">
        <f>IF(VLOOKUP('vs mars'!D181,'point sur les patentes'!B:E,4,FALSE)="","",VLOOKUP(D181,'point sur les patentes'!B:E,4,FALSE)+VLOOKUP(D181,'point sur les patentes'!B:F,5,FALSE)+VLOOKUP('vs mars'!D181,'point sur les patentes'!B:G,6,FALSE)+VLOOKUP('vs mars'!D181,'point sur les patentes'!B:H,7,FALSE)+VLOOKUP('vs mars'!D181,'point sur les patentes'!B:I,8,FALSE)+VLOOKUP(D181,'point sur les patentes'!B:J,9,FALSE)+VLOOKUP(D181,'point sur les patentes'!B:K,10,FALSE)+VLOOKUP(D181,'point sur les patentes'!B:L,11,FALSE)+VLOOKUP(D181,'point sur les patentes'!B:M,12,FALSE)+VLOOKUP(D181,'point sur les patentes'!B:N,13,FALSE)+VLOOKUP(D181,'point sur les patentes'!B:O,14,FALSE)+VLOOKUP(D181,'point sur les patentes'!B:P,15,FALSE)+VLOOKUP(D181,'point sur les patentes'!B:Q,16,FALSE)+VLOOKUP('vs mars'!D181,'point sur les patentes'!B:Z,25,FALSE))</f>
        <v>#N/A</v>
      </c>
      <c r="W181" s="340">
        <f>VLOOKUP(D181,'SUIVI JOURNALIER AVRIL'!B:J,9,FALSE)</f>
        <v>45960</v>
      </c>
      <c r="X181" s="340">
        <f>VLOOKUP(D181,'SUIVI JOURNALIER AVRIL'!B:P,14,FALSE)+VLOOKUP('vs mars'!D181,'SUIVI JOURNALIER AVRIL'!B:V,20,FALSE)+VLOOKUP('vs mars'!D181,'SUIVI JOURNALIER AVRIL'!B:W,21,FALSE)</f>
        <v>38220</v>
      </c>
      <c r="Y181" s="340">
        <f>VLOOKUP(D181,'SUIVI JOURNALIER AVRIL'!B:CC,80,FALSE)</f>
        <v>0</v>
      </c>
      <c r="Z181" s="340">
        <f t="shared" si="4"/>
        <v>84180</v>
      </c>
      <c r="AA181" s="359">
        <f>VLOOKUP(D181,'SUIVI JOURNALIER AVRIL'!B:CD,81,FALSE)</f>
        <v>84180</v>
      </c>
      <c r="AB181" s="360" t="str">
        <f t="shared" si="5"/>
        <v>ok</v>
      </c>
      <c r="AC181" s="360" t="str">
        <f>VLOOKUP(B181,labo!B:D,3,FALSE)</f>
        <v>ug2</v>
      </c>
      <c r="AD181" s="360" t="s">
        <v>2629</v>
      </c>
      <c r="AF181" s="330">
        <f>VLOOKUP(D181,'SUIVI JOURNALIER AVRIL'!CK:CL,2,FALSE)</f>
        <v>0</v>
      </c>
      <c r="AG181" s="360">
        <v>1</v>
      </c>
    </row>
    <row r="182" spans="1:33" s="360" customFormat="1" ht="13.5" customHeight="1">
      <c r="A182" s="324" t="s">
        <v>1791</v>
      </c>
      <c r="B182" s="325" t="s">
        <v>1508</v>
      </c>
      <c r="C182" s="325" t="s">
        <v>1509</v>
      </c>
      <c r="D182" s="325" t="s">
        <v>1510</v>
      </c>
      <c r="E182" s="324" t="s">
        <v>1562</v>
      </c>
      <c r="F182" s="324" t="s">
        <v>2055</v>
      </c>
      <c r="G182" s="324" t="s">
        <v>887</v>
      </c>
      <c r="H182" s="324" t="s">
        <v>949</v>
      </c>
      <c r="I182" s="324" t="s">
        <v>1511</v>
      </c>
      <c r="J182" s="324" t="s">
        <v>889</v>
      </c>
      <c r="K182" s="324" t="s">
        <v>890</v>
      </c>
      <c r="L182" s="324" t="s">
        <v>891</v>
      </c>
      <c r="M182" s="324" t="s">
        <v>892</v>
      </c>
      <c r="N182" s="324" t="s">
        <v>893</v>
      </c>
      <c r="O182" s="324" t="s">
        <v>894</v>
      </c>
      <c r="P182" s="324" t="s">
        <v>935</v>
      </c>
      <c r="Q182" s="324" t="s">
        <v>1512</v>
      </c>
      <c r="R182" s="324" t="s">
        <v>1513</v>
      </c>
      <c r="S182" s="356" t="s">
        <v>895</v>
      </c>
      <c r="T182" s="309" t="s">
        <v>1006</v>
      </c>
      <c r="U182" s="357">
        <f>VLOOKUP(D182,'SUIVI JOURNALIER AVRIL'!CK:CM,3,FALSE)</f>
        <v>0</v>
      </c>
      <c r="V182" s="358" t="e">
        <f>IF(VLOOKUP('vs mars'!D182,'point sur les patentes'!B:E,4,FALSE)="","",VLOOKUP(D182,'point sur les patentes'!B:E,4,FALSE)+VLOOKUP(D182,'point sur les patentes'!B:F,5,FALSE)+VLOOKUP('vs mars'!D182,'point sur les patentes'!B:G,6,FALSE)+VLOOKUP('vs mars'!D182,'point sur les patentes'!B:H,7,FALSE)+VLOOKUP('vs mars'!D182,'point sur les patentes'!B:I,8,FALSE)+VLOOKUP(D182,'point sur les patentes'!B:J,9,FALSE)+VLOOKUP(D182,'point sur les patentes'!B:K,10,FALSE)+VLOOKUP(D182,'point sur les patentes'!B:L,11,FALSE)+VLOOKUP(D182,'point sur les patentes'!B:M,12,FALSE)+VLOOKUP(D182,'point sur les patentes'!B:N,13,FALSE)+VLOOKUP(D182,'point sur les patentes'!B:O,14,FALSE)+VLOOKUP(D182,'point sur les patentes'!B:P,15,FALSE)+VLOOKUP(D182,'point sur les patentes'!B:Q,16,FALSE)+VLOOKUP('vs mars'!D182,'point sur les patentes'!B:Z,25,FALSE))</f>
        <v>#N/A</v>
      </c>
      <c r="W182" s="340">
        <f>VLOOKUP(D182,'SUIVI JOURNALIER AVRIL'!B:J,9,FALSE)</f>
        <v>0</v>
      </c>
      <c r="X182" s="340">
        <f>VLOOKUP(D182,'SUIVI JOURNALIER AVRIL'!B:P,14,FALSE)+VLOOKUP('vs mars'!D182,'SUIVI JOURNALIER AVRIL'!B:V,20,FALSE)+VLOOKUP('vs mars'!D182,'SUIVI JOURNALIER AVRIL'!B:W,21,FALSE)</f>
        <v>0</v>
      </c>
      <c r="Y182" s="340">
        <f>VLOOKUP(D182,'SUIVI JOURNALIER AVRIL'!B:CC,80,FALSE)</f>
        <v>487084.54545454541</v>
      </c>
      <c r="Z182" s="340">
        <f t="shared" si="4"/>
        <v>487084.54545454541</v>
      </c>
      <c r="AA182" s="359">
        <f>VLOOKUP(D182,'SUIVI JOURNALIER AVRIL'!B:CD,81,FALSE)</f>
        <v>487084.54545454541</v>
      </c>
      <c r="AB182" s="360" t="str">
        <f t="shared" si="5"/>
        <v>ok</v>
      </c>
      <c r="AC182" s="360" t="str">
        <f>VLOOKUP(B182,labo!B:D,3,FALSE)</f>
        <v>ug5</v>
      </c>
      <c r="AD182" s="360" t="s">
        <v>2629</v>
      </c>
      <c r="AF182" s="330">
        <f>VLOOKUP(D182,'SUIVI JOURNALIER AVRIL'!CK:CL,2,FALSE)</f>
        <v>0</v>
      </c>
      <c r="AG182" s="360">
        <v>1</v>
      </c>
    </row>
    <row r="183" spans="1:33" s="360" customFormat="1" ht="13.5" customHeight="1">
      <c r="A183" s="324" t="s">
        <v>1792</v>
      </c>
      <c r="B183" s="325" t="s">
        <v>2137</v>
      </c>
      <c r="C183" s="325" t="s">
        <v>2215</v>
      </c>
      <c r="D183" s="325" t="s">
        <v>1761</v>
      </c>
      <c r="E183" s="324" t="s">
        <v>1762</v>
      </c>
      <c r="F183" s="324" t="s">
        <v>2055</v>
      </c>
      <c r="G183" s="324" t="s">
        <v>887</v>
      </c>
      <c r="H183" s="324" t="s">
        <v>897</v>
      </c>
      <c r="I183" s="324" t="s">
        <v>1927</v>
      </c>
      <c r="J183" s="324" t="s">
        <v>889</v>
      </c>
      <c r="K183" s="324" t="s">
        <v>890</v>
      </c>
      <c r="L183" s="324" t="s">
        <v>891</v>
      </c>
      <c r="M183" s="324" t="s">
        <v>892</v>
      </c>
      <c r="N183" s="324" t="s">
        <v>893</v>
      </c>
      <c r="O183" s="324" t="s">
        <v>894</v>
      </c>
      <c r="P183" s="324" t="s">
        <v>935</v>
      </c>
      <c r="Q183" s="324" t="s">
        <v>900</v>
      </c>
      <c r="R183" s="324" t="s">
        <v>1763</v>
      </c>
      <c r="S183" s="356" t="s">
        <v>895</v>
      </c>
      <c r="T183" s="309" t="s">
        <v>1089</v>
      </c>
      <c r="U183" s="357" t="e">
        <f>VLOOKUP(D183,'SUIVI JOURNALIER AVRIL'!CK:CM,3,FALSE)</f>
        <v>#N/A</v>
      </c>
      <c r="V183" s="358" t="e">
        <f>IF(VLOOKUP('vs mars'!D183,'point sur les patentes'!B:E,4,FALSE)="","",VLOOKUP(D183,'point sur les patentes'!B:E,4,FALSE)+VLOOKUP(D183,'point sur les patentes'!B:F,5,FALSE)+VLOOKUP('vs mars'!D183,'point sur les patentes'!B:G,6,FALSE)+VLOOKUP('vs mars'!D183,'point sur les patentes'!B:H,7,FALSE)+VLOOKUP('vs mars'!D183,'point sur les patentes'!B:I,8,FALSE)+VLOOKUP(D183,'point sur les patentes'!B:J,9,FALSE)+VLOOKUP(D183,'point sur les patentes'!B:K,10,FALSE)+VLOOKUP(D183,'point sur les patentes'!B:L,11,FALSE)+VLOOKUP(D183,'point sur les patentes'!B:M,12,FALSE)+VLOOKUP(D183,'point sur les patentes'!B:N,13,FALSE)+VLOOKUP(D183,'point sur les patentes'!B:O,14,FALSE)+VLOOKUP(D183,'point sur les patentes'!B:P,15,FALSE)+VLOOKUP(D183,'point sur les patentes'!B:Q,16,FALSE)+VLOOKUP('vs mars'!D183,'point sur les patentes'!B:Z,25,FALSE))</f>
        <v>#N/A</v>
      </c>
      <c r="W183" s="340" t="e">
        <f>VLOOKUP(D183,'SUIVI JOURNALIER AVRIL'!B:J,9,FALSE)</f>
        <v>#N/A</v>
      </c>
      <c r="X183" s="340" t="e">
        <f>VLOOKUP(D183,'SUIVI JOURNALIER AVRIL'!B:P,14,FALSE)+VLOOKUP('vs mars'!D183,'SUIVI JOURNALIER AVRIL'!B:V,20,FALSE)+VLOOKUP('vs mars'!D183,'SUIVI JOURNALIER AVRIL'!B:W,21,FALSE)</f>
        <v>#N/A</v>
      </c>
      <c r="Y183" s="340" t="e">
        <f>VLOOKUP(D183,'SUIVI JOURNALIER AVRIL'!B:CC,80,FALSE)</f>
        <v>#N/A</v>
      </c>
      <c r="Z183" s="340" t="e">
        <f t="shared" si="4"/>
        <v>#N/A</v>
      </c>
      <c r="AA183" s="359" t="e">
        <f>VLOOKUP(D183,'SUIVI JOURNALIER AVRIL'!B:CD,81,FALSE)</f>
        <v>#N/A</v>
      </c>
      <c r="AB183" s="360" t="e">
        <f t="shared" si="5"/>
        <v>#N/A</v>
      </c>
      <c r="AC183" s="360" t="str">
        <f>VLOOKUP(B183,labo!B:D,3,FALSE)</f>
        <v>ug4</v>
      </c>
      <c r="AD183" s="360" t="s">
        <v>2629</v>
      </c>
      <c r="AF183" s="330" t="e">
        <f>VLOOKUP(D183,'SUIVI JOURNALIER AVRIL'!CK:CL,2,FALSE)</f>
        <v>#N/A</v>
      </c>
      <c r="AG183" s="360">
        <v>1</v>
      </c>
    </row>
    <row r="184" spans="1:33" s="360" customFormat="1" ht="13.5" customHeight="1">
      <c r="A184" s="324" t="s">
        <v>1793</v>
      </c>
      <c r="B184" s="325" t="s">
        <v>388</v>
      </c>
      <c r="C184" s="325" t="s">
        <v>679</v>
      </c>
      <c r="D184" s="325" t="s">
        <v>680</v>
      </c>
      <c r="E184" s="324" t="s">
        <v>681</v>
      </c>
      <c r="F184" s="324" t="s">
        <v>2055</v>
      </c>
      <c r="G184" s="324" t="s">
        <v>887</v>
      </c>
      <c r="H184" s="324" t="s">
        <v>897</v>
      </c>
      <c r="I184" s="324" t="s">
        <v>1225</v>
      </c>
      <c r="J184" s="324" t="s">
        <v>889</v>
      </c>
      <c r="K184" s="324" t="s">
        <v>890</v>
      </c>
      <c r="L184" s="324" t="s">
        <v>891</v>
      </c>
      <c r="M184" s="324" t="s">
        <v>892</v>
      </c>
      <c r="N184" s="324" t="s">
        <v>912</v>
      </c>
      <c r="O184" s="324" t="s">
        <v>998</v>
      </c>
      <c r="P184" s="324" t="s">
        <v>998</v>
      </c>
      <c r="Q184" s="324" t="s">
        <v>1226</v>
      </c>
      <c r="R184" s="324" t="s">
        <v>1227</v>
      </c>
      <c r="S184" s="356" t="s">
        <v>895</v>
      </c>
      <c r="T184" s="309" t="s">
        <v>965</v>
      </c>
      <c r="U184" s="357" t="e">
        <f>VLOOKUP(D184,'SUIVI JOURNALIER AVRIL'!CK:CM,3,FALSE)</f>
        <v>#N/A</v>
      </c>
      <c r="V184" s="358" t="e">
        <f>IF(VLOOKUP('vs mars'!D184,'point sur les patentes'!B:E,4,FALSE)="","",VLOOKUP(D184,'point sur les patentes'!B:E,4,FALSE)+VLOOKUP(D184,'point sur les patentes'!B:F,5,FALSE)+VLOOKUP('vs mars'!D184,'point sur les patentes'!B:G,6,FALSE)+VLOOKUP('vs mars'!D184,'point sur les patentes'!B:H,7,FALSE)+VLOOKUP('vs mars'!D184,'point sur les patentes'!B:I,8,FALSE)+VLOOKUP(D184,'point sur les patentes'!B:J,9,FALSE)+VLOOKUP(D184,'point sur les patentes'!B:K,10,FALSE)+VLOOKUP(D184,'point sur les patentes'!B:L,11,FALSE)+VLOOKUP(D184,'point sur les patentes'!B:M,12,FALSE)+VLOOKUP(D184,'point sur les patentes'!B:N,13,FALSE)+VLOOKUP(D184,'point sur les patentes'!B:O,14,FALSE)+VLOOKUP(D184,'point sur les patentes'!B:P,15,FALSE)+VLOOKUP(D184,'point sur les patentes'!B:Q,16,FALSE)+VLOOKUP('vs mars'!D184,'point sur les patentes'!B:Z,25,FALSE))</f>
        <v>#N/A</v>
      </c>
      <c r="W184" s="340" t="e">
        <f>VLOOKUP(D184,'SUIVI JOURNALIER AVRIL'!B:J,9,FALSE)</f>
        <v>#N/A</v>
      </c>
      <c r="X184" s="340" t="e">
        <f>VLOOKUP(D184,'SUIVI JOURNALIER AVRIL'!B:P,14,FALSE)+VLOOKUP('vs mars'!D184,'SUIVI JOURNALIER AVRIL'!B:V,20,FALSE)+VLOOKUP('vs mars'!D184,'SUIVI JOURNALIER AVRIL'!B:W,21,FALSE)</f>
        <v>#N/A</v>
      </c>
      <c r="Y184" s="340" t="e">
        <f>VLOOKUP(D184,'SUIVI JOURNALIER AVRIL'!B:CC,80,FALSE)</f>
        <v>#N/A</v>
      </c>
      <c r="Z184" s="340" t="e">
        <f t="shared" si="4"/>
        <v>#N/A</v>
      </c>
      <c r="AA184" s="359" t="e">
        <f>VLOOKUP(D184,'SUIVI JOURNALIER AVRIL'!B:CD,81,FALSE)</f>
        <v>#N/A</v>
      </c>
      <c r="AB184" s="360" t="e">
        <f t="shared" si="5"/>
        <v>#N/A</v>
      </c>
      <c r="AC184" s="360" t="str">
        <f>VLOOKUP(B184,labo!B:D,3,FALSE)</f>
        <v>ug5</v>
      </c>
      <c r="AD184" s="360" t="s">
        <v>2629</v>
      </c>
      <c r="AF184" s="330" t="e">
        <f>VLOOKUP(D184,'SUIVI JOURNALIER AVRIL'!CK:CL,2,FALSE)</f>
        <v>#N/A</v>
      </c>
      <c r="AG184" s="360">
        <v>1</v>
      </c>
    </row>
    <row r="185" spans="1:33" s="360" customFormat="1" ht="13.5" customHeight="1">
      <c r="A185" s="324" t="s">
        <v>1794</v>
      </c>
      <c r="B185" s="325" t="s">
        <v>2341</v>
      </c>
      <c r="C185" s="325" t="s">
        <v>2510</v>
      </c>
      <c r="D185" s="325" t="s">
        <v>2511</v>
      </c>
      <c r="E185" s="324" t="s">
        <v>2512</v>
      </c>
      <c r="F185" s="324" t="s">
        <v>2055</v>
      </c>
      <c r="G185" s="324" t="s">
        <v>887</v>
      </c>
      <c r="H185" s="324" t="s">
        <v>897</v>
      </c>
      <c r="I185" s="324" t="s">
        <v>2513</v>
      </c>
      <c r="J185" s="324" t="s">
        <v>2481</v>
      </c>
      <c r="K185" s="324" t="s">
        <v>2405</v>
      </c>
      <c r="L185" s="324" t="s">
        <v>891</v>
      </c>
      <c r="M185" s="324" t="s">
        <v>892</v>
      </c>
      <c r="N185" s="324" t="s">
        <v>893</v>
      </c>
      <c r="O185" s="324" t="s">
        <v>894</v>
      </c>
      <c r="P185" s="324" t="s">
        <v>2447</v>
      </c>
      <c r="Q185" s="324" t="s">
        <v>2514</v>
      </c>
      <c r="R185" s="324" t="s">
        <v>2256</v>
      </c>
      <c r="S185" s="356" t="s">
        <v>895</v>
      </c>
      <c r="T185" s="309" t="s">
        <v>896</v>
      </c>
      <c r="U185" s="357">
        <f>VLOOKUP(D185,'SUIVI JOURNALIER AVRIL'!CK:CM,3,FALSE)</f>
        <v>0</v>
      </c>
      <c r="V185" s="358" t="e">
        <f>IF(VLOOKUP('vs mars'!D185,'point sur les patentes'!B:E,4,FALSE)="","",VLOOKUP(D185,'point sur les patentes'!B:E,4,FALSE)+VLOOKUP(D185,'point sur les patentes'!B:F,5,FALSE)+VLOOKUP('vs mars'!D185,'point sur les patentes'!B:G,6,FALSE)+VLOOKUP('vs mars'!D185,'point sur les patentes'!B:H,7,FALSE)+VLOOKUP('vs mars'!D185,'point sur les patentes'!B:I,8,FALSE)+VLOOKUP(D185,'point sur les patentes'!B:J,9,FALSE)+VLOOKUP(D185,'point sur les patentes'!B:K,10,FALSE)+VLOOKUP(D185,'point sur les patentes'!B:L,11,FALSE)+VLOOKUP(D185,'point sur les patentes'!B:M,12,FALSE)+VLOOKUP(D185,'point sur les patentes'!B:N,13,FALSE)+VLOOKUP(D185,'point sur les patentes'!B:O,14,FALSE)+VLOOKUP(D185,'point sur les patentes'!B:P,15,FALSE)+VLOOKUP(D185,'point sur les patentes'!B:Q,16,FALSE)+VLOOKUP('vs mars'!D185,'point sur les patentes'!B:Z,25,FALSE))</f>
        <v>#N/A</v>
      </c>
      <c r="W185" s="340">
        <f>VLOOKUP(D185,'SUIVI JOURNALIER AVRIL'!B:J,9,FALSE)</f>
        <v>17500</v>
      </c>
      <c r="X185" s="340">
        <f>VLOOKUP(D185,'SUIVI JOURNALIER AVRIL'!B:P,14,FALSE)+VLOOKUP('vs mars'!D185,'SUIVI JOURNALIER AVRIL'!B:V,20,FALSE)+VLOOKUP('vs mars'!D185,'SUIVI JOURNALIER AVRIL'!B:W,21,FALSE)</f>
        <v>12000</v>
      </c>
      <c r="Y185" s="340">
        <f>VLOOKUP(D185,'SUIVI JOURNALIER AVRIL'!B:CC,80,FALSE)</f>
        <v>0</v>
      </c>
      <c r="Z185" s="340">
        <f t="shared" si="4"/>
        <v>29500</v>
      </c>
      <c r="AA185" s="359">
        <f>VLOOKUP(D185,'SUIVI JOURNALIER AVRIL'!B:CD,81,FALSE)</f>
        <v>29500</v>
      </c>
      <c r="AB185" s="360" t="str">
        <f t="shared" si="5"/>
        <v>ok</v>
      </c>
      <c r="AC185" s="360" t="str">
        <f>VLOOKUP(B185,labo!B:D,3,FALSE)</f>
        <v>ug2</v>
      </c>
      <c r="AD185" s="360" t="s">
        <v>2629</v>
      </c>
      <c r="AF185" s="330">
        <f>VLOOKUP(D185,'SUIVI JOURNALIER AVRIL'!CK:CL,2,FALSE)</f>
        <v>0</v>
      </c>
      <c r="AG185" s="360">
        <v>1</v>
      </c>
    </row>
    <row r="186" spans="1:33" s="360" customFormat="1" ht="13.5" customHeight="1">
      <c r="A186" s="324" t="s">
        <v>1795</v>
      </c>
      <c r="B186" s="325" t="s">
        <v>2342</v>
      </c>
      <c r="C186" s="325" t="s">
        <v>2515</v>
      </c>
      <c r="D186" s="325" t="s">
        <v>2516</v>
      </c>
      <c r="E186" s="324" t="s">
        <v>2517</v>
      </c>
      <c r="F186" s="324" t="s">
        <v>2055</v>
      </c>
      <c r="G186" s="324" t="s">
        <v>887</v>
      </c>
      <c r="H186" s="324" t="s">
        <v>2055</v>
      </c>
      <c r="I186" s="324" t="s">
        <v>2055</v>
      </c>
      <c r="J186" s="324" t="s">
        <v>2055</v>
      </c>
      <c r="K186" s="324" t="s">
        <v>2405</v>
      </c>
      <c r="L186" s="324" t="s">
        <v>891</v>
      </c>
      <c r="M186" s="324" t="s">
        <v>892</v>
      </c>
      <c r="N186" s="324" t="s">
        <v>893</v>
      </c>
      <c r="O186" s="324" t="s">
        <v>894</v>
      </c>
      <c r="P186" s="324" t="s">
        <v>919</v>
      </c>
      <c r="Q186" s="324" t="s">
        <v>2518</v>
      </c>
      <c r="R186" s="324" t="s">
        <v>2519</v>
      </c>
      <c r="S186" s="356" t="s">
        <v>895</v>
      </c>
      <c r="T186" s="309" t="s">
        <v>957</v>
      </c>
      <c r="U186" s="357" t="e">
        <f>VLOOKUP(D186,'SUIVI JOURNALIER AVRIL'!CK:CM,3,FALSE)</f>
        <v>#N/A</v>
      </c>
      <c r="V186" s="358" t="e">
        <f>IF(VLOOKUP('vs mars'!D186,'point sur les patentes'!B:E,4,FALSE)="","",VLOOKUP(D186,'point sur les patentes'!B:E,4,FALSE)+VLOOKUP(D186,'point sur les patentes'!B:F,5,FALSE)+VLOOKUP('vs mars'!D186,'point sur les patentes'!B:G,6,FALSE)+VLOOKUP('vs mars'!D186,'point sur les patentes'!B:H,7,FALSE)+VLOOKUP('vs mars'!D186,'point sur les patentes'!B:I,8,FALSE)+VLOOKUP(D186,'point sur les patentes'!B:J,9,FALSE)+VLOOKUP(D186,'point sur les patentes'!B:K,10,FALSE)+VLOOKUP(D186,'point sur les patentes'!B:L,11,FALSE)+VLOOKUP(D186,'point sur les patentes'!B:M,12,FALSE)+VLOOKUP(D186,'point sur les patentes'!B:N,13,FALSE)+VLOOKUP(D186,'point sur les patentes'!B:O,14,FALSE)+VLOOKUP(D186,'point sur les patentes'!B:P,15,FALSE)+VLOOKUP(D186,'point sur les patentes'!B:Q,16,FALSE)+VLOOKUP('vs mars'!D186,'point sur les patentes'!B:Z,25,FALSE))</f>
        <v>#N/A</v>
      </c>
      <c r="W186" s="340" t="e">
        <f>VLOOKUP(D186,'SUIVI JOURNALIER AVRIL'!B:J,9,FALSE)</f>
        <v>#N/A</v>
      </c>
      <c r="X186" s="340" t="e">
        <f>VLOOKUP(D186,'SUIVI JOURNALIER AVRIL'!B:P,14,FALSE)+VLOOKUP('vs mars'!D186,'SUIVI JOURNALIER AVRIL'!B:V,20,FALSE)+VLOOKUP('vs mars'!D186,'SUIVI JOURNALIER AVRIL'!B:W,21,FALSE)</f>
        <v>#N/A</v>
      </c>
      <c r="Y186" s="340" t="e">
        <f>VLOOKUP(D186,'SUIVI JOURNALIER AVRIL'!B:CC,80,FALSE)</f>
        <v>#N/A</v>
      </c>
      <c r="Z186" s="340" t="e">
        <f t="shared" si="4"/>
        <v>#N/A</v>
      </c>
      <c r="AA186" s="359" t="e">
        <f>VLOOKUP(D186,'SUIVI JOURNALIER AVRIL'!B:CD,81,FALSE)</f>
        <v>#N/A</v>
      </c>
      <c r="AB186" s="360" t="e">
        <f t="shared" si="5"/>
        <v>#N/A</v>
      </c>
      <c r="AC186" s="360" t="str">
        <f>VLOOKUP(B186,labo!B:D,3,FALSE)</f>
        <v>ug5</v>
      </c>
      <c r="AD186" s="360" t="s">
        <v>2630</v>
      </c>
      <c r="AF186" s="330" t="e">
        <f>VLOOKUP(D186,'SUIVI JOURNALIER AVRIL'!CK:CL,2,FALSE)</f>
        <v>#N/A</v>
      </c>
      <c r="AG186" s="360">
        <v>1</v>
      </c>
    </row>
    <row r="187" spans="1:33" s="360" customFormat="1" ht="13.5" customHeight="1">
      <c r="A187" s="324" t="s">
        <v>1796</v>
      </c>
      <c r="B187" s="325" t="s">
        <v>2034</v>
      </c>
      <c r="C187" s="325" t="s">
        <v>2083</v>
      </c>
      <c r="D187" s="325" t="s">
        <v>2035</v>
      </c>
      <c r="E187" s="324" t="s">
        <v>542</v>
      </c>
      <c r="F187" s="324" t="s">
        <v>2055</v>
      </c>
      <c r="G187" s="324" t="s">
        <v>887</v>
      </c>
      <c r="H187" s="324" t="s">
        <v>897</v>
      </c>
      <c r="I187" s="324" t="s">
        <v>2084</v>
      </c>
      <c r="J187" s="324" t="s">
        <v>2050</v>
      </c>
      <c r="K187" s="324" t="s">
        <v>890</v>
      </c>
      <c r="L187" s="324" t="s">
        <v>891</v>
      </c>
      <c r="M187" s="324" t="s">
        <v>892</v>
      </c>
      <c r="N187" s="324" t="s">
        <v>893</v>
      </c>
      <c r="O187" s="324" t="s">
        <v>2085</v>
      </c>
      <c r="P187" s="324" t="s">
        <v>2085</v>
      </c>
      <c r="Q187" s="324" t="s">
        <v>962</v>
      </c>
      <c r="R187" s="324" t="s">
        <v>2086</v>
      </c>
      <c r="S187" s="356" t="s">
        <v>895</v>
      </c>
      <c r="T187" s="309" t="s">
        <v>957</v>
      </c>
      <c r="U187" s="357" t="e">
        <f>VLOOKUP(D187,'SUIVI JOURNALIER AVRIL'!CK:CM,3,FALSE)</f>
        <v>#N/A</v>
      </c>
      <c r="V187" s="358" t="e">
        <f>IF(VLOOKUP('vs mars'!D187,'point sur les patentes'!B:E,4,FALSE)="","",VLOOKUP(D187,'point sur les patentes'!B:E,4,FALSE)+VLOOKUP(D187,'point sur les patentes'!B:F,5,FALSE)+VLOOKUP('vs mars'!D187,'point sur les patentes'!B:G,6,FALSE)+VLOOKUP('vs mars'!D187,'point sur les patentes'!B:H,7,FALSE)+VLOOKUP('vs mars'!D187,'point sur les patentes'!B:I,8,FALSE)+VLOOKUP(D187,'point sur les patentes'!B:J,9,FALSE)+VLOOKUP(D187,'point sur les patentes'!B:K,10,FALSE)+VLOOKUP(D187,'point sur les patentes'!B:L,11,FALSE)+VLOOKUP(D187,'point sur les patentes'!B:M,12,FALSE)+VLOOKUP(D187,'point sur les patentes'!B:N,13,FALSE)+VLOOKUP(D187,'point sur les patentes'!B:O,14,FALSE)+VLOOKUP(D187,'point sur les patentes'!B:P,15,FALSE)+VLOOKUP(D187,'point sur les patentes'!B:Q,16,FALSE)+VLOOKUP('vs mars'!D187,'point sur les patentes'!B:Z,25,FALSE))</f>
        <v>#N/A</v>
      </c>
      <c r="W187" s="340" t="e">
        <f>VLOOKUP(D187,'SUIVI JOURNALIER AVRIL'!B:J,9,FALSE)</f>
        <v>#N/A</v>
      </c>
      <c r="X187" s="340" t="e">
        <f>VLOOKUP(D187,'SUIVI JOURNALIER AVRIL'!B:P,14,FALSE)+VLOOKUP('vs mars'!D187,'SUIVI JOURNALIER AVRIL'!B:V,20,FALSE)+VLOOKUP('vs mars'!D187,'SUIVI JOURNALIER AVRIL'!B:W,21,FALSE)</f>
        <v>#N/A</v>
      </c>
      <c r="Y187" s="340" t="e">
        <f>VLOOKUP(D187,'SUIVI JOURNALIER AVRIL'!B:CC,80,FALSE)</f>
        <v>#N/A</v>
      </c>
      <c r="Z187" s="340" t="e">
        <f t="shared" si="4"/>
        <v>#N/A</v>
      </c>
      <c r="AA187" s="359" t="e">
        <f>VLOOKUP(D187,'SUIVI JOURNALIER AVRIL'!B:CD,81,FALSE)</f>
        <v>#N/A</v>
      </c>
      <c r="AB187" s="360" t="e">
        <f t="shared" si="5"/>
        <v>#N/A</v>
      </c>
      <c r="AC187" s="360" t="str">
        <f>VLOOKUP(B187,labo!B:D,3,FALSE)</f>
        <v>ug2</v>
      </c>
      <c r="AD187" s="360" t="s">
        <v>2629</v>
      </c>
      <c r="AF187" s="330" t="e">
        <f>VLOOKUP(D187,'SUIVI JOURNALIER AVRIL'!CK:CL,2,FALSE)</f>
        <v>#N/A</v>
      </c>
      <c r="AG187" s="360">
        <v>1</v>
      </c>
    </row>
    <row r="188" spans="1:33" s="360" customFormat="1" ht="13.5" customHeight="1">
      <c r="A188" s="324" t="s">
        <v>1797</v>
      </c>
      <c r="B188" s="325" t="s">
        <v>364</v>
      </c>
      <c r="C188" s="325" t="s">
        <v>682</v>
      </c>
      <c r="D188" s="325" t="s">
        <v>683</v>
      </c>
      <c r="E188" s="324" t="s">
        <v>458</v>
      </c>
      <c r="F188" s="324" t="s">
        <v>2055</v>
      </c>
      <c r="G188" s="324" t="s">
        <v>926</v>
      </c>
      <c r="H188" s="324" t="s">
        <v>1232</v>
      </c>
      <c r="I188" s="324" t="s">
        <v>1233</v>
      </c>
      <c r="J188" s="324" t="s">
        <v>940</v>
      </c>
      <c r="K188" s="324" t="s">
        <v>890</v>
      </c>
      <c r="L188" s="324" t="s">
        <v>891</v>
      </c>
      <c r="M188" s="324" t="s">
        <v>892</v>
      </c>
      <c r="N188" s="324" t="s">
        <v>912</v>
      </c>
      <c r="O188" s="324" t="s">
        <v>913</v>
      </c>
      <c r="P188" s="324" t="s">
        <v>913</v>
      </c>
      <c r="Q188" s="324" t="s">
        <v>1234</v>
      </c>
      <c r="R188" s="324" t="s">
        <v>1235</v>
      </c>
      <c r="S188" s="356" t="s">
        <v>895</v>
      </c>
      <c r="T188" s="309" t="s">
        <v>957</v>
      </c>
      <c r="U188" s="357">
        <f>VLOOKUP(D188,'SUIVI JOURNALIER AVRIL'!CK:CM,3,FALSE)</f>
        <v>0</v>
      </c>
      <c r="V188" s="358" t="e">
        <f>IF(VLOOKUP('vs mars'!D188,'point sur les patentes'!B:E,4,FALSE)="","",VLOOKUP(D188,'point sur les patentes'!B:E,4,FALSE)+VLOOKUP(D188,'point sur les patentes'!B:F,5,FALSE)+VLOOKUP('vs mars'!D188,'point sur les patentes'!B:G,6,FALSE)+VLOOKUP('vs mars'!D188,'point sur les patentes'!B:H,7,FALSE)+VLOOKUP('vs mars'!D188,'point sur les patentes'!B:I,8,FALSE)+VLOOKUP(D188,'point sur les patentes'!B:J,9,FALSE)+VLOOKUP(D188,'point sur les patentes'!B:K,10,FALSE)+VLOOKUP(D188,'point sur les patentes'!B:L,11,FALSE)+VLOOKUP(D188,'point sur les patentes'!B:M,12,FALSE)+VLOOKUP(D188,'point sur les patentes'!B:N,13,FALSE)+VLOOKUP(D188,'point sur les patentes'!B:O,14,FALSE)+VLOOKUP(D188,'point sur les patentes'!B:P,15,FALSE)+VLOOKUP(D188,'point sur les patentes'!B:Q,16,FALSE)+VLOOKUP('vs mars'!D188,'point sur les patentes'!B:Z,25,FALSE))</f>
        <v>#N/A</v>
      </c>
      <c r="W188" s="340">
        <f>VLOOKUP(D188,'SUIVI JOURNALIER AVRIL'!B:J,9,FALSE)</f>
        <v>0</v>
      </c>
      <c r="X188" s="340">
        <f>VLOOKUP(D188,'SUIVI JOURNALIER AVRIL'!B:P,14,FALSE)+VLOOKUP('vs mars'!D188,'SUIVI JOURNALIER AVRIL'!B:V,20,FALSE)+VLOOKUP('vs mars'!D188,'SUIVI JOURNALIER AVRIL'!B:W,21,FALSE)</f>
        <v>0</v>
      </c>
      <c r="Y188" s="340">
        <f>VLOOKUP(D188,'SUIVI JOURNALIER AVRIL'!B:CC,80,FALSE)</f>
        <v>3061</v>
      </c>
      <c r="Z188" s="340">
        <f t="shared" si="4"/>
        <v>3061</v>
      </c>
      <c r="AA188" s="359">
        <f>VLOOKUP(D188,'SUIVI JOURNALIER AVRIL'!B:CD,81,FALSE)</f>
        <v>3061</v>
      </c>
      <c r="AB188" s="360" t="str">
        <f t="shared" si="5"/>
        <v>ok</v>
      </c>
      <c r="AC188" s="360" t="str">
        <f>VLOOKUP(B188,labo!B:D,3,FALSE)</f>
        <v>ug4</v>
      </c>
      <c r="AD188" s="360" t="s">
        <v>2629</v>
      </c>
      <c r="AF188" s="330">
        <f>VLOOKUP(D188,'SUIVI JOURNALIER AVRIL'!CK:CL,2,FALSE)</f>
        <v>0</v>
      </c>
      <c r="AG188" s="360">
        <v>1</v>
      </c>
    </row>
    <row r="189" spans="1:33" s="360" customFormat="1" ht="13.5" customHeight="1">
      <c r="A189" s="324" t="s">
        <v>1798</v>
      </c>
      <c r="B189" s="325" t="s">
        <v>2343</v>
      </c>
      <c r="C189" s="325" t="s">
        <v>2520</v>
      </c>
      <c r="D189" s="325" t="s">
        <v>2299</v>
      </c>
      <c r="E189" s="324" t="s">
        <v>2521</v>
      </c>
      <c r="F189" s="324" t="s">
        <v>2055</v>
      </c>
      <c r="G189" s="324" t="s">
        <v>926</v>
      </c>
      <c r="H189" s="324" t="s">
        <v>2522</v>
      </c>
      <c r="I189" s="324" t="s">
        <v>2055</v>
      </c>
      <c r="J189" s="324" t="s">
        <v>2523</v>
      </c>
      <c r="K189" s="324" t="s">
        <v>2405</v>
      </c>
      <c r="L189" s="324" t="s">
        <v>891</v>
      </c>
      <c r="M189" s="324" t="s">
        <v>892</v>
      </c>
      <c r="N189" s="324" t="s">
        <v>893</v>
      </c>
      <c r="O189" s="324" t="s">
        <v>894</v>
      </c>
      <c r="P189" s="324" t="s">
        <v>919</v>
      </c>
      <c r="Q189" s="324" t="s">
        <v>2055</v>
      </c>
      <c r="R189" s="324" t="s">
        <v>2055</v>
      </c>
      <c r="S189" s="356" t="s">
        <v>895</v>
      </c>
      <c r="T189" s="309" t="s">
        <v>965</v>
      </c>
      <c r="U189" s="357">
        <f>VLOOKUP(D189,'SUIVI JOURNALIER AVRIL'!CK:CM,3,FALSE)</f>
        <v>0</v>
      </c>
      <c r="V189" s="358" t="e">
        <f>IF(VLOOKUP('vs mars'!D189,'point sur les patentes'!B:E,4,FALSE)="","",VLOOKUP(D189,'point sur les patentes'!B:E,4,FALSE)+VLOOKUP(D189,'point sur les patentes'!B:F,5,FALSE)+VLOOKUP('vs mars'!D189,'point sur les patentes'!B:G,6,FALSE)+VLOOKUP('vs mars'!D189,'point sur les patentes'!B:H,7,FALSE)+VLOOKUP('vs mars'!D189,'point sur les patentes'!B:I,8,FALSE)+VLOOKUP(D189,'point sur les patentes'!B:J,9,FALSE)+VLOOKUP(D189,'point sur les patentes'!B:K,10,FALSE)+VLOOKUP(D189,'point sur les patentes'!B:L,11,FALSE)+VLOOKUP(D189,'point sur les patentes'!B:M,12,FALSE)+VLOOKUP(D189,'point sur les patentes'!B:N,13,FALSE)+VLOOKUP(D189,'point sur les patentes'!B:O,14,FALSE)+VLOOKUP(D189,'point sur les patentes'!B:P,15,FALSE)+VLOOKUP(D189,'point sur les patentes'!B:Q,16,FALSE)+VLOOKUP('vs mars'!D189,'point sur les patentes'!B:Z,25,FALSE))</f>
        <v>#N/A</v>
      </c>
      <c r="W189" s="340">
        <f>VLOOKUP(D189,'SUIVI JOURNALIER AVRIL'!B:J,9,FALSE)</f>
        <v>842671</v>
      </c>
      <c r="X189" s="340">
        <f>VLOOKUP(D189,'SUIVI JOURNALIER AVRIL'!B:P,14,FALSE)+VLOOKUP('vs mars'!D189,'SUIVI JOURNALIER AVRIL'!B:V,20,FALSE)+VLOOKUP('vs mars'!D189,'SUIVI JOURNALIER AVRIL'!B:W,21,FALSE)</f>
        <v>113116.90909090909</v>
      </c>
      <c r="Y189" s="340">
        <f>VLOOKUP(D189,'SUIVI JOURNALIER AVRIL'!B:CC,80,FALSE)</f>
        <v>191824</v>
      </c>
      <c r="Z189" s="340">
        <f t="shared" si="4"/>
        <v>1147611.9090909092</v>
      </c>
      <c r="AA189" s="359">
        <f>VLOOKUP(D189,'SUIVI JOURNALIER AVRIL'!B:CD,81,FALSE)</f>
        <v>1147611.9090909092</v>
      </c>
      <c r="AB189" s="360" t="str">
        <f t="shared" si="5"/>
        <v>ok</v>
      </c>
      <c r="AC189" s="360" t="str">
        <f>VLOOKUP(B189,labo!B:D,3,FALSE)</f>
        <v>ug3</v>
      </c>
      <c r="AD189" s="360" t="s">
        <v>2630</v>
      </c>
      <c r="AF189" s="330">
        <f>VLOOKUP(D189,'SUIVI JOURNALIER AVRIL'!CK:CL,2,FALSE)</f>
        <v>0</v>
      </c>
      <c r="AG189" s="360">
        <v>1</v>
      </c>
    </row>
    <row r="190" spans="1:33" s="360" customFormat="1" ht="13.5" customHeight="1">
      <c r="A190" s="324" t="s">
        <v>1799</v>
      </c>
      <c r="B190" s="325" t="s">
        <v>1995</v>
      </c>
      <c r="C190" s="325" t="s">
        <v>1996</v>
      </c>
      <c r="D190" s="325" t="s">
        <v>1769</v>
      </c>
      <c r="E190" s="324" t="s">
        <v>685</v>
      </c>
      <c r="F190" s="324" t="s">
        <v>2055</v>
      </c>
      <c r="G190" s="324" t="s">
        <v>926</v>
      </c>
      <c r="H190" s="324" t="s">
        <v>1236</v>
      </c>
      <c r="I190" s="324" t="s">
        <v>1237</v>
      </c>
      <c r="J190" s="324" t="s">
        <v>889</v>
      </c>
      <c r="K190" s="324" t="s">
        <v>890</v>
      </c>
      <c r="L190" s="324" t="s">
        <v>891</v>
      </c>
      <c r="M190" s="324" t="s">
        <v>892</v>
      </c>
      <c r="N190" s="324" t="s">
        <v>893</v>
      </c>
      <c r="O190" s="324" t="s">
        <v>894</v>
      </c>
      <c r="P190" s="324" t="s">
        <v>935</v>
      </c>
      <c r="Q190" s="324" t="s">
        <v>1091</v>
      </c>
      <c r="R190" s="324" t="s">
        <v>684</v>
      </c>
      <c r="S190" s="356" t="s">
        <v>895</v>
      </c>
      <c r="T190" s="309" t="s">
        <v>1006</v>
      </c>
      <c r="U190" s="357">
        <f>VLOOKUP(D190,'SUIVI JOURNALIER AVRIL'!CK:CM,3,FALSE)</f>
        <v>0</v>
      </c>
      <c r="V190" s="358" t="e">
        <f>IF(VLOOKUP('vs mars'!D190,'point sur les patentes'!B:E,4,FALSE)="","",VLOOKUP(D190,'point sur les patentes'!B:E,4,FALSE)+VLOOKUP(D190,'point sur les patentes'!B:F,5,FALSE)+VLOOKUP('vs mars'!D190,'point sur les patentes'!B:G,6,FALSE)+VLOOKUP('vs mars'!D190,'point sur les patentes'!B:H,7,FALSE)+VLOOKUP('vs mars'!D190,'point sur les patentes'!B:I,8,FALSE)+VLOOKUP(D190,'point sur les patentes'!B:J,9,FALSE)+VLOOKUP(D190,'point sur les patentes'!B:K,10,FALSE)+VLOOKUP(D190,'point sur les patentes'!B:L,11,FALSE)+VLOOKUP(D190,'point sur les patentes'!B:M,12,FALSE)+VLOOKUP(D190,'point sur les patentes'!B:N,13,FALSE)+VLOOKUP(D190,'point sur les patentes'!B:O,14,FALSE)+VLOOKUP(D190,'point sur les patentes'!B:P,15,FALSE)+VLOOKUP(D190,'point sur les patentes'!B:Q,16,FALSE)+VLOOKUP('vs mars'!D190,'point sur les patentes'!B:Z,25,FALSE))</f>
        <v>#N/A</v>
      </c>
      <c r="W190" s="340">
        <f>VLOOKUP(D190,'SUIVI JOURNALIER AVRIL'!B:J,9,FALSE)</f>
        <v>104240</v>
      </c>
      <c r="X190" s="340">
        <f>VLOOKUP(D190,'SUIVI JOURNALIER AVRIL'!B:P,14,FALSE)+VLOOKUP('vs mars'!D190,'SUIVI JOURNALIER AVRIL'!B:V,20,FALSE)+VLOOKUP('vs mars'!D190,'SUIVI JOURNALIER AVRIL'!B:W,21,FALSE)</f>
        <v>39065</v>
      </c>
      <c r="Y190" s="340">
        <f>VLOOKUP(D190,'SUIVI JOURNALIER AVRIL'!B:CC,80,FALSE)</f>
        <v>293934.72727272729</v>
      </c>
      <c r="Z190" s="340">
        <f t="shared" si="4"/>
        <v>437239.72727272729</v>
      </c>
      <c r="AA190" s="359">
        <f>VLOOKUP(D190,'SUIVI JOURNALIER AVRIL'!B:CD,81,FALSE)</f>
        <v>437239.72727272729</v>
      </c>
      <c r="AB190" s="360" t="str">
        <f t="shared" si="5"/>
        <v>ok</v>
      </c>
      <c r="AC190" s="360" t="str">
        <f>VLOOKUP(B190,labo!B:D,3,FALSE)</f>
        <v>ug3</v>
      </c>
      <c r="AD190" s="360" t="s">
        <v>2629</v>
      </c>
      <c r="AF190" s="330">
        <f>VLOOKUP(D190,'SUIVI JOURNALIER AVRIL'!CK:CL,2,FALSE)</f>
        <v>0</v>
      </c>
      <c r="AG190" s="360">
        <v>1</v>
      </c>
    </row>
    <row r="191" spans="1:33" s="360" customFormat="1" ht="13.5" customHeight="1">
      <c r="A191" s="324" t="s">
        <v>1800</v>
      </c>
      <c r="B191" s="325" t="s">
        <v>1514</v>
      </c>
      <c r="C191" s="325" t="s">
        <v>686</v>
      </c>
      <c r="D191" s="325" t="s">
        <v>687</v>
      </c>
      <c r="E191" s="324" t="s">
        <v>685</v>
      </c>
      <c r="F191" s="324" t="s">
        <v>2055</v>
      </c>
      <c r="G191" s="324" t="s">
        <v>926</v>
      </c>
      <c r="H191" s="324" t="s">
        <v>1239</v>
      </c>
      <c r="I191" s="324" t="s">
        <v>1240</v>
      </c>
      <c r="J191" s="324" t="s">
        <v>1241</v>
      </c>
      <c r="K191" s="324" t="s">
        <v>890</v>
      </c>
      <c r="L191" s="324" t="s">
        <v>891</v>
      </c>
      <c r="M191" s="324" t="s">
        <v>892</v>
      </c>
      <c r="N191" s="324" t="s">
        <v>912</v>
      </c>
      <c r="O191" s="324" t="s">
        <v>913</v>
      </c>
      <c r="P191" s="324" t="s">
        <v>913</v>
      </c>
      <c r="Q191" s="324" t="s">
        <v>914</v>
      </c>
      <c r="R191" s="324" t="s">
        <v>1242</v>
      </c>
      <c r="S191" s="356" t="s">
        <v>895</v>
      </c>
      <c r="T191" s="309" t="s">
        <v>957</v>
      </c>
      <c r="U191" s="357">
        <f>VLOOKUP(D191,'SUIVI JOURNALIER AVRIL'!CK:CM,3,FALSE)</f>
        <v>0</v>
      </c>
      <c r="V191" s="358" t="e">
        <f>IF(VLOOKUP('vs mars'!D191,'point sur les patentes'!B:E,4,FALSE)="","",VLOOKUP(D191,'point sur les patentes'!B:E,4,FALSE)+VLOOKUP(D191,'point sur les patentes'!B:F,5,FALSE)+VLOOKUP('vs mars'!D191,'point sur les patentes'!B:G,6,FALSE)+VLOOKUP('vs mars'!D191,'point sur les patentes'!B:H,7,FALSE)+VLOOKUP('vs mars'!D191,'point sur les patentes'!B:I,8,FALSE)+VLOOKUP(D191,'point sur les patentes'!B:J,9,FALSE)+VLOOKUP(D191,'point sur les patentes'!B:K,10,FALSE)+VLOOKUP(D191,'point sur les patentes'!B:L,11,FALSE)+VLOOKUP(D191,'point sur les patentes'!B:M,12,FALSE)+VLOOKUP(D191,'point sur les patentes'!B:N,13,FALSE)+VLOOKUP(D191,'point sur les patentes'!B:O,14,FALSE)+VLOOKUP(D191,'point sur les patentes'!B:P,15,FALSE)+VLOOKUP(D191,'point sur les patentes'!B:Q,16,FALSE)+VLOOKUP('vs mars'!D191,'point sur les patentes'!B:Z,25,FALSE))</f>
        <v>#N/A</v>
      </c>
      <c r="W191" s="340">
        <f>VLOOKUP(D191,'SUIVI JOURNALIER AVRIL'!B:J,9,FALSE)</f>
        <v>749324</v>
      </c>
      <c r="X191" s="340">
        <f>VLOOKUP(D191,'SUIVI JOURNALIER AVRIL'!B:P,14,FALSE)+VLOOKUP('vs mars'!D191,'SUIVI JOURNALIER AVRIL'!B:V,20,FALSE)+VLOOKUP('vs mars'!D191,'SUIVI JOURNALIER AVRIL'!B:W,21,FALSE)</f>
        <v>30750</v>
      </c>
      <c r="Y191" s="340">
        <f>VLOOKUP(D191,'SUIVI JOURNALIER AVRIL'!B:CC,80,FALSE)</f>
        <v>270799.90909090912</v>
      </c>
      <c r="Z191" s="340">
        <f t="shared" si="4"/>
        <v>1050873.9090909092</v>
      </c>
      <c r="AA191" s="359">
        <f>VLOOKUP(D191,'SUIVI JOURNALIER AVRIL'!B:CD,81,FALSE)</f>
        <v>1050873.9090909092</v>
      </c>
      <c r="AB191" s="360" t="str">
        <f t="shared" si="5"/>
        <v>ok</v>
      </c>
      <c r="AC191" s="360" t="str">
        <f>VLOOKUP(B191,labo!B:D,3,FALSE)</f>
        <v>ug3</v>
      </c>
      <c r="AD191" s="360" t="s">
        <v>2629</v>
      </c>
      <c r="AF191" s="330">
        <f>VLOOKUP(D191,'SUIVI JOURNALIER AVRIL'!CK:CL,2,FALSE)</f>
        <v>0</v>
      </c>
      <c r="AG191" s="360">
        <v>1</v>
      </c>
    </row>
    <row r="192" spans="1:33" s="360" customFormat="1" ht="13.5" customHeight="1">
      <c r="A192" s="324" t="s">
        <v>1801</v>
      </c>
      <c r="B192" s="325" t="s">
        <v>1515</v>
      </c>
      <c r="C192" s="325" t="s">
        <v>1516</v>
      </c>
      <c r="D192" s="325" t="s">
        <v>1517</v>
      </c>
      <c r="E192" s="324" t="s">
        <v>685</v>
      </c>
      <c r="F192" s="324" t="s">
        <v>2055</v>
      </c>
      <c r="G192" s="324" t="s">
        <v>926</v>
      </c>
      <c r="H192" s="324" t="s">
        <v>897</v>
      </c>
      <c r="I192" s="324" t="s">
        <v>897</v>
      </c>
      <c r="J192" s="324" t="s">
        <v>1241</v>
      </c>
      <c r="K192" s="324" t="s">
        <v>890</v>
      </c>
      <c r="L192" s="324" t="s">
        <v>891</v>
      </c>
      <c r="M192" s="324" t="s">
        <v>892</v>
      </c>
      <c r="N192" s="324" t="s">
        <v>893</v>
      </c>
      <c r="O192" s="324" t="s">
        <v>919</v>
      </c>
      <c r="P192" s="324" t="s">
        <v>919</v>
      </c>
      <c r="Q192" s="324" t="s">
        <v>1476</v>
      </c>
      <c r="R192" s="324" t="s">
        <v>1476</v>
      </c>
      <c r="S192" s="356" t="s">
        <v>895</v>
      </c>
      <c r="T192" s="309" t="s">
        <v>1089</v>
      </c>
      <c r="U192" s="357">
        <f>VLOOKUP(D192,'SUIVI JOURNALIER AVRIL'!CK:CM,3,FALSE)</f>
        <v>0</v>
      </c>
      <c r="V192" s="358" t="e">
        <f>IF(VLOOKUP('vs mars'!D192,'point sur les patentes'!B:E,4,FALSE)="","",VLOOKUP(D192,'point sur les patentes'!B:E,4,FALSE)+VLOOKUP(D192,'point sur les patentes'!B:F,5,FALSE)+VLOOKUP('vs mars'!D192,'point sur les patentes'!B:G,6,FALSE)+VLOOKUP('vs mars'!D192,'point sur les patentes'!B:H,7,FALSE)+VLOOKUP('vs mars'!D192,'point sur les patentes'!B:I,8,FALSE)+VLOOKUP(D192,'point sur les patentes'!B:J,9,FALSE)+VLOOKUP(D192,'point sur les patentes'!B:K,10,FALSE)+VLOOKUP(D192,'point sur les patentes'!B:L,11,FALSE)+VLOOKUP(D192,'point sur les patentes'!B:M,12,FALSE)+VLOOKUP(D192,'point sur les patentes'!B:N,13,FALSE)+VLOOKUP(D192,'point sur les patentes'!B:O,14,FALSE)+VLOOKUP(D192,'point sur les patentes'!B:P,15,FALSE)+VLOOKUP(D192,'point sur les patentes'!B:Q,16,FALSE)+VLOOKUP('vs mars'!D192,'point sur les patentes'!B:Z,25,FALSE))</f>
        <v>#N/A</v>
      </c>
      <c r="W192" s="340">
        <f>VLOOKUP(D192,'SUIVI JOURNALIER AVRIL'!B:J,9,FALSE)</f>
        <v>129874</v>
      </c>
      <c r="X192" s="340">
        <f>VLOOKUP(D192,'SUIVI JOURNALIER AVRIL'!B:P,14,FALSE)+VLOOKUP('vs mars'!D192,'SUIVI JOURNALIER AVRIL'!B:V,20,FALSE)+VLOOKUP('vs mars'!D192,'SUIVI JOURNALIER AVRIL'!B:W,21,FALSE)</f>
        <v>14250</v>
      </c>
      <c r="Y192" s="340">
        <f>VLOOKUP(D192,'SUIVI JOURNALIER AVRIL'!B:CC,80,FALSE)</f>
        <v>39134</v>
      </c>
      <c r="Z192" s="340">
        <f t="shared" si="4"/>
        <v>183258</v>
      </c>
      <c r="AA192" s="359">
        <f>VLOOKUP(D192,'SUIVI JOURNALIER AVRIL'!B:CD,81,FALSE)</f>
        <v>183258</v>
      </c>
      <c r="AB192" s="360" t="str">
        <f t="shared" si="5"/>
        <v>ok</v>
      </c>
      <c r="AC192" s="360" t="str">
        <f>VLOOKUP(B192,labo!B:D,3,FALSE)</f>
        <v>ug3</v>
      </c>
      <c r="AD192" s="360" t="s">
        <v>2629</v>
      </c>
      <c r="AF192" s="330">
        <f>VLOOKUP(D192,'SUIVI JOURNALIER AVRIL'!CK:CL,2,FALSE)</f>
        <v>0</v>
      </c>
      <c r="AG192" s="360">
        <v>1</v>
      </c>
    </row>
    <row r="193" spans="1:33" s="360" customFormat="1" ht="13.5" customHeight="1">
      <c r="A193" s="324" t="s">
        <v>1802</v>
      </c>
      <c r="B193" s="325" t="s">
        <v>1518</v>
      </c>
      <c r="C193" s="325" t="s">
        <v>1519</v>
      </c>
      <c r="D193" s="325" t="s">
        <v>1520</v>
      </c>
      <c r="E193" s="324" t="s">
        <v>685</v>
      </c>
      <c r="F193" s="324" t="s">
        <v>2055</v>
      </c>
      <c r="G193" s="324" t="s">
        <v>926</v>
      </c>
      <c r="H193" s="324" t="s">
        <v>897</v>
      </c>
      <c r="I193" s="324" t="s">
        <v>1521</v>
      </c>
      <c r="J193" s="324" t="s">
        <v>1241</v>
      </c>
      <c r="K193" s="324" t="s">
        <v>890</v>
      </c>
      <c r="L193" s="324" t="s">
        <v>891</v>
      </c>
      <c r="M193" s="324" t="s">
        <v>892</v>
      </c>
      <c r="N193" s="324" t="s">
        <v>912</v>
      </c>
      <c r="O193" s="324" t="s">
        <v>1038</v>
      </c>
      <c r="P193" s="324" t="s">
        <v>1038</v>
      </c>
      <c r="Q193" s="324" t="s">
        <v>989</v>
      </c>
      <c r="R193" s="324" t="s">
        <v>684</v>
      </c>
      <c r="S193" s="356" t="s">
        <v>895</v>
      </c>
      <c r="T193" s="309"/>
      <c r="U193" s="357">
        <f>VLOOKUP(D193,'SUIVI JOURNALIER AVRIL'!CK:CM,3,FALSE)</f>
        <v>0</v>
      </c>
      <c r="V193" s="358" t="e">
        <f>IF(VLOOKUP('vs mars'!D193,'point sur les patentes'!B:E,4,FALSE)="","",VLOOKUP(D193,'point sur les patentes'!B:E,4,FALSE)+VLOOKUP(D193,'point sur les patentes'!B:F,5,FALSE)+VLOOKUP('vs mars'!D193,'point sur les patentes'!B:G,6,FALSE)+VLOOKUP('vs mars'!D193,'point sur les patentes'!B:H,7,FALSE)+VLOOKUP('vs mars'!D193,'point sur les patentes'!B:I,8,FALSE)+VLOOKUP(D193,'point sur les patentes'!B:J,9,FALSE)+VLOOKUP(D193,'point sur les patentes'!B:K,10,FALSE)+VLOOKUP(D193,'point sur les patentes'!B:L,11,FALSE)+VLOOKUP(D193,'point sur les patentes'!B:M,12,FALSE)+VLOOKUP(D193,'point sur les patentes'!B:N,13,FALSE)+VLOOKUP(D193,'point sur les patentes'!B:O,14,FALSE)+VLOOKUP(D193,'point sur les patentes'!B:P,15,FALSE)+VLOOKUP(D193,'point sur les patentes'!B:Q,16,FALSE)+VLOOKUP('vs mars'!D193,'point sur les patentes'!B:Z,25,FALSE))</f>
        <v>#N/A</v>
      </c>
      <c r="W193" s="340">
        <f>VLOOKUP(D193,'SUIVI JOURNALIER AVRIL'!B:J,9,FALSE)</f>
        <v>0</v>
      </c>
      <c r="X193" s="340">
        <f>VLOOKUP(D193,'SUIVI JOURNALIER AVRIL'!B:P,14,FALSE)+VLOOKUP('vs mars'!D193,'SUIVI JOURNALIER AVRIL'!B:V,20,FALSE)+VLOOKUP('vs mars'!D193,'SUIVI JOURNALIER AVRIL'!B:W,21,FALSE)</f>
        <v>0</v>
      </c>
      <c r="Y193" s="340">
        <f>VLOOKUP(D193,'SUIVI JOURNALIER AVRIL'!B:CC,80,FALSE)</f>
        <v>2715.818181818182</v>
      </c>
      <c r="Z193" s="340">
        <f t="shared" si="4"/>
        <v>2715.818181818182</v>
      </c>
      <c r="AA193" s="359">
        <f>VLOOKUP(D193,'SUIVI JOURNALIER AVRIL'!B:CD,81,FALSE)</f>
        <v>2715.818181818182</v>
      </c>
      <c r="AB193" s="360" t="str">
        <f t="shared" si="5"/>
        <v>ok</v>
      </c>
      <c r="AC193" s="360" t="str">
        <f>VLOOKUP(B193,labo!B:D,3,FALSE)</f>
        <v>ug3</v>
      </c>
      <c r="AD193" s="360" t="s">
        <v>2629</v>
      </c>
      <c r="AF193" s="330">
        <f>VLOOKUP(D193,'SUIVI JOURNALIER AVRIL'!CK:CL,2,FALSE)</f>
        <v>0</v>
      </c>
      <c r="AG193" s="360">
        <v>1</v>
      </c>
    </row>
    <row r="194" spans="1:33" s="360" customFormat="1" ht="13.5" customHeight="1">
      <c r="A194" s="324" t="s">
        <v>1803</v>
      </c>
      <c r="B194" s="325" t="s">
        <v>1899</v>
      </c>
      <c r="C194" s="325" t="s">
        <v>2055</v>
      </c>
      <c r="D194" s="325" t="s">
        <v>1587</v>
      </c>
      <c r="E194" s="324" t="s">
        <v>458</v>
      </c>
      <c r="F194" s="324" t="s">
        <v>2055</v>
      </c>
      <c r="G194" s="324" t="s">
        <v>887</v>
      </c>
      <c r="H194" s="324" t="s">
        <v>1772</v>
      </c>
      <c r="I194" s="324" t="s">
        <v>1773</v>
      </c>
      <c r="J194" s="324" t="s">
        <v>889</v>
      </c>
      <c r="K194" s="324" t="s">
        <v>890</v>
      </c>
      <c r="L194" s="324" t="s">
        <v>891</v>
      </c>
      <c r="M194" s="324" t="s">
        <v>892</v>
      </c>
      <c r="N194" s="324" t="s">
        <v>893</v>
      </c>
      <c r="O194" s="324" t="s">
        <v>919</v>
      </c>
      <c r="P194" s="324" t="s">
        <v>919</v>
      </c>
      <c r="Q194" s="324" t="s">
        <v>1774</v>
      </c>
      <c r="R194" s="324" t="s">
        <v>1774</v>
      </c>
      <c r="S194" s="356" t="s">
        <v>895</v>
      </c>
      <c r="T194" s="309" t="s">
        <v>957</v>
      </c>
      <c r="U194" s="357">
        <f>VLOOKUP(D194,'SUIVI JOURNALIER AVRIL'!CK:CM,3,FALSE)</f>
        <v>0</v>
      </c>
      <c r="V194" s="358" t="e">
        <f>IF(VLOOKUP('vs mars'!D194,'point sur les patentes'!B:E,4,FALSE)="","",VLOOKUP(D194,'point sur les patentes'!B:E,4,FALSE)+VLOOKUP(D194,'point sur les patentes'!B:F,5,FALSE)+VLOOKUP('vs mars'!D194,'point sur les patentes'!B:G,6,FALSE)+VLOOKUP('vs mars'!D194,'point sur les patentes'!B:H,7,FALSE)+VLOOKUP('vs mars'!D194,'point sur les patentes'!B:I,8,FALSE)+VLOOKUP(D194,'point sur les patentes'!B:J,9,FALSE)+VLOOKUP(D194,'point sur les patentes'!B:K,10,FALSE)+VLOOKUP(D194,'point sur les patentes'!B:L,11,FALSE)+VLOOKUP(D194,'point sur les patentes'!B:M,12,FALSE)+VLOOKUP(D194,'point sur les patentes'!B:N,13,FALSE)+VLOOKUP(D194,'point sur les patentes'!B:O,14,FALSE)+VLOOKUP(D194,'point sur les patentes'!B:P,15,FALSE)+VLOOKUP(D194,'point sur les patentes'!B:Q,16,FALSE)+VLOOKUP('vs mars'!D194,'point sur les patentes'!B:Z,25,FALSE))</f>
        <v>#N/A</v>
      </c>
      <c r="W194" s="340">
        <f>VLOOKUP(D194,'SUIVI JOURNALIER AVRIL'!B:J,9,FALSE)</f>
        <v>0</v>
      </c>
      <c r="X194" s="340">
        <f>VLOOKUP(D194,'SUIVI JOURNALIER AVRIL'!B:P,14,FALSE)+VLOOKUP('vs mars'!D194,'SUIVI JOURNALIER AVRIL'!B:V,20,FALSE)+VLOOKUP('vs mars'!D194,'SUIVI JOURNALIER AVRIL'!B:W,21,FALSE)</f>
        <v>0</v>
      </c>
      <c r="Y194" s="340">
        <f>VLOOKUP(D194,'SUIVI JOURNALIER AVRIL'!B:CC,80,FALSE)</f>
        <v>12363</v>
      </c>
      <c r="Z194" s="340">
        <f t="shared" si="4"/>
        <v>12363</v>
      </c>
      <c r="AA194" s="359">
        <f>VLOOKUP(D194,'SUIVI JOURNALIER AVRIL'!B:CD,81,FALSE)</f>
        <v>12363</v>
      </c>
      <c r="AB194" s="360" t="str">
        <f t="shared" si="5"/>
        <v>ok</v>
      </c>
      <c r="AC194" s="360" t="str">
        <f>VLOOKUP(B194,labo!B:D,3,FALSE)</f>
        <v>ug4</v>
      </c>
      <c r="AD194" s="360" t="s">
        <v>2629</v>
      </c>
      <c r="AF194" s="330">
        <f>VLOOKUP(D194,'SUIVI JOURNALIER AVRIL'!CK:CL,2,FALSE)</f>
        <v>0</v>
      </c>
      <c r="AG194" s="360">
        <v>1</v>
      </c>
    </row>
    <row r="195" spans="1:33" s="360" customFormat="1" ht="13.5" customHeight="1">
      <c r="A195" s="324" t="s">
        <v>1416</v>
      </c>
      <c r="B195" s="325" t="s">
        <v>688</v>
      </c>
      <c r="C195" s="325" t="s">
        <v>689</v>
      </c>
      <c r="D195" s="325" t="s">
        <v>690</v>
      </c>
      <c r="E195" s="324" t="s">
        <v>446</v>
      </c>
      <c r="F195" s="324" t="s">
        <v>2055</v>
      </c>
      <c r="G195" s="324" t="s">
        <v>887</v>
      </c>
      <c r="H195" s="324" t="s">
        <v>897</v>
      </c>
      <c r="I195" s="324" t="s">
        <v>1245</v>
      </c>
      <c r="J195" s="324" t="s">
        <v>889</v>
      </c>
      <c r="K195" s="324" t="s">
        <v>890</v>
      </c>
      <c r="L195" s="324" t="s">
        <v>891</v>
      </c>
      <c r="M195" s="324" t="s">
        <v>892</v>
      </c>
      <c r="N195" s="324" t="s">
        <v>954</v>
      </c>
      <c r="O195" s="324" t="s">
        <v>976</v>
      </c>
      <c r="P195" s="324" t="s">
        <v>976</v>
      </c>
      <c r="Q195" s="324" t="s">
        <v>1246</v>
      </c>
      <c r="R195" s="324" t="s">
        <v>1247</v>
      </c>
      <c r="S195" s="356" t="s">
        <v>895</v>
      </c>
      <c r="T195" s="309" t="s">
        <v>965</v>
      </c>
      <c r="U195" s="357">
        <f>VLOOKUP(D195,'SUIVI JOURNALIER AVRIL'!CK:CM,3,FALSE)</f>
        <v>0</v>
      </c>
      <c r="V195" s="358" t="e">
        <f>IF(VLOOKUP('vs mars'!D195,'point sur les patentes'!B:E,4,FALSE)="","",VLOOKUP(D195,'point sur les patentes'!B:E,4,FALSE)+VLOOKUP(D195,'point sur les patentes'!B:F,5,FALSE)+VLOOKUP('vs mars'!D195,'point sur les patentes'!B:G,6,FALSE)+VLOOKUP('vs mars'!D195,'point sur les patentes'!B:H,7,FALSE)+VLOOKUP('vs mars'!D195,'point sur les patentes'!B:I,8,FALSE)+VLOOKUP(D195,'point sur les patentes'!B:J,9,FALSE)+VLOOKUP(D195,'point sur les patentes'!B:K,10,FALSE)+VLOOKUP(D195,'point sur les patentes'!B:L,11,FALSE)+VLOOKUP(D195,'point sur les patentes'!B:M,12,FALSE)+VLOOKUP(D195,'point sur les patentes'!B:N,13,FALSE)+VLOOKUP(D195,'point sur les patentes'!B:O,14,FALSE)+VLOOKUP(D195,'point sur les patentes'!B:P,15,FALSE)+VLOOKUP(D195,'point sur les patentes'!B:Q,16,FALSE)+VLOOKUP('vs mars'!D195,'point sur les patentes'!B:Z,25,FALSE))</f>
        <v>#N/A</v>
      </c>
      <c r="W195" s="340">
        <f>VLOOKUP(D195,'SUIVI JOURNALIER AVRIL'!B:J,9,FALSE)</f>
        <v>0</v>
      </c>
      <c r="X195" s="340">
        <f>VLOOKUP(D195,'SUIVI JOURNALIER AVRIL'!B:P,14,FALSE)+VLOOKUP('vs mars'!D195,'SUIVI JOURNALIER AVRIL'!B:V,20,FALSE)+VLOOKUP('vs mars'!D195,'SUIVI JOURNALIER AVRIL'!B:W,21,FALSE)</f>
        <v>0</v>
      </c>
      <c r="Y195" s="340">
        <f>VLOOKUP(D195,'SUIVI JOURNALIER AVRIL'!B:CC,80,FALSE)</f>
        <v>0</v>
      </c>
      <c r="Z195" s="340">
        <f t="shared" si="4"/>
        <v>0</v>
      </c>
      <c r="AA195" s="359">
        <f>VLOOKUP(D195,'SUIVI JOURNALIER AVRIL'!B:CD,81,FALSE)</f>
        <v>0</v>
      </c>
      <c r="AB195" s="360" t="str">
        <f t="shared" si="5"/>
        <v>ok</v>
      </c>
      <c r="AC195" s="360" t="str">
        <f>VLOOKUP(B195,labo!B:D,3,FALSE)</f>
        <v>ug5</v>
      </c>
      <c r="AD195" s="360" t="s">
        <v>2629</v>
      </c>
      <c r="AF195" s="330">
        <f>VLOOKUP(D195,'SUIVI JOURNALIER AVRIL'!CK:CL,2,FALSE)</f>
        <v>0</v>
      </c>
      <c r="AG195" s="360">
        <v>1</v>
      </c>
    </row>
    <row r="196" spans="1:33" s="360" customFormat="1" ht="13.5" customHeight="1">
      <c r="A196" s="324" t="s">
        <v>1804</v>
      </c>
      <c r="B196" s="325" t="s">
        <v>314</v>
      </c>
      <c r="C196" s="325" t="s">
        <v>691</v>
      </c>
      <c r="D196" s="325" t="s">
        <v>692</v>
      </c>
      <c r="E196" s="324" t="s">
        <v>693</v>
      </c>
      <c r="F196" s="324" t="s">
        <v>2055</v>
      </c>
      <c r="G196" s="324" t="s">
        <v>926</v>
      </c>
      <c r="H196" s="324" t="s">
        <v>897</v>
      </c>
      <c r="I196" s="324" t="s">
        <v>1248</v>
      </c>
      <c r="J196" s="324" t="s">
        <v>940</v>
      </c>
      <c r="K196" s="324" t="s">
        <v>890</v>
      </c>
      <c r="L196" s="324" t="s">
        <v>891</v>
      </c>
      <c r="M196" s="324" t="s">
        <v>892</v>
      </c>
      <c r="N196" s="324" t="s">
        <v>893</v>
      </c>
      <c r="O196" s="324" t="s">
        <v>894</v>
      </c>
      <c r="P196" s="324" t="s">
        <v>899</v>
      </c>
      <c r="Q196" s="324" t="s">
        <v>985</v>
      </c>
      <c r="R196" s="324" t="s">
        <v>1249</v>
      </c>
      <c r="S196" s="356" t="s">
        <v>895</v>
      </c>
      <c r="T196" s="309" t="s">
        <v>957</v>
      </c>
      <c r="U196" s="357" t="e">
        <f>VLOOKUP(D196,'SUIVI JOURNALIER AVRIL'!CK:CM,3,FALSE)</f>
        <v>#N/A</v>
      </c>
      <c r="V196" s="358" t="e">
        <f>IF(VLOOKUP('vs mars'!D196,'point sur les patentes'!B:E,4,FALSE)="","",VLOOKUP(D196,'point sur les patentes'!B:E,4,FALSE)+VLOOKUP(D196,'point sur les patentes'!B:F,5,FALSE)+VLOOKUP('vs mars'!D196,'point sur les patentes'!B:G,6,FALSE)+VLOOKUP('vs mars'!D196,'point sur les patentes'!B:H,7,FALSE)+VLOOKUP('vs mars'!D196,'point sur les patentes'!B:I,8,FALSE)+VLOOKUP(D196,'point sur les patentes'!B:J,9,FALSE)+VLOOKUP(D196,'point sur les patentes'!B:K,10,FALSE)+VLOOKUP(D196,'point sur les patentes'!B:L,11,FALSE)+VLOOKUP(D196,'point sur les patentes'!B:M,12,FALSE)+VLOOKUP(D196,'point sur les patentes'!B:N,13,FALSE)+VLOOKUP(D196,'point sur les patentes'!B:O,14,FALSE)+VLOOKUP(D196,'point sur les patentes'!B:P,15,FALSE)+VLOOKUP(D196,'point sur les patentes'!B:Q,16,FALSE)+VLOOKUP('vs mars'!D196,'point sur les patentes'!B:Z,25,FALSE))</f>
        <v>#N/A</v>
      </c>
      <c r="W196" s="340" t="e">
        <f>VLOOKUP(D196,'SUIVI JOURNALIER AVRIL'!B:J,9,FALSE)</f>
        <v>#N/A</v>
      </c>
      <c r="X196" s="340" t="e">
        <f>VLOOKUP(D196,'SUIVI JOURNALIER AVRIL'!B:P,14,FALSE)+VLOOKUP('vs mars'!D196,'SUIVI JOURNALIER AVRIL'!B:V,20,FALSE)+VLOOKUP('vs mars'!D196,'SUIVI JOURNALIER AVRIL'!B:W,21,FALSE)</f>
        <v>#N/A</v>
      </c>
      <c r="Y196" s="340" t="e">
        <f>VLOOKUP(D196,'SUIVI JOURNALIER AVRIL'!B:CC,80,FALSE)</f>
        <v>#N/A</v>
      </c>
      <c r="Z196" s="340" t="e">
        <f t="shared" ref="Z196:Z259" si="6">W196+X196+Y196</f>
        <v>#N/A</v>
      </c>
      <c r="AA196" s="359" t="e">
        <f>VLOOKUP(D196,'SUIVI JOURNALIER AVRIL'!B:CD,81,FALSE)</f>
        <v>#N/A</v>
      </c>
      <c r="AB196" s="360" t="e">
        <f t="shared" ref="AB196:AB259" si="7">IF(Z196=AA196,"ok","revoir")</f>
        <v>#N/A</v>
      </c>
      <c r="AC196" s="360" t="str">
        <f>VLOOKUP(B196,labo!B:D,3,FALSE)</f>
        <v>ug5</v>
      </c>
      <c r="AD196" s="360" t="s">
        <v>2629</v>
      </c>
      <c r="AF196" s="330" t="e">
        <f>VLOOKUP(D196,'SUIVI JOURNALIER AVRIL'!CK:CL,2,FALSE)</f>
        <v>#N/A</v>
      </c>
      <c r="AG196" s="360">
        <v>1</v>
      </c>
    </row>
    <row r="197" spans="1:33" s="360" customFormat="1" ht="13.5" customHeight="1">
      <c r="A197" s="324" t="s">
        <v>1805</v>
      </c>
      <c r="B197" s="325" t="s">
        <v>694</v>
      </c>
      <c r="C197" s="325" t="s">
        <v>695</v>
      </c>
      <c r="D197" s="325" t="s">
        <v>696</v>
      </c>
      <c r="E197" s="324" t="s">
        <v>697</v>
      </c>
      <c r="F197" s="324" t="s">
        <v>2055</v>
      </c>
      <c r="G197" s="324" t="s">
        <v>887</v>
      </c>
      <c r="H197" s="324" t="s">
        <v>1522</v>
      </c>
      <c r="I197" s="324" t="s">
        <v>1523</v>
      </c>
      <c r="J197" s="324" t="s">
        <v>889</v>
      </c>
      <c r="K197" s="324" t="s">
        <v>890</v>
      </c>
      <c r="L197" s="324" t="s">
        <v>891</v>
      </c>
      <c r="M197" s="324" t="s">
        <v>892</v>
      </c>
      <c r="N197" s="324" t="s">
        <v>893</v>
      </c>
      <c r="O197" s="324" t="s">
        <v>894</v>
      </c>
      <c r="P197" s="324" t="s">
        <v>928</v>
      </c>
      <c r="Q197" s="324" t="s">
        <v>1250</v>
      </c>
      <c r="R197" s="324" t="s">
        <v>1251</v>
      </c>
      <c r="S197" s="356" t="s">
        <v>895</v>
      </c>
      <c r="T197" s="309" t="s">
        <v>1006</v>
      </c>
      <c r="U197" s="357" t="e">
        <f>VLOOKUP(D197,'SUIVI JOURNALIER AVRIL'!CK:CM,3,FALSE)</f>
        <v>#N/A</v>
      </c>
      <c r="V197" s="358" t="e">
        <f>IF(VLOOKUP('vs mars'!D197,'point sur les patentes'!B:E,4,FALSE)="","",VLOOKUP(D197,'point sur les patentes'!B:E,4,FALSE)+VLOOKUP(D197,'point sur les patentes'!B:F,5,FALSE)+VLOOKUP('vs mars'!D197,'point sur les patentes'!B:G,6,FALSE)+VLOOKUP('vs mars'!D197,'point sur les patentes'!B:H,7,FALSE)+VLOOKUP('vs mars'!D197,'point sur les patentes'!B:I,8,FALSE)+VLOOKUP(D197,'point sur les patentes'!B:J,9,FALSE)+VLOOKUP(D197,'point sur les patentes'!B:K,10,FALSE)+VLOOKUP(D197,'point sur les patentes'!B:L,11,FALSE)+VLOOKUP(D197,'point sur les patentes'!B:M,12,FALSE)+VLOOKUP(D197,'point sur les patentes'!B:N,13,FALSE)+VLOOKUP(D197,'point sur les patentes'!B:O,14,FALSE)+VLOOKUP(D197,'point sur les patentes'!B:P,15,FALSE)+VLOOKUP(D197,'point sur les patentes'!B:Q,16,FALSE)+VLOOKUP('vs mars'!D197,'point sur les patentes'!B:Z,25,FALSE))</f>
        <v>#N/A</v>
      </c>
      <c r="W197" s="340" t="e">
        <f>VLOOKUP(D197,'SUIVI JOURNALIER AVRIL'!B:J,9,FALSE)</f>
        <v>#N/A</v>
      </c>
      <c r="X197" s="340" t="e">
        <f>VLOOKUP(D197,'SUIVI JOURNALIER AVRIL'!B:P,14,FALSE)+VLOOKUP('vs mars'!D197,'SUIVI JOURNALIER AVRIL'!B:V,20,FALSE)+VLOOKUP('vs mars'!D197,'SUIVI JOURNALIER AVRIL'!B:W,21,FALSE)</f>
        <v>#N/A</v>
      </c>
      <c r="Y197" s="340" t="e">
        <f>VLOOKUP(D197,'SUIVI JOURNALIER AVRIL'!B:CC,80,FALSE)</f>
        <v>#N/A</v>
      </c>
      <c r="Z197" s="340" t="e">
        <f t="shared" si="6"/>
        <v>#N/A</v>
      </c>
      <c r="AA197" s="359" t="e">
        <f>VLOOKUP(D197,'SUIVI JOURNALIER AVRIL'!B:CD,81,FALSE)</f>
        <v>#N/A</v>
      </c>
      <c r="AB197" s="360" t="e">
        <f t="shared" si="7"/>
        <v>#N/A</v>
      </c>
      <c r="AC197" s="360" t="str">
        <f>VLOOKUP(B197,labo!B:D,3,FALSE)</f>
        <v>ug5</v>
      </c>
      <c r="AD197" s="360" t="s">
        <v>2629</v>
      </c>
      <c r="AF197" s="330" t="e">
        <f>VLOOKUP(D197,'SUIVI JOURNALIER AVRIL'!CK:CL,2,FALSE)</f>
        <v>#N/A</v>
      </c>
      <c r="AG197" s="360">
        <v>1</v>
      </c>
    </row>
    <row r="198" spans="1:33" s="360" customFormat="1" ht="13.5" customHeight="1">
      <c r="A198" s="324" t="s">
        <v>1806</v>
      </c>
      <c r="B198" s="325" t="s">
        <v>2344</v>
      </c>
      <c r="C198" s="325" t="s">
        <v>2524</v>
      </c>
      <c r="D198" s="325" t="s">
        <v>2525</v>
      </c>
      <c r="E198" s="324" t="s">
        <v>432</v>
      </c>
      <c r="F198" s="324" t="s">
        <v>2055</v>
      </c>
      <c r="G198" s="324" t="s">
        <v>887</v>
      </c>
      <c r="H198" s="324" t="s">
        <v>897</v>
      </c>
      <c r="I198" s="324" t="s">
        <v>2055</v>
      </c>
      <c r="J198" s="324" t="s">
        <v>2481</v>
      </c>
      <c r="K198" s="324" t="s">
        <v>2405</v>
      </c>
      <c r="L198" s="324" t="s">
        <v>891</v>
      </c>
      <c r="M198" s="324" t="s">
        <v>892</v>
      </c>
      <c r="N198" s="324" t="s">
        <v>893</v>
      </c>
      <c r="O198" s="324" t="s">
        <v>923</v>
      </c>
      <c r="P198" s="324" t="s">
        <v>923</v>
      </c>
      <c r="Q198" s="324" t="s">
        <v>1172</v>
      </c>
      <c r="R198" s="324" t="s">
        <v>1172</v>
      </c>
      <c r="S198" s="356" t="s">
        <v>895</v>
      </c>
      <c r="T198" s="309" t="s">
        <v>957</v>
      </c>
      <c r="U198" s="357" t="e">
        <f>VLOOKUP(D198,'SUIVI JOURNALIER AVRIL'!CK:CM,3,FALSE)</f>
        <v>#N/A</v>
      </c>
      <c r="V198" s="358" t="e">
        <f>IF(VLOOKUP('vs mars'!D198,'point sur les patentes'!B:E,4,FALSE)="","",VLOOKUP(D198,'point sur les patentes'!B:E,4,FALSE)+VLOOKUP(D198,'point sur les patentes'!B:F,5,FALSE)+VLOOKUP('vs mars'!D198,'point sur les patentes'!B:G,6,FALSE)+VLOOKUP('vs mars'!D198,'point sur les patentes'!B:H,7,FALSE)+VLOOKUP('vs mars'!D198,'point sur les patentes'!B:I,8,FALSE)+VLOOKUP(D198,'point sur les patentes'!B:J,9,FALSE)+VLOOKUP(D198,'point sur les patentes'!B:K,10,FALSE)+VLOOKUP(D198,'point sur les patentes'!B:L,11,FALSE)+VLOOKUP(D198,'point sur les patentes'!B:M,12,FALSE)+VLOOKUP(D198,'point sur les patentes'!B:N,13,FALSE)+VLOOKUP(D198,'point sur les patentes'!B:O,14,FALSE)+VLOOKUP(D198,'point sur les patentes'!B:P,15,FALSE)+VLOOKUP(D198,'point sur les patentes'!B:Q,16,FALSE)+VLOOKUP('vs mars'!D198,'point sur les patentes'!B:Z,25,FALSE))</f>
        <v>#N/A</v>
      </c>
      <c r="W198" s="340" t="e">
        <f>VLOOKUP(D198,'SUIVI JOURNALIER AVRIL'!B:J,9,FALSE)</f>
        <v>#N/A</v>
      </c>
      <c r="X198" s="340" t="e">
        <f>VLOOKUP(D198,'SUIVI JOURNALIER AVRIL'!B:P,14,FALSE)+VLOOKUP('vs mars'!D198,'SUIVI JOURNALIER AVRIL'!B:V,20,FALSE)+VLOOKUP('vs mars'!D198,'SUIVI JOURNALIER AVRIL'!B:W,21,FALSE)</f>
        <v>#N/A</v>
      </c>
      <c r="Y198" s="340" t="e">
        <f>VLOOKUP(D198,'SUIVI JOURNALIER AVRIL'!B:CC,80,FALSE)</f>
        <v>#N/A</v>
      </c>
      <c r="Z198" s="340" t="e">
        <f t="shared" si="6"/>
        <v>#N/A</v>
      </c>
      <c r="AA198" s="359" t="e">
        <f>VLOOKUP(D198,'SUIVI JOURNALIER AVRIL'!B:CD,81,FALSE)</f>
        <v>#N/A</v>
      </c>
      <c r="AB198" s="360" t="e">
        <f t="shared" si="7"/>
        <v>#N/A</v>
      </c>
      <c r="AC198" s="360" t="str">
        <f>VLOOKUP(B198,labo!B:D,3,FALSE)</f>
        <v>ug2</v>
      </c>
      <c r="AD198" s="360" t="s">
        <v>2630</v>
      </c>
      <c r="AF198" s="330" t="e">
        <f>VLOOKUP(D198,'SUIVI JOURNALIER AVRIL'!CK:CL,2,FALSE)</f>
        <v>#N/A</v>
      </c>
      <c r="AG198" s="360">
        <v>1</v>
      </c>
    </row>
    <row r="199" spans="1:33" s="360" customFormat="1" ht="13.5" customHeight="1">
      <c r="A199" s="324" t="s">
        <v>1807</v>
      </c>
      <c r="B199" s="325" t="s">
        <v>2345</v>
      </c>
      <c r="C199" s="325" t="s">
        <v>2526</v>
      </c>
      <c r="D199" s="325" t="s">
        <v>2144</v>
      </c>
      <c r="E199" s="324" t="s">
        <v>733</v>
      </c>
      <c r="F199" s="324" t="s">
        <v>2055</v>
      </c>
      <c r="G199" s="324" t="s">
        <v>887</v>
      </c>
      <c r="H199" s="324" t="s">
        <v>2055</v>
      </c>
      <c r="I199" s="324" t="s">
        <v>2055</v>
      </c>
      <c r="J199" s="324" t="s">
        <v>2055</v>
      </c>
      <c r="K199" s="324" t="s">
        <v>2405</v>
      </c>
      <c r="L199" s="324" t="s">
        <v>891</v>
      </c>
      <c r="M199" s="324" t="s">
        <v>892</v>
      </c>
      <c r="N199" s="324" t="s">
        <v>893</v>
      </c>
      <c r="O199" s="324" t="s">
        <v>894</v>
      </c>
      <c r="P199" s="324" t="s">
        <v>919</v>
      </c>
      <c r="Q199" s="324" t="s">
        <v>2489</v>
      </c>
      <c r="R199" s="324" t="s">
        <v>2055</v>
      </c>
      <c r="S199" s="356" t="s">
        <v>895</v>
      </c>
      <c r="T199" s="309" t="s">
        <v>1191</v>
      </c>
      <c r="U199" s="357" t="e">
        <f>VLOOKUP(D199,'SUIVI JOURNALIER AVRIL'!CK:CM,3,FALSE)</f>
        <v>#N/A</v>
      </c>
      <c r="V199" s="358" t="e">
        <f>IF(VLOOKUP('vs mars'!D199,'point sur les patentes'!B:E,4,FALSE)="","",VLOOKUP(D199,'point sur les patentes'!B:E,4,FALSE)+VLOOKUP(D199,'point sur les patentes'!B:F,5,FALSE)+VLOOKUP('vs mars'!D199,'point sur les patentes'!B:G,6,FALSE)+VLOOKUP('vs mars'!D199,'point sur les patentes'!B:H,7,FALSE)+VLOOKUP('vs mars'!D199,'point sur les patentes'!B:I,8,FALSE)+VLOOKUP(D199,'point sur les patentes'!B:J,9,FALSE)+VLOOKUP(D199,'point sur les patentes'!B:K,10,FALSE)+VLOOKUP(D199,'point sur les patentes'!B:L,11,FALSE)+VLOOKUP(D199,'point sur les patentes'!B:M,12,FALSE)+VLOOKUP(D199,'point sur les patentes'!B:N,13,FALSE)+VLOOKUP(D199,'point sur les patentes'!B:O,14,FALSE)+VLOOKUP(D199,'point sur les patentes'!B:P,15,FALSE)+VLOOKUP(D199,'point sur les patentes'!B:Q,16,FALSE)+VLOOKUP('vs mars'!D199,'point sur les patentes'!B:Z,25,FALSE))</f>
        <v>#N/A</v>
      </c>
      <c r="W199" s="340" t="e">
        <f>VLOOKUP(D199,'SUIVI JOURNALIER AVRIL'!B:J,9,FALSE)</f>
        <v>#N/A</v>
      </c>
      <c r="X199" s="340" t="e">
        <f>VLOOKUP(D199,'SUIVI JOURNALIER AVRIL'!B:P,14,FALSE)+VLOOKUP('vs mars'!D199,'SUIVI JOURNALIER AVRIL'!B:V,20,FALSE)+VLOOKUP('vs mars'!D199,'SUIVI JOURNALIER AVRIL'!B:W,21,FALSE)</f>
        <v>#N/A</v>
      </c>
      <c r="Y199" s="340" t="e">
        <f>VLOOKUP(D199,'SUIVI JOURNALIER AVRIL'!B:CC,80,FALSE)</f>
        <v>#N/A</v>
      </c>
      <c r="Z199" s="340" t="e">
        <f t="shared" si="6"/>
        <v>#N/A</v>
      </c>
      <c r="AA199" s="359" t="e">
        <f>VLOOKUP(D199,'SUIVI JOURNALIER AVRIL'!B:CD,81,FALSE)</f>
        <v>#N/A</v>
      </c>
      <c r="AB199" s="360" t="e">
        <f t="shared" si="7"/>
        <v>#N/A</v>
      </c>
      <c r="AC199" s="360" t="str">
        <f>VLOOKUP(B199,labo!B:D,3,FALSE)</f>
        <v>ug1</v>
      </c>
      <c r="AD199" s="360" t="s">
        <v>2629</v>
      </c>
      <c r="AF199" s="330" t="e">
        <f>VLOOKUP(D199,'SUIVI JOURNALIER AVRIL'!CK:CL,2,FALSE)</f>
        <v>#N/A</v>
      </c>
      <c r="AG199" s="360">
        <v>1</v>
      </c>
    </row>
    <row r="200" spans="1:33" s="360" customFormat="1" ht="13.5" customHeight="1">
      <c r="A200" s="324" t="s">
        <v>1808</v>
      </c>
      <c r="B200" s="325" t="s">
        <v>307</v>
      </c>
      <c r="C200" s="325" t="s">
        <v>698</v>
      </c>
      <c r="D200" s="325" t="s">
        <v>699</v>
      </c>
      <c r="E200" s="324" t="s">
        <v>700</v>
      </c>
      <c r="F200" s="324" t="s">
        <v>2055</v>
      </c>
      <c r="G200" s="324" t="s">
        <v>887</v>
      </c>
      <c r="H200" s="324" t="s">
        <v>897</v>
      </c>
      <c r="I200" s="324" t="s">
        <v>1252</v>
      </c>
      <c r="J200" s="324" t="s">
        <v>889</v>
      </c>
      <c r="K200" s="324" t="s">
        <v>890</v>
      </c>
      <c r="L200" s="324" t="s">
        <v>891</v>
      </c>
      <c r="M200" s="324" t="s">
        <v>892</v>
      </c>
      <c r="N200" s="324" t="s">
        <v>893</v>
      </c>
      <c r="O200" s="324" t="s">
        <v>923</v>
      </c>
      <c r="P200" s="324" t="s">
        <v>923</v>
      </c>
      <c r="Q200" s="324" t="s">
        <v>1253</v>
      </c>
      <c r="R200" s="324" t="s">
        <v>1254</v>
      </c>
      <c r="S200" s="356" t="s">
        <v>895</v>
      </c>
      <c r="T200" s="309" t="s">
        <v>1089</v>
      </c>
      <c r="U200" s="357">
        <f>VLOOKUP(D200,'SUIVI JOURNALIER AVRIL'!CK:CM,3,FALSE)</f>
        <v>0</v>
      </c>
      <c r="V200" s="358" t="e">
        <f>IF(VLOOKUP('vs mars'!D200,'point sur les patentes'!B:E,4,FALSE)="","",VLOOKUP(D200,'point sur les patentes'!B:E,4,FALSE)+VLOOKUP(D200,'point sur les patentes'!B:F,5,FALSE)+VLOOKUP('vs mars'!D200,'point sur les patentes'!B:G,6,FALSE)+VLOOKUP('vs mars'!D200,'point sur les patentes'!B:H,7,FALSE)+VLOOKUP('vs mars'!D200,'point sur les patentes'!B:I,8,FALSE)+VLOOKUP(D200,'point sur les patentes'!B:J,9,FALSE)+VLOOKUP(D200,'point sur les patentes'!B:K,10,FALSE)+VLOOKUP(D200,'point sur les patentes'!B:L,11,FALSE)+VLOOKUP(D200,'point sur les patentes'!B:M,12,FALSE)+VLOOKUP(D200,'point sur les patentes'!B:N,13,FALSE)+VLOOKUP(D200,'point sur les patentes'!B:O,14,FALSE)+VLOOKUP(D200,'point sur les patentes'!B:P,15,FALSE)+VLOOKUP(D200,'point sur les patentes'!B:Q,16,FALSE)+VLOOKUP('vs mars'!D200,'point sur les patentes'!B:Z,25,FALSE))</f>
        <v>#N/A</v>
      </c>
      <c r="W200" s="340">
        <f>VLOOKUP(D200,'SUIVI JOURNALIER AVRIL'!B:J,9,FALSE)</f>
        <v>19677</v>
      </c>
      <c r="X200" s="340">
        <f>VLOOKUP(D200,'SUIVI JOURNALIER AVRIL'!B:P,14,FALSE)+VLOOKUP('vs mars'!D200,'SUIVI JOURNALIER AVRIL'!B:V,20,FALSE)+VLOOKUP('vs mars'!D200,'SUIVI JOURNALIER AVRIL'!B:W,21,FALSE)</f>
        <v>58347</v>
      </c>
      <c r="Y200" s="340">
        <f>VLOOKUP(D200,'SUIVI JOURNALIER AVRIL'!B:CC,80,FALSE)</f>
        <v>8111</v>
      </c>
      <c r="Z200" s="340">
        <f t="shared" si="6"/>
        <v>86135</v>
      </c>
      <c r="AA200" s="359">
        <f>VLOOKUP(D200,'SUIVI JOURNALIER AVRIL'!B:CD,81,FALSE)</f>
        <v>86135</v>
      </c>
      <c r="AB200" s="360" t="str">
        <f t="shared" si="7"/>
        <v>ok</v>
      </c>
      <c r="AC200" s="360" t="str">
        <f>VLOOKUP(B200,labo!B:D,3,FALSE)</f>
        <v>ug2</v>
      </c>
      <c r="AD200" s="360" t="s">
        <v>2629</v>
      </c>
      <c r="AF200" s="330">
        <f>VLOOKUP(D200,'SUIVI JOURNALIER AVRIL'!CK:CL,2,FALSE)</f>
        <v>0</v>
      </c>
      <c r="AG200" s="360">
        <v>1</v>
      </c>
    </row>
    <row r="201" spans="1:33" s="360" customFormat="1" ht="13.5" customHeight="1">
      <c r="A201" s="324" t="s">
        <v>1809</v>
      </c>
      <c r="B201" s="325" t="s">
        <v>701</v>
      </c>
      <c r="C201" s="325" t="s">
        <v>2055</v>
      </c>
      <c r="D201" s="325" t="s">
        <v>702</v>
      </c>
      <c r="E201" s="324" t="s">
        <v>542</v>
      </c>
      <c r="F201" s="324" t="s">
        <v>2055</v>
      </c>
      <c r="G201" s="324" t="s">
        <v>887</v>
      </c>
      <c r="H201" s="324" t="s">
        <v>1255</v>
      </c>
      <c r="I201" s="324" t="s">
        <v>1256</v>
      </c>
      <c r="J201" s="324" t="s">
        <v>889</v>
      </c>
      <c r="K201" s="324" t="s">
        <v>890</v>
      </c>
      <c r="L201" s="324" t="s">
        <v>891</v>
      </c>
      <c r="M201" s="324" t="s">
        <v>892</v>
      </c>
      <c r="N201" s="324" t="s">
        <v>893</v>
      </c>
      <c r="O201" s="324" t="s">
        <v>894</v>
      </c>
      <c r="P201" s="324" t="s">
        <v>935</v>
      </c>
      <c r="Q201" s="324" t="s">
        <v>1257</v>
      </c>
      <c r="R201" s="324" t="s">
        <v>1258</v>
      </c>
      <c r="S201" s="356" t="s">
        <v>895</v>
      </c>
      <c r="T201" s="309" t="s">
        <v>965</v>
      </c>
      <c r="U201" s="357">
        <f>VLOOKUP(D201,'SUIVI JOURNALIER AVRIL'!CK:CM,3,FALSE)</f>
        <v>0</v>
      </c>
      <c r="V201" s="358" t="e">
        <f>IF(VLOOKUP('vs mars'!D201,'point sur les patentes'!B:E,4,FALSE)="","",VLOOKUP(D201,'point sur les patentes'!B:E,4,FALSE)+VLOOKUP(D201,'point sur les patentes'!B:F,5,FALSE)+VLOOKUP('vs mars'!D201,'point sur les patentes'!B:G,6,FALSE)+VLOOKUP('vs mars'!D201,'point sur les patentes'!B:H,7,FALSE)+VLOOKUP('vs mars'!D201,'point sur les patentes'!B:I,8,FALSE)+VLOOKUP(D201,'point sur les patentes'!B:J,9,FALSE)+VLOOKUP(D201,'point sur les patentes'!B:K,10,FALSE)+VLOOKUP(D201,'point sur les patentes'!B:L,11,FALSE)+VLOOKUP(D201,'point sur les patentes'!B:M,12,FALSE)+VLOOKUP(D201,'point sur les patentes'!B:N,13,FALSE)+VLOOKUP(D201,'point sur les patentes'!B:O,14,FALSE)+VLOOKUP(D201,'point sur les patentes'!B:P,15,FALSE)+VLOOKUP(D201,'point sur les patentes'!B:Q,16,FALSE)+VLOOKUP('vs mars'!D201,'point sur les patentes'!B:Z,25,FALSE))</f>
        <v>#N/A</v>
      </c>
      <c r="W201" s="340">
        <f>VLOOKUP(D201,'SUIVI JOURNALIER AVRIL'!B:J,9,FALSE)</f>
        <v>26383</v>
      </c>
      <c r="X201" s="340">
        <f>VLOOKUP(D201,'SUIVI JOURNALIER AVRIL'!B:P,14,FALSE)+VLOOKUP('vs mars'!D201,'SUIVI JOURNALIER AVRIL'!B:V,20,FALSE)+VLOOKUP('vs mars'!D201,'SUIVI JOURNALIER AVRIL'!B:W,21,FALSE)</f>
        <v>5213</v>
      </c>
      <c r="Y201" s="340">
        <f>VLOOKUP(D201,'SUIVI JOURNALIER AVRIL'!B:CC,80,FALSE)</f>
        <v>0</v>
      </c>
      <c r="Z201" s="340">
        <f t="shared" si="6"/>
        <v>31596</v>
      </c>
      <c r="AA201" s="359">
        <f>VLOOKUP(D201,'SUIVI JOURNALIER AVRIL'!B:CD,81,FALSE)</f>
        <v>31596</v>
      </c>
      <c r="AB201" s="360" t="str">
        <f t="shared" si="7"/>
        <v>ok</v>
      </c>
      <c r="AC201" s="360" t="str">
        <f>VLOOKUP(B201,labo!B:D,3,FALSE)</f>
        <v>ug2</v>
      </c>
      <c r="AD201" s="360" t="s">
        <v>2629</v>
      </c>
      <c r="AF201" s="330">
        <f>VLOOKUP(D201,'SUIVI JOURNALIER AVRIL'!CK:CL,2,FALSE)</f>
        <v>0</v>
      </c>
      <c r="AG201" s="360">
        <v>1</v>
      </c>
    </row>
    <row r="202" spans="1:33" s="360" customFormat="1" ht="13.5" customHeight="1">
      <c r="A202" s="324" t="s">
        <v>1810</v>
      </c>
      <c r="B202" s="325" t="s">
        <v>2087</v>
      </c>
      <c r="C202" s="325" t="s">
        <v>2088</v>
      </c>
      <c r="D202" s="325" t="s">
        <v>2089</v>
      </c>
      <c r="E202" s="324" t="s">
        <v>1543</v>
      </c>
      <c r="F202" s="324" t="s">
        <v>2055</v>
      </c>
      <c r="G202" s="324" t="s">
        <v>887</v>
      </c>
      <c r="H202" s="324" t="s">
        <v>897</v>
      </c>
      <c r="I202" s="324" t="s">
        <v>2090</v>
      </c>
      <c r="J202" s="324" t="s">
        <v>2050</v>
      </c>
      <c r="K202" s="324" t="s">
        <v>890</v>
      </c>
      <c r="L202" s="324" t="s">
        <v>891</v>
      </c>
      <c r="M202" s="324" t="s">
        <v>892</v>
      </c>
      <c r="N202" s="324" t="s">
        <v>893</v>
      </c>
      <c r="O202" s="324" t="s">
        <v>894</v>
      </c>
      <c r="P202" s="324" t="s">
        <v>899</v>
      </c>
      <c r="Q202" s="324" t="s">
        <v>2091</v>
      </c>
      <c r="R202" s="324" t="s">
        <v>2091</v>
      </c>
      <c r="S202" s="356" t="s">
        <v>895</v>
      </c>
      <c r="T202" s="309" t="s">
        <v>944</v>
      </c>
      <c r="U202" s="357">
        <f>VLOOKUP(D202,'SUIVI JOURNALIER AVRIL'!CK:CM,3,FALSE)</f>
        <v>0</v>
      </c>
      <c r="V202" s="358" t="e">
        <f>IF(VLOOKUP('vs mars'!D202,'point sur les patentes'!B:E,4,FALSE)="","",VLOOKUP(D202,'point sur les patentes'!B:E,4,FALSE)+VLOOKUP(D202,'point sur les patentes'!B:F,5,FALSE)+VLOOKUP('vs mars'!D202,'point sur les patentes'!B:G,6,FALSE)+VLOOKUP('vs mars'!D202,'point sur les patentes'!B:H,7,FALSE)+VLOOKUP('vs mars'!D202,'point sur les patentes'!B:I,8,FALSE)+VLOOKUP(D202,'point sur les patentes'!B:J,9,FALSE)+VLOOKUP(D202,'point sur les patentes'!B:K,10,FALSE)+VLOOKUP(D202,'point sur les patentes'!B:L,11,FALSE)+VLOOKUP(D202,'point sur les patentes'!B:M,12,FALSE)+VLOOKUP(D202,'point sur les patentes'!B:N,13,FALSE)+VLOOKUP(D202,'point sur les patentes'!B:O,14,FALSE)+VLOOKUP(D202,'point sur les patentes'!B:P,15,FALSE)+VLOOKUP(D202,'point sur les patentes'!B:Q,16,FALSE)+VLOOKUP('vs mars'!D202,'point sur les patentes'!B:Z,25,FALSE))</f>
        <v>#N/A</v>
      </c>
      <c r="W202" s="340">
        <f>VLOOKUP(D202,'SUIVI JOURNALIER AVRIL'!B:J,9,FALSE)</f>
        <v>0</v>
      </c>
      <c r="X202" s="340">
        <f>VLOOKUP(D202,'SUIVI JOURNALIER AVRIL'!B:P,14,FALSE)+VLOOKUP('vs mars'!D202,'SUIVI JOURNALIER AVRIL'!B:V,20,FALSE)+VLOOKUP('vs mars'!D202,'SUIVI JOURNALIER AVRIL'!B:W,21,FALSE)</f>
        <v>0</v>
      </c>
      <c r="Y202" s="340">
        <f>VLOOKUP(D202,'SUIVI JOURNALIER AVRIL'!B:CC,80,FALSE)</f>
        <v>22000</v>
      </c>
      <c r="Z202" s="340">
        <f t="shared" si="6"/>
        <v>22000</v>
      </c>
      <c r="AA202" s="359">
        <f>VLOOKUP(D202,'SUIVI JOURNALIER AVRIL'!B:CD,81,FALSE)</f>
        <v>22000</v>
      </c>
      <c r="AB202" s="360" t="str">
        <f t="shared" si="7"/>
        <v>ok</v>
      </c>
      <c r="AC202" s="360" t="str">
        <f>VLOOKUP(B202,labo!B:D,3,FALSE)</f>
        <v>ug4</v>
      </c>
      <c r="AD202" s="360" t="s">
        <v>2629</v>
      </c>
      <c r="AF202" s="330">
        <f>VLOOKUP(D202,'SUIVI JOURNALIER AVRIL'!CK:CL,2,FALSE)</f>
        <v>0</v>
      </c>
      <c r="AG202" s="360">
        <v>1</v>
      </c>
    </row>
    <row r="203" spans="1:33" s="360" customFormat="1" ht="13.5" customHeight="1">
      <c r="A203" s="324" t="s">
        <v>1811</v>
      </c>
      <c r="B203" s="325" t="s">
        <v>323</v>
      </c>
      <c r="C203" s="325" t="s">
        <v>703</v>
      </c>
      <c r="D203" s="325" t="s">
        <v>704</v>
      </c>
      <c r="E203" s="324" t="s">
        <v>422</v>
      </c>
      <c r="F203" s="324" t="s">
        <v>2055</v>
      </c>
      <c r="G203" s="324" t="s">
        <v>887</v>
      </c>
      <c r="H203" s="324" t="s">
        <v>897</v>
      </c>
      <c r="I203" s="324" t="s">
        <v>918</v>
      </c>
      <c r="J203" s="324" t="s">
        <v>889</v>
      </c>
      <c r="K203" s="324" t="s">
        <v>890</v>
      </c>
      <c r="L203" s="324" t="s">
        <v>891</v>
      </c>
      <c r="M203" s="324" t="s">
        <v>892</v>
      </c>
      <c r="N203" s="324" t="s">
        <v>893</v>
      </c>
      <c r="O203" s="324" t="s">
        <v>894</v>
      </c>
      <c r="P203" s="324" t="s">
        <v>899</v>
      </c>
      <c r="Q203" s="324" t="s">
        <v>900</v>
      </c>
      <c r="R203" s="324" t="s">
        <v>1259</v>
      </c>
      <c r="S203" s="356" t="s">
        <v>895</v>
      </c>
      <c r="T203" s="309" t="s">
        <v>953</v>
      </c>
      <c r="U203" s="357" t="e">
        <f>VLOOKUP(D203,'SUIVI JOURNALIER AVRIL'!CK:CM,3,FALSE)</f>
        <v>#N/A</v>
      </c>
      <c r="V203" s="358" t="e">
        <f>IF(VLOOKUP('vs mars'!D203,'point sur les patentes'!B:E,4,FALSE)="","",VLOOKUP(D203,'point sur les patentes'!B:E,4,FALSE)+VLOOKUP(D203,'point sur les patentes'!B:F,5,FALSE)+VLOOKUP('vs mars'!D203,'point sur les patentes'!B:G,6,FALSE)+VLOOKUP('vs mars'!D203,'point sur les patentes'!B:H,7,FALSE)+VLOOKUP('vs mars'!D203,'point sur les patentes'!B:I,8,FALSE)+VLOOKUP(D203,'point sur les patentes'!B:J,9,FALSE)+VLOOKUP(D203,'point sur les patentes'!B:K,10,FALSE)+VLOOKUP(D203,'point sur les patentes'!B:L,11,FALSE)+VLOOKUP(D203,'point sur les patentes'!B:M,12,FALSE)+VLOOKUP(D203,'point sur les patentes'!B:N,13,FALSE)+VLOOKUP(D203,'point sur les patentes'!B:O,14,FALSE)+VLOOKUP(D203,'point sur les patentes'!B:P,15,FALSE)+VLOOKUP(D203,'point sur les patentes'!B:Q,16,FALSE)+VLOOKUP('vs mars'!D203,'point sur les patentes'!B:Z,25,FALSE))</f>
        <v>#N/A</v>
      </c>
      <c r="W203" s="340" t="e">
        <f>VLOOKUP(D203,'SUIVI JOURNALIER AVRIL'!B:J,9,FALSE)</f>
        <v>#N/A</v>
      </c>
      <c r="X203" s="340" t="e">
        <f>VLOOKUP(D203,'SUIVI JOURNALIER AVRIL'!B:P,14,FALSE)+VLOOKUP('vs mars'!D203,'SUIVI JOURNALIER AVRIL'!B:V,20,FALSE)+VLOOKUP('vs mars'!D203,'SUIVI JOURNALIER AVRIL'!B:W,21,FALSE)</f>
        <v>#N/A</v>
      </c>
      <c r="Y203" s="340" t="e">
        <f>VLOOKUP(D203,'SUIVI JOURNALIER AVRIL'!B:CC,80,FALSE)</f>
        <v>#N/A</v>
      </c>
      <c r="Z203" s="340" t="e">
        <f t="shared" si="6"/>
        <v>#N/A</v>
      </c>
      <c r="AA203" s="359" t="e">
        <f>VLOOKUP(D203,'SUIVI JOURNALIER AVRIL'!B:CD,81,FALSE)</f>
        <v>#N/A</v>
      </c>
      <c r="AB203" s="360" t="e">
        <f t="shared" si="7"/>
        <v>#N/A</v>
      </c>
      <c r="AC203" s="360" t="str">
        <f>VLOOKUP(B203,labo!B:D,3,FALSE)</f>
        <v>ug4</v>
      </c>
      <c r="AD203" s="360" t="s">
        <v>2629</v>
      </c>
      <c r="AF203" s="330" t="e">
        <f>VLOOKUP(D203,'SUIVI JOURNALIER AVRIL'!CK:CL,2,FALSE)</f>
        <v>#N/A</v>
      </c>
      <c r="AG203" s="360">
        <v>1</v>
      </c>
    </row>
    <row r="204" spans="1:33" s="360" customFormat="1" ht="13.5" customHeight="1">
      <c r="A204" s="324" t="s">
        <v>1812</v>
      </c>
      <c r="B204" s="325" t="s">
        <v>705</v>
      </c>
      <c r="C204" s="325" t="s">
        <v>706</v>
      </c>
      <c r="D204" s="325" t="s">
        <v>707</v>
      </c>
      <c r="E204" s="324" t="s">
        <v>708</v>
      </c>
      <c r="F204" s="324" t="s">
        <v>2055</v>
      </c>
      <c r="G204" s="324" t="s">
        <v>887</v>
      </c>
      <c r="H204" s="324" t="s">
        <v>897</v>
      </c>
      <c r="I204" s="324" t="s">
        <v>1260</v>
      </c>
      <c r="J204" s="324" t="s">
        <v>889</v>
      </c>
      <c r="K204" s="324" t="s">
        <v>890</v>
      </c>
      <c r="L204" s="324" t="s">
        <v>891</v>
      </c>
      <c r="M204" s="324" t="s">
        <v>892</v>
      </c>
      <c r="N204" s="324" t="s">
        <v>893</v>
      </c>
      <c r="O204" s="324" t="s">
        <v>894</v>
      </c>
      <c r="P204" s="324" t="s">
        <v>899</v>
      </c>
      <c r="Q204" s="324" t="s">
        <v>1261</v>
      </c>
      <c r="R204" s="324" t="s">
        <v>1262</v>
      </c>
      <c r="S204" s="356" t="s">
        <v>895</v>
      </c>
      <c r="T204" s="309" t="s">
        <v>909</v>
      </c>
      <c r="U204" s="357" t="e">
        <f>VLOOKUP(D204,'SUIVI JOURNALIER AVRIL'!CK:CM,3,FALSE)</f>
        <v>#N/A</v>
      </c>
      <c r="V204" s="358" t="e">
        <f>IF(VLOOKUP('vs mars'!D204,'point sur les patentes'!B:E,4,FALSE)="","",VLOOKUP(D204,'point sur les patentes'!B:E,4,FALSE)+VLOOKUP(D204,'point sur les patentes'!B:F,5,FALSE)+VLOOKUP('vs mars'!D204,'point sur les patentes'!B:G,6,FALSE)+VLOOKUP('vs mars'!D204,'point sur les patentes'!B:H,7,FALSE)+VLOOKUP('vs mars'!D204,'point sur les patentes'!B:I,8,FALSE)+VLOOKUP(D204,'point sur les patentes'!B:J,9,FALSE)+VLOOKUP(D204,'point sur les patentes'!B:K,10,FALSE)+VLOOKUP(D204,'point sur les patentes'!B:L,11,FALSE)+VLOOKUP(D204,'point sur les patentes'!B:M,12,FALSE)+VLOOKUP(D204,'point sur les patentes'!B:N,13,FALSE)+VLOOKUP(D204,'point sur les patentes'!B:O,14,FALSE)+VLOOKUP(D204,'point sur les patentes'!B:P,15,FALSE)+VLOOKUP(D204,'point sur les patentes'!B:Q,16,FALSE)+VLOOKUP('vs mars'!D204,'point sur les patentes'!B:Z,25,FALSE))</f>
        <v>#N/A</v>
      </c>
      <c r="W204" s="340" t="e">
        <f>VLOOKUP(D204,'SUIVI JOURNALIER AVRIL'!B:J,9,FALSE)</f>
        <v>#N/A</v>
      </c>
      <c r="X204" s="340" t="e">
        <f>VLOOKUP(D204,'SUIVI JOURNALIER AVRIL'!B:P,14,FALSE)+VLOOKUP('vs mars'!D204,'SUIVI JOURNALIER AVRIL'!B:V,20,FALSE)+VLOOKUP('vs mars'!D204,'SUIVI JOURNALIER AVRIL'!B:W,21,FALSE)</f>
        <v>#N/A</v>
      </c>
      <c r="Y204" s="340" t="e">
        <f>VLOOKUP(D204,'SUIVI JOURNALIER AVRIL'!B:CC,80,FALSE)</f>
        <v>#N/A</v>
      </c>
      <c r="Z204" s="340" t="e">
        <f t="shared" si="6"/>
        <v>#N/A</v>
      </c>
      <c r="AA204" s="359" t="e">
        <f>VLOOKUP(D204,'SUIVI JOURNALIER AVRIL'!B:CD,81,FALSE)</f>
        <v>#N/A</v>
      </c>
      <c r="AB204" s="360" t="e">
        <f t="shared" si="7"/>
        <v>#N/A</v>
      </c>
      <c r="AC204" s="360" t="str">
        <f>VLOOKUP(B204,labo!B:D,3,FALSE)</f>
        <v>ug5</v>
      </c>
      <c r="AD204" s="360" t="s">
        <v>2629</v>
      </c>
      <c r="AF204" s="330" t="e">
        <f>VLOOKUP(D204,'SUIVI JOURNALIER AVRIL'!CK:CL,2,FALSE)</f>
        <v>#N/A</v>
      </c>
      <c r="AG204" s="360">
        <v>1</v>
      </c>
    </row>
    <row r="205" spans="1:33" s="360" customFormat="1" ht="13.5" customHeight="1">
      <c r="A205" s="324" t="s">
        <v>1813</v>
      </c>
      <c r="B205" s="325" t="s">
        <v>709</v>
      </c>
      <c r="C205" s="325" t="s">
        <v>710</v>
      </c>
      <c r="D205" s="325" t="s">
        <v>711</v>
      </c>
      <c r="E205" s="324" t="s">
        <v>446</v>
      </c>
      <c r="F205" s="324" t="s">
        <v>2055</v>
      </c>
      <c r="G205" s="324" t="s">
        <v>887</v>
      </c>
      <c r="H205" s="324" t="s">
        <v>897</v>
      </c>
      <c r="I205" s="324" t="s">
        <v>1245</v>
      </c>
      <c r="J205" s="324" t="s">
        <v>889</v>
      </c>
      <c r="K205" s="324" t="s">
        <v>890</v>
      </c>
      <c r="L205" s="324" t="s">
        <v>891</v>
      </c>
      <c r="M205" s="324" t="s">
        <v>892</v>
      </c>
      <c r="N205" s="324" t="s">
        <v>954</v>
      </c>
      <c r="O205" s="324" t="s">
        <v>955</v>
      </c>
      <c r="P205" s="324" t="s">
        <v>955</v>
      </c>
      <c r="Q205" s="324" t="s">
        <v>1010</v>
      </c>
      <c r="R205" s="324" t="s">
        <v>1263</v>
      </c>
      <c r="S205" s="356" t="s">
        <v>895</v>
      </c>
      <c r="T205" s="309" t="s">
        <v>965</v>
      </c>
      <c r="U205" s="357" t="e">
        <f>VLOOKUP(D205,'SUIVI JOURNALIER AVRIL'!CK:CM,3,FALSE)</f>
        <v>#N/A</v>
      </c>
      <c r="V205" s="358" t="e">
        <f>IF(VLOOKUP('vs mars'!D205,'point sur les patentes'!B:E,4,FALSE)="","",VLOOKUP(D205,'point sur les patentes'!B:E,4,FALSE)+VLOOKUP(D205,'point sur les patentes'!B:F,5,FALSE)+VLOOKUP('vs mars'!D205,'point sur les patentes'!B:G,6,FALSE)+VLOOKUP('vs mars'!D205,'point sur les patentes'!B:H,7,FALSE)+VLOOKUP('vs mars'!D205,'point sur les patentes'!B:I,8,FALSE)+VLOOKUP(D205,'point sur les patentes'!B:J,9,FALSE)+VLOOKUP(D205,'point sur les patentes'!B:K,10,FALSE)+VLOOKUP(D205,'point sur les patentes'!B:L,11,FALSE)+VLOOKUP(D205,'point sur les patentes'!B:M,12,FALSE)+VLOOKUP(D205,'point sur les patentes'!B:N,13,FALSE)+VLOOKUP(D205,'point sur les patentes'!B:O,14,FALSE)+VLOOKUP(D205,'point sur les patentes'!B:P,15,FALSE)+VLOOKUP(D205,'point sur les patentes'!B:Q,16,FALSE)+VLOOKUP('vs mars'!D205,'point sur les patentes'!B:Z,25,FALSE))</f>
        <v>#N/A</v>
      </c>
      <c r="W205" s="340" t="e">
        <f>VLOOKUP(D205,'SUIVI JOURNALIER AVRIL'!B:J,9,FALSE)</f>
        <v>#N/A</v>
      </c>
      <c r="X205" s="340" t="e">
        <f>VLOOKUP(D205,'SUIVI JOURNALIER AVRIL'!B:P,14,FALSE)+VLOOKUP('vs mars'!D205,'SUIVI JOURNALIER AVRIL'!B:V,20,FALSE)+VLOOKUP('vs mars'!D205,'SUIVI JOURNALIER AVRIL'!B:W,21,FALSE)</f>
        <v>#N/A</v>
      </c>
      <c r="Y205" s="340" t="e">
        <f>VLOOKUP(D205,'SUIVI JOURNALIER AVRIL'!B:CC,80,FALSE)</f>
        <v>#N/A</v>
      </c>
      <c r="Z205" s="340" t="e">
        <f t="shared" si="6"/>
        <v>#N/A</v>
      </c>
      <c r="AA205" s="359" t="e">
        <f>VLOOKUP(D205,'SUIVI JOURNALIER AVRIL'!B:CD,81,FALSE)</f>
        <v>#N/A</v>
      </c>
      <c r="AB205" s="360" t="e">
        <f t="shared" si="7"/>
        <v>#N/A</v>
      </c>
      <c r="AC205" s="360" t="str">
        <f>VLOOKUP(B205,labo!B:D,3,FALSE)</f>
        <v>ug5</v>
      </c>
      <c r="AD205" s="360" t="s">
        <v>2629</v>
      </c>
      <c r="AF205" s="330" t="e">
        <f>VLOOKUP(D205,'SUIVI JOURNALIER AVRIL'!CK:CL,2,FALSE)</f>
        <v>#N/A</v>
      </c>
      <c r="AG205" s="360">
        <v>1</v>
      </c>
    </row>
    <row r="206" spans="1:33" s="360" customFormat="1" ht="13.5" customHeight="1">
      <c r="A206" s="324" t="s">
        <v>1814</v>
      </c>
      <c r="B206" s="325" t="s">
        <v>712</v>
      </c>
      <c r="C206" s="325" t="s">
        <v>2055</v>
      </c>
      <c r="D206" s="325"/>
      <c r="E206" s="324" t="s">
        <v>446</v>
      </c>
      <c r="F206" s="324" t="s">
        <v>2055</v>
      </c>
      <c r="G206" s="324" t="s">
        <v>887</v>
      </c>
      <c r="H206" s="324" t="s">
        <v>897</v>
      </c>
      <c r="I206" s="324" t="s">
        <v>897</v>
      </c>
      <c r="J206" s="324" t="s">
        <v>889</v>
      </c>
      <c r="K206" s="324" t="s">
        <v>890</v>
      </c>
      <c r="L206" s="324" t="s">
        <v>891</v>
      </c>
      <c r="M206" s="324" t="s">
        <v>892</v>
      </c>
      <c r="N206" s="324" t="s">
        <v>905</v>
      </c>
      <c r="O206" s="324" t="s">
        <v>906</v>
      </c>
      <c r="P206" s="324" t="s">
        <v>906</v>
      </c>
      <c r="Q206" s="324" t="s">
        <v>956</v>
      </c>
      <c r="R206" s="324" t="s">
        <v>956</v>
      </c>
      <c r="S206" s="356" t="s">
        <v>895</v>
      </c>
      <c r="T206" s="309" t="s">
        <v>965</v>
      </c>
      <c r="U206" s="357">
        <f>VLOOKUP(D206,'SUIVI JOURNALIER AVRIL'!CK:CM,3,FALSE)</f>
        <v>0</v>
      </c>
      <c r="V206" s="358" t="e">
        <f>IF(VLOOKUP('vs mars'!D206,'point sur les patentes'!B:E,4,FALSE)="","",VLOOKUP(D206,'point sur les patentes'!B:E,4,FALSE)+VLOOKUP(D206,'point sur les patentes'!B:F,5,FALSE)+VLOOKUP('vs mars'!D206,'point sur les patentes'!B:G,6,FALSE)+VLOOKUP('vs mars'!D206,'point sur les patentes'!B:H,7,FALSE)+VLOOKUP('vs mars'!D206,'point sur les patentes'!B:I,8,FALSE)+VLOOKUP(D206,'point sur les patentes'!B:J,9,FALSE)+VLOOKUP(D206,'point sur les patentes'!B:K,10,FALSE)+VLOOKUP(D206,'point sur les patentes'!B:L,11,FALSE)+VLOOKUP(D206,'point sur les patentes'!B:M,12,FALSE)+VLOOKUP(D206,'point sur les patentes'!B:N,13,FALSE)+VLOOKUP(D206,'point sur les patentes'!B:O,14,FALSE)+VLOOKUP(D206,'point sur les patentes'!B:P,15,FALSE)+VLOOKUP(D206,'point sur les patentes'!B:Q,16,FALSE)+VLOOKUP('vs mars'!D206,'point sur les patentes'!B:Z,25,FALSE))</f>
        <v>#N/A</v>
      </c>
      <c r="W206" s="340" t="e">
        <f>VLOOKUP(D206,'SUIVI JOURNALIER AVRIL'!B:J,9,FALSE)</f>
        <v>#N/A</v>
      </c>
      <c r="X206" s="340" t="e">
        <f>VLOOKUP(D206,'SUIVI JOURNALIER AVRIL'!B:P,14,FALSE)+VLOOKUP('vs mars'!D206,'SUIVI JOURNALIER AVRIL'!B:V,20,FALSE)+VLOOKUP('vs mars'!D206,'SUIVI JOURNALIER AVRIL'!B:W,21,FALSE)</f>
        <v>#N/A</v>
      </c>
      <c r="Y206" s="340" t="e">
        <f>VLOOKUP(D206,'SUIVI JOURNALIER AVRIL'!B:CC,80,FALSE)</f>
        <v>#N/A</v>
      </c>
      <c r="Z206" s="340" t="e">
        <f t="shared" si="6"/>
        <v>#N/A</v>
      </c>
      <c r="AA206" s="359" t="e">
        <f>VLOOKUP(D206,'SUIVI JOURNALIER AVRIL'!B:CD,81,FALSE)</f>
        <v>#N/A</v>
      </c>
      <c r="AB206" s="360" t="e">
        <f t="shared" si="7"/>
        <v>#N/A</v>
      </c>
      <c r="AC206" s="360" t="str">
        <f>VLOOKUP(B206,labo!B:D,3,FALSE)</f>
        <v>ug5</v>
      </c>
      <c r="AD206" s="360" t="s">
        <v>2630</v>
      </c>
      <c r="AF206" s="330">
        <f>VLOOKUP(D206,'SUIVI JOURNALIER AVRIL'!CK:CL,2,FALSE)</f>
        <v>0</v>
      </c>
      <c r="AG206" s="360">
        <v>1</v>
      </c>
    </row>
    <row r="207" spans="1:33" s="360" customFormat="1" ht="13.5" customHeight="1">
      <c r="A207" s="324" t="s">
        <v>1815</v>
      </c>
      <c r="B207" s="325" t="s">
        <v>270</v>
      </c>
      <c r="C207" s="325" t="s">
        <v>713</v>
      </c>
      <c r="D207" s="325" t="s">
        <v>714</v>
      </c>
      <c r="E207" s="324" t="s">
        <v>554</v>
      </c>
      <c r="F207" s="324" t="s">
        <v>2055</v>
      </c>
      <c r="G207" s="324" t="s">
        <v>887</v>
      </c>
      <c r="H207" s="324" t="s">
        <v>993</v>
      </c>
      <c r="I207" s="324" t="s">
        <v>2210</v>
      </c>
      <c r="J207" s="324" t="s">
        <v>889</v>
      </c>
      <c r="K207" s="324" t="s">
        <v>890</v>
      </c>
      <c r="L207" s="324" t="s">
        <v>891</v>
      </c>
      <c r="M207" s="324" t="s">
        <v>892</v>
      </c>
      <c r="N207" s="324" t="s">
        <v>893</v>
      </c>
      <c r="O207" s="324" t="s">
        <v>894</v>
      </c>
      <c r="P207" s="324" t="s">
        <v>935</v>
      </c>
      <c r="Q207" s="324" t="s">
        <v>1264</v>
      </c>
      <c r="R207" s="324" t="s">
        <v>1265</v>
      </c>
      <c r="S207" s="356" t="s">
        <v>895</v>
      </c>
      <c r="T207" s="309" t="s">
        <v>965</v>
      </c>
      <c r="U207" s="357" t="e">
        <f>VLOOKUP(D207,'SUIVI JOURNALIER AVRIL'!CK:CM,3,FALSE)</f>
        <v>#N/A</v>
      </c>
      <c r="V207" s="358" t="e">
        <f>IF(VLOOKUP('vs mars'!D207,'point sur les patentes'!B:E,4,FALSE)="","",VLOOKUP(D207,'point sur les patentes'!B:E,4,FALSE)+VLOOKUP(D207,'point sur les patentes'!B:F,5,FALSE)+VLOOKUP('vs mars'!D207,'point sur les patentes'!B:G,6,FALSE)+VLOOKUP('vs mars'!D207,'point sur les patentes'!B:H,7,FALSE)+VLOOKUP('vs mars'!D207,'point sur les patentes'!B:I,8,FALSE)+VLOOKUP(D207,'point sur les patentes'!B:J,9,FALSE)+VLOOKUP(D207,'point sur les patentes'!B:K,10,FALSE)+VLOOKUP(D207,'point sur les patentes'!B:L,11,FALSE)+VLOOKUP(D207,'point sur les patentes'!B:M,12,FALSE)+VLOOKUP(D207,'point sur les patentes'!B:N,13,FALSE)+VLOOKUP(D207,'point sur les patentes'!B:O,14,FALSE)+VLOOKUP(D207,'point sur les patentes'!B:P,15,FALSE)+VLOOKUP(D207,'point sur les patentes'!B:Q,16,FALSE)+VLOOKUP('vs mars'!D207,'point sur les patentes'!B:Z,25,FALSE))</f>
        <v>#N/A</v>
      </c>
      <c r="W207" s="340">
        <f>VLOOKUP(D207,'SUIVI JOURNALIER AVRIL'!B:J,9,FALSE)</f>
        <v>38567</v>
      </c>
      <c r="X207" s="340">
        <f>VLOOKUP(D207,'SUIVI JOURNALIER AVRIL'!B:P,14,FALSE)+VLOOKUP('vs mars'!D207,'SUIVI JOURNALIER AVRIL'!B:V,20,FALSE)+VLOOKUP('vs mars'!D207,'SUIVI JOURNALIER AVRIL'!B:W,21,FALSE)</f>
        <v>121006</v>
      </c>
      <c r="Y207" s="340">
        <f>VLOOKUP(D207,'SUIVI JOURNALIER AVRIL'!B:CC,80,FALSE)</f>
        <v>130104</v>
      </c>
      <c r="Z207" s="340">
        <f t="shared" si="6"/>
        <v>289677</v>
      </c>
      <c r="AA207" s="359">
        <f>VLOOKUP(D207,'SUIVI JOURNALIER AVRIL'!B:CD,81,FALSE)</f>
        <v>289677</v>
      </c>
      <c r="AB207" s="360" t="str">
        <f t="shared" si="7"/>
        <v>ok</v>
      </c>
      <c r="AC207" s="360" t="str">
        <f>VLOOKUP(B207,labo!B:D,3,FALSE)</f>
        <v>ug2</v>
      </c>
      <c r="AD207" s="360" t="s">
        <v>2629</v>
      </c>
      <c r="AF207" s="330" t="e">
        <f>VLOOKUP(D207,'SUIVI JOURNALIER AVRIL'!CK:CL,2,FALSE)</f>
        <v>#N/A</v>
      </c>
      <c r="AG207" s="360">
        <v>1</v>
      </c>
    </row>
    <row r="208" spans="1:33" s="360" customFormat="1" ht="13.5" customHeight="1">
      <c r="A208" s="324" t="s">
        <v>1816</v>
      </c>
      <c r="B208" s="325" t="s">
        <v>715</v>
      </c>
      <c r="C208" s="325" t="s">
        <v>716</v>
      </c>
      <c r="D208" s="325" t="s">
        <v>717</v>
      </c>
      <c r="E208" s="324" t="s">
        <v>455</v>
      </c>
      <c r="F208" s="324" t="s">
        <v>2055</v>
      </c>
      <c r="G208" s="324" t="s">
        <v>887</v>
      </c>
      <c r="H208" s="324" t="s">
        <v>1266</v>
      </c>
      <c r="I208" s="324" t="s">
        <v>1267</v>
      </c>
      <c r="J208" s="324" t="s">
        <v>889</v>
      </c>
      <c r="K208" s="324" t="s">
        <v>890</v>
      </c>
      <c r="L208" s="324" t="s">
        <v>891</v>
      </c>
      <c r="M208" s="324" t="s">
        <v>892</v>
      </c>
      <c r="N208" s="324" t="s">
        <v>893</v>
      </c>
      <c r="O208" s="324" t="s">
        <v>894</v>
      </c>
      <c r="P208" s="324" t="s">
        <v>899</v>
      </c>
      <c r="Q208" s="324" t="s">
        <v>995</v>
      </c>
      <c r="R208" s="324" t="s">
        <v>1268</v>
      </c>
      <c r="S208" s="356" t="s">
        <v>895</v>
      </c>
      <c r="T208" s="309" t="s">
        <v>1089</v>
      </c>
      <c r="U208" s="357" t="e">
        <f>VLOOKUP(D208,'SUIVI JOURNALIER AVRIL'!CK:CM,3,FALSE)</f>
        <v>#N/A</v>
      </c>
      <c r="V208" s="358" t="e">
        <f>IF(VLOOKUP('vs mars'!D208,'point sur les patentes'!B:E,4,FALSE)="","",VLOOKUP(D208,'point sur les patentes'!B:E,4,FALSE)+VLOOKUP(D208,'point sur les patentes'!B:F,5,FALSE)+VLOOKUP('vs mars'!D208,'point sur les patentes'!B:G,6,FALSE)+VLOOKUP('vs mars'!D208,'point sur les patentes'!B:H,7,FALSE)+VLOOKUP('vs mars'!D208,'point sur les patentes'!B:I,8,FALSE)+VLOOKUP(D208,'point sur les patentes'!B:J,9,FALSE)+VLOOKUP(D208,'point sur les patentes'!B:K,10,FALSE)+VLOOKUP(D208,'point sur les patentes'!B:L,11,FALSE)+VLOOKUP(D208,'point sur les patentes'!B:M,12,FALSE)+VLOOKUP(D208,'point sur les patentes'!B:N,13,FALSE)+VLOOKUP(D208,'point sur les patentes'!B:O,14,FALSE)+VLOOKUP(D208,'point sur les patentes'!B:P,15,FALSE)+VLOOKUP(D208,'point sur les patentes'!B:Q,16,FALSE)+VLOOKUP('vs mars'!D208,'point sur les patentes'!B:Z,25,FALSE))</f>
        <v>#N/A</v>
      </c>
      <c r="W208" s="340" t="e">
        <f>VLOOKUP(D208,'SUIVI JOURNALIER AVRIL'!B:J,9,FALSE)</f>
        <v>#N/A</v>
      </c>
      <c r="X208" s="340" t="e">
        <f>VLOOKUP(D208,'SUIVI JOURNALIER AVRIL'!B:P,14,FALSE)+VLOOKUP('vs mars'!D208,'SUIVI JOURNALIER AVRIL'!B:V,20,FALSE)+VLOOKUP('vs mars'!D208,'SUIVI JOURNALIER AVRIL'!B:W,21,FALSE)</f>
        <v>#N/A</v>
      </c>
      <c r="Y208" s="340" t="e">
        <f>VLOOKUP(D208,'SUIVI JOURNALIER AVRIL'!B:CC,80,FALSE)</f>
        <v>#N/A</v>
      </c>
      <c r="Z208" s="340" t="e">
        <f t="shared" si="6"/>
        <v>#N/A</v>
      </c>
      <c r="AA208" s="359" t="e">
        <f>VLOOKUP(D208,'SUIVI JOURNALIER AVRIL'!B:CD,81,FALSE)</f>
        <v>#N/A</v>
      </c>
      <c r="AB208" s="360" t="e">
        <f t="shared" si="7"/>
        <v>#N/A</v>
      </c>
      <c r="AC208" s="360" t="str">
        <f>VLOOKUP(B208,labo!B:D,3,FALSE)</f>
        <v>ug5</v>
      </c>
      <c r="AD208" s="360" t="s">
        <v>2629</v>
      </c>
      <c r="AF208" s="330" t="e">
        <f>VLOOKUP(D208,'SUIVI JOURNALIER AVRIL'!CK:CL,2,FALSE)</f>
        <v>#N/A</v>
      </c>
      <c r="AG208" s="360">
        <v>1</v>
      </c>
    </row>
    <row r="209" spans="1:33" s="360" customFormat="1" ht="13.5" customHeight="1">
      <c r="A209" s="324" t="s">
        <v>1817</v>
      </c>
      <c r="B209" s="325" t="s">
        <v>2346</v>
      </c>
      <c r="C209" s="325" t="s">
        <v>2527</v>
      </c>
      <c r="D209" s="325" t="s">
        <v>2528</v>
      </c>
      <c r="E209" s="324" t="s">
        <v>2529</v>
      </c>
      <c r="F209" s="324" t="s">
        <v>2055</v>
      </c>
      <c r="G209" s="324" t="s">
        <v>887</v>
      </c>
      <c r="H209" s="324" t="s">
        <v>2530</v>
      </c>
      <c r="I209" s="324" t="s">
        <v>2055</v>
      </c>
      <c r="J209" s="324" t="s">
        <v>2055</v>
      </c>
      <c r="K209" s="324" t="s">
        <v>2405</v>
      </c>
      <c r="L209" s="324" t="s">
        <v>891</v>
      </c>
      <c r="M209" s="324" t="s">
        <v>892</v>
      </c>
      <c r="N209" s="324" t="s">
        <v>893</v>
      </c>
      <c r="O209" s="324" t="s">
        <v>894</v>
      </c>
      <c r="P209" s="324" t="s">
        <v>919</v>
      </c>
      <c r="Q209" s="324" t="s">
        <v>2055</v>
      </c>
      <c r="R209" s="324" t="s">
        <v>2531</v>
      </c>
      <c r="S209" s="356" t="s">
        <v>895</v>
      </c>
      <c r="T209" s="309" t="s">
        <v>1090</v>
      </c>
      <c r="U209" s="357" t="e">
        <f>VLOOKUP(D209,'SUIVI JOURNALIER AVRIL'!CK:CM,3,FALSE)</f>
        <v>#N/A</v>
      </c>
      <c r="V209" s="358" t="e">
        <f>IF(VLOOKUP('vs mars'!D209,'point sur les patentes'!B:E,4,FALSE)="","",VLOOKUP(D209,'point sur les patentes'!B:E,4,FALSE)+VLOOKUP(D209,'point sur les patentes'!B:F,5,FALSE)+VLOOKUP('vs mars'!D209,'point sur les patentes'!B:G,6,FALSE)+VLOOKUP('vs mars'!D209,'point sur les patentes'!B:H,7,FALSE)+VLOOKUP('vs mars'!D209,'point sur les patentes'!B:I,8,FALSE)+VLOOKUP(D209,'point sur les patentes'!B:J,9,FALSE)+VLOOKUP(D209,'point sur les patentes'!B:K,10,FALSE)+VLOOKUP(D209,'point sur les patentes'!B:L,11,FALSE)+VLOOKUP(D209,'point sur les patentes'!B:M,12,FALSE)+VLOOKUP(D209,'point sur les patentes'!B:N,13,FALSE)+VLOOKUP(D209,'point sur les patentes'!B:O,14,FALSE)+VLOOKUP(D209,'point sur les patentes'!B:P,15,FALSE)+VLOOKUP(D209,'point sur les patentes'!B:Q,16,FALSE)+VLOOKUP('vs mars'!D209,'point sur les patentes'!B:Z,25,FALSE))</f>
        <v>#N/A</v>
      </c>
      <c r="W209" s="340" t="e">
        <f>VLOOKUP(D209,'SUIVI JOURNALIER AVRIL'!B:J,9,FALSE)</f>
        <v>#N/A</v>
      </c>
      <c r="X209" s="340" t="e">
        <f>VLOOKUP(D209,'SUIVI JOURNALIER AVRIL'!B:P,14,FALSE)+VLOOKUP('vs mars'!D209,'SUIVI JOURNALIER AVRIL'!B:V,20,FALSE)+VLOOKUP('vs mars'!D209,'SUIVI JOURNALIER AVRIL'!B:W,21,FALSE)</f>
        <v>#N/A</v>
      </c>
      <c r="Y209" s="340" t="e">
        <f>VLOOKUP(D209,'SUIVI JOURNALIER AVRIL'!B:CC,80,FALSE)</f>
        <v>#N/A</v>
      </c>
      <c r="Z209" s="340" t="e">
        <f t="shared" si="6"/>
        <v>#N/A</v>
      </c>
      <c r="AA209" s="359" t="e">
        <f>VLOOKUP(D209,'SUIVI JOURNALIER AVRIL'!B:CD,81,FALSE)</f>
        <v>#N/A</v>
      </c>
      <c r="AB209" s="360" t="e">
        <f t="shared" si="7"/>
        <v>#N/A</v>
      </c>
      <c r="AC209" s="360" t="str">
        <f>VLOOKUP(B209,labo!B:D,3,FALSE)</f>
        <v>ug5</v>
      </c>
      <c r="AD209" s="360" t="s">
        <v>2630</v>
      </c>
      <c r="AF209" s="330" t="e">
        <f>VLOOKUP(D209,'SUIVI JOURNALIER AVRIL'!CK:CL,2,FALSE)</f>
        <v>#N/A</v>
      </c>
      <c r="AG209" s="360">
        <v>1</v>
      </c>
    </row>
    <row r="210" spans="1:33" s="360" customFormat="1" ht="13.5" customHeight="1">
      <c r="A210" s="324" t="s">
        <v>1821</v>
      </c>
      <c r="B210" s="325" t="s">
        <v>2347</v>
      </c>
      <c r="C210" s="325" t="s">
        <v>2404</v>
      </c>
      <c r="D210" s="325" t="s">
        <v>2040</v>
      </c>
      <c r="E210" s="324" t="s">
        <v>2532</v>
      </c>
      <c r="F210" s="324" t="s">
        <v>2055</v>
      </c>
      <c r="G210" s="324" t="s">
        <v>887</v>
      </c>
      <c r="H210" s="324" t="s">
        <v>2055</v>
      </c>
      <c r="I210" s="324" t="s">
        <v>2055</v>
      </c>
      <c r="J210" s="324" t="s">
        <v>2055</v>
      </c>
      <c r="K210" s="324" t="s">
        <v>2405</v>
      </c>
      <c r="L210" s="324" t="s">
        <v>891</v>
      </c>
      <c r="M210" s="324" t="s">
        <v>892</v>
      </c>
      <c r="N210" s="324" t="s">
        <v>893</v>
      </c>
      <c r="O210" s="324" t="s">
        <v>894</v>
      </c>
      <c r="P210" s="324" t="s">
        <v>919</v>
      </c>
      <c r="Q210" s="324" t="s">
        <v>2055</v>
      </c>
      <c r="R210" s="324" t="s">
        <v>2533</v>
      </c>
      <c r="S210" s="356" t="s">
        <v>895</v>
      </c>
      <c r="T210" s="309" t="s">
        <v>1301</v>
      </c>
      <c r="U210" s="357">
        <f>VLOOKUP(D210,'SUIVI JOURNALIER AVRIL'!CK:CM,3,FALSE)</f>
        <v>0</v>
      </c>
      <c r="V210" s="358" t="e">
        <f>IF(VLOOKUP('vs mars'!D210,'point sur les patentes'!B:E,4,FALSE)="","",VLOOKUP(D210,'point sur les patentes'!B:E,4,FALSE)+VLOOKUP(D210,'point sur les patentes'!B:F,5,FALSE)+VLOOKUP('vs mars'!D210,'point sur les patentes'!B:G,6,FALSE)+VLOOKUP('vs mars'!D210,'point sur les patentes'!B:H,7,FALSE)+VLOOKUP('vs mars'!D210,'point sur les patentes'!B:I,8,FALSE)+VLOOKUP(D210,'point sur les patentes'!B:J,9,FALSE)+VLOOKUP(D210,'point sur les patentes'!B:K,10,FALSE)+VLOOKUP(D210,'point sur les patentes'!B:L,11,FALSE)+VLOOKUP(D210,'point sur les patentes'!B:M,12,FALSE)+VLOOKUP(D210,'point sur les patentes'!B:N,13,FALSE)+VLOOKUP(D210,'point sur les patentes'!B:O,14,FALSE)+VLOOKUP(D210,'point sur les patentes'!B:P,15,FALSE)+VLOOKUP(D210,'point sur les patentes'!B:Q,16,FALSE)+VLOOKUP('vs mars'!D210,'point sur les patentes'!B:Z,25,FALSE))</f>
        <v>#N/A</v>
      </c>
      <c r="W210" s="340">
        <f>VLOOKUP(D210,'SUIVI JOURNALIER AVRIL'!B:J,9,FALSE)</f>
        <v>36932</v>
      </c>
      <c r="X210" s="340">
        <f>VLOOKUP(D210,'SUIVI JOURNALIER AVRIL'!B:P,14,FALSE)+VLOOKUP('vs mars'!D210,'SUIVI JOURNALIER AVRIL'!B:V,20,FALSE)+VLOOKUP('vs mars'!D210,'SUIVI JOURNALIER AVRIL'!B:W,21,FALSE)</f>
        <v>19043</v>
      </c>
      <c r="Y210" s="340">
        <f>VLOOKUP(D210,'SUIVI JOURNALIER AVRIL'!B:CC,80,FALSE)</f>
        <v>0</v>
      </c>
      <c r="Z210" s="340">
        <f t="shared" si="6"/>
        <v>55975</v>
      </c>
      <c r="AA210" s="359">
        <f>VLOOKUP(D210,'SUIVI JOURNALIER AVRIL'!B:CD,81,FALSE)</f>
        <v>55975</v>
      </c>
      <c r="AB210" s="360" t="str">
        <f t="shared" si="7"/>
        <v>ok</v>
      </c>
      <c r="AC210" s="360" t="str">
        <f>VLOOKUP(B210,labo!B:D,3,FALSE)</f>
        <v>ug2</v>
      </c>
      <c r="AD210" s="360" t="s">
        <v>2629</v>
      </c>
      <c r="AF210" s="330">
        <f>VLOOKUP(D210,'SUIVI JOURNALIER AVRIL'!CK:CL,2,FALSE)</f>
        <v>0</v>
      </c>
      <c r="AG210" s="360">
        <v>1</v>
      </c>
    </row>
    <row r="211" spans="1:33" s="360" customFormat="1" ht="13.5" customHeight="1">
      <c r="A211" s="324" t="s">
        <v>1822</v>
      </c>
      <c r="B211" s="325" t="s">
        <v>2202</v>
      </c>
      <c r="C211" s="325" t="s">
        <v>2055</v>
      </c>
      <c r="D211" s="325" t="s">
        <v>2225</v>
      </c>
      <c r="E211" s="324" t="s">
        <v>839</v>
      </c>
      <c r="F211" s="324" t="s">
        <v>2055</v>
      </c>
      <c r="G211" s="324" t="s">
        <v>887</v>
      </c>
      <c r="H211" s="324" t="s">
        <v>897</v>
      </c>
      <c r="I211" s="324" t="s">
        <v>2534</v>
      </c>
      <c r="J211" s="324" t="s">
        <v>2057</v>
      </c>
      <c r="K211" s="324" t="s">
        <v>890</v>
      </c>
      <c r="L211" s="324" t="s">
        <v>891</v>
      </c>
      <c r="M211" s="324" t="s">
        <v>892</v>
      </c>
      <c r="N211" s="324" t="s">
        <v>893</v>
      </c>
      <c r="O211" s="324" t="s">
        <v>894</v>
      </c>
      <c r="P211" s="324" t="s">
        <v>935</v>
      </c>
      <c r="Q211" s="324" t="s">
        <v>1464</v>
      </c>
      <c r="R211" s="324" t="s">
        <v>1464</v>
      </c>
      <c r="S211" s="356" t="s">
        <v>895</v>
      </c>
      <c r="T211" s="309" t="s">
        <v>953</v>
      </c>
      <c r="U211" s="357" t="e">
        <f>VLOOKUP(D211,'SUIVI JOURNALIER AVRIL'!CK:CM,3,FALSE)</f>
        <v>#N/A</v>
      </c>
      <c r="V211" s="358" t="e">
        <f>IF(VLOOKUP('vs mars'!D211,'point sur les patentes'!B:E,4,FALSE)="","",VLOOKUP(D211,'point sur les patentes'!B:E,4,FALSE)+VLOOKUP(D211,'point sur les patentes'!B:F,5,FALSE)+VLOOKUP('vs mars'!D211,'point sur les patentes'!B:G,6,FALSE)+VLOOKUP('vs mars'!D211,'point sur les patentes'!B:H,7,FALSE)+VLOOKUP('vs mars'!D211,'point sur les patentes'!B:I,8,FALSE)+VLOOKUP(D211,'point sur les patentes'!B:J,9,FALSE)+VLOOKUP(D211,'point sur les patentes'!B:K,10,FALSE)+VLOOKUP(D211,'point sur les patentes'!B:L,11,FALSE)+VLOOKUP(D211,'point sur les patentes'!B:M,12,FALSE)+VLOOKUP(D211,'point sur les patentes'!B:N,13,FALSE)+VLOOKUP(D211,'point sur les patentes'!B:O,14,FALSE)+VLOOKUP(D211,'point sur les patentes'!B:P,15,FALSE)+VLOOKUP(D211,'point sur les patentes'!B:Q,16,FALSE)+VLOOKUP('vs mars'!D211,'point sur les patentes'!B:Z,25,FALSE))</f>
        <v>#N/A</v>
      </c>
      <c r="W211" s="340" t="e">
        <f>VLOOKUP(D211,'SUIVI JOURNALIER AVRIL'!B:J,9,FALSE)</f>
        <v>#N/A</v>
      </c>
      <c r="X211" s="340" t="e">
        <f>VLOOKUP(D211,'SUIVI JOURNALIER AVRIL'!B:P,14,FALSE)+VLOOKUP('vs mars'!D211,'SUIVI JOURNALIER AVRIL'!B:V,20,FALSE)+VLOOKUP('vs mars'!D211,'SUIVI JOURNALIER AVRIL'!B:W,21,FALSE)</f>
        <v>#N/A</v>
      </c>
      <c r="Y211" s="340" t="e">
        <f>VLOOKUP(D211,'SUIVI JOURNALIER AVRIL'!B:CC,80,FALSE)</f>
        <v>#N/A</v>
      </c>
      <c r="Z211" s="340" t="e">
        <f t="shared" si="6"/>
        <v>#N/A</v>
      </c>
      <c r="AA211" s="359" t="e">
        <f>VLOOKUP(D211,'SUIVI JOURNALIER AVRIL'!B:CD,81,FALSE)</f>
        <v>#N/A</v>
      </c>
      <c r="AB211" s="360" t="e">
        <f t="shared" si="7"/>
        <v>#N/A</v>
      </c>
      <c r="AC211" s="360" t="str">
        <f>VLOOKUP(B211,labo!B:D,3,FALSE)</f>
        <v>ug5</v>
      </c>
      <c r="AD211" s="360" t="s">
        <v>2629</v>
      </c>
      <c r="AF211" s="330" t="e">
        <f>VLOOKUP(D211,'SUIVI JOURNALIER AVRIL'!CK:CL,2,FALSE)</f>
        <v>#N/A</v>
      </c>
      <c r="AG211" s="360">
        <v>1</v>
      </c>
    </row>
    <row r="212" spans="1:33" s="360" customFormat="1" ht="13.5" customHeight="1">
      <c r="A212" s="324" t="s">
        <v>1824</v>
      </c>
      <c r="B212" s="325" t="s">
        <v>718</v>
      </c>
      <c r="C212" s="325" t="s">
        <v>2055</v>
      </c>
      <c r="D212" s="325" t="s">
        <v>719</v>
      </c>
      <c r="E212" s="324" t="s">
        <v>446</v>
      </c>
      <c r="F212" s="324" t="s">
        <v>2055</v>
      </c>
      <c r="G212" s="324" t="s">
        <v>887</v>
      </c>
      <c r="H212" s="324" t="s">
        <v>897</v>
      </c>
      <c r="I212" s="324" t="s">
        <v>1525</v>
      </c>
      <c r="J212" s="324" t="s">
        <v>889</v>
      </c>
      <c r="K212" s="324" t="s">
        <v>890</v>
      </c>
      <c r="L212" s="324" t="s">
        <v>891</v>
      </c>
      <c r="M212" s="324" t="s">
        <v>892</v>
      </c>
      <c r="N212" s="324" t="s">
        <v>893</v>
      </c>
      <c r="O212" s="324" t="s">
        <v>894</v>
      </c>
      <c r="P212" s="324" t="s">
        <v>935</v>
      </c>
      <c r="Q212" s="324" t="s">
        <v>924</v>
      </c>
      <c r="R212" s="324" t="s">
        <v>1269</v>
      </c>
      <c r="S212" s="356" t="s">
        <v>895</v>
      </c>
      <c r="T212" s="309" t="s">
        <v>957</v>
      </c>
      <c r="U212" s="357">
        <f>VLOOKUP(D212,'SUIVI JOURNALIER AVRIL'!CK:CM,3,FALSE)</f>
        <v>0</v>
      </c>
      <c r="V212" s="358" t="e">
        <f>IF(VLOOKUP('vs mars'!D212,'point sur les patentes'!B:E,4,FALSE)="","",VLOOKUP(D212,'point sur les patentes'!B:E,4,FALSE)+VLOOKUP(D212,'point sur les patentes'!B:F,5,FALSE)+VLOOKUP('vs mars'!D212,'point sur les patentes'!B:G,6,FALSE)+VLOOKUP('vs mars'!D212,'point sur les patentes'!B:H,7,FALSE)+VLOOKUP('vs mars'!D212,'point sur les patentes'!B:I,8,FALSE)+VLOOKUP(D212,'point sur les patentes'!B:J,9,FALSE)+VLOOKUP(D212,'point sur les patentes'!B:K,10,FALSE)+VLOOKUP(D212,'point sur les patentes'!B:L,11,FALSE)+VLOOKUP(D212,'point sur les patentes'!B:M,12,FALSE)+VLOOKUP(D212,'point sur les patentes'!B:N,13,FALSE)+VLOOKUP(D212,'point sur les patentes'!B:O,14,FALSE)+VLOOKUP(D212,'point sur les patentes'!B:P,15,FALSE)+VLOOKUP(D212,'point sur les patentes'!B:Q,16,FALSE)+VLOOKUP('vs mars'!D212,'point sur les patentes'!B:Z,25,FALSE))</f>
        <v>#N/A</v>
      </c>
      <c r="W212" s="340">
        <f>VLOOKUP(D212,'SUIVI JOURNALIER AVRIL'!B:J,9,FALSE)</f>
        <v>0</v>
      </c>
      <c r="X212" s="340">
        <f>VLOOKUP(D212,'SUIVI JOURNALIER AVRIL'!B:P,14,FALSE)+VLOOKUP('vs mars'!D212,'SUIVI JOURNALIER AVRIL'!B:V,20,FALSE)+VLOOKUP('vs mars'!D212,'SUIVI JOURNALIER AVRIL'!B:W,21,FALSE)</f>
        <v>0</v>
      </c>
      <c r="Y212" s="340">
        <f>VLOOKUP(D212,'SUIVI JOURNALIER AVRIL'!B:CC,80,FALSE)</f>
        <v>0</v>
      </c>
      <c r="Z212" s="340">
        <f t="shared" si="6"/>
        <v>0</v>
      </c>
      <c r="AA212" s="359">
        <f>VLOOKUP(D212,'SUIVI JOURNALIER AVRIL'!B:CD,81,FALSE)</f>
        <v>0</v>
      </c>
      <c r="AB212" s="360" t="str">
        <f t="shared" si="7"/>
        <v>ok</v>
      </c>
      <c r="AC212" s="360" t="str">
        <f>VLOOKUP(B212,labo!B:D,3,FALSE)</f>
        <v>ug5</v>
      </c>
      <c r="AD212" s="360" t="s">
        <v>2629</v>
      </c>
      <c r="AF212" s="330">
        <f>VLOOKUP(D212,'SUIVI JOURNALIER AVRIL'!CK:CL,2,FALSE)</f>
        <v>0</v>
      </c>
      <c r="AG212" s="360">
        <v>1</v>
      </c>
    </row>
    <row r="213" spans="1:33" s="360" customFormat="1" ht="13.5" customHeight="1">
      <c r="A213" s="324" t="s">
        <v>1825</v>
      </c>
      <c r="B213" s="325" t="s">
        <v>2348</v>
      </c>
      <c r="C213" s="325" t="s">
        <v>2535</v>
      </c>
      <c r="D213" s="325" t="s">
        <v>2536</v>
      </c>
      <c r="E213" s="324" t="s">
        <v>549</v>
      </c>
      <c r="F213" s="324" t="s">
        <v>2055</v>
      </c>
      <c r="G213" s="324" t="s">
        <v>887</v>
      </c>
      <c r="H213" s="324" t="s">
        <v>2055</v>
      </c>
      <c r="I213" s="324" t="s">
        <v>2537</v>
      </c>
      <c r="J213" s="324" t="s">
        <v>2055</v>
      </c>
      <c r="K213" s="324" t="s">
        <v>2405</v>
      </c>
      <c r="L213" s="324" t="s">
        <v>891</v>
      </c>
      <c r="M213" s="324" t="s">
        <v>892</v>
      </c>
      <c r="N213" s="324" t="s">
        <v>893</v>
      </c>
      <c r="O213" s="324" t="s">
        <v>894</v>
      </c>
      <c r="P213" s="324" t="s">
        <v>919</v>
      </c>
      <c r="Q213" s="324" t="s">
        <v>2538</v>
      </c>
      <c r="R213" s="324" t="s">
        <v>2539</v>
      </c>
      <c r="S213" s="356" t="s">
        <v>895</v>
      </c>
      <c r="T213" s="309" t="s">
        <v>965</v>
      </c>
      <c r="U213" s="357" t="e">
        <f>VLOOKUP(D213,'SUIVI JOURNALIER AVRIL'!CK:CM,3,FALSE)</f>
        <v>#N/A</v>
      </c>
      <c r="V213" s="358" t="e">
        <f>IF(VLOOKUP('vs mars'!D213,'point sur les patentes'!B:E,4,FALSE)="","",VLOOKUP(D213,'point sur les patentes'!B:E,4,FALSE)+VLOOKUP(D213,'point sur les patentes'!B:F,5,FALSE)+VLOOKUP('vs mars'!D213,'point sur les patentes'!B:G,6,FALSE)+VLOOKUP('vs mars'!D213,'point sur les patentes'!B:H,7,FALSE)+VLOOKUP('vs mars'!D213,'point sur les patentes'!B:I,8,FALSE)+VLOOKUP(D213,'point sur les patentes'!B:J,9,FALSE)+VLOOKUP(D213,'point sur les patentes'!B:K,10,FALSE)+VLOOKUP(D213,'point sur les patentes'!B:L,11,FALSE)+VLOOKUP(D213,'point sur les patentes'!B:M,12,FALSE)+VLOOKUP(D213,'point sur les patentes'!B:N,13,FALSE)+VLOOKUP(D213,'point sur les patentes'!B:O,14,FALSE)+VLOOKUP(D213,'point sur les patentes'!B:P,15,FALSE)+VLOOKUP(D213,'point sur les patentes'!B:Q,16,FALSE)+VLOOKUP('vs mars'!D213,'point sur les patentes'!B:Z,25,FALSE))</f>
        <v>#N/A</v>
      </c>
      <c r="W213" s="340" t="e">
        <f>VLOOKUP(D213,'SUIVI JOURNALIER AVRIL'!B:J,9,FALSE)</f>
        <v>#N/A</v>
      </c>
      <c r="X213" s="340" t="e">
        <f>VLOOKUP(D213,'SUIVI JOURNALIER AVRIL'!B:P,14,FALSE)+VLOOKUP('vs mars'!D213,'SUIVI JOURNALIER AVRIL'!B:V,20,FALSE)+VLOOKUP('vs mars'!D213,'SUIVI JOURNALIER AVRIL'!B:W,21,FALSE)</f>
        <v>#N/A</v>
      </c>
      <c r="Y213" s="340" t="e">
        <f>VLOOKUP(D213,'SUIVI JOURNALIER AVRIL'!B:CC,80,FALSE)</f>
        <v>#N/A</v>
      </c>
      <c r="Z213" s="340" t="e">
        <f t="shared" si="6"/>
        <v>#N/A</v>
      </c>
      <c r="AA213" s="359" t="e">
        <f>VLOOKUP(D213,'SUIVI JOURNALIER AVRIL'!B:CD,81,FALSE)</f>
        <v>#N/A</v>
      </c>
      <c r="AB213" s="360" t="e">
        <f t="shared" si="7"/>
        <v>#N/A</v>
      </c>
      <c r="AC213" s="360" t="str">
        <f>VLOOKUP(B213,labo!B:D,3,FALSE)</f>
        <v>ug5</v>
      </c>
      <c r="AD213" s="360" t="s">
        <v>2630</v>
      </c>
      <c r="AF213" s="330" t="e">
        <f>VLOOKUP(D213,'SUIVI JOURNALIER AVRIL'!CK:CL,2,FALSE)</f>
        <v>#N/A</v>
      </c>
      <c r="AG213" s="360">
        <v>1</v>
      </c>
    </row>
    <row r="214" spans="1:33" s="360" customFormat="1" ht="13.5" customHeight="1">
      <c r="A214" s="324" t="s">
        <v>1828</v>
      </c>
      <c r="B214" s="325" t="s">
        <v>383</v>
      </c>
      <c r="C214" s="325" t="s">
        <v>720</v>
      </c>
      <c r="D214" s="325" t="s">
        <v>721</v>
      </c>
      <c r="E214" s="324" t="s">
        <v>554</v>
      </c>
      <c r="F214" s="324" t="s">
        <v>2055</v>
      </c>
      <c r="G214" s="324" t="s">
        <v>887</v>
      </c>
      <c r="H214" s="324" t="s">
        <v>888</v>
      </c>
      <c r="I214" s="324" t="s">
        <v>1270</v>
      </c>
      <c r="J214" s="324" t="s">
        <v>889</v>
      </c>
      <c r="K214" s="324" t="s">
        <v>890</v>
      </c>
      <c r="L214" s="324" t="s">
        <v>891</v>
      </c>
      <c r="M214" s="324" t="s">
        <v>892</v>
      </c>
      <c r="N214" s="324" t="s">
        <v>893</v>
      </c>
      <c r="O214" s="324" t="s">
        <v>894</v>
      </c>
      <c r="P214" s="324" t="s">
        <v>935</v>
      </c>
      <c r="Q214" s="324" t="s">
        <v>1271</v>
      </c>
      <c r="R214" s="324" t="s">
        <v>1272</v>
      </c>
      <c r="S214" s="356" t="s">
        <v>895</v>
      </c>
      <c r="T214" s="309"/>
      <c r="U214" s="357">
        <f>VLOOKUP(D214,'SUIVI JOURNALIER AVRIL'!CK:CM,3,FALSE)</f>
        <v>0</v>
      </c>
      <c r="V214" s="358" t="e">
        <f>IF(VLOOKUP('vs mars'!D214,'point sur les patentes'!B:E,4,FALSE)="","",VLOOKUP(D214,'point sur les patentes'!B:E,4,FALSE)+VLOOKUP(D214,'point sur les patentes'!B:F,5,FALSE)+VLOOKUP('vs mars'!D214,'point sur les patentes'!B:G,6,FALSE)+VLOOKUP('vs mars'!D214,'point sur les patentes'!B:H,7,FALSE)+VLOOKUP('vs mars'!D214,'point sur les patentes'!B:I,8,FALSE)+VLOOKUP(D214,'point sur les patentes'!B:J,9,FALSE)+VLOOKUP(D214,'point sur les patentes'!B:K,10,FALSE)+VLOOKUP(D214,'point sur les patentes'!B:L,11,FALSE)+VLOOKUP(D214,'point sur les patentes'!B:M,12,FALSE)+VLOOKUP(D214,'point sur les patentes'!B:N,13,FALSE)+VLOOKUP(D214,'point sur les patentes'!B:O,14,FALSE)+VLOOKUP(D214,'point sur les patentes'!B:P,15,FALSE)+VLOOKUP(D214,'point sur les patentes'!B:Q,16,FALSE)+VLOOKUP('vs mars'!D214,'point sur les patentes'!B:Z,25,FALSE))</f>
        <v>#N/A</v>
      </c>
      <c r="W214" s="340">
        <f>VLOOKUP(D214,'SUIVI JOURNALIER AVRIL'!B:J,9,FALSE)</f>
        <v>15587</v>
      </c>
      <c r="X214" s="340">
        <f>VLOOKUP(D214,'SUIVI JOURNALIER AVRIL'!B:P,14,FALSE)+VLOOKUP('vs mars'!D214,'SUIVI JOURNALIER AVRIL'!B:V,20,FALSE)+VLOOKUP('vs mars'!D214,'SUIVI JOURNALIER AVRIL'!B:W,21,FALSE)</f>
        <v>110692</v>
      </c>
      <c r="Y214" s="340">
        <f>VLOOKUP(D214,'SUIVI JOURNALIER AVRIL'!B:CC,80,FALSE)</f>
        <v>33220</v>
      </c>
      <c r="Z214" s="340">
        <f t="shared" si="6"/>
        <v>159499</v>
      </c>
      <c r="AA214" s="359">
        <f>VLOOKUP(D214,'SUIVI JOURNALIER AVRIL'!B:CD,81,FALSE)</f>
        <v>159499</v>
      </c>
      <c r="AB214" s="360" t="str">
        <f t="shared" si="7"/>
        <v>ok</v>
      </c>
      <c r="AC214" s="360" t="str">
        <f>VLOOKUP(B214,labo!B:D,3,FALSE)</f>
        <v>ug2</v>
      </c>
      <c r="AD214" s="360" t="s">
        <v>2629</v>
      </c>
      <c r="AF214" s="330">
        <f>VLOOKUP(D214,'SUIVI JOURNALIER AVRIL'!CK:CL,2,FALSE)</f>
        <v>0</v>
      </c>
      <c r="AG214" s="360">
        <v>1</v>
      </c>
    </row>
    <row r="215" spans="1:33" s="360" customFormat="1" ht="13.5" customHeight="1">
      <c r="A215" s="324" t="s">
        <v>1829</v>
      </c>
      <c r="B215" s="325" t="s">
        <v>722</v>
      </c>
      <c r="C215" s="325" t="s">
        <v>723</v>
      </c>
      <c r="D215" s="325" t="s">
        <v>724</v>
      </c>
      <c r="E215" s="324" t="s">
        <v>446</v>
      </c>
      <c r="F215" s="324" t="s">
        <v>2055</v>
      </c>
      <c r="G215" s="324" t="s">
        <v>887</v>
      </c>
      <c r="H215" s="324" t="s">
        <v>897</v>
      </c>
      <c r="I215" s="324" t="s">
        <v>1273</v>
      </c>
      <c r="J215" s="324" t="s">
        <v>889</v>
      </c>
      <c r="K215" s="324" t="s">
        <v>890</v>
      </c>
      <c r="L215" s="324" t="s">
        <v>891</v>
      </c>
      <c r="M215" s="324" t="s">
        <v>892</v>
      </c>
      <c r="N215" s="324" t="s">
        <v>954</v>
      </c>
      <c r="O215" s="324" t="s">
        <v>1025</v>
      </c>
      <c r="P215" s="324" t="s">
        <v>1025</v>
      </c>
      <c r="Q215" s="324" t="s">
        <v>924</v>
      </c>
      <c r="R215" s="324" t="s">
        <v>1274</v>
      </c>
      <c r="S215" s="356" t="s">
        <v>895</v>
      </c>
      <c r="T215" s="309" t="s">
        <v>957</v>
      </c>
      <c r="U215" s="357" t="e">
        <f>VLOOKUP(D215,'SUIVI JOURNALIER AVRIL'!CK:CM,3,FALSE)</f>
        <v>#N/A</v>
      </c>
      <c r="V215" s="358" t="e">
        <f>IF(VLOOKUP('vs mars'!D215,'point sur les patentes'!B:E,4,FALSE)="","",VLOOKUP(D215,'point sur les patentes'!B:E,4,FALSE)+VLOOKUP(D215,'point sur les patentes'!B:F,5,FALSE)+VLOOKUP('vs mars'!D215,'point sur les patentes'!B:G,6,FALSE)+VLOOKUP('vs mars'!D215,'point sur les patentes'!B:H,7,FALSE)+VLOOKUP('vs mars'!D215,'point sur les patentes'!B:I,8,FALSE)+VLOOKUP(D215,'point sur les patentes'!B:J,9,FALSE)+VLOOKUP(D215,'point sur les patentes'!B:K,10,FALSE)+VLOOKUP(D215,'point sur les patentes'!B:L,11,FALSE)+VLOOKUP(D215,'point sur les patentes'!B:M,12,FALSE)+VLOOKUP(D215,'point sur les patentes'!B:N,13,FALSE)+VLOOKUP(D215,'point sur les patentes'!B:O,14,FALSE)+VLOOKUP(D215,'point sur les patentes'!B:P,15,FALSE)+VLOOKUP(D215,'point sur les patentes'!B:Q,16,FALSE)+VLOOKUP('vs mars'!D215,'point sur les patentes'!B:Z,25,FALSE))</f>
        <v>#N/A</v>
      </c>
      <c r="W215" s="340" t="e">
        <f>VLOOKUP(D215,'SUIVI JOURNALIER AVRIL'!B:J,9,FALSE)</f>
        <v>#N/A</v>
      </c>
      <c r="X215" s="340" t="e">
        <f>VLOOKUP(D215,'SUIVI JOURNALIER AVRIL'!B:P,14,FALSE)+VLOOKUP('vs mars'!D215,'SUIVI JOURNALIER AVRIL'!B:V,20,FALSE)+VLOOKUP('vs mars'!D215,'SUIVI JOURNALIER AVRIL'!B:W,21,FALSE)</f>
        <v>#N/A</v>
      </c>
      <c r="Y215" s="340" t="e">
        <f>VLOOKUP(D215,'SUIVI JOURNALIER AVRIL'!B:CC,80,FALSE)</f>
        <v>#N/A</v>
      </c>
      <c r="Z215" s="340" t="e">
        <f t="shared" si="6"/>
        <v>#N/A</v>
      </c>
      <c r="AA215" s="359" t="e">
        <f>VLOOKUP(D215,'SUIVI JOURNALIER AVRIL'!B:CD,81,FALSE)</f>
        <v>#N/A</v>
      </c>
      <c r="AB215" s="360" t="e">
        <f t="shared" si="7"/>
        <v>#N/A</v>
      </c>
      <c r="AC215" s="360" t="str">
        <f>VLOOKUP(B215,labo!B:D,3,FALSE)</f>
        <v>ug5</v>
      </c>
      <c r="AD215" s="360" t="s">
        <v>2629</v>
      </c>
      <c r="AF215" s="330" t="e">
        <f>VLOOKUP(D215,'SUIVI JOURNALIER AVRIL'!CK:CL,2,FALSE)</f>
        <v>#N/A</v>
      </c>
      <c r="AG215" s="360">
        <v>1</v>
      </c>
    </row>
    <row r="216" spans="1:33" s="360" customFormat="1" ht="13.5" customHeight="1">
      <c r="A216" s="324" t="s">
        <v>1830</v>
      </c>
      <c r="B216" s="325" t="s">
        <v>294</v>
      </c>
      <c r="C216" s="325" t="s">
        <v>725</v>
      </c>
      <c r="D216" s="325" t="s">
        <v>726</v>
      </c>
      <c r="E216" s="324" t="s">
        <v>554</v>
      </c>
      <c r="F216" s="324" t="s">
        <v>2055</v>
      </c>
      <c r="G216" s="324" t="s">
        <v>887</v>
      </c>
      <c r="H216" s="324" t="s">
        <v>1275</v>
      </c>
      <c r="I216" s="324" t="s">
        <v>1276</v>
      </c>
      <c r="J216" s="324" t="s">
        <v>889</v>
      </c>
      <c r="K216" s="324" t="s">
        <v>890</v>
      </c>
      <c r="L216" s="324" t="s">
        <v>891</v>
      </c>
      <c r="M216" s="324" t="s">
        <v>892</v>
      </c>
      <c r="N216" s="324" t="s">
        <v>893</v>
      </c>
      <c r="O216" s="324" t="s">
        <v>894</v>
      </c>
      <c r="P216" s="324" t="s">
        <v>935</v>
      </c>
      <c r="Q216" s="324" t="s">
        <v>970</v>
      </c>
      <c r="R216" s="324" t="s">
        <v>725</v>
      </c>
      <c r="S216" s="356" t="s">
        <v>895</v>
      </c>
      <c r="T216" s="309" t="s">
        <v>1528</v>
      </c>
      <c r="U216" s="357">
        <f>VLOOKUP(D216,'SUIVI JOURNALIER AVRIL'!CK:CM,3,FALSE)</f>
        <v>0</v>
      </c>
      <c r="V216" s="358" t="e">
        <f>IF(VLOOKUP('vs mars'!D216,'point sur les patentes'!B:E,4,FALSE)="","",VLOOKUP(D216,'point sur les patentes'!B:E,4,FALSE)+VLOOKUP(D216,'point sur les patentes'!B:F,5,FALSE)+VLOOKUP('vs mars'!D216,'point sur les patentes'!B:G,6,FALSE)+VLOOKUP('vs mars'!D216,'point sur les patentes'!B:H,7,FALSE)+VLOOKUP('vs mars'!D216,'point sur les patentes'!B:I,8,FALSE)+VLOOKUP(D216,'point sur les patentes'!B:J,9,FALSE)+VLOOKUP(D216,'point sur les patentes'!B:K,10,FALSE)+VLOOKUP(D216,'point sur les patentes'!B:L,11,FALSE)+VLOOKUP(D216,'point sur les patentes'!B:M,12,FALSE)+VLOOKUP(D216,'point sur les patentes'!B:N,13,FALSE)+VLOOKUP(D216,'point sur les patentes'!B:O,14,FALSE)+VLOOKUP(D216,'point sur les patentes'!B:P,15,FALSE)+VLOOKUP(D216,'point sur les patentes'!B:Q,16,FALSE)+VLOOKUP('vs mars'!D216,'point sur les patentes'!B:Z,25,FALSE))</f>
        <v>#N/A</v>
      </c>
      <c r="W216" s="340">
        <f>VLOOKUP(D216,'SUIVI JOURNALIER AVRIL'!B:J,9,FALSE)</f>
        <v>188773</v>
      </c>
      <c r="X216" s="340">
        <f>VLOOKUP(D216,'SUIVI JOURNALIER AVRIL'!B:P,14,FALSE)+VLOOKUP('vs mars'!D216,'SUIVI JOURNALIER AVRIL'!B:V,20,FALSE)+VLOOKUP('vs mars'!D216,'SUIVI JOURNALIER AVRIL'!B:W,21,FALSE)</f>
        <v>71236</v>
      </c>
      <c r="Y216" s="340">
        <f>VLOOKUP(D216,'SUIVI JOURNALIER AVRIL'!B:CC,80,FALSE)</f>
        <v>36758</v>
      </c>
      <c r="Z216" s="340">
        <f t="shared" si="6"/>
        <v>296767</v>
      </c>
      <c r="AA216" s="359">
        <f>VLOOKUP(D216,'SUIVI JOURNALIER AVRIL'!B:CD,81,FALSE)</f>
        <v>296767</v>
      </c>
      <c r="AB216" s="360" t="str">
        <f t="shared" si="7"/>
        <v>ok</v>
      </c>
      <c r="AC216" s="360" t="str">
        <f>VLOOKUP(B216,labo!B:D,3,FALSE)</f>
        <v>ug2</v>
      </c>
      <c r="AD216" s="360" t="s">
        <v>2629</v>
      </c>
      <c r="AF216" s="330">
        <f>VLOOKUP(D216,'SUIVI JOURNALIER AVRIL'!CK:CL,2,FALSE)</f>
        <v>0</v>
      </c>
      <c r="AG216" s="360">
        <v>1</v>
      </c>
    </row>
    <row r="217" spans="1:33" s="360" customFormat="1" ht="13.5" customHeight="1">
      <c r="A217" s="324" t="s">
        <v>1831</v>
      </c>
      <c r="B217" s="325" t="s">
        <v>333</v>
      </c>
      <c r="C217" s="325" t="s">
        <v>727</v>
      </c>
      <c r="D217" s="325" t="s">
        <v>728</v>
      </c>
      <c r="E217" s="324" t="s">
        <v>446</v>
      </c>
      <c r="F217" s="324" t="s">
        <v>2055</v>
      </c>
      <c r="G217" s="324" t="s">
        <v>887</v>
      </c>
      <c r="H217" s="324" t="s">
        <v>1277</v>
      </c>
      <c r="I217" s="324" t="s">
        <v>1278</v>
      </c>
      <c r="J217" s="324" t="s">
        <v>889</v>
      </c>
      <c r="K217" s="324" t="s">
        <v>890</v>
      </c>
      <c r="L217" s="324" t="s">
        <v>891</v>
      </c>
      <c r="M217" s="324" t="s">
        <v>892</v>
      </c>
      <c r="N217" s="324" t="s">
        <v>893</v>
      </c>
      <c r="O217" s="324" t="s">
        <v>894</v>
      </c>
      <c r="P217" s="324" t="s">
        <v>899</v>
      </c>
      <c r="Q217" s="324" t="s">
        <v>900</v>
      </c>
      <c r="R217" s="324" t="s">
        <v>969</v>
      </c>
      <c r="S217" s="356" t="s">
        <v>895</v>
      </c>
      <c r="T217" s="309" t="s">
        <v>953</v>
      </c>
      <c r="U217" s="357" t="e">
        <f>VLOOKUP(D217,'SUIVI JOURNALIER AVRIL'!CK:CM,3,FALSE)</f>
        <v>#N/A</v>
      </c>
      <c r="V217" s="358" t="e">
        <f>IF(VLOOKUP('vs mars'!D217,'point sur les patentes'!B:E,4,FALSE)="","",VLOOKUP(D217,'point sur les patentes'!B:E,4,FALSE)+VLOOKUP(D217,'point sur les patentes'!B:F,5,FALSE)+VLOOKUP('vs mars'!D217,'point sur les patentes'!B:G,6,FALSE)+VLOOKUP('vs mars'!D217,'point sur les patentes'!B:H,7,FALSE)+VLOOKUP('vs mars'!D217,'point sur les patentes'!B:I,8,FALSE)+VLOOKUP(D217,'point sur les patentes'!B:J,9,FALSE)+VLOOKUP(D217,'point sur les patentes'!B:K,10,FALSE)+VLOOKUP(D217,'point sur les patentes'!B:L,11,FALSE)+VLOOKUP(D217,'point sur les patentes'!B:M,12,FALSE)+VLOOKUP(D217,'point sur les patentes'!B:N,13,FALSE)+VLOOKUP(D217,'point sur les patentes'!B:O,14,FALSE)+VLOOKUP(D217,'point sur les patentes'!B:P,15,FALSE)+VLOOKUP(D217,'point sur les patentes'!B:Q,16,FALSE)+VLOOKUP('vs mars'!D217,'point sur les patentes'!B:Z,25,FALSE))</f>
        <v>#N/A</v>
      </c>
      <c r="W217" s="340" t="e">
        <f>VLOOKUP(D217,'SUIVI JOURNALIER AVRIL'!B:J,9,FALSE)</f>
        <v>#N/A</v>
      </c>
      <c r="X217" s="340" t="e">
        <f>VLOOKUP(D217,'SUIVI JOURNALIER AVRIL'!B:P,14,FALSE)+VLOOKUP('vs mars'!D217,'SUIVI JOURNALIER AVRIL'!B:V,20,FALSE)+VLOOKUP('vs mars'!D217,'SUIVI JOURNALIER AVRIL'!B:W,21,FALSE)</f>
        <v>#N/A</v>
      </c>
      <c r="Y217" s="340" t="e">
        <f>VLOOKUP(D217,'SUIVI JOURNALIER AVRIL'!B:CC,80,FALSE)</f>
        <v>#N/A</v>
      </c>
      <c r="Z217" s="340" t="e">
        <f t="shared" si="6"/>
        <v>#N/A</v>
      </c>
      <c r="AA217" s="359" t="e">
        <f>VLOOKUP(D217,'SUIVI JOURNALIER AVRIL'!B:CD,81,FALSE)</f>
        <v>#N/A</v>
      </c>
      <c r="AB217" s="360" t="e">
        <f t="shared" si="7"/>
        <v>#N/A</v>
      </c>
      <c r="AC217" s="360" t="str">
        <f>VLOOKUP(B217,labo!B:D,3,FALSE)</f>
        <v>ug5</v>
      </c>
      <c r="AD217" s="360" t="s">
        <v>2629</v>
      </c>
      <c r="AF217" s="330" t="e">
        <f>VLOOKUP(D217,'SUIVI JOURNALIER AVRIL'!CK:CL,2,FALSE)</f>
        <v>#N/A</v>
      </c>
      <c r="AG217" s="360">
        <v>1</v>
      </c>
    </row>
    <row r="218" spans="1:33" s="360" customFormat="1" ht="13.5" customHeight="1">
      <c r="A218" s="324" t="s">
        <v>1832</v>
      </c>
      <c r="B218" s="325" t="s">
        <v>729</v>
      </c>
      <c r="C218" s="325" t="s">
        <v>2055</v>
      </c>
      <c r="D218" s="325" t="s">
        <v>730</v>
      </c>
      <c r="E218" s="324" t="s">
        <v>542</v>
      </c>
      <c r="F218" s="324" t="s">
        <v>2055</v>
      </c>
      <c r="G218" s="324" t="s">
        <v>887</v>
      </c>
      <c r="H218" s="324" t="s">
        <v>897</v>
      </c>
      <c r="I218" s="324" t="s">
        <v>1279</v>
      </c>
      <c r="J218" s="324" t="s">
        <v>889</v>
      </c>
      <c r="K218" s="324" t="s">
        <v>890</v>
      </c>
      <c r="L218" s="324" t="s">
        <v>891</v>
      </c>
      <c r="M218" s="324" t="s">
        <v>892</v>
      </c>
      <c r="N218" s="324" t="s">
        <v>893</v>
      </c>
      <c r="O218" s="324" t="s">
        <v>894</v>
      </c>
      <c r="P218" s="324" t="s">
        <v>899</v>
      </c>
      <c r="Q218" s="324" t="s">
        <v>1280</v>
      </c>
      <c r="R218" s="324" t="s">
        <v>1281</v>
      </c>
      <c r="S218" s="356" t="s">
        <v>895</v>
      </c>
      <c r="T218" s="309" t="s">
        <v>999</v>
      </c>
      <c r="U218" s="357" t="e">
        <f>VLOOKUP(D218,'SUIVI JOURNALIER AVRIL'!CK:CM,3,FALSE)</f>
        <v>#N/A</v>
      </c>
      <c r="V218" s="358">
        <f>IF(VLOOKUP('vs mars'!D218,'point sur les patentes'!B:E,4,FALSE)="","",VLOOKUP(D218,'point sur les patentes'!B:E,4,FALSE)+VLOOKUP(D218,'point sur les patentes'!B:F,5,FALSE)+VLOOKUP('vs mars'!D218,'point sur les patentes'!B:G,6,FALSE)+VLOOKUP('vs mars'!D218,'point sur les patentes'!B:H,7,FALSE)+VLOOKUP('vs mars'!D218,'point sur les patentes'!B:I,8,FALSE)+VLOOKUP(D218,'point sur les patentes'!B:J,9,FALSE)+VLOOKUP(D218,'point sur les patentes'!B:K,10,FALSE)+VLOOKUP(D218,'point sur les patentes'!B:L,11,FALSE)+VLOOKUP(D218,'point sur les patentes'!B:M,12,FALSE)+VLOOKUP(D218,'point sur les patentes'!B:N,13,FALSE)+VLOOKUP(D218,'point sur les patentes'!B:O,14,FALSE)+VLOOKUP(D218,'point sur les patentes'!B:P,15,FALSE)+VLOOKUP(D218,'point sur les patentes'!B:Q,16,FALSE)+VLOOKUP('vs mars'!D218,'point sur les patentes'!B:Z,25,FALSE))</f>
        <v>383060</v>
      </c>
      <c r="W218" s="340" t="e">
        <f>VLOOKUP(D218,'SUIVI JOURNALIER AVRIL'!B:J,9,FALSE)</f>
        <v>#N/A</v>
      </c>
      <c r="X218" s="340" t="e">
        <f>VLOOKUP(D218,'SUIVI JOURNALIER AVRIL'!B:P,14,FALSE)+VLOOKUP('vs mars'!D218,'SUIVI JOURNALIER AVRIL'!B:V,20,FALSE)+VLOOKUP('vs mars'!D218,'SUIVI JOURNALIER AVRIL'!B:W,21,FALSE)</f>
        <v>#N/A</v>
      </c>
      <c r="Y218" s="340" t="e">
        <f>VLOOKUP(D218,'SUIVI JOURNALIER AVRIL'!B:CC,80,FALSE)</f>
        <v>#N/A</v>
      </c>
      <c r="Z218" s="340" t="e">
        <f t="shared" si="6"/>
        <v>#N/A</v>
      </c>
      <c r="AA218" s="359" t="e">
        <f>VLOOKUP(D218,'SUIVI JOURNALIER AVRIL'!B:CD,81,FALSE)</f>
        <v>#N/A</v>
      </c>
      <c r="AB218" s="360" t="e">
        <f t="shared" si="7"/>
        <v>#N/A</v>
      </c>
      <c r="AC218" s="360" t="str">
        <f>VLOOKUP(B218,labo!B:D,3,FALSE)</f>
        <v>ug2</v>
      </c>
      <c r="AD218" s="360" t="s">
        <v>2629</v>
      </c>
      <c r="AF218" s="330" t="e">
        <f>VLOOKUP(D218,'SUIVI JOURNALIER AVRIL'!CK:CL,2,FALSE)</f>
        <v>#N/A</v>
      </c>
      <c r="AG218" s="360">
        <v>1</v>
      </c>
    </row>
    <row r="219" spans="1:33" s="360" customFormat="1" ht="13.5" customHeight="1">
      <c r="A219" s="324" t="s">
        <v>1119</v>
      </c>
      <c r="B219" s="325" t="s">
        <v>2349</v>
      </c>
      <c r="C219" s="325" t="s">
        <v>2540</v>
      </c>
      <c r="D219" s="325" t="s">
        <v>2270</v>
      </c>
      <c r="E219" s="324" t="s">
        <v>2271</v>
      </c>
      <c r="F219" s="324" t="s">
        <v>2055</v>
      </c>
      <c r="G219" s="324" t="s">
        <v>887</v>
      </c>
      <c r="H219" s="324" t="s">
        <v>2055</v>
      </c>
      <c r="I219" s="324" t="s">
        <v>2541</v>
      </c>
      <c r="J219" s="324" t="s">
        <v>2055</v>
      </c>
      <c r="K219" s="324" t="s">
        <v>2405</v>
      </c>
      <c r="L219" s="324" t="s">
        <v>891</v>
      </c>
      <c r="M219" s="324" t="s">
        <v>892</v>
      </c>
      <c r="N219" s="324" t="s">
        <v>893</v>
      </c>
      <c r="O219" s="324" t="s">
        <v>894</v>
      </c>
      <c r="P219" s="324" t="s">
        <v>919</v>
      </c>
      <c r="Q219" s="324" t="s">
        <v>2542</v>
      </c>
      <c r="R219" s="324" t="s">
        <v>2055</v>
      </c>
      <c r="S219" s="356" t="s">
        <v>895</v>
      </c>
      <c r="T219" s="309" t="s">
        <v>953</v>
      </c>
      <c r="U219" s="357" t="e">
        <f>VLOOKUP(D219,'SUIVI JOURNALIER AVRIL'!CK:CM,3,FALSE)</f>
        <v>#N/A</v>
      </c>
      <c r="V219" s="358" t="e">
        <f>IF(VLOOKUP('vs mars'!D219,'point sur les patentes'!B:E,4,FALSE)="","",VLOOKUP(D219,'point sur les patentes'!B:E,4,FALSE)+VLOOKUP(D219,'point sur les patentes'!B:F,5,FALSE)+VLOOKUP('vs mars'!D219,'point sur les patentes'!B:G,6,FALSE)+VLOOKUP('vs mars'!D219,'point sur les patentes'!B:H,7,FALSE)+VLOOKUP('vs mars'!D219,'point sur les patentes'!B:I,8,FALSE)+VLOOKUP(D219,'point sur les patentes'!B:J,9,FALSE)+VLOOKUP(D219,'point sur les patentes'!B:K,10,FALSE)+VLOOKUP(D219,'point sur les patentes'!B:L,11,FALSE)+VLOOKUP(D219,'point sur les patentes'!B:M,12,FALSE)+VLOOKUP(D219,'point sur les patentes'!B:N,13,FALSE)+VLOOKUP(D219,'point sur les patentes'!B:O,14,FALSE)+VLOOKUP(D219,'point sur les patentes'!B:P,15,FALSE)+VLOOKUP(D219,'point sur les patentes'!B:Q,16,FALSE)+VLOOKUP('vs mars'!D219,'point sur les patentes'!B:Z,25,FALSE))</f>
        <v>#N/A</v>
      </c>
      <c r="W219" s="340" t="e">
        <f>VLOOKUP(D219,'SUIVI JOURNALIER AVRIL'!B:J,9,FALSE)</f>
        <v>#N/A</v>
      </c>
      <c r="X219" s="340" t="e">
        <f>VLOOKUP(D219,'SUIVI JOURNALIER AVRIL'!B:P,14,FALSE)+VLOOKUP('vs mars'!D219,'SUIVI JOURNALIER AVRIL'!B:V,20,FALSE)+VLOOKUP('vs mars'!D219,'SUIVI JOURNALIER AVRIL'!B:W,21,FALSE)</f>
        <v>#N/A</v>
      </c>
      <c r="Y219" s="340" t="e">
        <f>VLOOKUP(D219,'SUIVI JOURNALIER AVRIL'!B:CC,80,FALSE)</f>
        <v>#N/A</v>
      </c>
      <c r="Z219" s="340" t="e">
        <f t="shared" si="6"/>
        <v>#N/A</v>
      </c>
      <c r="AA219" s="359" t="e">
        <f>VLOOKUP(D219,'SUIVI JOURNALIER AVRIL'!B:CD,81,FALSE)</f>
        <v>#N/A</v>
      </c>
      <c r="AB219" s="360" t="e">
        <f t="shared" si="7"/>
        <v>#N/A</v>
      </c>
      <c r="AC219" s="360" t="str">
        <f>VLOOKUP(B219,labo!B:D,3,FALSE)</f>
        <v>ug1</v>
      </c>
      <c r="AD219" s="360" t="s">
        <v>2629</v>
      </c>
      <c r="AF219" s="330" t="e">
        <f>VLOOKUP(D219,'SUIVI JOURNALIER AVRIL'!CK:CL,2,FALSE)</f>
        <v>#N/A</v>
      </c>
      <c r="AG219" s="360">
        <v>1</v>
      </c>
    </row>
    <row r="220" spans="1:33" s="360" customFormat="1" ht="13.5" customHeight="1">
      <c r="A220" s="324" t="s">
        <v>1409</v>
      </c>
      <c r="B220" s="325" t="s">
        <v>296</v>
      </c>
      <c r="C220" s="325" t="s">
        <v>731</v>
      </c>
      <c r="D220" s="325" t="s">
        <v>732</v>
      </c>
      <c r="E220" s="324" t="s">
        <v>733</v>
      </c>
      <c r="F220" s="324" t="s">
        <v>2055</v>
      </c>
      <c r="G220" s="324" t="s">
        <v>887</v>
      </c>
      <c r="H220" s="324" t="s">
        <v>1282</v>
      </c>
      <c r="I220" s="324" t="s">
        <v>1283</v>
      </c>
      <c r="J220" s="324" t="s">
        <v>889</v>
      </c>
      <c r="K220" s="324" t="s">
        <v>890</v>
      </c>
      <c r="L220" s="324" t="s">
        <v>891</v>
      </c>
      <c r="M220" s="324" t="s">
        <v>892</v>
      </c>
      <c r="N220" s="324" t="s">
        <v>893</v>
      </c>
      <c r="O220" s="324" t="s">
        <v>919</v>
      </c>
      <c r="P220" s="324" t="s">
        <v>919</v>
      </c>
      <c r="Q220" s="324" t="s">
        <v>1284</v>
      </c>
      <c r="R220" s="324" t="s">
        <v>1285</v>
      </c>
      <c r="S220" s="356" t="s">
        <v>895</v>
      </c>
      <c r="T220" s="309" t="s">
        <v>948</v>
      </c>
      <c r="U220" s="357" t="e">
        <f>VLOOKUP(D220,'SUIVI JOURNALIER AVRIL'!CK:CM,3,FALSE)</f>
        <v>#N/A</v>
      </c>
      <c r="V220" s="358" t="e">
        <f>IF(VLOOKUP('vs mars'!D220,'point sur les patentes'!B:E,4,FALSE)="","",VLOOKUP(D220,'point sur les patentes'!B:E,4,FALSE)+VLOOKUP(D220,'point sur les patentes'!B:F,5,FALSE)+VLOOKUP('vs mars'!D220,'point sur les patentes'!B:G,6,FALSE)+VLOOKUP('vs mars'!D220,'point sur les patentes'!B:H,7,FALSE)+VLOOKUP('vs mars'!D220,'point sur les patentes'!B:I,8,FALSE)+VLOOKUP(D220,'point sur les patentes'!B:J,9,FALSE)+VLOOKUP(D220,'point sur les patentes'!B:K,10,FALSE)+VLOOKUP(D220,'point sur les patentes'!B:L,11,FALSE)+VLOOKUP(D220,'point sur les patentes'!B:M,12,FALSE)+VLOOKUP(D220,'point sur les patentes'!B:N,13,FALSE)+VLOOKUP(D220,'point sur les patentes'!B:O,14,FALSE)+VLOOKUP(D220,'point sur les patentes'!B:P,15,FALSE)+VLOOKUP(D220,'point sur les patentes'!B:Q,16,FALSE)+VLOOKUP('vs mars'!D220,'point sur les patentes'!B:Z,25,FALSE))</f>
        <v>#N/A</v>
      </c>
      <c r="W220" s="340" t="e">
        <f>VLOOKUP(D220,'SUIVI JOURNALIER AVRIL'!B:J,9,FALSE)</f>
        <v>#N/A</v>
      </c>
      <c r="X220" s="340" t="e">
        <f>VLOOKUP(D220,'SUIVI JOURNALIER AVRIL'!B:P,14,FALSE)+VLOOKUP('vs mars'!D220,'SUIVI JOURNALIER AVRIL'!B:V,20,FALSE)+VLOOKUP('vs mars'!D220,'SUIVI JOURNALIER AVRIL'!B:W,21,FALSE)</f>
        <v>#N/A</v>
      </c>
      <c r="Y220" s="340" t="e">
        <f>VLOOKUP(D220,'SUIVI JOURNALIER AVRIL'!B:CC,80,FALSE)</f>
        <v>#N/A</v>
      </c>
      <c r="Z220" s="340" t="e">
        <f t="shared" si="6"/>
        <v>#N/A</v>
      </c>
      <c r="AA220" s="359" t="e">
        <f>VLOOKUP(D220,'SUIVI JOURNALIER AVRIL'!B:CD,81,FALSE)</f>
        <v>#N/A</v>
      </c>
      <c r="AB220" s="360" t="e">
        <f t="shared" si="7"/>
        <v>#N/A</v>
      </c>
      <c r="AC220" s="360" t="str">
        <f>VLOOKUP(B220,labo!B:D,3,FALSE)</f>
        <v>ug4</v>
      </c>
      <c r="AD220" s="360" t="s">
        <v>2629</v>
      </c>
      <c r="AF220" s="330" t="e">
        <f>VLOOKUP(D220,'SUIVI JOURNALIER AVRIL'!CK:CL,2,FALSE)</f>
        <v>#N/A</v>
      </c>
      <c r="AG220" s="360">
        <v>1</v>
      </c>
    </row>
    <row r="221" spans="1:33" s="360" customFormat="1" ht="13.5" customHeight="1">
      <c r="A221" s="324" t="s">
        <v>1833</v>
      </c>
      <c r="B221" s="325" t="s">
        <v>734</v>
      </c>
      <c r="C221" s="325" t="s">
        <v>735</v>
      </c>
      <c r="D221" s="325" t="s">
        <v>736</v>
      </c>
      <c r="E221" s="324" t="s">
        <v>439</v>
      </c>
      <c r="F221" s="324" t="s">
        <v>2055</v>
      </c>
      <c r="G221" s="324" t="s">
        <v>887</v>
      </c>
      <c r="H221" s="324" t="s">
        <v>1286</v>
      </c>
      <c r="I221" s="324" t="s">
        <v>1287</v>
      </c>
      <c r="J221" s="324" t="s">
        <v>889</v>
      </c>
      <c r="K221" s="324" t="s">
        <v>890</v>
      </c>
      <c r="L221" s="324" t="s">
        <v>891</v>
      </c>
      <c r="M221" s="324" t="s">
        <v>892</v>
      </c>
      <c r="N221" s="324" t="s">
        <v>893</v>
      </c>
      <c r="O221" s="324" t="s">
        <v>894</v>
      </c>
      <c r="P221" s="324" t="s">
        <v>935</v>
      </c>
      <c r="Q221" s="324" t="s">
        <v>924</v>
      </c>
      <c r="R221" s="324" t="s">
        <v>1187</v>
      </c>
      <c r="S221" s="356" t="s">
        <v>895</v>
      </c>
      <c r="T221" s="309" t="s">
        <v>953</v>
      </c>
      <c r="U221" s="357">
        <f>VLOOKUP(D221,'SUIVI JOURNALIER AVRIL'!CK:CM,3,FALSE)</f>
        <v>0</v>
      </c>
      <c r="V221" s="358" t="e">
        <f>IF(VLOOKUP('vs mars'!D221,'point sur les patentes'!B:E,4,FALSE)="","",VLOOKUP(D221,'point sur les patentes'!B:E,4,FALSE)+VLOOKUP(D221,'point sur les patentes'!B:F,5,FALSE)+VLOOKUP('vs mars'!D221,'point sur les patentes'!B:G,6,FALSE)+VLOOKUP('vs mars'!D221,'point sur les patentes'!B:H,7,FALSE)+VLOOKUP('vs mars'!D221,'point sur les patentes'!B:I,8,FALSE)+VLOOKUP(D221,'point sur les patentes'!B:J,9,FALSE)+VLOOKUP(D221,'point sur les patentes'!B:K,10,FALSE)+VLOOKUP(D221,'point sur les patentes'!B:L,11,FALSE)+VLOOKUP(D221,'point sur les patentes'!B:M,12,FALSE)+VLOOKUP(D221,'point sur les patentes'!B:N,13,FALSE)+VLOOKUP(D221,'point sur les patentes'!B:O,14,FALSE)+VLOOKUP(D221,'point sur les patentes'!B:P,15,FALSE)+VLOOKUP(D221,'point sur les patentes'!B:Q,16,FALSE)+VLOOKUP('vs mars'!D221,'point sur les patentes'!B:Z,25,FALSE))</f>
        <v>#N/A</v>
      </c>
      <c r="W221" s="340">
        <f>VLOOKUP(D221,'SUIVI JOURNALIER AVRIL'!B:J,9,FALSE)</f>
        <v>0</v>
      </c>
      <c r="X221" s="340">
        <f>VLOOKUP(D221,'SUIVI JOURNALIER AVRIL'!B:P,14,FALSE)+VLOOKUP('vs mars'!D221,'SUIVI JOURNALIER AVRIL'!B:V,20,FALSE)+VLOOKUP('vs mars'!D221,'SUIVI JOURNALIER AVRIL'!B:W,21,FALSE)</f>
        <v>0</v>
      </c>
      <c r="Y221" s="340">
        <f>VLOOKUP(D221,'SUIVI JOURNALIER AVRIL'!B:CC,80,FALSE)</f>
        <v>13636</v>
      </c>
      <c r="Z221" s="340">
        <f t="shared" si="6"/>
        <v>13636</v>
      </c>
      <c r="AA221" s="359">
        <f>VLOOKUP(D221,'SUIVI JOURNALIER AVRIL'!B:CD,81,FALSE)</f>
        <v>13636</v>
      </c>
      <c r="AB221" s="360" t="str">
        <f t="shared" si="7"/>
        <v>ok</v>
      </c>
      <c r="AC221" s="360" t="str">
        <f>VLOOKUP(B221,labo!B:D,3,FALSE)</f>
        <v>ug5</v>
      </c>
      <c r="AD221" s="360" t="s">
        <v>2629</v>
      </c>
      <c r="AF221" s="330">
        <f>VLOOKUP(D221,'SUIVI JOURNALIER AVRIL'!CK:CL,2,FALSE)</f>
        <v>0</v>
      </c>
      <c r="AG221" s="360">
        <v>1</v>
      </c>
    </row>
    <row r="222" spans="1:33" s="360" customFormat="1" ht="13.5" customHeight="1">
      <c r="A222" s="324" t="s">
        <v>1834</v>
      </c>
      <c r="B222" s="325" t="s">
        <v>737</v>
      </c>
      <c r="C222" s="325" t="s">
        <v>738</v>
      </c>
      <c r="D222" s="325" t="s">
        <v>739</v>
      </c>
      <c r="E222" s="324" t="s">
        <v>446</v>
      </c>
      <c r="F222" s="324" t="s">
        <v>2055</v>
      </c>
      <c r="G222" s="324" t="s">
        <v>887</v>
      </c>
      <c r="H222" s="324" t="s">
        <v>897</v>
      </c>
      <c r="I222" s="324" t="s">
        <v>1288</v>
      </c>
      <c r="J222" s="324" t="s">
        <v>889</v>
      </c>
      <c r="K222" s="324" t="s">
        <v>890</v>
      </c>
      <c r="L222" s="324" t="s">
        <v>891</v>
      </c>
      <c r="M222" s="324" t="s">
        <v>892</v>
      </c>
      <c r="N222" s="324" t="s">
        <v>912</v>
      </c>
      <c r="O222" s="324" t="s">
        <v>913</v>
      </c>
      <c r="P222" s="324" t="s">
        <v>913</v>
      </c>
      <c r="Q222" s="324" t="s">
        <v>1243</v>
      </c>
      <c r="R222" s="324" t="s">
        <v>1289</v>
      </c>
      <c r="S222" s="356" t="s">
        <v>895</v>
      </c>
      <c r="T222" s="309" t="s">
        <v>944</v>
      </c>
      <c r="U222" s="357" t="e">
        <f>VLOOKUP(D222,'SUIVI JOURNALIER AVRIL'!CK:CM,3,FALSE)</f>
        <v>#N/A</v>
      </c>
      <c r="V222" s="358" t="e">
        <f>IF(VLOOKUP('vs mars'!D222,'point sur les patentes'!B:E,4,FALSE)="","",VLOOKUP(D222,'point sur les patentes'!B:E,4,FALSE)+VLOOKUP(D222,'point sur les patentes'!B:F,5,FALSE)+VLOOKUP('vs mars'!D222,'point sur les patentes'!B:G,6,FALSE)+VLOOKUP('vs mars'!D222,'point sur les patentes'!B:H,7,FALSE)+VLOOKUP('vs mars'!D222,'point sur les patentes'!B:I,8,FALSE)+VLOOKUP(D222,'point sur les patentes'!B:J,9,FALSE)+VLOOKUP(D222,'point sur les patentes'!B:K,10,FALSE)+VLOOKUP(D222,'point sur les patentes'!B:L,11,FALSE)+VLOOKUP(D222,'point sur les patentes'!B:M,12,FALSE)+VLOOKUP(D222,'point sur les patentes'!B:N,13,FALSE)+VLOOKUP(D222,'point sur les patentes'!B:O,14,FALSE)+VLOOKUP(D222,'point sur les patentes'!B:P,15,FALSE)+VLOOKUP(D222,'point sur les patentes'!B:Q,16,FALSE)+VLOOKUP('vs mars'!D222,'point sur les patentes'!B:Z,25,FALSE))</f>
        <v>#N/A</v>
      </c>
      <c r="W222" s="340" t="e">
        <f>VLOOKUP(D222,'SUIVI JOURNALIER AVRIL'!B:J,9,FALSE)</f>
        <v>#N/A</v>
      </c>
      <c r="X222" s="340" t="e">
        <f>VLOOKUP(D222,'SUIVI JOURNALIER AVRIL'!B:P,14,FALSE)+VLOOKUP('vs mars'!D222,'SUIVI JOURNALIER AVRIL'!B:V,20,FALSE)+VLOOKUP('vs mars'!D222,'SUIVI JOURNALIER AVRIL'!B:W,21,FALSE)</f>
        <v>#N/A</v>
      </c>
      <c r="Y222" s="340" t="e">
        <f>VLOOKUP(D222,'SUIVI JOURNALIER AVRIL'!B:CC,80,FALSE)</f>
        <v>#N/A</v>
      </c>
      <c r="Z222" s="340" t="e">
        <f t="shared" si="6"/>
        <v>#N/A</v>
      </c>
      <c r="AA222" s="359" t="e">
        <f>VLOOKUP(D222,'SUIVI JOURNALIER AVRIL'!B:CD,81,FALSE)</f>
        <v>#N/A</v>
      </c>
      <c r="AB222" s="360" t="e">
        <f t="shared" si="7"/>
        <v>#N/A</v>
      </c>
      <c r="AC222" s="360" t="str">
        <f>VLOOKUP(B222,labo!B:D,3,FALSE)</f>
        <v>ug5</v>
      </c>
      <c r="AD222" s="360" t="s">
        <v>2629</v>
      </c>
      <c r="AF222" s="330" t="e">
        <f>VLOOKUP(D222,'SUIVI JOURNALIER AVRIL'!CK:CL,2,FALSE)</f>
        <v>#N/A</v>
      </c>
      <c r="AG222" s="360">
        <v>1</v>
      </c>
    </row>
    <row r="223" spans="1:33" s="360" customFormat="1" ht="13.5" customHeight="1">
      <c r="A223" s="324" t="s">
        <v>1835</v>
      </c>
      <c r="B223" s="325" t="s">
        <v>373</v>
      </c>
      <c r="C223" s="325" t="s">
        <v>555</v>
      </c>
      <c r="D223" s="325" t="s">
        <v>740</v>
      </c>
      <c r="E223" s="324" t="s">
        <v>422</v>
      </c>
      <c r="F223" s="324" t="s">
        <v>2055</v>
      </c>
      <c r="G223" s="324" t="s">
        <v>887</v>
      </c>
      <c r="H223" s="324" t="s">
        <v>917</v>
      </c>
      <c r="I223" s="324" t="s">
        <v>1290</v>
      </c>
      <c r="J223" s="324" t="s">
        <v>889</v>
      </c>
      <c r="K223" s="324" t="s">
        <v>890</v>
      </c>
      <c r="L223" s="324" t="s">
        <v>891</v>
      </c>
      <c r="M223" s="324" t="s">
        <v>892</v>
      </c>
      <c r="N223" s="324" t="s">
        <v>893</v>
      </c>
      <c r="O223" s="324" t="s">
        <v>894</v>
      </c>
      <c r="P223" s="324" t="s">
        <v>899</v>
      </c>
      <c r="Q223" s="324" t="s">
        <v>1291</v>
      </c>
      <c r="R223" s="324" t="s">
        <v>1292</v>
      </c>
      <c r="S223" s="356" t="s">
        <v>895</v>
      </c>
      <c r="T223" s="309" t="s">
        <v>1116</v>
      </c>
      <c r="U223" s="357" t="e">
        <f>VLOOKUP(D223,'SUIVI JOURNALIER AVRIL'!CK:CM,3,FALSE)</f>
        <v>#N/A</v>
      </c>
      <c r="V223" s="358" t="e">
        <f>IF(VLOOKUP('vs mars'!D223,'point sur les patentes'!B:E,4,FALSE)="","",VLOOKUP(D223,'point sur les patentes'!B:E,4,FALSE)+VLOOKUP(D223,'point sur les patentes'!B:F,5,FALSE)+VLOOKUP('vs mars'!D223,'point sur les patentes'!B:G,6,FALSE)+VLOOKUP('vs mars'!D223,'point sur les patentes'!B:H,7,FALSE)+VLOOKUP('vs mars'!D223,'point sur les patentes'!B:I,8,FALSE)+VLOOKUP(D223,'point sur les patentes'!B:J,9,FALSE)+VLOOKUP(D223,'point sur les patentes'!B:K,10,FALSE)+VLOOKUP(D223,'point sur les patentes'!B:L,11,FALSE)+VLOOKUP(D223,'point sur les patentes'!B:M,12,FALSE)+VLOOKUP(D223,'point sur les patentes'!B:N,13,FALSE)+VLOOKUP(D223,'point sur les patentes'!B:O,14,FALSE)+VLOOKUP(D223,'point sur les patentes'!B:P,15,FALSE)+VLOOKUP(D223,'point sur les patentes'!B:Q,16,FALSE)+VLOOKUP('vs mars'!D223,'point sur les patentes'!B:Z,25,FALSE))</f>
        <v>#N/A</v>
      </c>
      <c r="W223" s="340">
        <f>VLOOKUP(D223,'SUIVI JOURNALIER AVRIL'!B:J,9,FALSE)</f>
        <v>31832</v>
      </c>
      <c r="X223" s="340">
        <f>VLOOKUP(D223,'SUIVI JOURNALIER AVRIL'!B:P,14,FALSE)+VLOOKUP('vs mars'!D223,'SUIVI JOURNALIER AVRIL'!B:V,20,FALSE)+VLOOKUP('vs mars'!D223,'SUIVI JOURNALIER AVRIL'!B:W,21,FALSE)</f>
        <v>328204.27272727271</v>
      </c>
      <c r="Y223" s="340">
        <f>VLOOKUP(D223,'SUIVI JOURNALIER AVRIL'!B:CC,80,FALSE)</f>
        <v>1355</v>
      </c>
      <c r="Z223" s="340">
        <f t="shared" si="6"/>
        <v>361391.27272727271</v>
      </c>
      <c r="AA223" s="359">
        <f>VLOOKUP(D223,'SUIVI JOURNALIER AVRIL'!B:CD,81,FALSE)</f>
        <v>361391.27272727271</v>
      </c>
      <c r="AB223" s="360" t="str">
        <f t="shared" si="7"/>
        <v>ok</v>
      </c>
      <c r="AC223" s="360" t="str">
        <f>VLOOKUP(B223,labo!B:D,3,FALSE)</f>
        <v>ug4</v>
      </c>
      <c r="AD223" s="360" t="s">
        <v>2629</v>
      </c>
      <c r="AF223" s="330" t="e">
        <f>VLOOKUP(D223,'SUIVI JOURNALIER AVRIL'!CK:CL,2,FALSE)</f>
        <v>#N/A</v>
      </c>
      <c r="AG223" s="360">
        <v>1</v>
      </c>
    </row>
    <row r="224" spans="1:33" s="360" customFormat="1" ht="13.5" customHeight="1">
      <c r="A224" s="324" t="s">
        <v>1836</v>
      </c>
      <c r="B224" s="325" t="s">
        <v>374</v>
      </c>
      <c r="C224" s="325" t="s">
        <v>741</v>
      </c>
      <c r="D224" s="325" t="s">
        <v>742</v>
      </c>
      <c r="E224" s="324" t="s">
        <v>422</v>
      </c>
      <c r="F224" s="324" t="s">
        <v>2055</v>
      </c>
      <c r="G224" s="324" t="s">
        <v>887</v>
      </c>
      <c r="H224" s="324" t="s">
        <v>1293</v>
      </c>
      <c r="I224" s="324" t="s">
        <v>1294</v>
      </c>
      <c r="J224" s="324" t="s">
        <v>889</v>
      </c>
      <c r="K224" s="324" t="s">
        <v>890</v>
      </c>
      <c r="L224" s="324" t="s">
        <v>891</v>
      </c>
      <c r="M224" s="324" t="s">
        <v>892</v>
      </c>
      <c r="N224" s="324" t="s">
        <v>912</v>
      </c>
      <c r="O224" s="324" t="s">
        <v>913</v>
      </c>
      <c r="P224" s="324" t="s">
        <v>913</v>
      </c>
      <c r="Q224" s="324" t="s">
        <v>924</v>
      </c>
      <c r="R224" s="324" t="s">
        <v>577</v>
      </c>
      <c r="S224" s="356" t="s">
        <v>895</v>
      </c>
      <c r="T224" s="309" t="s">
        <v>1060</v>
      </c>
      <c r="U224" s="357">
        <f>VLOOKUP(D224,'SUIVI JOURNALIER AVRIL'!CK:CM,3,FALSE)</f>
        <v>0</v>
      </c>
      <c r="V224" s="358" t="e">
        <f>IF(VLOOKUP('vs mars'!D224,'point sur les patentes'!B:E,4,FALSE)="","",VLOOKUP(D224,'point sur les patentes'!B:E,4,FALSE)+VLOOKUP(D224,'point sur les patentes'!B:F,5,FALSE)+VLOOKUP('vs mars'!D224,'point sur les patentes'!B:G,6,FALSE)+VLOOKUP('vs mars'!D224,'point sur les patentes'!B:H,7,FALSE)+VLOOKUP('vs mars'!D224,'point sur les patentes'!B:I,8,FALSE)+VLOOKUP(D224,'point sur les patentes'!B:J,9,FALSE)+VLOOKUP(D224,'point sur les patentes'!B:K,10,FALSE)+VLOOKUP(D224,'point sur les patentes'!B:L,11,FALSE)+VLOOKUP(D224,'point sur les patentes'!B:M,12,FALSE)+VLOOKUP(D224,'point sur les patentes'!B:N,13,FALSE)+VLOOKUP(D224,'point sur les patentes'!B:O,14,FALSE)+VLOOKUP(D224,'point sur les patentes'!B:P,15,FALSE)+VLOOKUP(D224,'point sur les patentes'!B:Q,16,FALSE)+VLOOKUP('vs mars'!D224,'point sur les patentes'!B:Z,25,FALSE))</f>
        <v>#N/A</v>
      </c>
      <c r="W224" s="340">
        <f>VLOOKUP(D224,'SUIVI JOURNALIER AVRIL'!B:J,9,FALSE)</f>
        <v>0</v>
      </c>
      <c r="X224" s="340">
        <f>VLOOKUP(D224,'SUIVI JOURNALIER AVRIL'!B:P,14,FALSE)+VLOOKUP('vs mars'!D224,'SUIVI JOURNALIER AVRIL'!B:V,20,FALSE)+VLOOKUP('vs mars'!D224,'SUIVI JOURNALIER AVRIL'!B:W,21,FALSE)</f>
        <v>141471.90909090909</v>
      </c>
      <c r="Y224" s="340">
        <f>VLOOKUP(D224,'SUIVI JOURNALIER AVRIL'!B:CC,80,FALSE)</f>
        <v>40862</v>
      </c>
      <c r="Z224" s="340">
        <f t="shared" si="6"/>
        <v>182333.90909090909</v>
      </c>
      <c r="AA224" s="359">
        <f>VLOOKUP(D224,'SUIVI JOURNALIER AVRIL'!B:CD,81,FALSE)</f>
        <v>182333.90909090909</v>
      </c>
      <c r="AB224" s="360" t="str">
        <f t="shared" si="7"/>
        <v>ok</v>
      </c>
      <c r="AC224" s="360" t="str">
        <f>VLOOKUP(B224,labo!B:D,3,FALSE)</f>
        <v>ug4</v>
      </c>
      <c r="AD224" s="360" t="s">
        <v>2629</v>
      </c>
      <c r="AF224" s="330">
        <f>VLOOKUP(D224,'SUIVI JOURNALIER AVRIL'!CK:CL,2,FALSE)</f>
        <v>0</v>
      </c>
      <c r="AG224" s="360">
        <v>1</v>
      </c>
    </row>
    <row r="225" spans="1:33" s="360" customFormat="1" ht="13.5" customHeight="1">
      <c r="A225" s="324" t="s">
        <v>1837</v>
      </c>
      <c r="B225" s="325" t="s">
        <v>269</v>
      </c>
      <c r="C225" s="325" t="s">
        <v>743</v>
      </c>
      <c r="D225" s="325" t="s">
        <v>744</v>
      </c>
      <c r="E225" s="324" t="s">
        <v>422</v>
      </c>
      <c r="F225" s="324" t="s">
        <v>2055</v>
      </c>
      <c r="G225" s="324" t="s">
        <v>887</v>
      </c>
      <c r="H225" s="324" t="s">
        <v>917</v>
      </c>
      <c r="I225" s="324" t="s">
        <v>918</v>
      </c>
      <c r="J225" s="324" t="s">
        <v>889</v>
      </c>
      <c r="K225" s="324" t="s">
        <v>890</v>
      </c>
      <c r="L225" s="324" t="s">
        <v>891</v>
      </c>
      <c r="M225" s="324" t="s">
        <v>892</v>
      </c>
      <c r="N225" s="324" t="s">
        <v>893</v>
      </c>
      <c r="O225" s="324" t="s">
        <v>923</v>
      </c>
      <c r="P225" s="324" t="s">
        <v>923</v>
      </c>
      <c r="Q225" s="324" t="s">
        <v>924</v>
      </c>
      <c r="R225" s="324" t="s">
        <v>1295</v>
      </c>
      <c r="S225" s="356" t="s">
        <v>895</v>
      </c>
      <c r="T225" s="309" t="s">
        <v>957</v>
      </c>
      <c r="U225" s="357">
        <f>VLOOKUP(D225,'SUIVI JOURNALIER AVRIL'!CK:CM,3,FALSE)</f>
        <v>0</v>
      </c>
      <c r="V225" s="358" t="e">
        <f>IF(VLOOKUP('vs mars'!D225,'point sur les patentes'!B:E,4,FALSE)="","",VLOOKUP(D225,'point sur les patentes'!B:E,4,FALSE)+VLOOKUP(D225,'point sur les patentes'!B:F,5,FALSE)+VLOOKUP('vs mars'!D225,'point sur les patentes'!B:G,6,FALSE)+VLOOKUP('vs mars'!D225,'point sur les patentes'!B:H,7,FALSE)+VLOOKUP('vs mars'!D225,'point sur les patentes'!B:I,8,FALSE)+VLOOKUP(D225,'point sur les patentes'!B:J,9,FALSE)+VLOOKUP(D225,'point sur les patentes'!B:K,10,FALSE)+VLOOKUP(D225,'point sur les patentes'!B:L,11,FALSE)+VLOOKUP(D225,'point sur les patentes'!B:M,12,FALSE)+VLOOKUP(D225,'point sur les patentes'!B:N,13,FALSE)+VLOOKUP(D225,'point sur les patentes'!B:O,14,FALSE)+VLOOKUP(D225,'point sur les patentes'!B:P,15,FALSE)+VLOOKUP(D225,'point sur les patentes'!B:Q,16,FALSE)+VLOOKUP('vs mars'!D225,'point sur les patentes'!B:Z,25,FALSE))</f>
        <v>#N/A</v>
      </c>
      <c r="W225" s="340">
        <f>VLOOKUP(D225,'SUIVI JOURNALIER AVRIL'!B:J,9,FALSE)</f>
        <v>218719</v>
      </c>
      <c r="X225" s="340">
        <f>VLOOKUP(D225,'SUIVI JOURNALIER AVRIL'!B:P,14,FALSE)+VLOOKUP('vs mars'!D225,'SUIVI JOURNALIER AVRIL'!B:V,20,FALSE)+VLOOKUP('vs mars'!D225,'SUIVI JOURNALIER AVRIL'!B:W,21,FALSE)</f>
        <v>174428</v>
      </c>
      <c r="Y225" s="340">
        <f>VLOOKUP(D225,'SUIVI JOURNALIER AVRIL'!B:CC,80,FALSE)</f>
        <v>10000</v>
      </c>
      <c r="Z225" s="340">
        <f t="shared" si="6"/>
        <v>403147</v>
      </c>
      <c r="AA225" s="359">
        <f>VLOOKUP(D225,'SUIVI JOURNALIER AVRIL'!B:CD,81,FALSE)</f>
        <v>403147</v>
      </c>
      <c r="AB225" s="360" t="str">
        <f t="shared" si="7"/>
        <v>ok</v>
      </c>
      <c r="AC225" s="360" t="str">
        <f>VLOOKUP(B225,labo!B:D,3,FALSE)</f>
        <v>ug4</v>
      </c>
      <c r="AD225" s="360" t="s">
        <v>2629</v>
      </c>
      <c r="AF225" s="330">
        <f>VLOOKUP(D225,'SUIVI JOURNALIER AVRIL'!CK:CL,2,FALSE)</f>
        <v>0</v>
      </c>
      <c r="AG225" s="360">
        <v>1</v>
      </c>
    </row>
    <row r="226" spans="1:33" s="360" customFormat="1" ht="13.5" customHeight="1">
      <c r="A226" s="324" t="s">
        <v>1838</v>
      </c>
      <c r="B226" s="325" t="s">
        <v>303</v>
      </c>
      <c r="C226" s="325" t="s">
        <v>745</v>
      </c>
      <c r="D226" s="325" t="s">
        <v>746</v>
      </c>
      <c r="E226" s="324" t="s">
        <v>549</v>
      </c>
      <c r="F226" s="324" t="s">
        <v>2055</v>
      </c>
      <c r="G226" s="324" t="s">
        <v>887</v>
      </c>
      <c r="H226" s="324" t="s">
        <v>1296</v>
      </c>
      <c r="I226" s="324" t="s">
        <v>1297</v>
      </c>
      <c r="J226" s="324" t="s">
        <v>889</v>
      </c>
      <c r="K226" s="324" t="s">
        <v>890</v>
      </c>
      <c r="L226" s="324" t="s">
        <v>891</v>
      </c>
      <c r="M226" s="324" t="s">
        <v>892</v>
      </c>
      <c r="N226" s="324" t="s">
        <v>893</v>
      </c>
      <c r="O226" s="324" t="s">
        <v>894</v>
      </c>
      <c r="P226" s="324" t="s">
        <v>899</v>
      </c>
      <c r="Q226" s="324" t="s">
        <v>1298</v>
      </c>
      <c r="R226" s="324" t="s">
        <v>745</v>
      </c>
      <c r="S226" s="356" t="s">
        <v>895</v>
      </c>
      <c r="T226" s="309" t="s">
        <v>957</v>
      </c>
      <c r="U226" s="357">
        <f>VLOOKUP(D226,'SUIVI JOURNALIER AVRIL'!CK:CM,3,FALSE)</f>
        <v>0</v>
      </c>
      <c r="V226" s="358" t="e">
        <f>IF(VLOOKUP('vs mars'!D226,'point sur les patentes'!B:E,4,FALSE)="","",VLOOKUP(D226,'point sur les patentes'!B:E,4,FALSE)+VLOOKUP(D226,'point sur les patentes'!B:F,5,FALSE)+VLOOKUP('vs mars'!D226,'point sur les patentes'!B:G,6,FALSE)+VLOOKUP('vs mars'!D226,'point sur les patentes'!B:H,7,FALSE)+VLOOKUP('vs mars'!D226,'point sur les patentes'!B:I,8,FALSE)+VLOOKUP(D226,'point sur les patentes'!B:J,9,FALSE)+VLOOKUP(D226,'point sur les patentes'!B:K,10,FALSE)+VLOOKUP(D226,'point sur les patentes'!B:L,11,FALSE)+VLOOKUP(D226,'point sur les patentes'!B:M,12,FALSE)+VLOOKUP(D226,'point sur les patentes'!B:N,13,FALSE)+VLOOKUP(D226,'point sur les patentes'!B:O,14,FALSE)+VLOOKUP(D226,'point sur les patentes'!B:P,15,FALSE)+VLOOKUP(D226,'point sur les patentes'!B:Q,16,FALSE)+VLOOKUP('vs mars'!D226,'point sur les patentes'!B:Z,25,FALSE))</f>
        <v>#N/A</v>
      </c>
      <c r="W226" s="340">
        <f>VLOOKUP(D226,'SUIVI JOURNALIER AVRIL'!B:J,9,FALSE)</f>
        <v>628769</v>
      </c>
      <c r="X226" s="340">
        <f>VLOOKUP(D226,'SUIVI JOURNALIER AVRIL'!B:P,14,FALSE)+VLOOKUP('vs mars'!D226,'SUIVI JOURNALIER AVRIL'!B:V,20,FALSE)+VLOOKUP('vs mars'!D226,'SUIVI JOURNALIER AVRIL'!B:W,21,FALSE)</f>
        <v>86729</v>
      </c>
      <c r="Y226" s="340">
        <f>VLOOKUP(D226,'SUIVI JOURNALIER AVRIL'!B:CC,80,FALSE)</f>
        <v>156575</v>
      </c>
      <c r="Z226" s="340">
        <f t="shared" si="6"/>
        <v>872073</v>
      </c>
      <c r="AA226" s="359">
        <f>VLOOKUP(D226,'SUIVI JOURNALIER AVRIL'!B:CD,81,FALSE)</f>
        <v>872073</v>
      </c>
      <c r="AB226" s="360" t="str">
        <f t="shared" si="7"/>
        <v>ok</v>
      </c>
      <c r="AC226" s="360" t="str">
        <f>VLOOKUP(B226,labo!B:D,3,FALSE)</f>
        <v>ug5</v>
      </c>
      <c r="AD226" s="360" t="s">
        <v>2629</v>
      </c>
      <c r="AF226" s="330">
        <f>VLOOKUP(D226,'SUIVI JOURNALIER AVRIL'!CK:CL,2,FALSE)</f>
        <v>0</v>
      </c>
      <c r="AG226" s="360">
        <v>1</v>
      </c>
    </row>
    <row r="227" spans="1:33" s="360" customFormat="1" ht="13.5" customHeight="1">
      <c r="A227" s="324" t="s">
        <v>1839</v>
      </c>
      <c r="B227" s="325" t="s">
        <v>1999</v>
      </c>
      <c r="C227" s="325" t="s">
        <v>2000</v>
      </c>
      <c r="D227" s="325" t="s">
        <v>747</v>
      </c>
      <c r="E227" s="324" t="s">
        <v>748</v>
      </c>
      <c r="F227" s="324" t="s">
        <v>2055</v>
      </c>
      <c r="G227" s="324" t="s">
        <v>887</v>
      </c>
      <c r="H227" s="324" t="s">
        <v>897</v>
      </c>
      <c r="I227" s="324" t="s">
        <v>1526</v>
      </c>
      <c r="J227" s="324" t="s">
        <v>889</v>
      </c>
      <c r="K227" s="324" t="s">
        <v>890</v>
      </c>
      <c r="L227" s="324" t="s">
        <v>891</v>
      </c>
      <c r="M227" s="324" t="s">
        <v>892</v>
      </c>
      <c r="N227" s="324" t="s">
        <v>893</v>
      </c>
      <c r="O227" s="324" t="s">
        <v>894</v>
      </c>
      <c r="P227" s="324" t="s">
        <v>928</v>
      </c>
      <c r="Q227" s="324" t="s">
        <v>1299</v>
      </c>
      <c r="R227" s="324" t="s">
        <v>1300</v>
      </c>
      <c r="S227" s="356" t="s">
        <v>895</v>
      </c>
      <c r="T227" s="309" t="s">
        <v>2278</v>
      </c>
      <c r="U227" s="357" t="e">
        <f>VLOOKUP(D227,'SUIVI JOURNALIER AVRIL'!CK:CM,3,FALSE)</f>
        <v>#N/A</v>
      </c>
      <c r="V227" s="358" t="e">
        <f>IF(VLOOKUP('vs mars'!D227,'point sur les patentes'!B:E,4,FALSE)="","",VLOOKUP(D227,'point sur les patentes'!B:E,4,FALSE)+VLOOKUP(D227,'point sur les patentes'!B:F,5,FALSE)+VLOOKUP('vs mars'!D227,'point sur les patentes'!B:G,6,FALSE)+VLOOKUP('vs mars'!D227,'point sur les patentes'!B:H,7,FALSE)+VLOOKUP('vs mars'!D227,'point sur les patentes'!B:I,8,FALSE)+VLOOKUP(D227,'point sur les patentes'!B:J,9,FALSE)+VLOOKUP(D227,'point sur les patentes'!B:K,10,FALSE)+VLOOKUP(D227,'point sur les patentes'!B:L,11,FALSE)+VLOOKUP(D227,'point sur les patentes'!B:M,12,FALSE)+VLOOKUP(D227,'point sur les patentes'!B:N,13,FALSE)+VLOOKUP(D227,'point sur les patentes'!B:O,14,FALSE)+VLOOKUP(D227,'point sur les patentes'!B:P,15,FALSE)+VLOOKUP(D227,'point sur les patentes'!B:Q,16,FALSE)+VLOOKUP('vs mars'!D227,'point sur les patentes'!B:Z,25,FALSE))</f>
        <v>#N/A</v>
      </c>
      <c r="W227" s="340" t="e">
        <f>VLOOKUP(D227,'SUIVI JOURNALIER AVRIL'!B:J,9,FALSE)</f>
        <v>#N/A</v>
      </c>
      <c r="X227" s="340" t="e">
        <f>VLOOKUP(D227,'SUIVI JOURNALIER AVRIL'!B:P,14,FALSE)+VLOOKUP('vs mars'!D227,'SUIVI JOURNALIER AVRIL'!B:V,20,FALSE)+VLOOKUP('vs mars'!D227,'SUIVI JOURNALIER AVRIL'!B:W,21,FALSE)</f>
        <v>#N/A</v>
      </c>
      <c r="Y227" s="340" t="e">
        <f>VLOOKUP(D227,'SUIVI JOURNALIER AVRIL'!B:CC,80,FALSE)</f>
        <v>#N/A</v>
      </c>
      <c r="Z227" s="340" t="e">
        <f t="shared" si="6"/>
        <v>#N/A</v>
      </c>
      <c r="AA227" s="359" t="e">
        <f>VLOOKUP(D227,'SUIVI JOURNALIER AVRIL'!B:CD,81,FALSE)</f>
        <v>#N/A</v>
      </c>
      <c r="AB227" s="360" t="e">
        <f t="shared" si="7"/>
        <v>#N/A</v>
      </c>
      <c r="AC227" s="360" t="str">
        <f>VLOOKUP(B227,labo!B:D,3,FALSE)</f>
        <v>ug5</v>
      </c>
      <c r="AD227" s="360" t="s">
        <v>2629</v>
      </c>
      <c r="AF227" s="330" t="e">
        <f>VLOOKUP(D227,'SUIVI JOURNALIER AVRIL'!CK:CL,2,FALSE)</f>
        <v>#N/A</v>
      </c>
      <c r="AG227" s="360">
        <v>1</v>
      </c>
    </row>
    <row r="228" spans="1:33" s="360" customFormat="1" ht="13.5" customHeight="1">
      <c r="A228" s="324" t="s">
        <v>1108</v>
      </c>
      <c r="B228" s="325" t="s">
        <v>2124</v>
      </c>
      <c r="C228" s="325" t="s">
        <v>2055</v>
      </c>
      <c r="D228" s="325" t="s">
        <v>2150</v>
      </c>
      <c r="E228" s="324" t="s">
        <v>2140</v>
      </c>
      <c r="F228" s="324" t="s">
        <v>2055</v>
      </c>
      <c r="G228" s="324" t="s">
        <v>926</v>
      </c>
      <c r="H228" s="324" t="s">
        <v>897</v>
      </c>
      <c r="I228" s="324" t="s">
        <v>2151</v>
      </c>
      <c r="J228" s="324" t="s">
        <v>889</v>
      </c>
      <c r="K228" s="324" t="s">
        <v>890</v>
      </c>
      <c r="L228" s="324" t="s">
        <v>891</v>
      </c>
      <c r="M228" s="324" t="s">
        <v>892</v>
      </c>
      <c r="N228" s="324" t="s">
        <v>912</v>
      </c>
      <c r="O228" s="324" t="s">
        <v>913</v>
      </c>
      <c r="P228" s="324" t="s">
        <v>913</v>
      </c>
      <c r="Q228" s="324" t="s">
        <v>913</v>
      </c>
      <c r="R228" s="324" t="s">
        <v>913</v>
      </c>
      <c r="S228" s="356" t="s">
        <v>895</v>
      </c>
      <c r="T228" s="309" t="s">
        <v>999</v>
      </c>
      <c r="U228" s="357">
        <f>VLOOKUP(D228,'SUIVI JOURNALIER AVRIL'!CK:CM,3,FALSE)</f>
        <v>0</v>
      </c>
      <c r="V228" s="358" t="e">
        <f>IF(VLOOKUP('vs mars'!D228,'point sur les patentes'!B:E,4,FALSE)="","",VLOOKUP(D228,'point sur les patentes'!B:E,4,FALSE)+VLOOKUP(D228,'point sur les patentes'!B:F,5,FALSE)+VLOOKUP('vs mars'!D228,'point sur les patentes'!B:G,6,FALSE)+VLOOKUP('vs mars'!D228,'point sur les patentes'!B:H,7,FALSE)+VLOOKUP('vs mars'!D228,'point sur les patentes'!B:I,8,FALSE)+VLOOKUP(D228,'point sur les patentes'!B:J,9,FALSE)+VLOOKUP(D228,'point sur les patentes'!B:K,10,FALSE)+VLOOKUP(D228,'point sur les patentes'!B:L,11,FALSE)+VLOOKUP(D228,'point sur les patentes'!B:M,12,FALSE)+VLOOKUP(D228,'point sur les patentes'!B:N,13,FALSE)+VLOOKUP(D228,'point sur les patentes'!B:O,14,FALSE)+VLOOKUP(D228,'point sur les patentes'!B:P,15,FALSE)+VLOOKUP(D228,'point sur les patentes'!B:Q,16,FALSE)+VLOOKUP('vs mars'!D228,'point sur les patentes'!B:Z,25,FALSE))</f>
        <v>#N/A</v>
      </c>
      <c r="W228" s="340">
        <f>VLOOKUP(D228,'SUIVI JOURNALIER AVRIL'!B:J,9,FALSE)</f>
        <v>0</v>
      </c>
      <c r="X228" s="340">
        <f>VLOOKUP(D228,'SUIVI JOURNALIER AVRIL'!B:P,14,FALSE)+VLOOKUP('vs mars'!D228,'SUIVI JOURNALIER AVRIL'!B:V,20,FALSE)+VLOOKUP('vs mars'!D228,'SUIVI JOURNALIER AVRIL'!B:W,21,FALSE)</f>
        <v>0</v>
      </c>
      <c r="Y228" s="340">
        <f>VLOOKUP(D228,'SUIVI JOURNALIER AVRIL'!B:CC,80,FALSE)</f>
        <v>2640</v>
      </c>
      <c r="Z228" s="340">
        <f t="shared" si="6"/>
        <v>2640</v>
      </c>
      <c r="AA228" s="359">
        <f>VLOOKUP(D228,'SUIVI JOURNALIER AVRIL'!B:CD,81,FALSE)</f>
        <v>2640</v>
      </c>
      <c r="AB228" s="360" t="str">
        <f t="shared" si="7"/>
        <v>ok</v>
      </c>
      <c r="AC228" s="360" t="str">
        <f>VLOOKUP(B228,labo!B:D,3,FALSE)</f>
        <v>ug5</v>
      </c>
      <c r="AD228" s="360" t="s">
        <v>2629</v>
      </c>
      <c r="AF228" s="330">
        <f>VLOOKUP(D228,'SUIVI JOURNALIER AVRIL'!CK:CL,2,FALSE)</f>
        <v>0</v>
      </c>
      <c r="AG228" s="360">
        <v>1</v>
      </c>
    </row>
    <row r="229" spans="1:33" s="360" customFormat="1" ht="13.5" customHeight="1">
      <c r="A229" s="324" t="s">
        <v>1327</v>
      </c>
      <c r="B229" s="325" t="s">
        <v>749</v>
      </c>
      <c r="C229" s="325" t="s">
        <v>750</v>
      </c>
      <c r="D229" s="325" t="s">
        <v>751</v>
      </c>
      <c r="E229" s="324" t="s">
        <v>446</v>
      </c>
      <c r="F229" s="324" t="s">
        <v>2055</v>
      </c>
      <c r="G229" s="324" t="s">
        <v>887</v>
      </c>
      <c r="H229" s="324" t="s">
        <v>897</v>
      </c>
      <c r="I229" s="324" t="s">
        <v>1302</v>
      </c>
      <c r="J229" s="324" t="s">
        <v>889</v>
      </c>
      <c r="K229" s="324" t="s">
        <v>890</v>
      </c>
      <c r="L229" s="324" t="s">
        <v>891</v>
      </c>
      <c r="M229" s="324" t="s">
        <v>892</v>
      </c>
      <c r="N229" s="324" t="s">
        <v>954</v>
      </c>
      <c r="O229" s="324" t="s">
        <v>955</v>
      </c>
      <c r="P229" s="324" t="s">
        <v>955</v>
      </c>
      <c r="Q229" s="324" t="s">
        <v>1010</v>
      </c>
      <c r="R229" s="324" t="s">
        <v>1303</v>
      </c>
      <c r="S229" s="356" t="s">
        <v>895</v>
      </c>
      <c r="T229" s="309" t="s">
        <v>953</v>
      </c>
      <c r="U229" s="357" t="e">
        <f>VLOOKUP(D229,'SUIVI JOURNALIER AVRIL'!CK:CM,3,FALSE)</f>
        <v>#N/A</v>
      </c>
      <c r="V229" s="358" t="e">
        <f>IF(VLOOKUP('vs mars'!D229,'point sur les patentes'!B:E,4,FALSE)="","",VLOOKUP(D229,'point sur les patentes'!B:E,4,FALSE)+VLOOKUP(D229,'point sur les patentes'!B:F,5,FALSE)+VLOOKUP('vs mars'!D229,'point sur les patentes'!B:G,6,FALSE)+VLOOKUP('vs mars'!D229,'point sur les patentes'!B:H,7,FALSE)+VLOOKUP('vs mars'!D229,'point sur les patentes'!B:I,8,FALSE)+VLOOKUP(D229,'point sur les patentes'!B:J,9,FALSE)+VLOOKUP(D229,'point sur les patentes'!B:K,10,FALSE)+VLOOKUP(D229,'point sur les patentes'!B:L,11,FALSE)+VLOOKUP(D229,'point sur les patentes'!B:M,12,FALSE)+VLOOKUP(D229,'point sur les patentes'!B:N,13,FALSE)+VLOOKUP(D229,'point sur les patentes'!B:O,14,FALSE)+VLOOKUP(D229,'point sur les patentes'!B:P,15,FALSE)+VLOOKUP(D229,'point sur les patentes'!B:Q,16,FALSE)+VLOOKUP('vs mars'!D229,'point sur les patentes'!B:Z,25,FALSE))</f>
        <v>#N/A</v>
      </c>
      <c r="W229" s="340" t="e">
        <f>VLOOKUP(D229,'SUIVI JOURNALIER AVRIL'!B:J,9,FALSE)</f>
        <v>#N/A</v>
      </c>
      <c r="X229" s="340" t="e">
        <f>VLOOKUP(D229,'SUIVI JOURNALIER AVRIL'!B:P,14,FALSE)+VLOOKUP('vs mars'!D229,'SUIVI JOURNALIER AVRIL'!B:V,20,FALSE)+VLOOKUP('vs mars'!D229,'SUIVI JOURNALIER AVRIL'!B:W,21,FALSE)</f>
        <v>#N/A</v>
      </c>
      <c r="Y229" s="340" t="e">
        <f>VLOOKUP(D229,'SUIVI JOURNALIER AVRIL'!B:CC,80,FALSE)</f>
        <v>#N/A</v>
      </c>
      <c r="Z229" s="340" t="e">
        <f t="shared" si="6"/>
        <v>#N/A</v>
      </c>
      <c r="AA229" s="359" t="e">
        <f>VLOOKUP(D229,'SUIVI JOURNALIER AVRIL'!B:CD,81,FALSE)</f>
        <v>#N/A</v>
      </c>
      <c r="AB229" s="360" t="e">
        <f t="shared" si="7"/>
        <v>#N/A</v>
      </c>
      <c r="AC229" s="360" t="str">
        <f>VLOOKUP(B229,labo!B:D,3,FALSE)</f>
        <v>ug5</v>
      </c>
      <c r="AD229" s="360" t="s">
        <v>2630</v>
      </c>
      <c r="AF229" s="330" t="e">
        <f>VLOOKUP(D229,'SUIVI JOURNALIER AVRIL'!CK:CL,2,FALSE)</f>
        <v>#N/A</v>
      </c>
      <c r="AG229" s="360">
        <v>1</v>
      </c>
    </row>
    <row r="230" spans="1:33" s="360" customFormat="1" ht="13.5" customHeight="1">
      <c r="A230" s="324" t="s">
        <v>1842</v>
      </c>
      <c r="B230" s="325" t="s">
        <v>375</v>
      </c>
      <c r="C230" s="325" t="s">
        <v>752</v>
      </c>
      <c r="D230" s="325" t="s">
        <v>753</v>
      </c>
      <c r="E230" s="324" t="s">
        <v>422</v>
      </c>
      <c r="F230" s="324" t="s">
        <v>2055</v>
      </c>
      <c r="G230" s="324" t="s">
        <v>887</v>
      </c>
      <c r="H230" s="324" t="s">
        <v>1304</v>
      </c>
      <c r="I230" s="324" t="s">
        <v>1305</v>
      </c>
      <c r="J230" s="324" t="s">
        <v>889</v>
      </c>
      <c r="K230" s="324" t="s">
        <v>890</v>
      </c>
      <c r="L230" s="324" t="s">
        <v>891</v>
      </c>
      <c r="M230" s="324" t="s">
        <v>892</v>
      </c>
      <c r="N230" s="324" t="s">
        <v>893</v>
      </c>
      <c r="O230" s="324" t="s">
        <v>894</v>
      </c>
      <c r="P230" s="324" t="s">
        <v>899</v>
      </c>
      <c r="Q230" s="324" t="s">
        <v>924</v>
      </c>
      <c r="R230" s="324" t="s">
        <v>1306</v>
      </c>
      <c r="S230" s="356" t="s">
        <v>895</v>
      </c>
      <c r="T230" s="309" t="s">
        <v>965</v>
      </c>
      <c r="U230" s="357" t="e">
        <f>VLOOKUP(D230,'SUIVI JOURNALIER AVRIL'!CK:CM,3,FALSE)</f>
        <v>#N/A</v>
      </c>
      <c r="V230" s="358" t="e">
        <f>IF(VLOOKUP('vs mars'!D230,'point sur les patentes'!B:E,4,FALSE)="","",VLOOKUP(D230,'point sur les patentes'!B:E,4,FALSE)+VLOOKUP(D230,'point sur les patentes'!B:F,5,FALSE)+VLOOKUP('vs mars'!D230,'point sur les patentes'!B:G,6,FALSE)+VLOOKUP('vs mars'!D230,'point sur les patentes'!B:H,7,FALSE)+VLOOKUP('vs mars'!D230,'point sur les patentes'!B:I,8,FALSE)+VLOOKUP(D230,'point sur les patentes'!B:J,9,FALSE)+VLOOKUP(D230,'point sur les patentes'!B:K,10,FALSE)+VLOOKUP(D230,'point sur les patentes'!B:L,11,FALSE)+VLOOKUP(D230,'point sur les patentes'!B:M,12,FALSE)+VLOOKUP(D230,'point sur les patentes'!B:N,13,FALSE)+VLOOKUP(D230,'point sur les patentes'!B:O,14,FALSE)+VLOOKUP(D230,'point sur les patentes'!B:P,15,FALSE)+VLOOKUP(D230,'point sur les patentes'!B:Q,16,FALSE)+VLOOKUP('vs mars'!D230,'point sur les patentes'!B:Z,25,FALSE))</f>
        <v>#N/A</v>
      </c>
      <c r="W230" s="340">
        <f>VLOOKUP(D230,'SUIVI JOURNALIER AVRIL'!B:J,9,FALSE)</f>
        <v>80658</v>
      </c>
      <c r="X230" s="340">
        <f>VLOOKUP(D230,'SUIVI JOURNALIER AVRIL'!B:P,14,FALSE)+VLOOKUP('vs mars'!D230,'SUIVI JOURNALIER AVRIL'!B:V,20,FALSE)+VLOOKUP('vs mars'!D230,'SUIVI JOURNALIER AVRIL'!B:W,21,FALSE)</f>
        <v>38997</v>
      </c>
      <c r="Y230" s="340">
        <f>VLOOKUP(D230,'SUIVI JOURNALIER AVRIL'!B:CC,80,FALSE)</f>
        <v>8539</v>
      </c>
      <c r="Z230" s="340">
        <f t="shared" si="6"/>
        <v>128194</v>
      </c>
      <c r="AA230" s="359">
        <f>VLOOKUP(D230,'SUIVI JOURNALIER AVRIL'!B:CD,81,FALSE)</f>
        <v>128194</v>
      </c>
      <c r="AB230" s="360" t="str">
        <f t="shared" si="7"/>
        <v>ok</v>
      </c>
      <c r="AC230" s="360" t="str">
        <f>VLOOKUP(B230,labo!B:D,3,FALSE)</f>
        <v>ug4</v>
      </c>
      <c r="AD230" s="360" t="s">
        <v>2629</v>
      </c>
      <c r="AF230" s="330" t="e">
        <f>VLOOKUP(D230,'SUIVI JOURNALIER AVRIL'!CK:CL,2,FALSE)</f>
        <v>#N/A</v>
      </c>
      <c r="AG230" s="360">
        <v>1</v>
      </c>
    </row>
    <row r="231" spans="1:33" s="360" customFormat="1" ht="13.5" customHeight="1">
      <c r="A231" s="324" t="s">
        <v>1843</v>
      </c>
      <c r="B231" s="325" t="s">
        <v>2200</v>
      </c>
      <c r="C231" s="325" t="s">
        <v>2218</v>
      </c>
      <c r="D231" s="325" t="s">
        <v>2219</v>
      </c>
      <c r="E231" s="324" t="s">
        <v>839</v>
      </c>
      <c r="F231" s="324" t="s">
        <v>2055</v>
      </c>
      <c r="G231" s="324" t="s">
        <v>887</v>
      </c>
      <c r="H231" s="324" t="s">
        <v>2370</v>
      </c>
      <c r="I231" s="324" t="s">
        <v>2543</v>
      </c>
      <c r="J231" s="324" t="s">
        <v>2057</v>
      </c>
      <c r="K231" s="324" t="s">
        <v>890</v>
      </c>
      <c r="L231" s="324" t="s">
        <v>891</v>
      </c>
      <c r="M231" s="324" t="s">
        <v>892</v>
      </c>
      <c r="N231" s="324" t="s">
        <v>893</v>
      </c>
      <c r="O231" s="324" t="s">
        <v>894</v>
      </c>
      <c r="P231" s="324" t="s">
        <v>899</v>
      </c>
      <c r="Q231" s="324" t="s">
        <v>1345</v>
      </c>
      <c r="R231" s="324" t="s">
        <v>2220</v>
      </c>
      <c r="S231" s="356" t="s">
        <v>895</v>
      </c>
      <c r="T231" s="309" t="s">
        <v>1006</v>
      </c>
      <c r="U231" s="357" t="e">
        <f>VLOOKUP(D231,'SUIVI JOURNALIER AVRIL'!CK:CM,3,FALSE)</f>
        <v>#N/A</v>
      </c>
      <c r="V231" s="358" t="e">
        <f>IF(VLOOKUP('vs mars'!D231,'point sur les patentes'!B:E,4,FALSE)="","",VLOOKUP(D231,'point sur les patentes'!B:E,4,FALSE)+VLOOKUP(D231,'point sur les patentes'!B:F,5,FALSE)+VLOOKUP('vs mars'!D231,'point sur les patentes'!B:G,6,FALSE)+VLOOKUP('vs mars'!D231,'point sur les patentes'!B:H,7,FALSE)+VLOOKUP('vs mars'!D231,'point sur les patentes'!B:I,8,FALSE)+VLOOKUP(D231,'point sur les patentes'!B:J,9,FALSE)+VLOOKUP(D231,'point sur les patentes'!B:K,10,FALSE)+VLOOKUP(D231,'point sur les patentes'!B:L,11,FALSE)+VLOOKUP(D231,'point sur les patentes'!B:M,12,FALSE)+VLOOKUP(D231,'point sur les patentes'!B:N,13,FALSE)+VLOOKUP(D231,'point sur les patentes'!B:O,14,FALSE)+VLOOKUP(D231,'point sur les patentes'!B:P,15,FALSE)+VLOOKUP(D231,'point sur les patentes'!B:Q,16,FALSE)+VLOOKUP('vs mars'!D231,'point sur les patentes'!B:Z,25,FALSE))</f>
        <v>#N/A</v>
      </c>
      <c r="W231" s="340" t="e">
        <f>VLOOKUP(D231,'SUIVI JOURNALIER AVRIL'!B:J,9,FALSE)</f>
        <v>#N/A</v>
      </c>
      <c r="X231" s="340" t="e">
        <f>VLOOKUP(D231,'SUIVI JOURNALIER AVRIL'!B:P,14,FALSE)+VLOOKUP('vs mars'!D231,'SUIVI JOURNALIER AVRIL'!B:V,20,FALSE)+VLOOKUP('vs mars'!D231,'SUIVI JOURNALIER AVRIL'!B:W,21,FALSE)</f>
        <v>#N/A</v>
      </c>
      <c r="Y231" s="340" t="e">
        <f>VLOOKUP(D231,'SUIVI JOURNALIER AVRIL'!B:CC,80,FALSE)</f>
        <v>#N/A</v>
      </c>
      <c r="Z231" s="340" t="e">
        <f t="shared" si="6"/>
        <v>#N/A</v>
      </c>
      <c r="AA231" s="359" t="e">
        <f>VLOOKUP(D231,'SUIVI JOURNALIER AVRIL'!B:CD,81,FALSE)</f>
        <v>#N/A</v>
      </c>
      <c r="AB231" s="360" t="e">
        <f t="shared" si="7"/>
        <v>#N/A</v>
      </c>
      <c r="AC231" s="360" t="str">
        <f>VLOOKUP(B231,labo!B:D,3,FALSE)</f>
        <v>ug5</v>
      </c>
      <c r="AD231" s="360" t="s">
        <v>2629</v>
      </c>
      <c r="AF231" s="330" t="e">
        <f>VLOOKUP(D231,'SUIVI JOURNALIER AVRIL'!CK:CL,2,FALSE)</f>
        <v>#N/A</v>
      </c>
      <c r="AG231" s="360">
        <v>1</v>
      </c>
    </row>
    <row r="232" spans="1:33" s="360" customFormat="1" ht="13.5" customHeight="1">
      <c r="A232" s="324" t="s">
        <v>1844</v>
      </c>
      <c r="B232" s="325" t="s">
        <v>754</v>
      </c>
      <c r="C232" s="325" t="s">
        <v>755</v>
      </c>
      <c r="D232" s="325" t="s">
        <v>756</v>
      </c>
      <c r="E232" s="324" t="s">
        <v>446</v>
      </c>
      <c r="F232" s="324" t="s">
        <v>2055</v>
      </c>
      <c r="G232" s="324" t="s">
        <v>887</v>
      </c>
      <c r="H232" s="324" t="s">
        <v>897</v>
      </c>
      <c r="I232" s="324" t="s">
        <v>1527</v>
      </c>
      <c r="J232" s="324" t="s">
        <v>889</v>
      </c>
      <c r="K232" s="324" t="s">
        <v>890</v>
      </c>
      <c r="L232" s="324" t="s">
        <v>891</v>
      </c>
      <c r="M232" s="324" t="s">
        <v>892</v>
      </c>
      <c r="N232" s="324" t="s">
        <v>954</v>
      </c>
      <c r="O232" s="324" t="s">
        <v>955</v>
      </c>
      <c r="P232" s="324" t="s">
        <v>955</v>
      </c>
      <c r="Q232" s="324" t="s">
        <v>989</v>
      </c>
      <c r="R232" s="324" t="s">
        <v>1307</v>
      </c>
      <c r="S232" s="356" t="s">
        <v>895</v>
      </c>
      <c r="T232" s="309" t="s">
        <v>977</v>
      </c>
      <c r="U232" s="357">
        <f>VLOOKUP(D232,'SUIVI JOURNALIER AVRIL'!CK:CM,3,FALSE)</f>
        <v>0</v>
      </c>
      <c r="V232" s="358" t="e">
        <f>IF(VLOOKUP('vs mars'!D232,'point sur les patentes'!B:E,4,FALSE)="","",VLOOKUP(D232,'point sur les patentes'!B:E,4,FALSE)+VLOOKUP(D232,'point sur les patentes'!B:F,5,FALSE)+VLOOKUP('vs mars'!D232,'point sur les patentes'!B:G,6,FALSE)+VLOOKUP('vs mars'!D232,'point sur les patentes'!B:H,7,FALSE)+VLOOKUP('vs mars'!D232,'point sur les patentes'!B:I,8,FALSE)+VLOOKUP(D232,'point sur les patentes'!B:J,9,FALSE)+VLOOKUP(D232,'point sur les patentes'!B:K,10,FALSE)+VLOOKUP(D232,'point sur les patentes'!B:L,11,FALSE)+VLOOKUP(D232,'point sur les patentes'!B:M,12,FALSE)+VLOOKUP(D232,'point sur les patentes'!B:N,13,FALSE)+VLOOKUP(D232,'point sur les patentes'!B:O,14,FALSE)+VLOOKUP(D232,'point sur les patentes'!B:P,15,FALSE)+VLOOKUP(D232,'point sur les patentes'!B:Q,16,FALSE)+VLOOKUP('vs mars'!D232,'point sur les patentes'!B:Z,25,FALSE))</f>
        <v>#N/A</v>
      </c>
      <c r="W232" s="340">
        <f>VLOOKUP(D232,'SUIVI JOURNALIER AVRIL'!B:J,9,FALSE)</f>
        <v>0</v>
      </c>
      <c r="X232" s="340">
        <f>VLOOKUP(D232,'SUIVI JOURNALIER AVRIL'!B:P,14,FALSE)+VLOOKUP('vs mars'!D232,'SUIVI JOURNALIER AVRIL'!B:V,20,FALSE)+VLOOKUP('vs mars'!D232,'SUIVI JOURNALIER AVRIL'!B:W,21,FALSE)</f>
        <v>0</v>
      </c>
      <c r="Y232" s="340">
        <f>VLOOKUP(D232,'SUIVI JOURNALIER AVRIL'!B:CC,80,FALSE)</f>
        <v>33700</v>
      </c>
      <c r="Z232" s="340">
        <f t="shared" si="6"/>
        <v>33700</v>
      </c>
      <c r="AA232" s="359">
        <f>VLOOKUP(D232,'SUIVI JOURNALIER AVRIL'!B:CD,81,FALSE)</f>
        <v>33700</v>
      </c>
      <c r="AB232" s="360" t="str">
        <f t="shared" si="7"/>
        <v>ok</v>
      </c>
      <c r="AC232" s="360" t="str">
        <f>VLOOKUP(B232,labo!B:D,3,FALSE)</f>
        <v>ug5</v>
      </c>
      <c r="AD232" s="360" t="s">
        <v>2629</v>
      </c>
      <c r="AF232" s="330">
        <f>VLOOKUP(D232,'SUIVI JOURNALIER AVRIL'!CK:CL,2,FALSE)</f>
        <v>0</v>
      </c>
      <c r="AG232" s="360">
        <v>1</v>
      </c>
    </row>
    <row r="233" spans="1:33" s="360" customFormat="1" ht="13.5" customHeight="1">
      <c r="A233" s="324" t="s">
        <v>1847</v>
      </c>
      <c r="B233" s="325" t="s">
        <v>334</v>
      </c>
      <c r="C233" s="325" t="s">
        <v>2544</v>
      </c>
      <c r="D233" s="325" t="s">
        <v>2308</v>
      </c>
      <c r="E233" s="324" t="s">
        <v>2545</v>
      </c>
      <c r="F233" s="324" t="s">
        <v>2055</v>
      </c>
      <c r="G233" s="324" t="s">
        <v>887</v>
      </c>
      <c r="H233" s="324" t="s">
        <v>2055</v>
      </c>
      <c r="I233" s="324" t="s">
        <v>2055</v>
      </c>
      <c r="J233" s="324" t="s">
        <v>2055</v>
      </c>
      <c r="K233" s="324" t="s">
        <v>2405</v>
      </c>
      <c r="L233" s="324" t="s">
        <v>891</v>
      </c>
      <c r="M233" s="324" t="s">
        <v>892</v>
      </c>
      <c r="N233" s="324" t="s">
        <v>893</v>
      </c>
      <c r="O233" s="324" t="s">
        <v>894</v>
      </c>
      <c r="P233" s="324" t="s">
        <v>919</v>
      </c>
      <c r="Q233" s="324" t="s">
        <v>2055</v>
      </c>
      <c r="R233" s="324" t="s">
        <v>2055</v>
      </c>
      <c r="S233" s="356" t="s">
        <v>895</v>
      </c>
      <c r="T233" s="309" t="s">
        <v>972</v>
      </c>
      <c r="U233" s="357">
        <f>VLOOKUP(D233,'SUIVI JOURNALIER AVRIL'!CK:CM,3,FALSE)</f>
        <v>0</v>
      </c>
      <c r="V233" s="358" t="e">
        <f>IF(VLOOKUP('vs mars'!D233,'point sur les patentes'!B:E,4,FALSE)="","",VLOOKUP(D233,'point sur les patentes'!B:E,4,FALSE)+VLOOKUP(D233,'point sur les patentes'!B:F,5,FALSE)+VLOOKUP('vs mars'!D233,'point sur les patentes'!B:G,6,FALSE)+VLOOKUP('vs mars'!D233,'point sur les patentes'!B:H,7,FALSE)+VLOOKUP('vs mars'!D233,'point sur les patentes'!B:I,8,FALSE)+VLOOKUP(D233,'point sur les patentes'!B:J,9,FALSE)+VLOOKUP(D233,'point sur les patentes'!B:K,10,FALSE)+VLOOKUP(D233,'point sur les patentes'!B:L,11,FALSE)+VLOOKUP(D233,'point sur les patentes'!B:M,12,FALSE)+VLOOKUP(D233,'point sur les patentes'!B:N,13,FALSE)+VLOOKUP(D233,'point sur les patentes'!B:O,14,FALSE)+VLOOKUP(D233,'point sur les patentes'!B:P,15,FALSE)+VLOOKUP(D233,'point sur les patentes'!B:Q,16,FALSE)+VLOOKUP('vs mars'!D233,'point sur les patentes'!B:Z,25,FALSE))</f>
        <v>#N/A</v>
      </c>
      <c r="W233" s="340">
        <f>VLOOKUP(D233,'SUIVI JOURNALIER AVRIL'!B:J,9,FALSE)</f>
        <v>27088</v>
      </c>
      <c r="X233" s="340">
        <f>VLOOKUP(D233,'SUIVI JOURNALIER AVRIL'!B:P,14,FALSE)+VLOOKUP('vs mars'!D233,'SUIVI JOURNALIER AVRIL'!B:V,20,FALSE)+VLOOKUP('vs mars'!D233,'SUIVI JOURNALIER AVRIL'!B:W,21,FALSE)</f>
        <v>3096</v>
      </c>
      <c r="Y233" s="340">
        <f>VLOOKUP(D233,'SUIVI JOURNALIER AVRIL'!B:CC,80,FALSE)</f>
        <v>6536.25</v>
      </c>
      <c r="Z233" s="340">
        <f t="shared" si="6"/>
        <v>36720.25</v>
      </c>
      <c r="AA233" s="359">
        <f>VLOOKUP(D233,'SUIVI JOURNALIER AVRIL'!B:CD,81,FALSE)</f>
        <v>36720.25</v>
      </c>
      <c r="AB233" s="360" t="str">
        <f t="shared" si="7"/>
        <v>ok</v>
      </c>
      <c r="AC233" s="360" t="str">
        <f>VLOOKUP(B233,labo!B:D,3,FALSE)</f>
        <v>ug4</v>
      </c>
      <c r="AD233" s="360" t="s">
        <v>2630</v>
      </c>
      <c r="AF233" s="330">
        <f>VLOOKUP(D233,'SUIVI JOURNALIER AVRIL'!CK:CL,2,FALSE)</f>
        <v>0</v>
      </c>
      <c r="AG233" s="360">
        <v>1</v>
      </c>
    </row>
    <row r="234" spans="1:33" s="360" customFormat="1" ht="13.5" customHeight="1">
      <c r="A234" s="324" t="s">
        <v>1848</v>
      </c>
      <c r="B234" s="325" t="s">
        <v>2809</v>
      </c>
      <c r="C234" s="325" t="s">
        <v>757</v>
      </c>
      <c r="D234" s="325" t="s">
        <v>758</v>
      </c>
      <c r="E234" s="324" t="s">
        <v>432</v>
      </c>
      <c r="F234" s="324" t="s">
        <v>2055</v>
      </c>
      <c r="G234" s="324" t="s">
        <v>887</v>
      </c>
      <c r="H234" s="324" t="s">
        <v>897</v>
      </c>
      <c r="I234" s="324" t="s">
        <v>1308</v>
      </c>
      <c r="J234" s="324" t="s">
        <v>889</v>
      </c>
      <c r="K234" s="324" t="s">
        <v>890</v>
      </c>
      <c r="L234" s="324" t="s">
        <v>891</v>
      </c>
      <c r="M234" s="324" t="s">
        <v>892</v>
      </c>
      <c r="N234" s="324" t="s">
        <v>893</v>
      </c>
      <c r="O234" s="324" t="s">
        <v>923</v>
      </c>
      <c r="P234" s="324" t="s">
        <v>923</v>
      </c>
      <c r="Q234" s="324" t="s">
        <v>924</v>
      </c>
      <c r="R234" s="324" t="s">
        <v>1309</v>
      </c>
      <c r="S234" s="356" t="s">
        <v>895</v>
      </c>
      <c r="T234" s="309" t="s">
        <v>1082</v>
      </c>
      <c r="U234" s="357" t="e">
        <f>VLOOKUP(D234,'SUIVI JOURNALIER AVRIL'!CK:CM,3,FALSE)</f>
        <v>#N/A</v>
      </c>
      <c r="V234" s="358" t="e">
        <f>IF(VLOOKUP('vs mars'!D234,'point sur les patentes'!B:E,4,FALSE)="","",VLOOKUP(D234,'point sur les patentes'!B:E,4,FALSE)+VLOOKUP(D234,'point sur les patentes'!B:F,5,FALSE)+VLOOKUP('vs mars'!D234,'point sur les patentes'!B:G,6,FALSE)+VLOOKUP('vs mars'!D234,'point sur les patentes'!B:H,7,FALSE)+VLOOKUP('vs mars'!D234,'point sur les patentes'!B:I,8,FALSE)+VLOOKUP(D234,'point sur les patentes'!B:J,9,FALSE)+VLOOKUP(D234,'point sur les patentes'!B:K,10,FALSE)+VLOOKUP(D234,'point sur les patentes'!B:L,11,FALSE)+VLOOKUP(D234,'point sur les patentes'!B:M,12,FALSE)+VLOOKUP(D234,'point sur les patentes'!B:N,13,FALSE)+VLOOKUP(D234,'point sur les patentes'!B:O,14,FALSE)+VLOOKUP(D234,'point sur les patentes'!B:P,15,FALSE)+VLOOKUP(D234,'point sur les patentes'!B:Q,16,FALSE)+VLOOKUP('vs mars'!D234,'point sur les patentes'!B:Z,25,FALSE))</f>
        <v>#N/A</v>
      </c>
      <c r="W234" s="340" t="e">
        <f>VLOOKUP(D234,'SUIVI JOURNALIER AVRIL'!B:J,9,FALSE)</f>
        <v>#N/A</v>
      </c>
      <c r="X234" s="340" t="e">
        <f>VLOOKUP(D234,'SUIVI JOURNALIER AVRIL'!B:P,14,FALSE)+VLOOKUP('vs mars'!D234,'SUIVI JOURNALIER AVRIL'!B:V,20,FALSE)+VLOOKUP('vs mars'!D234,'SUIVI JOURNALIER AVRIL'!B:W,21,FALSE)</f>
        <v>#N/A</v>
      </c>
      <c r="Y234" s="340" t="e">
        <f>VLOOKUP(D234,'SUIVI JOURNALIER AVRIL'!B:CC,80,FALSE)</f>
        <v>#N/A</v>
      </c>
      <c r="Z234" s="340" t="e">
        <f t="shared" si="6"/>
        <v>#N/A</v>
      </c>
      <c r="AA234" s="359" t="e">
        <f>VLOOKUP(D234,'SUIVI JOURNALIER AVRIL'!B:CD,81,FALSE)</f>
        <v>#N/A</v>
      </c>
      <c r="AB234" s="360" t="e">
        <f t="shared" si="7"/>
        <v>#N/A</v>
      </c>
      <c r="AC234" s="360" t="str">
        <f>VLOOKUP(B234,labo!B:D,3,FALSE)</f>
        <v>ug2</v>
      </c>
      <c r="AD234" s="360" t="s">
        <v>2629</v>
      </c>
      <c r="AF234" s="330" t="e">
        <f>VLOOKUP(D234,'SUIVI JOURNALIER AVRIL'!CK:CL,2,FALSE)</f>
        <v>#N/A</v>
      </c>
      <c r="AG234" s="360">
        <v>1</v>
      </c>
    </row>
    <row r="235" spans="1:33" s="360" customFormat="1" ht="13.5" customHeight="1">
      <c r="A235" s="324" t="s">
        <v>1212</v>
      </c>
      <c r="B235" s="325" t="s">
        <v>2350</v>
      </c>
      <c r="C235" s="325" t="s">
        <v>2546</v>
      </c>
      <c r="D235" s="325" t="s">
        <v>2547</v>
      </c>
      <c r="E235" s="324" t="s">
        <v>2548</v>
      </c>
      <c r="F235" s="324" t="s">
        <v>2055</v>
      </c>
      <c r="G235" s="324" t="s">
        <v>887</v>
      </c>
      <c r="H235" s="324" t="s">
        <v>2055</v>
      </c>
      <c r="I235" s="324" t="s">
        <v>2549</v>
      </c>
      <c r="J235" s="324" t="s">
        <v>2055</v>
      </c>
      <c r="K235" s="324" t="s">
        <v>2405</v>
      </c>
      <c r="L235" s="324" t="s">
        <v>891</v>
      </c>
      <c r="M235" s="324" t="s">
        <v>892</v>
      </c>
      <c r="N235" s="324" t="s">
        <v>893</v>
      </c>
      <c r="O235" s="324" t="s">
        <v>894</v>
      </c>
      <c r="P235" s="324" t="s">
        <v>919</v>
      </c>
      <c r="Q235" s="324" t="s">
        <v>2550</v>
      </c>
      <c r="R235" s="324" t="s">
        <v>2055</v>
      </c>
      <c r="S235" s="356" t="s">
        <v>895</v>
      </c>
      <c r="T235" s="309" t="s">
        <v>944</v>
      </c>
      <c r="U235" s="357" t="e">
        <f>VLOOKUP(D235,'SUIVI JOURNALIER AVRIL'!CK:CM,3,FALSE)</f>
        <v>#N/A</v>
      </c>
      <c r="V235" s="358" t="e">
        <f>IF(VLOOKUP('vs mars'!D235,'point sur les patentes'!B:E,4,FALSE)="","",VLOOKUP(D235,'point sur les patentes'!B:E,4,FALSE)+VLOOKUP(D235,'point sur les patentes'!B:F,5,FALSE)+VLOOKUP('vs mars'!D235,'point sur les patentes'!B:G,6,FALSE)+VLOOKUP('vs mars'!D235,'point sur les patentes'!B:H,7,FALSE)+VLOOKUP('vs mars'!D235,'point sur les patentes'!B:I,8,FALSE)+VLOOKUP(D235,'point sur les patentes'!B:J,9,FALSE)+VLOOKUP(D235,'point sur les patentes'!B:K,10,FALSE)+VLOOKUP(D235,'point sur les patentes'!B:L,11,FALSE)+VLOOKUP(D235,'point sur les patentes'!B:M,12,FALSE)+VLOOKUP(D235,'point sur les patentes'!B:N,13,FALSE)+VLOOKUP(D235,'point sur les patentes'!B:O,14,FALSE)+VLOOKUP(D235,'point sur les patentes'!B:P,15,FALSE)+VLOOKUP(D235,'point sur les patentes'!B:Q,16,FALSE)+VLOOKUP('vs mars'!D235,'point sur les patentes'!B:Z,25,FALSE))</f>
        <v>#N/A</v>
      </c>
      <c r="W235" s="340" t="e">
        <f>VLOOKUP(D235,'SUIVI JOURNALIER AVRIL'!B:J,9,FALSE)</f>
        <v>#N/A</v>
      </c>
      <c r="X235" s="340" t="e">
        <f>VLOOKUP(D235,'SUIVI JOURNALIER AVRIL'!B:P,14,FALSE)+VLOOKUP('vs mars'!D235,'SUIVI JOURNALIER AVRIL'!B:V,20,FALSE)+VLOOKUP('vs mars'!D235,'SUIVI JOURNALIER AVRIL'!B:W,21,FALSE)</f>
        <v>#N/A</v>
      </c>
      <c r="Y235" s="340" t="e">
        <f>VLOOKUP(D235,'SUIVI JOURNALIER AVRIL'!B:CC,80,FALSE)</f>
        <v>#N/A</v>
      </c>
      <c r="Z235" s="340" t="e">
        <f t="shared" si="6"/>
        <v>#N/A</v>
      </c>
      <c r="AA235" s="359" t="e">
        <f>VLOOKUP(D235,'SUIVI JOURNALIER AVRIL'!B:CD,81,FALSE)</f>
        <v>#N/A</v>
      </c>
      <c r="AB235" s="360" t="e">
        <f t="shared" si="7"/>
        <v>#N/A</v>
      </c>
      <c r="AC235" s="360" t="str">
        <f>VLOOKUP(B235,labo!B:D,3,FALSE)</f>
        <v>ug4</v>
      </c>
      <c r="AD235" s="360" t="s">
        <v>2630</v>
      </c>
      <c r="AF235" s="330" t="e">
        <f>VLOOKUP(D235,'SUIVI JOURNALIER AVRIL'!CK:CL,2,FALSE)</f>
        <v>#N/A</v>
      </c>
      <c r="AG235" s="360">
        <v>1</v>
      </c>
    </row>
    <row r="236" spans="1:33" s="360" customFormat="1" ht="13.5" customHeight="1">
      <c r="A236" s="324" t="s">
        <v>1849</v>
      </c>
      <c r="B236" s="325" t="s">
        <v>293</v>
      </c>
      <c r="C236" s="325" t="s">
        <v>759</v>
      </c>
      <c r="D236" s="325" t="s">
        <v>760</v>
      </c>
      <c r="E236" s="324" t="s">
        <v>589</v>
      </c>
      <c r="F236" s="324" t="s">
        <v>2055</v>
      </c>
      <c r="G236" s="324" t="s">
        <v>887</v>
      </c>
      <c r="H236" s="324" t="s">
        <v>1310</v>
      </c>
      <c r="I236" s="324" t="s">
        <v>1311</v>
      </c>
      <c r="J236" s="324" t="s">
        <v>889</v>
      </c>
      <c r="K236" s="324" t="s">
        <v>890</v>
      </c>
      <c r="L236" s="324" t="s">
        <v>891</v>
      </c>
      <c r="M236" s="324" t="s">
        <v>892</v>
      </c>
      <c r="N236" s="324" t="s">
        <v>893</v>
      </c>
      <c r="O236" s="324" t="s">
        <v>894</v>
      </c>
      <c r="P236" s="324" t="s">
        <v>899</v>
      </c>
      <c r="Q236" s="324" t="s">
        <v>943</v>
      </c>
      <c r="R236" s="324" t="s">
        <v>1312</v>
      </c>
      <c r="S236" s="356" t="s">
        <v>895</v>
      </c>
      <c r="T236" s="309" t="s">
        <v>977</v>
      </c>
      <c r="U236" s="357" t="e">
        <f>VLOOKUP(D236,'SUIVI JOURNALIER AVRIL'!CK:CM,3,FALSE)</f>
        <v>#N/A</v>
      </c>
      <c r="V236" s="358" t="e">
        <f>IF(VLOOKUP('vs mars'!D236,'point sur les patentes'!B:E,4,FALSE)="","",VLOOKUP(D236,'point sur les patentes'!B:E,4,FALSE)+VLOOKUP(D236,'point sur les patentes'!B:F,5,FALSE)+VLOOKUP('vs mars'!D236,'point sur les patentes'!B:G,6,FALSE)+VLOOKUP('vs mars'!D236,'point sur les patentes'!B:H,7,FALSE)+VLOOKUP('vs mars'!D236,'point sur les patentes'!B:I,8,FALSE)+VLOOKUP(D236,'point sur les patentes'!B:J,9,FALSE)+VLOOKUP(D236,'point sur les patentes'!B:K,10,FALSE)+VLOOKUP(D236,'point sur les patentes'!B:L,11,FALSE)+VLOOKUP(D236,'point sur les patentes'!B:M,12,FALSE)+VLOOKUP(D236,'point sur les patentes'!B:N,13,FALSE)+VLOOKUP(D236,'point sur les patentes'!B:O,14,FALSE)+VLOOKUP(D236,'point sur les patentes'!B:P,15,FALSE)+VLOOKUP(D236,'point sur les patentes'!B:Q,16,FALSE)+VLOOKUP('vs mars'!D236,'point sur les patentes'!B:Z,25,FALSE))</f>
        <v>#N/A</v>
      </c>
      <c r="W236" s="340">
        <f>VLOOKUP(D236,'SUIVI JOURNALIER AVRIL'!B:J,9,FALSE)</f>
        <v>0</v>
      </c>
      <c r="X236" s="340">
        <f>VLOOKUP(D236,'SUIVI JOURNALIER AVRIL'!B:P,14,FALSE)+VLOOKUP('vs mars'!D236,'SUIVI JOURNALIER AVRIL'!B:V,20,FALSE)+VLOOKUP('vs mars'!D236,'SUIVI JOURNALIER AVRIL'!B:W,21,FALSE)</f>
        <v>0</v>
      </c>
      <c r="Y236" s="340">
        <f>VLOOKUP(D236,'SUIVI JOURNALIER AVRIL'!B:CC,80,FALSE)</f>
        <v>8135.545454545455</v>
      </c>
      <c r="Z236" s="340">
        <f t="shared" si="6"/>
        <v>8135.545454545455</v>
      </c>
      <c r="AA236" s="359">
        <f>VLOOKUP(D236,'SUIVI JOURNALIER AVRIL'!B:CD,81,FALSE)</f>
        <v>8135.545454545455</v>
      </c>
      <c r="AB236" s="360" t="str">
        <f t="shared" si="7"/>
        <v>ok</v>
      </c>
      <c r="AC236" s="360" t="str">
        <f>VLOOKUP(B236,labo!B:D,3,FALSE)</f>
        <v>ug3</v>
      </c>
      <c r="AD236" s="360" t="s">
        <v>2629</v>
      </c>
      <c r="AF236" s="330" t="e">
        <f>VLOOKUP(D236,'SUIVI JOURNALIER AVRIL'!CK:CL,2,FALSE)</f>
        <v>#N/A</v>
      </c>
      <c r="AG236" s="360">
        <v>1</v>
      </c>
    </row>
    <row r="237" spans="1:33" s="360" customFormat="1" ht="13.5" customHeight="1">
      <c r="A237" s="324" t="s">
        <v>1000</v>
      </c>
      <c r="B237" s="325" t="s">
        <v>362</v>
      </c>
      <c r="C237" s="325" t="s">
        <v>761</v>
      </c>
      <c r="D237" s="325" t="s">
        <v>762</v>
      </c>
      <c r="E237" s="324" t="s">
        <v>436</v>
      </c>
      <c r="F237" s="324" t="s">
        <v>2055</v>
      </c>
      <c r="G237" s="324" t="s">
        <v>926</v>
      </c>
      <c r="H237" s="324" t="s">
        <v>1313</v>
      </c>
      <c r="I237" s="324" t="s">
        <v>1314</v>
      </c>
      <c r="J237" s="324" t="s">
        <v>940</v>
      </c>
      <c r="K237" s="324" t="s">
        <v>890</v>
      </c>
      <c r="L237" s="324" t="s">
        <v>891</v>
      </c>
      <c r="M237" s="324" t="s">
        <v>892</v>
      </c>
      <c r="N237" s="324" t="s">
        <v>893</v>
      </c>
      <c r="O237" s="324" t="s">
        <v>894</v>
      </c>
      <c r="P237" s="324" t="s">
        <v>899</v>
      </c>
      <c r="Q237" s="324" t="s">
        <v>995</v>
      </c>
      <c r="R237" s="324" t="s">
        <v>1315</v>
      </c>
      <c r="S237" s="356" t="s">
        <v>895</v>
      </c>
      <c r="T237" s="309" t="s">
        <v>944</v>
      </c>
      <c r="U237" s="357">
        <f>VLOOKUP(D237,'SUIVI JOURNALIER AVRIL'!CK:CM,3,FALSE)</f>
        <v>0</v>
      </c>
      <c r="V237" s="358" t="e">
        <f>IF(VLOOKUP('vs mars'!D237,'point sur les patentes'!B:E,4,FALSE)="","",VLOOKUP(D237,'point sur les patentes'!B:E,4,FALSE)+VLOOKUP(D237,'point sur les patentes'!B:F,5,FALSE)+VLOOKUP('vs mars'!D237,'point sur les patentes'!B:G,6,FALSE)+VLOOKUP('vs mars'!D237,'point sur les patentes'!B:H,7,FALSE)+VLOOKUP('vs mars'!D237,'point sur les patentes'!B:I,8,FALSE)+VLOOKUP(D237,'point sur les patentes'!B:J,9,FALSE)+VLOOKUP(D237,'point sur les patentes'!B:K,10,FALSE)+VLOOKUP(D237,'point sur les patentes'!B:L,11,FALSE)+VLOOKUP(D237,'point sur les patentes'!B:M,12,FALSE)+VLOOKUP(D237,'point sur les patentes'!B:N,13,FALSE)+VLOOKUP(D237,'point sur les patentes'!B:O,14,FALSE)+VLOOKUP(D237,'point sur les patentes'!B:P,15,FALSE)+VLOOKUP(D237,'point sur les patentes'!B:Q,16,FALSE)+VLOOKUP('vs mars'!D237,'point sur les patentes'!B:Z,25,FALSE))</f>
        <v>#N/A</v>
      </c>
      <c r="W237" s="340">
        <f>VLOOKUP(D237,'SUIVI JOURNALIER AVRIL'!B:J,9,FALSE)</f>
        <v>687694</v>
      </c>
      <c r="X237" s="340">
        <f>VLOOKUP(D237,'SUIVI JOURNALIER AVRIL'!B:P,14,FALSE)+VLOOKUP('vs mars'!D237,'SUIVI JOURNALIER AVRIL'!B:V,20,FALSE)+VLOOKUP('vs mars'!D237,'SUIVI JOURNALIER AVRIL'!B:W,21,FALSE)</f>
        <v>156187</v>
      </c>
      <c r="Y237" s="340">
        <f>VLOOKUP(D237,'SUIVI JOURNALIER AVRIL'!B:CC,80,FALSE)</f>
        <v>195971</v>
      </c>
      <c r="Z237" s="340">
        <f t="shared" si="6"/>
        <v>1039852</v>
      </c>
      <c r="AA237" s="359">
        <f>VLOOKUP(D237,'SUIVI JOURNALIER AVRIL'!B:CD,81,FALSE)</f>
        <v>1039852</v>
      </c>
      <c r="AB237" s="360" t="str">
        <f t="shared" si="7"/>
        <v>ok</v>
      </c>
      <c r="AC237" s="360" t="str">
        <f>VLOOKUP(B237,labo!B:D,3,FALSE)</f>
        <v>ug1</v>
      </c>
      <c r="AD237" s="360" t="s">
        <v>2629</v>
      </c>
      <c r="AF237" s="330">
        <f>VLOOKUP(D237,'SUIVI JOURNALIER AVRIL'!CK:CL,2,FALSE)</f>
        <v>0</v>
      </c>
      <c r="AG237" s="360">
        <v>1</v>
      </c>
    </row>
    <row r="238" spans="1:33" s="360" customFormat="1" ht="13.5" customHeight="1">
      <c r="A238" s="324" t="s">
        <v>1852</v>
      </c>
      <c r="B238" s="325" t="s">
        <v>2037</v>
      </c>
      <c r="C238" s="325" t="s">
        <v>2038</v>
      </c>
      <c r="D238" s="325" t="s">
        <v>2039</v>
      </c>
      <c r="E238" s="324" t="s">
        <v>839</v>
      </c>
      <c r="F238" s="324" t="s">
        <v>2055</v>
      </c>
      <c r="G238" s="324" t="s">
        <v>887</v>
      </c>
      <c r="H238" s="324" t="s">
        <v>897</v>
      </c>
      <c r="I238" s="324" t="s">
        <v>2092</v>
      </c>
      <c r="J238" s="324" t="s">
        <v>2050</v>
      </c>
      <c r="K238" s="324" t="s">
        <v>890</v>
      </c>
      <c r="L238" s="324" t="s">
        <v>891</v>
      </c>
      <c r="M238" s="324" t="s">
        <v>892</v>
      </c>
      <c r="N238" s="324" t="s">
        <v>893</v>
      </c>
      <c r="O238" s="324" t="s">
        <v>894</v>
      </c>
      <c r="P238" s="324" t="s">
        <v>899</v>
      </c>
      <c r="Q238" s="324" t="s">
        <v>995</v>
      </c>
      <c r="R238" s="324" t="s">
        <v>1160</v>
      </c>
      <c r="S238" s="356" t="s">
        <v>895</v>
      </c>
      <c r="T238" s="309" t="s">
        <v>2216</v>
      </c>
      <c r="U238" s="357">
        <f>VLOOKUP(D238,'SUIVI JOURNALIER AVRIL'!CK:CM,3,FALSE)</f>
        <v>0</v>
      </c>
      <c r="V238" s="358" t="e">
        <f>IF(VLOOKUP('vs mars'!D238,'point sur les patentes'!B:E,4,FALSE)="","",VLOOKUP(D238,'point sur les patentes'!B:E,4,FALSE)+VLOOKUP(D238,'point sur les patentes'!B:F,5,FALSE)+VLOOKUP('vs mars'!D238,'point sur les patentes'!B:G,6,FALSE)+VLOOKUP('vs mars'!D238,'point sur les patentes'!B:H,7,FALSE)+VLOOKUP('vs mars'!D238,'point sur les patentes'!B:I,8,FALSE)+VLOOKUP(D238,'point sur les patentes'!B:J,9,FALSE)+VLOOKUP(D238,'point sur les patentes'!B:K,10,FALSE)+VLOOKUP(D238,'point sur les patentes'!B:L,11,FALSE)+VLOOKUP(D238,'point sur les patentes'!B:M,12,FALSE)+VLOOKUP(D238,'point sur les patentes'!B:N,13,FALSE)+VLOOKUP(D238,'point sur les patentes'!B:O,14,FALSE)+VLOOKUP(D238,'point sur les patentes'!B:P,15,FALSE)+VLOOKUP(D238,'point sur les patentes'!B:Q,16,FALSE)+VLOOKUP('vs mars'!D238,'point sur les patentes'!B:Z,25,FALSE))</f>
        <v>#N/A</v>
      </c>
      <c r="W238" s="340">
        <f>VLOOKUP(D238,'SUIVI JOURNALIER AVRIL'!B:J,9,FALSE)</f>
        <v>32909</v>
      </c>
      <c r="X238" s="340">
        <f>VLOOKUP(D238,'SUIVI JOURNALIER AVRIL'!B:P,14,FALSE)+VLOOKUP('vs mars'!D238,'SUIVI JOURNALIER AVRIL'!B:V,20,FALSE)+VLOOKUP('vs mars'!D238,'SUIVI JOURNALIER AVRIL'!B:W,21,FALSE)</f>
        <v>23761</v>
      </c>
      <c r="Y238" s="340">
        <f>VLOOKUP(D238,'SUIVI JOURNALIER AVRIL'!B:CC,80,FALSE)</f>
        <v>0</v>
      </c>
      <c r="Z238" s="340">
        <f t="shared" si="6"/>
        <v>56670</v>
      </c>
      <c r="AA238" s="359">
        <f>VLOOKUP(D238,'SUIVI JOURNALIER AVRIL'!B:CD,81,FALSE)</f>
        <v>56670</v>
      </c>
      <c r="AB238" s="360" t="str">
        <f t="shared" si="7"/>
        <v>ok</v>
      </c>
      <c r="AC238" s="360" t="str">
        <f>VLOOKUP(B238,labo!B:D,3,FALSE)</f>
        <v>ug5</v>
      </c>
      <c r="AD238" s="360" t="s">
        <v>2629</v>
      </c>
      <c r="AF238" s="330">
        <f>VLOOKUP(D238,'SUIVI JOURNALIER AVRIL'!CK:CL,2,FALSE)</f>
        <v>0</v>
      </c>
      <c r="AG238" s="360">
        <v>1</v>
      </c>
    </row>
    <row r="239" spans="1:33" s="360" customFormat="1" ht="13.5" customHeight="1">
      <c r="A239" s="324" t="s">
        <v>1855</v>
      </c>
      <c r="B239" s="325" t="s">
        <v>763</v>
      </c>
      <c r="C239" s="325" t="s">
        <v>764</v>
      </c>
      <c r="D239" s="325" t="s">
        <v>765</v>
      </c>
      <c r="E239" s="324" t="s">
        <v>766</v>
      </c>
      <c r="F239" s="324" t="s">
        <v>2055</v>
      </c>
      <c r="G239" s="324" t="s">
        <v>887</v>
      </c>
      <c r="H239" s="324" t="s">
        <v>897</v>
      </c>
      <c r="I239" s="324" t="s">
        <v>1316</v>
      </c>
      <c r="J239" s="324" t="s">
        <v>889</v>
      </c>
      <c r="K239" s="324" t="s">
        <v>890</v>
      </c>
      <c r="L239" s="324" t="s">
        <v>891</v>
      </c>
      <c r="M239" s="324" t="s">
        <v>892</v>
      </c>
      <c r="N239" s="324" t="s">
        <v>893</v>
      </c>
      <c r="O239" s="324" t="s">
        <v>894</v>
      </c>
      <c r="P239" s="324" t="s">
        <v>899</v>
      </c>
      <c r="Q239" s="324" t="s">
        <v>1131</v>
      </c>
      <c r="R239" s="324" t="s">
        <v>1317</v>
      </c>
      <c r="S239" s="356" t="s">
        <v>895</v>
      </c>
      <c r="T239" s="309" t="s">
        <v>999</v>
      </c>
      <c r="U239" s="357" t="e">
        <f>VLOOKUP(D239,'SUIVI JOURNALIER AVRIL'!CK:CM,3,FALSE)</f>
        <v>#N/A</v>
      </c>
      <c r="V239" s="358" t="e">
        <f>IF(VLOOKUP('vs mars'!D239,'point sur les patentes'!B:E,4,FALSE)="","",VLOOKUP(D239,'point sur les patentes'!B:E,4,FALSE)+VLOOKUP(D239,'point sur les patentes'!B:F,5,FALSE)+VLOOKUP('vs mars'!D239,'point sur les patentes'!B:G,6,FALSE)+VLOOKUP('vs mars'!D239,'point sur les patentes'!B:H,7,FALSE)+VLOOKUP('vs mars'!D239,'point sur les patentes'!B:I,8,FALSE)+VLOOKUP(D239,'point sur les patentes'!B:J,9,FALSE)+VLOOKUP(D239,'point sur les patentes'!B:K,10,FALSE)+VLOOKUP(D239,'point sur les patentes'!B:L,11,FALSE)+VLOOKUP(D239,'point sur les patentes'!B:M,12,FALSE)+VLOOKUP(D239,'point sur les patentes'!B:N,13,FALSE)+VLOOKUP(D239,'point sur les patentes'!B:O,14,FALSE)+VLOOKUP(D239,'point sur les patentes'!B:P,15,FALSE)+VLOOKUP(D239,'point sur les patentes'!B:Q,16,FALSE)+VLOOKUP('vs mars'!D239,'point sur les patentes'!B:Z,25,FALSE))</f>
        <v>#N/A</v>
      </c>
      <c r="W239" s="340" t="e">
        <f>VLOOKUP(D239,'SUIVI JOURNALIER AVRIL'!B:J,9,FALSE)</f>
        <v>#N/A</v>
      </c>
      <c r="X239" s="340" t="e">
        <f>VLOOKUP(D239,'SUIVI JOURNALIER AVRIL'!B:P,14,FALSE)+VLOOKUP('vs mars'!D239,'SUIVI JOURNALIER AVRIL'!B:V,20,FALSE)+VLOOKUP('vs mars'!D239,'SUIVI JOURNALIER AVRIL'!B:W,21,FALSE)</f>
        <v>#N/A</v>
      </c>
      <c r="Y239" s="340" t="e">
        <f>VLOOKUP(D239,'SUIVI JOURNALIER AVRIL'!B:CC,80,FALSE)</f>
        <v>#N/A</v>
      </c>
      <c r="Z239" s="340" t="e">
        <f t="shared" si="6"/>
        <v>#N/A</v>
      </c>
      <c r="AA239" s="359" t="e">
        <f>VLOOKUP(D239,'SUIVI JOURNALIER AVRIL'!B:CD,81,FALSE)</f>
        <v>#N/A</v>
      </c>
      <c r="AB239" s="360" t="e">
        <f t="shared" si="7"/>
        <v>#N/A</v>
      </c>
      <c r="AC239" s="360" t="str">
        <f>VLOOKUP(B239,labo!B:D,3,FALSE)</f>
        <v>ug3</v>
      </c>
      <c r="AD239" s="360" t="s">
        <v>2629</v>
      </c>
      <c r="AF239" s="330" t="e">
        <f>VLOOKUP(D239,'SUIVI JOURNALIER AVRIL'!CK:CL,2,FALSE)</f>
        <v>#N/A</v>
      </c>
      <c r="AG239" s="360">
        <v>1</v>
      </c>
    </row>
    <row r="240" spans="1:33" s="360" customFormat="1" ht="13.5" customHeight="1">
      <c r="A240" s="324" t="s">
        <v>1856</v>
      </c>
      <c r="B240" s="325" t="s">
        <v>289</v>
      </c>
      <c r="C240" s="325" t="s">
        <v>767</v>
      </c>
      <c r="D240" s="325" t="s">
        <v>768</v>
      </c>
      <c r="E240" s="324" t="s">
        <v>574</v>
      </c>
      <c r="F240" s="324" t="s">
        <v>2055</v>
      </c>
      <c r="G240" s="324" t="s">
        <v>887</v>
      </c>
      <c r="H240" s="324" t="s">
        <v>1318</v>
      </c>
      <c r="I240" s="324" t="s">
        <v>1319</v>
      </c>
      <c r="J240" s="324" t="s">
        <v>889</v>
      </c>
      <c r="K240" s="324" t="s">
        <v>890</v>
      </c>
      <c r="L240" s="324" t="s">
        <v>891</v>
      </c>
      <c r="M240" s="324" t="s">
        <v>892</v>
      </c>
      <c r="N240" s="324" t="s">
        <v>893</v>
      </c>
      <c r="O240" s="324" t="s">
        <v>894</v>
      </c>
      <c r="P240" s="324" t="s">
        <v>899</v>
      </c>
      <c r="Q240" s="324" t="s">
        <v>985</v>
      </c>
      <c r="R240" s="324" t="s">
        <v>1320</v>
      </c>
      <c r="S240" s="356" t="s">
        <v>895</v>
      </c>
      <c r="T240" s="309" t="s">
        <v>999</v>
      </c>
      <c r="U240" s="357">
        <f>VLOOKUP(D240,'SUIVI JOURNALIER AVRIL'!CK:CM,3,FALSE)</f>
        <v>0</v>
      </c>
      <c r="V240" s="358" t="e">
        <f>IF(VLOOKUP('vs mars'!D240,'point sur les patentes'!B:E,4,FALSE)="","",VLOOKUP(D240,'point sur les patentes'!B:E,4,FALSE)+VLOOKUP(D240,'point sur les patentes'!B:F,5,FALSE)+VLOOKUP('vs mars'!D240,'point sur les patentes'!B:G,6,FALSE)+VLOOKUP('vs mars'!D240,'point sur les patentes'!B:H,7,FALSE)+VLOOKUP('vs mars'!D240,'point sur les patentes'!B:I,8,FALSE)+VLOOKUP(D240,'point sur les patentes'!B:J,9,FALSE)+VLOOKUP(D240,'point sur les patentes'!B:K,10,FALSE)+VLOOKUP(D240,'point sur les patentes'!B:L,11,FALSE)+VLOOKUP(D240,'point sur les patentes'!B:M,12,FALSE)+VLOOKUP(D240,'point sur les patentes'!B:N,13,FALSE)+VLOOKUP(D240,'point sur les patentes'!B:O,14,FALSE)+VLOOKUP(D240,'point sur les patentes'!B:P,15,FALSE)+VLOOKUP(D240,'point sur les patentes'!B:Q,16,FALSE)+VLOOKUP('vs mars'!D240,'point sur les patentes'!B:Z,25,FALSE))</f>
        <v>#N/A</v>
      </c>
      <c r="W240" s="340">
        <f>VLOOKUP(D240,'SUIVI JOURNALIER AVRIL'!B:J,9,FALSE)</f>
        <v>341660</v>
      </c>
      <c r="X240" s="340">
        <f>VLOOKUP(D240,'SUIVI JOURNALIER AVRIL'!B:P,14,FALSE)+VLOOKUP('vs mars'!D240,'SUIVI JOURNALIER AVRIL'!B:V,20,FALSE)+VLOOKUP('vs mars'!D240,'SUIVI JOURNALIER AVRIL'!B:W,21,FALSE)</f>
        <v>105265</v>
      </c>
      <c r="Y240" s="340">
        <f>VLOOKUP(D240,'SUIVI JOURNALIER AVRIL'!B:CC,80,FALSE)</f>
        <v>86994</v>
      </c>
      <c r="Z240" s="340">
        <f t="shared" si="6"/>
        <v>533919</v>
      </c>
      <c r="AA240" s="359">
        <f>VLOOKUP(D240,'SUIVI JOURNALIER AVRIL'!B:CD,81,FALSE)</f>
        <v>533919</v>
      </c>
      <c r="AB240" s="360" t="str">
        <f t="shared" si="7"/>
        <v>ok</v>
      </c>
      <c r="AC240" s="360" t="str">
        <f>VLOOKUP(B240,labo!B:D,3,FALSE)</f>
        <v>ug2</v>
      </c>
      <c r="AD240" s="360" t="s">
        <v>2629</v>
      </c>
      <c r="AF240" s="330">
        <f>VLOOKUP(D240,'SUIVI JOURNALIER AVRIL'!CK:CL,2,FALSE)</f>
        <v>0</v>
      </c>
      <c r="AG240" s="360">
        <v>1</v>
      </c>
    </row>
    <row r="241" spans="1:33" s="360" customFormat="1" ht="13.5" customHeight="1">
      <c r="A241" s="324" t="s">
        <v>1857</v>
      </c>
      <c r="B241" s="325" t="s">
        <v>769</v>
      </c>
      <c r="C241" s="325" t="s">
        <v>770</v>
      </c>
      <c r="D241" s="325" t="s">
        <v>771</v>
      </c>
      <c r="E241" s="324" t="s">
        <v>554</v>
      </c>
      <c r="F241" s="324" t="s">
        <v>2055</v>
      </c>
      <c r="G241" s="324" t="s">
        <v>887</v>
      </c>
      <c r="H241" s="324" t="s">
        <v>897</v>
      </c>
      <c r="I241" s="324" t="s">
        <v>1321</v>
      </c>
      <c r="J241" s="324" t="s">
        <v>889</v>
      </c>
      <c r="K241" s="324" t="s">
        <v>890</v>
      </c>
      <c r="L241" s="324" t="s">
        <v>891</v>
      </c>
      <c r="M241" s="324" t="s">
        <v>892</v>
      </c>
      <c r="N241" s="324" t="s">
        <v>954</v>
      </c>
      <c r="O241" s="324" t="s">
        <v>955</v>
      </c>
      <c r="P241" s="324" t="s">
        <v>955</v>
      </c>
      <c r="Q241" s="324" t="s">
        <v>924</v>
      </c>
      <c r="R241" s="324" t="s">
        <v>1322</v>
      </c>
      <c r="S241" s="356" t="s">
        <v>895</v>
      </c>
      <c r="T241" s="309" t="s">
        <v>2205</v>
      </c>
      <c r="U241" s="357" t="e">
        <f>VLOOKUP(D241,'SUIVI JOURNALIER AVRIL'!CK:CM,3,FALSE)</f>
        <v>#N/A</v>
      </c>
      <c r="V241" s="358" t="e">
        <f>IF(VLOOKUP('vs mars'!D241,'point sur les patentes'!B:E,4,FALSE)="","",VLOOKUP(D241,'point sur les patentes'!B:E,4,FALSE)+VLOOKUP(D241,'point sur les patentes'!B:F,5,FALSE)+VLOOKUP('vs mars'!D241,'point sur les patentes'!B:G,6,FALSE)+VLOOKUP('vs mars'!D241,'point sur les patentes'!B:H,7,FALSE)+VLOOKUP('vs mars'!D241,'point sur les patentes'!B:I,8,FALSE)+VLOOKUP(D241,'point sur les patentes'!B:J,9,FALSE)+VLOOKUP(D241,'point sur les patentes'!B:K,10,FALSE)+VLOOKUP(D241,'point sur les patentes'!B:L,11,FALSE)+VLOOKUP(D241,'point sur les patentes'!B:M,12,FALSE)+VLOOKUP(D241,'point sur les patentes'!B:N,13,FALSE)+VLOOKUP(D241,'point sur les patentes'!B:O,14,FALSE)+VLOOKUP(D241,'point sur les patentes'!B:P,15,FALSE)+VLOOKUP(D241,'point sur les patentes'!B:Q,16,FALSE)+VLOOKUP('vs mars'!D241,'point sur les patentes'!B:Z,25,FALSE))</f>
        <v>#N/A</v>
      </c>
      <c r="W241" s="340" t="e">
        <f>VLOOKUP(D241,'SUIVI JOURNALIER AVRIL'!B:J,9,FALSE)</f>
        <v>#N/A</v>
      </c>
      <c r="X241" s="340" t="e">
        <f>VLOOKUP(D241,'SUIVI JOURNALIER AVRIL'!B:P,14,FALSE)+VLOOKUP('vs mars'!D241,'SUIVI JOURNALIER AVRIL'!B:V,20,FALSE)+VLOOKUP('vs mars'!D241,'SUIVI JOURNALIER AVRIL'!B:W,21,FALSE)</f>
        <v>#N/A</v>
      </c>
      <c r="Y241" s="340" t="e">
        <f>VLOOKUP(D241,'SUIVI JOURNALIER AVRIL'!B:CC,80,FALSE)</f>
        <v>#N/A</v>
      </c>
      <c r="Z241" s="340" t="e">
        <f t="shared" si="6"/>
        <v>#N/A</v>
      </c>
      <c r="AA241" s="359" t="e">
        <f>VLOOKUP(D241,'SUIVI JOURNALIER AVRIL'!B:CD,81,FALSE)</f>
        <v>#N/A</v>
      </c>
      <c r="AB241" s="360" t="e">
        <f t="shared" si="7"/>
        <v>#N/A</v>
      </c>
      <c r="AC241" s="360" t="str">
        <f>VLOOKUP(B241,labo!B:D,3,FALSE)</f>
        <v>ug2</v>
      </c>
      <c r="AD241" s="360" t="s">
        <v>2629</v>
      </c>
      <c r="AF241" s="330" t="e">
        <f>VLOOKUP(D241,'SUIVI JOURNALIER AVRIL'!CK:CL,2,FALSE)</f>
        <v>#N/A</v>
      </c>
      <c r="AG241" s="360">
        <v>1</v>
      </c>
    </row>
    <row r="242" spans="1:33" s="360" customFormat="1" ht="13.5" customHeight="1">
      <c r="A242" s="324" t="s">
        <v>1858</v>
      </c>
      <c r="B242" s="325" t="s">
        <v>772</v>
      </c>
      <c r="C242" s="325" t="s">
        <v>773</v>
      </c>
      <c r="D242" s="325" t="s">
        <v>774</v>
      </c>
      <c r="E242" s="324" t="s">
        <v>446</v>
      </c>
      <c r="F242" s="324" t="s">
        <v>2055</v>
      </c>
      <c r="G242" s="324" t="s">
        <v>887</v>
      </c>
      <c r="H242" s="324" t="s">
        <v>1323</v>
      </c>
      <c r="I242" s="324" t="s">
        <v>1324</v>
      </c>
      <c r="J242" s="324" t="s">
        <v>889</v>
      </c>
      <c r="K242" s="324" t="s">
        <v>890</v>
      </c>
      <c r="L242" s="324" t="s">
        <v>891</v>
      </c>
      <c r="M242" s="324" t="s">
        <v>892</v>
      </c>
      <c r="N242" s="324" t="s">
        <v>893</v>
      </c>
      <c r="O242" s="324" t="s">
        <v>894</v>
      </c>
      <c r="P242" s="324" t="s">
        <v>899</v>
      </c>
      <c r="Q242" s="324" t="s">
        <v>900</v>
      </c>
      <c r="R242" s="324" t="s">
        <v>1325</v>
      </c>
      <c r="S242" s="356" t="s">
        <v>895</v>
      </c>
      <c r="T242" s="309" t="s">
        <v>977</v>
      </c>
      <c r="U242" s="357">
        <f>VLOOKUP(D242,'SUIVI JOURNALIER AVRIL'!CK:CM,3,FALSE)</f>
        <v>0</v>
      </c>
      <c r="V242" s="358" t="e">
        <f>IF(VLOOKUP('vs mars'!D242,'point sur les patentes'!B:E,4,FALSE)="","",VLOOKUP(D242,'point sur les patentes'!B:E,4,FALSE)+VLOOKUP(D242,'point sur les patentes'!B:F,5,FALSE)+VLOOKUP('vs mars'!D242,'point sur les patentes'!B:G,6,FALSE)+VLOOKUP('vs mars'!D242,'point sur les patentes'!B:H,7,FALSE)+VLOOKUP('vs mars'!D242,'point sur les patentes'!B:I,8,FALSE)+VLOOKUP(D242,'point sur les patentes'!B:J,9,FALSE)+VLOOKUP(D242,'point sur les patentes'!B:K,10,FALSE)+VLOOKUP(D242,'point sur les patentes'!B:L,11,FALSE)+VLOOKUP(D242,'point sur les patentes'!B:M,12,FALSE)+VLOOKUP(D242,'point sur les patentes'!B:N,13,FALSE)+VLOOKUP(D242,'point sur les patentes'!B:O,14,FALSE)+VLOOKUP(D242,'point sur les patentes'!B:P,15,FALSE)+VLOOKUP(D242,'point sur les patentes'!B:Q,16,FALSE)+VLOOKUP('vs mars'!D242,'point sur les patentes'!B:Z,25,FALSE))</f>
        <v>#N/A</v>
      </c>
      <c r="W242" s="340">
        <f>VLOOKUP(D242,'SUIVI JOURNALIER AVRIL'!B:J,9,FALSE)</f>
        <v>2966</v>
      </c>
      <c r="X242" s="340">
        <f>VLOOKUP(D242,'SUIVI JOURNALIER AVRIL'!B:P,14,FALSE)+VLOOKUP('vs mars'!D242,'SUIVI JOURNALIER AVRIL'!B:V,20,FALSE)+VLOOKUP('vs mars'!D242,'SUIVI JOURNALIER AVRIL'!B:W,21,FALSE)</f>
        <v>0</v>
      </c>
      <c r="Y242" s="340">
        <f>VLOOKUP(D242,'SUIVI JOURNALIER AVRIL'!B:CC,80,FALSE)</f>
        <v>9000</v>
      </c>
      <c r="Z242" s="340">
        <f t="shared" si="6"/>
        <v>11966</v>
      </c>
      <c r="AA242" s="359">
        <f>VLOOKUP(D242,'SUIVI JOURNALIER AVRIL'!B:CD,81,FALSE)</f>
        <v>11966</v>
      </c>
      <c r="AB242" s="360" t="str">
        <f t="shared" si="7"/>
        <v>ok</v>
      </c>
      <c r="AC242" s="360" t="str">
        <f>VLOOKUP(B242,labo!B:D,3,FALSE)</f>
        <v>ug5</v>
      </c>
      <c r="AD242" s="360" t="s">
        <v>2629</v>
      </c>
      <c r="AF242" s="330">
        <f>VLOOKUP(D242,'SUIVI JOURNALIER AVRIL'!CK:CL,2,FALSE)</f>
        <v>0</v>
      </c>
      <c r="AG242" s="360">
        <v>1</v>
      </c>
    </row>
    <row r="243" spans="1:33" s="360" customFormat="1" ht="13.5" customHeight="1">
      <c r="A243" s="324" t="s">
        <v>1859</v>
      </c>
      <c r="B243" s="325" t="s">
        <v>775</v>
      </c>
      <c r="C243" s="325" t="s">
        <v>2055</v>
      </c>
      <c r="D243" s="325" t="s">
        <v>776</v>
      </c>
      <c r="E243" s="324" t="s">
        <v>446</v>
      </c>
      <c r="F243" s="324" t="s">
        <v>2055</v>
      </c>
      <c r="G243" s="324" t="s">
        <v>887</v>
      </c>
      <c r="H243" s="324" t="s">
        <v>897</v>
      </c>
      <c r="I243" s="324" t="s">
        <v>897</v>
      </c>
      <c r="J243" s="324" t="s">
        <v>889</v>
      </c>
      <c r="K243" s="324" t="s">
        <v>890</v>
      </c>
      <c r="L243" s="324" t="s">
        <v>891</v>
      </c>
      <c r="M243" s="324" t="s">
        <v>892</v>
      </c>
      <c r="N243" s="324" t="s">
        <v>954</v>
      </c>
      <c r="O243" s="324" t="s">
        <v>955</v>
      </c>
      <c r="P243" s="324" t="s">
        <v>955</v>
      </c>
      <c r="Q243" s="324" t="s">
        <v>956</v>
      </c>
      <c r="R243" s="324" t="s">
        <v>956</v>
      </c>
      <c r="S243" s="356" t="s">
        <v>895</v>
      </c>
      <c r="T243" s="309" t="s">
        <v>902</v>
      </c>
      <c r="U243" s="357" t="e">
        <f>VLOOKUP(D243,'SUIVI JOURNALIER AVRIL'!CK:CM,3,FALSE)</f>
        <v>#N/A</v>
      </c>
      <c r="V243" s="358" t="e">
        <f>IF(VLOOKUP('vs mars'!D243,'point sur les patentes'!B:E,4,FALSE)="","",VLOOKUP(D243,'point sur les patentes'!B:E,4,FALSE)+VLOOKUP(D243,'point sur les patentes'!B:F,5,FALSE)+VLOOKUP('vs mars'!D243,'point sur les patentes'!B:G,6,FALSE)+VLOOKUP('vs mars'!D243,'point sur les patentes'!B:H,7,FALSE)+VLOOKUP('vs mars'!D243,'point sur les patentes'!B:I,8,FALSE)+VLOOKUP(D243,'point sur les patentes'!B:J,9,FALSE)+VLOOKUP(D243,'point sur les patentes'!B:K,10,FALSE)+VLOOKUP(D243,'point sur les patentes'!B:L,11,FALSE)+VLOOKUP(D243,'point sur les patentes'!B:M,12,FALSE)+VLOOKUP(D243,'point sur les patentes'!B:N,13,FALSE)+VLOOKUP(D243,'point sur les patentes'!B:O,14,FALSE)+VLOOKUP(D243,'point sur les patentes'!B:P,15,FALSE)+VLOOKUP(D243,'point sur les patentes'!B:Q,16,FALSE)+VLOOKUP('vs mars'!D243,'point sur les patentes'!B:Z,25,FALSE))</f>
        <v>#N/A</v>
      </c>
      <c r="W243" s="340" t="e">
        <f>VLOOKUP(D243,'SUIVI JOURNALIER AVRIL'!B:J,9,FALSE)</f>
        <v>#N/A</v>
      </c>
      <c r="X243" s="340" t="e">
        <f>VLOOKUP(D243,'SUIVI JOURNALIER AVRIL'!B:P,14,FALSE)+VLOOKUP('vs mars'!D243,'SUIVI JOURNALIER AVRIL'!B:V,20,FALSE)+VLOOKUP('vs mars'!D243,'SUIVI JOURNALIER AVRIL'!B:W,21,FALSE)</f>
        <v>#N/A</v>
      </c>
      <c r="Y243" s="340" t="e">
        <f>VLOOKUP(D243,'SUIVI JOURNALIER AVRIL'!B:CC,80,FALSE)</f>
        <v>#N/A</v>
      </c>
      <c r="Z243" s="340" t="e">
        <f t="shared" si="6"/>
        <v>#N/A</v>
      </c>
      <c r="AA243" s="359" t="e">
        <f>VLOOKUP(D243,'SUIVI JOURNALIER AVRIL'!B:CD,81,FALSE)</f>
        <v>#N/A</v>
      </c>
      <c r="AB243" s="360" t="e">
        <f t="shared" si="7"/>
        <v>#N/A</v>
      </c>
      <c r="AC243" s="360" t="str">
        <f>VLOOKUP(B243,labo!B:D,3,FALSE)</f>
        <v>ug5</v>
      </c>
      <c r="AD243" s="360" t="s">
        <v>2629</v>
      </c>
      <c r="AF243" s="330" t="e">
        <f>VLOOKUP(D243,'SUIVI JOURNALIER AVRIL'!CK:CL,2,FALSE)</f>
        <v>#N/A</v>
      </c>
      <c r="AG243" s="360">
        <v>1</v>
      </c>
    </row>
    <row r="244" spans="1:33" s="360" customFormat="1" ht="13.5" customHeight="1">
      <c r="A244" s="324" t="s">
        <v>1863</v>
      </c>
      <c r="B244" s="325" t="s">
        <v>2351</v>
      </c>
      <c r="C244" s="325" t="s">
        <v>2055</v>
      </c>
      <c r="D244" s="325" t="s">
        <v>2551</v>
      </c>
      <c r="E244" s="324" t="s">
        <v>2552</v>
      </c>
      <c r="F244" s="324" t="s">
        <v>2055</v>
      </c>
      <c r="G244" s="324" t="s">
        <v>926</v>
      </c>
      <c r="H244" s="324" t="s">
        <v>1662</v>
      </c>
      <c r="I244" s="324" t="s">
        <v>2553</v>
      </c>
      <c r="J244" s="324" t="s">
        <v>2427</v>
      </c>
      <c r="K244" s="324" t="s">
        <v>2405</v>
      </c>
      <c r="L244" s="324" t="s">
        <v>891</v>
      </c>
      <c r="M244" s="324" t="s">
        <v>892</v>
      </c>
      <c r="N244" s="324" t="s">
        <v>893</v>
      </c>
      <c r="O244" s="324" t="s">
        <v>894</v>
      </c>
      <c r="P244" s="324" t="s">
        <v>919</v>
      </c>
      <c r="Q244" s="324" t="s">
        <v>2276</v>
      </c>
      <c r="R244" s="324" t="s">
        <v>2055</v>
      </c>
      <c r="S244" s="356" t="s">
        <v>895</v>
      </c>
      <c r="T244" s="309" t="s">
        <v>999</v>
      </c>
      <c r="U244" s="357" t="e">
        <f>VLOOKUP(D244,'SUIVI JOURNALIER AVRIL'!CK:CM,3,FALSE)</f>
        <v>#N/A</v>
      </c>
      <c r="V244" s="358" t="e">
        <f>IF(VLOOKUP('vs mars'!D244,'point sur les patentes'!B:E,4,FALSE)="","",VLOOKUP(D244,'point sur les patentes'!B:E,4,FALSE)+VLOOKUP(D244,'point sur les patentes'!B:F,5,FALSE)+VLOOKUP('vs mars'!D244,'point sur les patentes'!B:G,6,FALSE)+VLOOKUP('vs mars'!D244,'point sur les patentes'!B:H,7,FALSE)+VLOOKUP('vs mars'!D244,'point sur les patentes'!B:I,8,FALSE)+VLOOKUP(D244,'point sur les patentes'!B:J,9,FALSE)+VLOOKUP(D244,'point sur les patentes'!B:K,10,FALSE)+VLOOKUP(D244,'point sur les patentes'!B:L,11,FALSE)+VLOOKUP(D244,'point sur les patentes'!B:M,12,FALSE)+VLOOKUP(D244,'point sur les patentes'!B:N,13,FALSE)+VLOOKUP(D244,'point sur les patentes'!B:O,14,FALSE)+VLOOKUP(D244,'point sur les patentes'!B:P,15,FALSE)+VLOOKUP(D244,'point sur les patentes'!B:Q,16,FALSE)+VLOOKUP('vs mars'!D244,'point sur les patentes'!B:Z,25,FALSE))</f>
        <v>#N/A</v>
      </c>
      <c r="W244" s="340" t="e">
        <f>VLOOKUP(D244,'SUIVI JOURNALIER AVRIL'!B:J,9,FALSE)</f>
        <v>#N/A</v>
      </c>
      <c r="X244" s="340" t="e">
        <f>VLOOKUP(D244,'SUIVI JOURNALIER AVRIL'!B:P,14,FALSE)+VLOOKUP('vs mars'!D244,'SUIVI JOURNALIER AVRIL'!B:V,20,FALSE)+VLOOKUP('vs mars'!D244,'SUIVI JOURNALIER AVRIL'!B:W,21,FALSE)</f>
        <v>#N/A</v>
      </c>
      <c r="Y244" s="340" t="e">
        <f>VLOOKUP(D244,'SUIVI JOURNALIER AVRIL'!B:CC,80,FALSE)</f>
        <v>#N/A</v>
      </c>
      <c r="Z244" s="340" t="e">
        <f t="shared" si="6"/>
        <v>#N/A</v>
      </c>
      <c r="AA244" s="359" t="e">
        <f>VLOOKUP(D244,'SUIVI JOURNALIER AVRIL'!B:CD,81,FALSE)</f>
        <v>#N/A</v>
      </c>
      <c r="AB244" s="360" t="e">
        <f t="shared" si="7"/>
        <v>#N/A</v>
      </c>
      <c r="AC244" s="360" t="str">
        <f>VLOOKUP(B244,labo!B:D,3,FALSE)</f>
        <v>ug3</v>
      </c>
      <c r="AD244" s="360" t="s">
        <v>2630</v>
      </c>
      <c r="AF244" s="330" t="e">
        <f>VLOOKUP(D244,'SUIVI JOURNALIER AVRIL'!CK:CL,2,FALSE)</f>
        <v>#N/A</v>
      </c>
      <c r="AG244" s="360">
        <v>1</v>
      </c>
    </row>
    <row r="245" spans="1:33" s="360" customFormat="1" ht="13.5" customHeight="1">
      <c r="A245" s="324" t="s">
        <v>1867</v>
      </c>
      <c r="B245" s="325" t="s">
        <v>2352</v>
      </c>
      <c r="C245" s="325" t="s">
        <v>2554</v>
      </c>
      <c r="D245" s="325" t="s">
        <v>2555</v>
      </c>
      <c r="E245" s="324" t="s">
        <v>2409</v>
      </c>
      <c r="F245" s="324" t="s">
        <v>2055</v>
      </c>
      <c r="G245" s="324" t="s">
        <v>887</v>
      </c>
      <c r="H245" s="324" t="s">
        <v>2055</v>
      </c>
      <c r="I245" s="324" t="s">
        <v>2556</v>
      </c>
      <c r="J245" s="324" t="s">
        <v>2055</v>
      </c>
      <c r="K245" s="324" t="s">
        <v>2405</v>
      </c>
      <c r="L245" s="324" t="s">
        <v>891</v>
      </c>
      <c r="M245" s="324" t="s">
        <v>892</v>
      </c>
      <c r="N245" s="324" t="s">
        <v>893</v>
      </c>
      <c r="O245" s="324" t="s">
        <v>894</v>
      </c>
      <c r="P245" s="324" t="s">
        <v>919</v>
      </c>
      <c r="Q245" s="324" t="s">
        <v>2550</v>
      </c>
      <c r="R245" s="324" t="s">
        <v>2055</v>
      </c>
      <c r="S245" s="356" t="s">
        <v>895</v>
      </c>
      <c r="T245" s="309" t="s">
        <v>944</v>
      </c>
      <c r="U245" s="357">
        <f>VLOOKUP(D245,'SUIVI JOURNALIER AVRIL'!CK:CM,3,FALSE)</f>
        <v>0</v>
      </c>
      <c r="V245" s="358" t="e">
        <f>IF(VLOOKUP('vs mars'!D245,'point sur les patentes'!B:E,4,FALSE)="","",VLOOKUP(D245,'point sur les patentes'!B:E,4,FALSE)+VLOOKUP(D245,'point sur les patentes'!B:F,5,FALSE)+VLOOKUP('vs mars'!D245,'point sur les patentes'!B:G,6,FALSE)+VLOOKUP('vs mars'!D245,'point sur les patentes'!B:H,7,FALSE)+VLOOKUP('vs mars'!D245,'point sur les patentes'!B:I,8,FALSE)+VLOOKUP(D245,'point sur les patentes'!B:J,9,FALSE)+VLOOKUP(D245,'point sur les patentes'!B:K,10,FALSE)+VLOOKUP(D245,'point sur les patentes'!B:L,11,FALSE)+VLOOKUP(D245,'point sur les patentes'!B:M,12,FALSE)+VLOOKUP(D245,'point sur les patentes'!B:N,13,FALSE)+VLOOKUP(D245,'point sur les patentes'!B:O,14,FALSE)+VLOOKUP(D245,'point sur les patentes'!B:P,15,FALSE)+VLOOKUP(D245,'point sur les patentes'!B:Q,16,FALSE)+VLOOKUP('vs mars'!D245,'point sur les patentes'!B:Z,25,FALSE))</f>
        <v>#N/A</v>
      </c>
      <c r="W245" s="340">
        <f>VLOOKUP(D245,'SUIVI JOURNALIER AVRIL'!B:J,9,FALSE)</f>
        <v>13333</v>
      </c>
      <c r="X245" s="340">
        <f>VLOOKUP(D245,'SUIVI JOURNALIER AVRIL'!B:P,14,FALSE)+VLOOKUP('vs mars'!D245,'SUIVI JOURNALIER AVRIL'!B:V,20,FALSE)+VLOOKUP('vs mars'!D245,'SUIVI JOURNALIER AVRIL'!B:W,21,FALSE)</f>
        <v>1524</v>
      </c>
      <c r="Y245" s="340">
        <f>VLOOKUP(D245,'SUIVI JOURNALIER AVRIL'!B:CC,80,FALSE)</f>
        <v>3894</v>
      </c>
      <c r="Z245" s="340">
        <f t="shared" si="6"/>
        <v>18751</v>
      </c>
      <c r="AA245" s="359">
        <f>VLOOKUP(D245,'SUIVI JOURNALIER AVRIL'!B:CD,81,FALSE)</f>
        <v>18751</v>
      </c>
      <c r="AB245" s="360" t="str">
        <f t="shared" si="7"/>
        <v>ok</v>
      </c>
      <c r="AC245" s="360" t="str">
        <f>VLOOKUP(B245,labo!B:D,3,FALSE)</f>
        <v>ug4</v>
      </c>
      <c r="AD245" s="360" t="s">
        <v>2630</v>
      </c>
      <c r="AF245" s="330">
        <f>VLOOKUP(D245,'SUIVI JOURNALIER AVRIL'!CK:CL,2,FALSE)</f>
        <v>0</v>
      </c>
      <c r="AG245" s="360">
        <v>1</v>
      </c>
    </row>
    <row r="246" spans="1:33" s="360" customFormat="1" ht="13.5" customHeight="1">
      <c r="A246" s="324" t="s">
        <v>1870</v>
      </c>
      <c r="B246" s="325" t="s">
        <v>282</v>
      </c>
      <c r="C246" s="325" t="s">
        <v>555</v>
      </c>
      <c r="D246" s="325" t="s">
        <v>777</v>
      </c>
      <c r="E246" s="324" t="s">
        <v>422</v>
      </c>
      <c r="F246" s="324" t="s">
        <v>2055</v>
      </c>
      <c r="G246" s="324" t="s">
        <v>887</v>
      </c>
      <c r="H246" s="324" t="s">
        <v>897</v>
      </c>
      <c r="I246" s="324" t="s">
        <v>918</v>
      </c>
      <c r="J246" s="324" t="s">
        <v>889</v>
      </c>
      <c r="K246" s="324" t="s">
        <v>890</v>
      </c>
      <c r="L246" s="324" t="s">
        <v>891</v>
      </c>
      <c r="M246" s="324" t="s">
        <v>892</v>
      </c>
      <c r="N246" s="324" t="s">
        <v>893</v>
      </c>
      <c r="O246" s="324" t="s">
        <v>919</v>
      </c>
      <c r="P246" s="324" t="s">
        <v>919</v>
      </c>
      <c r="Q246" s="324" t="s">
        <v>924</v>
      </c>
      <c r="R246" s="324" t="s">
        <v>1326</v>
      </c>
      <c r="S246" s="356" t="s">
        <v>895</v>
      </c>
      <c r="T246" s="309" t="s">
        <v>977</v>
      </c>
      <c r="U246" s="357" t="e">
        <f>VLOOKUP(D246,'SUIVI JOURNALIER AVRIL'!CK:CM,3,FALSE)</f>
        <v>#N/A</v>
      </c>
      <c r="V246" s="358" t="e">
        <f>IF(VLOOKUP('vs mars'!D246,'point sur les patentes'!B:E,4,FALSE)="","",VLOOKUP(D246,'point sur les patentes'!B:E,4,FALSE)+VLOOKUP(D246,'point sur les patentes'!B:F,5,FALSE)+VLOOKUP('vs mars'!D246,'point sur les patentes'!B:G,6,FALSE)+VLOOKUP('vs mars'!D246,'point sur les patentes'!B:H,7,FALSE)+VLOOKUP('vs mars'!D246,'point sur les patentes'!B:I,8,FALSE)+VLOOKUP(D246,'point sur les patentes'!B:J,9,FALSE)+VLOOKUP(D246,'point sur les patentes'!B:K,10,FALSE)+VLOOKUP(D246,'point sur les patentes'!B:L,11,FALSE)+VLOOKUP(D246,'point sur les patentes'!B:M,12,FALSE)+VLOOKUP(D246,'point sur les patentes'!B:N,13,FALSE)+VLOOKUP(D246,'point sur les patentes'!B:O,14,FALSE)+VLOOKUP(D246,'point sur les patentes'!B:P,15,FALSE)+VLOOKUP(D246,'point sur les patentes'!B:Q,16,FALSE)+VLOOKUP('vs mars'!D246,'point sur les patentes'!B:Z,25,FALSE))</f>
        <v>#N/A</v>
      </c>
      <c r="W246" s="340" t="e">
        <f>VLOOKUP(D246,'SUIVI JOURNALIER AVRIL'!B:J,9,FALSE)</f>
        <v>#N/A</v>
      </c>
      <c r="X246" s="340" t="e">
        <f>VLOOKUP(D246,'SUIVI JOURNALIER AVRIL'!B:P,14,FALSE)+VLOOKUP('vs mars'!D246,'SUIVI JOURNALIER AVRIL'!B:V,20,FALSE)+VLOOKUP('vs mars'!D246,'SUIVI JOURNALIER AVRIL'!B:W,21,FALSE)</f>
        <v>#N/A</v>
      </c>
      <c r="Y246" s="340" t="e">
        <f>VLOOKUP(D246,'SUIVI JOURNALIER AVRIL'!B:CC,80,FALSE)</f>
        <v>#N/A</v>
      </c>
      <c r="Z246" s="340" t="e">
        <f t="shared" si="6"/>
        <v>#N/A</v>
      </c>
      <c r="AA246" s="359" t="e">
        <f>VLOOKUP(D246,'SUIVI JOURNALIER AVRIL'!B:CD,81,FALSE)</f>
        <v>#N/A</v>
      </c>
      <c r="AB246" s="360" t="e">
        <f t="shared" si="7"/>
        <v>#N/A</v>
      </c>
      <c r="AC246" s="360" t="str">
        <f>VLOOKUP(B246,labo!B:D,3,FALSE)</f>
        <v>ug4</v>
      </c>
      <c r="AD246" s="360" t="s">
        <v>2629</v>
      </c>
      <c r="AF246" s="330" t="e">
        <f>VLOOKUP(D246,'SUIVI JOURNALIER AVRIL'!CK:CL,2,FALSE)</f>
        <v>#N/A</v>
      </c>
      <c r="AG246" s="360">
        <v>1</v>
      </c>
    </row>
    <row r="247" spans="1:33" s="360" customFormat="1" ht="13.5" customHeight="1">
      <c r="A247" s="324" t="s">
        <v>1871</v>
      </c>
      <c r="B247" s="325" t="s">
        <v>274</v>
      </c>
      <c r="C247" s="325" t="s">
        <v>778</v>
      </c>
      <c r="D247" s="325" t="s">
        <v>779</v>
      </c>
      <c r="E247" s="324" t="s">
        <v>554</v>
      </c>
      <c r="F247" s="324" t="s">
        <v>2055</v>
      </c>
      <c r="G247" s="324" t="s">
        <v>887</v>
      </c>
      <c r="H247" s="324" t="s">
        <v>1327</v>
      </c>
      <c r="I247" s="324" t="s">
        <v>1328</v>
      </c>
      <c r="J247" s="324" t="s">
        <v>889</v>
      </c>
      <c r="K247" s="324" t="s">
        <v>890</v>
      </c>
      <c r="L247" s="324" t="s">
        <v>891</v>
      </c>
      <c r="M247" s="324" t="s">
        <v>892</v>
      </c>
      <c r="N247" s="324" t="s">
        <v>893</v>
      </c>
      <c r="O247" s="324" t="s">
        <v>894</v>
      </c>
      <c r="P247" s="324" t="s">
        <v>899</v>
      </c>
      <c r="Q247" s="324" t="s">
        <v>1131</v>
      </c>
      <c r="R247" s="324" t="s">
        <v>778</v>
      </c>
      <c r="S247" s="356" t="s">
        <v>895</v>
      </c>
      <c r="T247" s="309"/>
      <c r="U247" s="357">
        <f>VLOOKUP(D247,'SUIVI JOURNALIER AVRIL'!CK:CM,3,FALSE)</f>
        <v>0</v>
      </c>
      <c r="V247" s="358" t="e">
        <f>IF(VLOOKUP('vs mars'!D247,'point sur les patentes'!B:E,4,FALSE)="","",VLOOKUP(D247,'point sur les patentes'!B:E,4,FALSE)+VLOOKUP(D247,'point sur les patentes'!B:F,5,FALSE)+VLOOKUP('vs mars'!D247,'point sur les patentes'!B:G,6,FALSE)+VLOOKUP('vs mars'!D247,'point sur les patentes'!B:H,7,FALSE)+VLOOKUP('vs mars'!D247,'point sur les patentes'!B:I,8,FALSE)+VLOOKUP(D247,'point sur les patentes'!B:J,9,FALSE)+VLOOKUP(D247,'point sur les patentes'!B:K,10,FALSE)+VLOOKUP(D247,'point sur les patentes'!B:L,11,FALSE)+VLOOKUP(D247,'point sur les patentes'!B:M,12,FALSE)+VLOOKUP(D247,'point sur les patentes'!B:N,13,FALSE)+VLOOKUP(D247,'point sur les patentes'!B:O,14,FALSE)+VLOOKUP(D247,'point sur les patentes'!B:P,15,FALSE)+VLOOKUP(D247,'point sur les patentes'!B:Q,16,FALSE)+VLOOKUP('vs mars'!D247,'point sur les patentes'!B:Z,25,FALSE))</f>
        <v>#N/A</v>
      </c>
      <c r="W247" s="340">
        <f>VLOOKUP(D247,'SUIVI JOURNALIER AVRIL'!B:J,9,FALSE)</f>
        <v>42117</v>
      </c>
      <c r="X247" s="340">
        <f>VLOOKUP(D247,'SUIVI JOURNALIER AVRIL'!B:P,14,FALSE)+VLOOKUP('vs mars'!D247,'SUIVI JOURNALIER AVRIL'!B:V,20,FALSE)+VLOOKUP('vs mars'!D247,'SUIVI JOURNALIER AVRIL'!B:W,21,FALSE)</f>
        <v>50558</v>
      </c>
      <c r="Y247" s="340">
        <f>VLOOKUP(D247,'SUIVI JOURNALIER AVRIL'!B:CC,80,FALSE)</f>
        <v>3308</v>
      </c>
      <c r="Z247" s="340">
        <f t="shared" si="6"/>
        <v>95983</v>
      </c>
      <c r="AA247" s="359">
        <f>VLOOKUP(D247,'SUIVI JOURNALIER AVRIL'!B:CD,81,FALSE)</f>
        <v>95983</v>
      </c>
      <c r="AB247" s="360" t="str">
        <f t="shared" si="7"/>
        <v>ok</v>
      </c>
      <c r="AC247" s="360" t="str">
        <f>VLOOKUP(B247,labo!B:D,3,FALSE)</f>
        <v>ug2</v>
      </c>
      <c r="AD247" s="360" t="s">
        <v>2629</v>
      </c>
      <c r="AF247" s="330">
        <f>VLOOKUP(D247,'SUIVI JOURNALIER AVRIL'!CK:CL,2,FALSE)</f>
        <v>0</v>
      </c>
      <c r="AG247" s="360">
        <v>1</v>
      </c>
    </row>
    <row r="248" spans="1:33" s="360" customFormat="1" ht="13.5" customHeight="1">
      <c r="A248" s="324" t="s">
        <v>1158</v>
      </c>
      <c r="B248" s="325" t="s">
        <v>2353</v>
      </c>
      <c r="C248" s="325" t="s">
        <v>2557</v>
      </c>
      <c r="D248" s="325" t="s">
        <v>2298</v>
      </c>
      <c r="E248" s="324" t="s">
        <v>733</v>
      </c>
      <c r="F248" s="324" t="s">
        <v>2055</v>
      </c>
      <c r="G248" s="324" t="s">
        <v>926</v>
      </c>
      <c r="H248" s="324" t="s">
        <v>2055</v>
      </c>
      <c r="I248" s="324" t="s">
        <v>2558</v>
      </c>
      <c r="J248" s="324" t="s">
        <v>2427</v>
      </c>
      <c r="K248" s="324" t="s">
        <v>2405</v>
      </c>
      <c r="L248" s="324" t="s">
        <v>891</v>
      </c>
      <c r="M248" s="324" t="s">
        <v>892</v>
      </c>
      <c r="N248" s="324" t="s">
        <v>893</v>
      </c>
      <c r="O248" s="324" t="s">
        <v>894</v>
      </c>
      <c r="P248" s="324" t="s">
        <v>919</v>
      </c>
      <c r="Q248" s="324" t="s">
        <v>2055</v>
      </c>
      <c r="R248" s="324" t="s">
        <v>1035</v>
      </c>
      <c r="S248" s="356" t="s">
        <v>895</v>
      </c>
      <c r="T248" s="309" t="s">
        <v>1089</v>
      </c>
      <c r="U248" s="357" t="e">
        <f>VLOOKUP(D248,'SUIVI JOURNALIER AVRIL'!CK:CM,3,FALSE)</f>
        <v>#N/A</v>
      </c>
      <c r="V248" s="358">
        <f>IF(VLOOKUP('vs mars'!D248,'point sur les patentes'!B:E,4,FALSE)="","",VLOOKUP(D248,'point sur les patentes'!B:E,4,FALSE)+VLOOKUP(D248,'point sur les patentes'!B:F,5,FALSE)+VLOOKUP('vs mars'!D248,'point sur les patentes'!B:G,6,FALSE)+VLOOKUP('vs mars'!D248,'point sur les patentes'!B:H,7,FALSE)+VLOOKUP('vs mars'!D248,'point sur les patentes'!B:I,8,FALSE)+VLOOKUP(D248,'point sur les patentes'!B:J,9,FALSE)+VLOOKUP(D248,'point sur les patentes'!B:K,10,FALSE)+VLOOKUP(D248,'point sur les patentes'!B:L,11,FALSE)+VLOOKUP(D248,'point sur les patentes'!B:M,12,FALSE)+VLOOKUP(D248,'point sur les patentes'!B:N,13,FALSE)+VLOOKUP(D248,'point sur les patentes'!B:O,14,FALSE)+VLOOKUP(D248,'point sur les patentes'!B:P,15,FALSE)+VLOOKUP(D248,'point sur les patentes'!B:Q,16,FALSE)+VLOOKUP('vs mars'!D248,'point sur les patentes'!B:Z,25,FALSE))</f>
        <v>141500</v>
      </c>
      <c r="W248" s="340" t="e">
        <f>VLOOKUP(D248,'SUIVI JOURNALIER AVRIL'!B:J,9,FALSE)</f>
        <v>#N/A</v>
      </c>
      <c r="X248" s="340" t="e">
        <f>VLOOKUP(D248,'SUIVI JOURNALIER AVRIL'!B:P,14,FALSE)+VLOOKUP('vs mars'!D248,'SUIVI JOURNALIER AVRIL'!B:V,20,FALSE)+VLOOKUP('vs mars'!D248,'SUIVI JOURNALIER AVRIL'!B:W,21,FALSE)</f>
        <v>#N/A</v>
      </c>
      <c r="Y248" s="340" t="e">
        <f>VLOOKUP(D248,'SUIVI JOURNALIER AVRIL'!B:CC,80,FALSE)</f>
        <v>#N/A</v>
      </c>
      <c r="Z248" s="340" t="e">
        <f t="shared" si="6"/>
        <v>#N/A</v>
      </c>
      <c r="AA248" s="359" t="e">
        <f>VLOOKUP(D248,'SUIVI JOURNALIER AVRIL'!B:CD,81,FALSE)</f>
        <v>#N/A</v>
      </c>
      <c r="AB248" s="360" t="e">
        <f t="shared" si="7"/>
        <v>#N/A</v>
      </c>
      <c r="AC248" s="360" t="str">
        <f>VLOOKUP(B248,labo!B:D,3,FALSE)</f>
        <v>ug1</v>
      </c>
      <c r="AD248" s="360" t="s">
        <v>2630</v>
      </c>
      <c r="AF248" s="330" t="e">
        <f>VLOOKUP(D248,'SUIVI JOURNALIER AVRIL'!CK:CL,2,FALSE)</f>
        <v>#N/A</v>
      </c>
      <c r="AG248" s="360">
        <v>1</v>
      </c>
    </row>
    <row r="249" spans="1:33" s="360" customFormat="1" ht="13.5" customHeight="1">
      <c r="A249" s="324" t="s">
        <v>1872</v>
      </c>
      <c r="B249" s="325" t="s">
        <v>316</v>
      </c>
      <c r="C249" s="325" t="s">
        <v>780</v>
      </c>
      <c r="D249" s="325" t="s">
        <v>781</v>
      </c>
      <c r="E249" s="324" t="s">
        <v>458</v>
      </c>
      <c r="F249" s="324" t="s">
        <v>2055</v>
      </c>
      <c r="G249" s="324" t="s">
        <v>926</v>
      </c>
      <c r="H249" s="324" t="s">
        <v>1329</v>
      </c>
      <c r="I249" s="324" t="s">
        <v>1330</v>
      </c>
      <c r="J249" s="324" t="s">
        <v>940</v>
      </c>
      <c r="K249" s="324" t="s">
        <v>890</v>
      </c>
      <c r="L249" s="324" t="s">
        <v>891</v>
      </c>
      <c r="M249" s="324" t="s">
        <v>892</v>
      </c>
      <c r="N249" s="324" t="s">
        <v>893</v>
      </c>
      <c r="O249" s="324" t="s">
        <v>894</v>
      </c>
      <c r="P249" s="324" t="s">
        <v>899</v>
      </c>
      <c r="Q249" s="324" t="s">
        <v>995</v>
      </c>
      <c r="R249" s="324" t="s">
        <v>1331</v>
      </c>
      <c r="S249" s="356" t="s">
        <v>895</v>
      </c>
      <c r="T249" s="309" t="s">
        <v>944</v>
      </c>
      <c r="U249" s="357" t="e">
        <f>VLOOKUP(D249,'SUIVI JOURNALIER AVRIL'!CK:CM,3,FALSE)</f>
        <v>#N/A</v>
      </c>
      <c r="V249" s="358" t="e">
        <f>IF(VLOOKUP('vs mars'!D249,'point sur les patentes'!B:E,4,FALSE)="","",VLOOKUP(D249,'point sur les patentes'!B:E,4,FALSE)+VLOOKUP(D249,'point sur les patentes'!B:F,5,FALSE)+VLOOKUP('vs mars'!D249,'point sur les patentes'!B:G,6,FALSE)+VLOOKUP('vs mars'!D249,'point sur les patentes'!B:H,7,FALSE)+VLOOKUP('vs mars'!D249,'point sur les patentes'!B:I,8,FALSE)+VLOOKUP(D249,'point sur les patentes'!B:J,9,FALSE)+VLOOKUP(D249,'point sur les patentes'!B:K,10,FALSE)+VLOOKUP(D249,'point sur les patentes'!B:L,11,FALSE)+VLOOKUP(D249,'point sur les patentes'!B:M,12,FALSE)+VLOOKUP(D249,'point sur les patentes'!B:N,13,FALSE)+VLOOKUP(D249,'point sur les patentes'!B:O,14,FALSE)+VLOOKUP(D249,'point sur les patentes'!B:P,15,FALSE)+VLOOKUP(D249,'point sur les patentes'!B:Q,16,FALSE)+VLOOKUP('vs mars'!D249,'point sur les patentes'!B:Z,25,FALSE))</f>
        <v>#N/A</v>
      </c>
      <c r="W249" s="340" t="e">
        <f>VLOOKUP(D249,'SUIVI JOURNALIER AVRIL'!B:J,9,FALSE)</f>
        <v>#N/A</v>
      </c>
      <c r="X249" s="340" t="e">
        <f>VLOOKUP(D249,'SUIVI JOURNALIER AVRIL'!B:P,14,FALSE)+VLOOKUP('vs mars'!D249,'SUIVI JOURNALIER AVRIL'!B:V,20,FALSE)+VLOOKUP('vs mars'!D249,'SUIVI JOURNALIER AVRIL'!B:W,21,FALSE)</f>
        <v>#N/A</v>
      </c>
      <c r="Y249" s="340" t="e">
        <f>VLOOKUP(D249,'SUIVI JOURNALIER AVRIL'!B:CC,80,FALSE)</f>
        <v>#N/A</v>
      </c>
      <c r="Z249" s="340" t="e">
        <f t="shared" si="6"/>
        <v>#N/A</v>
      </c>
      <c r="AA249" s="359" t="e">
        <f>VLOOKUP(D249,'SUIVI JOURNALIER AVRIL'!B:CD,81,FALSE)</f>
        <v>#N/A</v>
      </c>
      <c r="AB249" s="360" t="e">
        <f t="shared" si="7"/>
        <v>#N/A</v>
      </c>
      <c r="AC249" s="360" t="str">
        <f>VLOOKUP(B249,labo!B:D,3,FALSE)</f>
        <v>ug4</v>
      </c>
      <c r="AD249" s="360" t="s">
        <v>2629</v>
      </c>
      <c r="AF249" s="330" t="e">
        <f>VLOOKUP(D249,'SUIVI JOURNALIER AVRIL'!CK:CL,2,FALSE)</f>
        <v>#N/A</v>
      </c>
      <c r="AG249" s="360">
        <v>1</v>
      </c>
    </row>
    <row r="250" spans="1:33" s="360" customFormat="1" ht="13.5" customHeight="1">
      <c r="A250" s="324" t="s">
        <v>1873</v>
      </c>
      <c r="B250" s="325" t="s">
        <v>2198</v>
      </c>
      <c r="C250" s="325" t="s">
        <v>2055</v>
      </c>
      <c r="D250" s="325" t="s">
        <v>2211</v>
      </c>
      <c r="E250" s="324" t="s">
        <v>2212</v>
      </c>
      <c r="F250" s="324" t="s">
        <v>2055</v>
      </c>
      <c r="G250" s="324" t="s">
        <v>926</v>
      </c>
      <c r="H250" s="324" t="s">
        <v>897</v>
      </c>
      <c r="I250" s="324" t="s">
        <v>2051</v>
      </c>
      <c r="J250" s="324" t="s">
        <v>889</v>
      </c>
      <c r="K250" s="324" t="s">
        <v>890</v>
      </c>
      <c r="L250" s="324" t="s">
        <v>891</v>
      </c>
      <c r="M250" s="324" t="s">
        <v>892</v>
      </c>
      <c r="N250" s="324" t="s">
        <v>893</v>
      </c>
      <c r="O250" s="324" t="s">
        <v>894</v>
      </c>
      <c r="P250" s="324" t="s">
        <v>935</v>
      </c>
      <c r="Q250" s="324" t="s">
        <v>970</v>
      </c>
      <c r="R250" s="324" t="s">
        <v>971</v>
      </c>
      <c r="S250" s="356" t="s">
        <v>895</v>
      </c>
      <c r="T250" s="309" t="s">
        <v>2205</v>
      </c>
      <c r="U250" s="357" t="e">
        <f>VLOOKUP(D250,'SUIVI JOURNALIER AVRIL'!CK:CM,3,FALSE)</f>
        <v>#N/A</v>
      </c>
      <c r="V250" s="358" t="e">
        <f>IF(VLOOKUP('vs mars'!D250,'point sur les patentes'!B:E,4,FALSE)="","",VLOOKUP(D250,'point sur les patentes'!B:E,4,FALSE)+VLOOKUP(D250,'point sur les patentes'!B:F,5,FALSE)+VLOOKUP('vs mars'!D250,'point sur les patentes'!B:G,6,FALSE)+VLOOKUP('vs mars'!D250,'point sur les patentes'!B:H,7,FALSE)+VLOOKUP('vs mars'!D250,'point sur les patentes'!B:I,8,FALSE)+VLOOKUP(D250,'point sur les patentes'!B:J,9,FALSE)+VLOOKUP(D250,'point sur les patentes'!B:K,10,FALSE)+VLOOKUP(D250,'point sur les patentes'!B:L,11,FALSE)+VLOOKUP(D250,'point sur les patentes'!B:M,12,FALSE)+VLOOKUP(D250,'point sur les patentes'!B:N,13,FALSE)+VLOOKUP(D250,'point sur les patentes'!B:O,14,FALSE)+VLOOKUP(D250,'point sur les patentes'!B:P,15,FALSE)+VLOOKUP(D250,'point sur les patentes'!B:Q,16,FALSE)+VLOOKUP('vs mars'!D250,'point sur les patentes'!B:Z,25,FALSE))</f>
        <v>#N/A</v>
      </c>
      <c r="W250" s="340" t="e">
        <f>VLOOKUP(D250,'SUIVI JOURNALIER AVRIL'!B:J,9,FALSE)</f>
        <v>#N/A</v>
      </c>
      <c r="X250" s="340" t="e">
        <f>VLOOKUP(D250,'SUIVI JOURNALIER AVRIL'!B:P,14,FALSE)+VLOOKUP('vs mars'!D250,'SUIVI JOURNALIER AVRIL'!B:V,20,FALSE)+VLOOKUP('vs mars'!D250,'SUIVI JOURNALIER AVRIL'!B:W,21,FALSE)</f>
        <v>#N/A</v>
      </c>
      <c r="Y250" s="340" t="e">
        <f>VLOOKUP(D250,'SUIVI JOURNALIER AVRIL'!B:CC,80,FALSE)</f>
        <v>#N/A</v>
      </c>
      <c r="Z250" s="340" t="e">
        <f t="shared" si="6"/>
        <v>#N/A</v>
      </c>
      <c r="AA250" s="359" t="e">
        <f>VLOOKUP(D250,'SUIVI JOURNALIER AVRIL'!B:CD,81,FALSE)</f>
        <v>#N/A</v>
      </c>
      <c r="AB250" s="360" t="e">
        <f t="shared" si="7"/>
        <v>#N/A</v>
      </c>
      <c r="AC250" s="360" t="str">
        <f>VLOOKUP(B250,labo!B:D,3,FALSE)</f>
        <v>ug2</v>
      </c>
      <c r="AD250" s="360" t="s">
        <v>2629</v>
      </c>
      <c r="AF250" s="330" t="e">
        <f>VLOOKUP(D250,'SUIVI JOURNALIER AVRIL'!CK:CL,2,FALSE)</f>
        <v>#N/A</v>
      </c>
      <c r="AG250" s="360">
        <v>1</v>
      </c>
    </row>
    <row r="251" spans="1:33" s="360" customFormat="1" ht="13.5" customHeight="1">
      <c r="A251" s="324" t="s">
        <v>1874</v>
      </c>
      <c r="B251" s="325" t="s">
        <v>324</v>
      </c>
      <c r="C251" s="325" t="s">
        <v>2055</v>
      </c>
      <c r="D251" s="325" t="s">
        <v>782</v>
      </c>
      <c r="E251" s="324" t="s">
        <v>783</v>
      </c>
      <c r="F251" s="324" t="s">
        <v>2055</v>
      </c>
      <c r="G251" s="324" t="s">
        <v>926</v>
      </c>
      <c r="H251" s="324" t="s">
        <v>1332</v>
      </c>
      <c r="I251" s="324" t="s">
        <v>1333</v>
      </c>
      <c r="J251" s="324" t="s">
        <v>940</v>
      </c>
      <c r="K251" s="324" t="s">
        <v>890</v>
      </c>
      <c r="L251" s="324" t="s">
        <v>891</v>
      </c>
      <c r="M251" s="324" t="s">
        <v>892</v>
      </c>
      <c r="N251" s="324" t="s">
        <v>893</v>
      </c>
      <c r="O251" s="324" t="s">
        <v>894</v>
      </c>
      <c r="P251" s="324" t="s">
        <v>935</v>
      </c>
      <c r="Q251" s="324" t="s">
        <v>1512</v>
      </c>
      <c r="R251" s="324" t="s">
        <v>1264</v>
      </c>
      <c r="S251" s="356" t="s">
        <v>895</v>
      </c>
      <c r="T251" s="309" t="s">
        <v>948</v>
      </c>
      <c r="U251" s="357" t="e">
        <f>VLOOKUP(D251,'SUIVI JOURNALIER AVRIL'!CK:CM,3,FALSE)</f>
        <v>#N/A</v>
      </c>
      <c r="V251" s="358" t="e">
        <f>IF(VLOOKUP('vs mars'!D251,'point sur les patentes'!B:E,4,FALSE)="","",VLOOKUP(D251,'point sur les patentes'!B:E,4,FALSE)+VLOOKUP(D251,'point sur les patentes'!B:F,5,FALSE)+VLOOKUP('vs mars'!D251,'point sur les patentes'!B:G,6,FALSE)+VLOOKUP('vs mars'!D251,'point sur les patentes'!B:H,7,FALSE)+VLOOKUP('vs mars'!D251,'point sur les patentes'!B:I,8,FALSE)+VLOOKUP(D251,'point sur les patentes'!B:J,9,FALSE)+VLOOKUP(D251,'point sur les patentes'!B:K,10,FALSE)+VLOOKUP(D251,'point sur les patentes'!B:L,11,FALSE)+VLOOKUP(D251,'point sur les patentes'!B:M,12,FALSE)+VLOOKUP(D251,'point sur les patentes'!B:N,13,FALSE)+VLOOKUP(D251,'point sur les patentes'!B:O,14,FALSE)+VLOOKUP(D251,'point sur les patentes'!B:P,15,FALSE)+VLOOKUP(D251,'point sur les patentes'!B:Q,16,FALSE)+VLOOKUP('vs mars'!D251,'point sur les patentes'!B:Z,25,FALSE))</f>
        <v>#N/A</v>
      </c>
      <c r="W251" s="340" t="e">
        <f>VLOOKUP(D251,'SUIVI JOURNALIER AVRIL'!B:J,9,FALSE)</f>
        <v>#N/A</v>
      </c>
      <c r="X251" s="340" t="e">
        <f>VLOOKUP(D251,'SUIVI JOURNALIER AVRIL'!B:P,14,FALSE)+VLOOKUP('vs mars'!D251,'SUIVI JOURNALIER AVRIL'!B:V,20,FALSE)+VLOOKUP('vs mars'!D251,'SUIVI JOURNALIER AVRIL'!B:W,21,FALSE)</f>
        <v>#N/A</v>
      </c>
      <c r="Y251" s="340" t="e">
        <f>VLOOKUP(D251,'SUIVI JOURNALIER AVRIL'!B:CC,80,FALSE)</f>
        <v>#N/A</v>
      </c>
      <c r="Z251" s="340" t="e">
        <f t="shared" si="6"/>
        <v>#N/A</v>
      </c>
      <c r="AA251" s="359" t="e">
        <f>VLOOKUP(D251,'SUIVI JOURNALIER AVRIL'!B:CD,81,FALSE)</f>
        <v>#N/A</v>
      </c>
      <c r="AB251" s="360" t="e">
        <f t="shared" si="7"/>
        <v>#N/A</v>
      </c>
      <c r="AC251" s="360" t="str">
        <f>VLOOKUP(B251,labo!B:D,3,FALSE)</f>
        <v>ug4</v>
      </c>
      <c r="AD251" s="360" t="s">
        <v>2629</v>
      </c>
      <c r="AF251" s="330" t="e">
        <f>VLOOKUP(D251,'SUIVI JOURNALIER AVRIL'!CK:CL,2,FALSE)</f>
        <v>#N/A</v>
      </c>
      <c r="AG251" s="360">
        <v>1</v>
      </c>
    </row>
    <row r="252" spans="1:33" s="360" customFormat="1" ht="13.5" customHeight="1">
      <c r="A252" s="324" t="s">
        <v>1875</v>
      </c>
      <c r="B252" s="325" t="s">
        <v>1818</v>
      </c>
      <c r="C252" s="325" t="s">
        <v>2055</v>
      </c>
      <c r="D252" s="325" t="s">
        <v>1819</v>
      </c>
      <c r="E252" s="324" t="s">
        <v>2093</v>
      </c>
      <c r="F252" s="324" t="s">
        <v>2055</v>
      </c>
      <c r="G252" s="324" t="s">
        <v>926</v>
      </c>
      <c r="H252" s="324" t="s">
        <v>897</v>
      </c>
      <c r="I252" s="324" t="s">
        <v>1102</v>
      </c>
      <c r="J252" s="324" t="s">
        <v>940</v>
      </c>
      <c r="K252" s="324" t="s">
        <v>890</v>
      </c>
      <c r="L252" s="324" t="s">
        <v>891</v>
      </c>
      <c r="M252" s="324" t="s">
        <v>892</v>
      </c>
      <c r="N252" s="324" t="s">
        <v>893</v>
      </c>
      <c r="O252" s="324" t="s">
        <v>963</v>
      </c>
      <c r="P252" s="324" t="s">
        <v>963</v>
      </c>
      <c r="Q252" s="324" t="s">
        <v>962</v>
      </c>
      <c r="R252" s="324" t="s">
        <v>1820</v>
      </c>
      <c r="S252" s="356" t="s">
        <v>895</v>
      </c>
      <c r="T252" s="309" t="s">
        <v>965</v>
      </c>
      <c r="U252" s="357">
        <f>VLOOKUP(D252,'SUIVI JOURNALIER AVRIL'!CK:CM,3,FALSE)</f>
        <v>0</v>
      </c>
      <c r="V252" s="358" t="e">
        <f>IF(VLOOKUP('vs mars'!D252,'point sur les patentes'!B:E,4,FALSE)="","",VLOOKUP(D252,'point sur les patentes'!B:E,4,FALSE)+VLOOKUP(D252,'point sur les patentes'!B:F,5,FALSE)+VLOOKUP('vs mars'!D252,'point sur les patentes'!B:G,6,FALSE)+VLOOKUP('vs mars'!D252,'point sur les patentes'!B:H,7,FALSE)+VLOOKUP('vs mars'!D252,'point sur les patentes'!B:I,8,FALSE)+VLOOKUP(D252,'point sur les patentes'!B:J,9,FALSE)+VLOOKUP(D252,'point sur les patentes'!B:K,10,FALSE)+VLOOKUP(D252,'point sur les patentes'!B:L,11,FALSE)+VLOOKUP(D252,'point sur les patentes'!B:M,12,FALSE)+VLOOKUP(D252,'point sur les patentes'!B:N,13,FALSE)+VLOOKUP(D252,'point sur les patentes'!B:O,14,FALSE)+VLOOKUP(D252,'point sur les patentes'!B:P,15,FALSE)+VLOOKUP(D252,'point sur les patentes'!B:Q,16,FALSE)+VLOOKUP('vs mars'!D252,'point sur les patentes'!B:Z,25,FALSE))</f>
        <v>#N/A</v>
      </c>
      <c r="W252" s="340">
        <f>VLOOKUP(D252,'SUIVI JOURNALIER AVRIL'!B:J,9,FALSE)</f>
        <v>0</v>
      </c>
      <c r="X252" s="340">
        <f>VLOOKUP(D252,'SUIVI JOURNALIER AVRIL'!B:P,14,FALSE)+VLOOKUP('vs mars'!D252,'SUIVI JOURNALIER AVRIL'!B:V,20,FALSE)+VLOOKUP('vs mars'!D252,'SUIVI JOURNALIER AVRIL'!B:W,21,FALSE)</f>
        <v>56237</v>
      </c>
      <c r="Y252" s="340">
        <f>VLOOKUP(D252,'SUIVI JOURNALIER AVRIL'!B:CC,80,FALSE)</f>
        <v>1365208.4545454546</v>
      </c>
      <c r="Z252" s="340">
        <f t="shared" si="6"/>
        <v>1421445.4545454546</v>
      </c>
      <c r="AA252" s="359">
        <f>VLOOKUP(D252,'SUIVI JOURNALIER AVRIL'!B:CD,81,FALSE)</f>
        <v>1421445.4545454546</v>
      </c>
      <c r="AB252" s="360" t="str">
        <f t="shared" si="7"/>
        <v>ok</v>
      </c>
      <c r="AC252" s="360" t="str">
        <f>VLOOKUP(B252,labo!B:D,3,FALSE)</f>
        <v>ug2</v>
      </c>
      <c r="AD252" s="360" t="s">
        <v>2629</v>
      </c>
      <c r="AF252" s="330">
        <f>VLOOKUP(D252,'SUIVI JOURNALIER AVRIL'!CK:CL,2,FALSE)</f>
        <v>0</v>
      </c>
      <c r="AG252" s="360">
        <v>1</v>
      </c>
    </row>
    <row r="253" spans="1:33" s="360" customFormat="1" ht="13.5" customHeight="1">
      <c r="A253" s="324" t="s">
        <v>1877</v>
      </c>
      <c r="B253" s="325" t="s">
        <v>377</v>
      </c>
      <c r="C253" s="325" t="s">
        <v>784</v>
      </c>
      <c r="D253" s="325" t="s">
        <v>785</v>
      </c>
      <c r="E253" s="324" t="s">
        <v>458</v>
      </c>
      <c r="F253" s="324" t="s">
        <v>2055</v>
      </c>
      <c r="G253" s="324" t="s">
        <v>926</v>
      </c>
      <c r="H253" s="324" t="s">
        <v>1334</v>
      </c>
      <c r="I253" s="324" t="s">
        <v>1335</v>
      </c>
      <c r="J253" s="324" t="s">
        <v>940</v>
      </c>
      <c r="K253" s="324" t="s">
        <v>890</v>
      </c>
      <c r="L253" s="324" t="s">
        <v>891</v>
      </c>
      <c r="M253" s="324" t="s">
        <v>892</v>
      </c>
      <c r="N253" s="324" t="s">
        <v>893</v>
      </c>
      <c r="O253" s="324" t="s">
        <v>894</v>
      </c>
      <c r="P253" s="324" t="s">
        <v>899</v>
      </c>
      <c r="Q253" s="324" t="s">
        <v>1021</v>
      </c>
      <c r="R253" s="324" t="s">
        <v>1336</v>
      </c>
      <c r="S253" s="356" t="s">
        <v>895</v>
      </c>
      <c r="T253" s="309" t="s">
        <v>1089</v>
      </c>
      <c r="U253" s="357" t="e">
        <f>VLOOKUP(D253,'SUIVI JOURNALIER AVRIL'!CK:CM,3,FALSE)</f>
        <v>#N/A</v>
      </c>
      <c r="V253" s="358" t="e">
        <f>IF(VLOOKUP('vs mars'!D253,'point sur les patentes'!B:E,4,FALSE)="","",VLOOKUP(D253,'point sur les patentes'!B:E,4,FALSE)+VLOOKUP(D253,'point sur les patentes'!B:F,5,FALSE)+VLOOKUP('vs mars'!D253,'point sur les patentes'!B:G,6,FALSE)+VLOOKUP('vs mars'!D253,'point sur les patentes'!B:H,7,FALSE)+VLOOKUP('vs mars'!D253,'point sur les patentes'!B:I,8,FALSE)+VLOOKUP(D253,'point sur les patentes'!B:J,9,FALSE)+VLOOKUP(D253,'point sur les patentes'!B:K,10,FALSE)+VLOOKUP(D253,'point sur les patentes'!B:L,11,FALSE)+VLOOKUP(D253,'point sur les patentes'!B:M,12,FALSE)+VLOOKUP(D253,'point sur les patentes'!B:N,13,FALSE)+VLOOKUP(D253,'point sur les patentes'!B:O,14,FALSE)+VLOOKUP(D253,'point sur les patentes'!B:P,15,FALSE)+VLOOKUP(D253,'point sur les patentes'!B:Q,16,FALSE)+VLOOKUP('vs mars'!D253,'point sur les patentes'!B:Z,25,FALSE))</f>
        <v>#N/A</v>
      </c>
      <c r="W253" s="340" t="e">
        <f>VLOOKUP(D253,'SUIVI JOURNALIER AVRIL'!B:J,9,FALSE)</f>
        <v>#N/A</v>
      </c>
      <c r="X253" s="340" t="e">
        <f>VLOOKUP(D253,'SUIVI JOURNALIER AVRIL'!B:P,14,FALSE)+VLOOKUP('vs mars'!D253,'SUIVI JOURNALIER AVRIL'!B:V,20,FALSE)+VLOOKUP('vs mars'!D253,'SUIVI JOURNALIER AVRIL'!B:W,21,FALSE)</f>
        <v>#N/A</v>
      </c>
      <c r="Y253" s="340" t="e">
        <f>VLOOKUP(D253,'SUIVI JOURNALIER AVRIL'!B:CC,80,FALSE)</f>
        <v>#N/A</v>
      </c>
      <c r="Z253" s="340" t="e">
        <f t="shared" si="6"/>
        <v>#N/A</v>
      </c>
      <c r="AA253" s="359" t="e">
        <f>VLOOKUP(D253,'SUIVI JOURNALIER AVRIL'!B:CD,81,FALSE)</f>
        <v>#N/A</v>
      </c>
      <c r="AB253" s="360" t="e">
        <f t="shared" si="7"/>
        <v>#N/A</v>
      </c>
      <c r="AC253" s="360" t="str">
        <f>VLOOKUP(B253,labo!B:D,3,FALSE)</f>
        <v>ug5</v>
      </c>
      <c r="AD253" s="360" t="s">
        <v>2629</v>
      </c>
      <c r="AF253" s="330" t="e">
        <f>VLOOKUP(D253,'SUIVI JOURNALIER AVRIL'!CK:CL,2,FALSE)</f>
        <v>#N/A</v>
      </c>
      <c r="AG253" s="360">
        <v>1</v>
      </c>
    </row>
    <row r="254" spans="1:33" s="360" customFormat="1" ht="13.5" customHeight="1">
      <c r="A254" s="324" t="s">
        <v>1878</v>
      </c>
      <c r="B254" s="325" t="s">
        <v>378</v>
      </c>
      <c r="C254" s="325" t="s">
        <v>1823</v>
      </c>
      <c r="D254" s="325" t="s">
        <v>786</v>
      </c>
      <c r="E254" s="324" t="s">
        <v>787</v>
      </c>
      <c r="F254" s="324" t="s">
        <v>2055</v>
      </c>
      <c r="G254" s="324" t="s">
        <v>926</v>
      </c>
      <c r="H254" s="324" t="s">
        <v>897</v>
      </c>
      <c r="I254" s="324" t="s">
        <v>1338</v>
      </c>
      <c r="J254" s="324" t="s">
        <v>889</v>
      </c>
      <c r="K254" s="324" t="s">
        <v>890</v>
      </c>
      <c r="L254" s="324" t="s">
        <v>891</v>
      </c>
      <c r="M254" s="324" t="s">
        <v>892</v>
      </c>
      <c r="N254" s="324" t="s">
        <v>893</v>
      </c>
      <c r="O254" s="324" t="s">
        <v>894</v>
      </c>
      <c r="P254" s="324" t="s">
        <v>899</v>
      </c>
      <c r="Q254" s="324" t="s">
        <v>1339</v>
      </c>
      <c r="R254" s="324" t="s">
        <v>1339</v>
      </c>
      <c r="S254" s="356" t="s">
        <v>895</v>
      </c>
      <c r="T254" s="309" t="s">
        <v>896</v>
      </c>
      <c r="U254" s="357" t="e">
        <f>VLOOKUP(D254,'SUIVI JOURNALIER AVRIL'!CK:CM,3,FALSE)</f>
        <v>#N/A</v>
      </c>
      <c r="V254" s="358">
        <f>IF(VLOOKUP('vs mars'!D254,'point sur les patentes'!B:E,4,FALSE)="","",VLOOKUP(D254,'point sur les patentes'!B:E,4,FALSE)+VLOOKUP(D254,'point sur les patentes'!B:F,5,FALSE)+VLOOKUP('vs mars'!D254,'point sur les patentes'!B:G,6,FALSE)+VLOOKUP('vs mars'!D254,'point sur les patentes'!B:H,7,FALSE)+VLOOKUP('vs mars'!D254,'point sur les patentes'!B:I,8,FALSE)+VLOOKUP(D254,'point sur les patentes'!B:J,9,FALSE)+VLOOKUP(D254,'point sur les patentes'!B:K,10,FALSE)+VLOOKUP(D254,'point sur les patentes'!B:L,11,FALSE)+VLOOKUP(D254,'point sur les patentes'!B:M,12,FALSE)+VLOOKUP(D254,'point sur les patentes'!B:N,13,FALSE)+VLOOKUP(D254,'point sur les patentes'!B:O,14,FALSE)+VLOOKUP(D254,'point sur les patentes'!B:P,15,FALSE)+VLOOKUP(D254,'point sur les patentes'!B:Q,16,FALSE)+VLOOKUP('vs mars'!D254,'point sur les patentes'!B:Z,25,FALSE))</f>
        <v>235115.00000000003</v>
      </c>
      <c r="W254" s="340" t="e">
        <f>VLOOKUP(D254,'SUIVI JOURNALIER AVRIL'!B:J,9,FALSE)</f>
        <v>#N/A</v>
      </c>
      <c r="X254" s="340" t="e">
        <f>VLOOKUP(D254,'SUIVI JOURNALIER AVRIL'!B:P,14,FALSE)+VLOOKUP('vs mars'!D254,'SUIVI JOURNALIER AVRIL'!B:V,20,FALSE)+VLOOKUP('vs mars'!D254,'SUIVI JOURNALIER AVRIL'!B:W,21,FALSE)</f>
        <v>#N/A</v>
      </c>
      <c r="Y254" s="340" t="e">
        <f>VLOOKUP(D254,'SUIVI JOURNALIER AVRIL'!B:CC,80,FALSE)</f>
        <v>#N/A</v>
      </c>
      <c r="Z254" s="340" t="e">
        <f t="shared" si="6"/>
        <v>#N/A</v>
      </c>
      <c r="AA254" s="359" t="e">
        <f>VLOOKUP(D254,'SUIVI JOURNALIER AVRIL'!B:CD,81,FALSE)</f>
        <v>#N/A</v>
      </c>
      <c r="AB254" s="360" t="e">
        <f t="shared" si="7"/>
        <v>#N/A</v>
      </c>
      <c r="AC254" s="360" t="str">
        <f>VLOOKUP(B254,labo!B:D,3,FALSE)</f>
        <v>ug4</v>
      </c>
      <c r="AD254" s="360" t="s">
        <v>2629</v>
      </c>
      <c r="AF254" s="330" t="e">
        <f>VLOOKUP(D254,'SUIVI JOURNALIER AVRIL'!CK:CL,2,FALSE)</f>
        <v>#N/A</v>
      </c>
      <c r="AG254" s="360">
        <v>1</v>
      </c>
    </row>
    <row r="255" spans="1:33" s="360" customFormat="1" ht="13.5" customHeight="1">
      <c r="A255" s="324" t="s">
        <v>1879</v>
      </c>
      <c r="B255" s="325" t="s">
        <v>2148</v>
      </c>
      <c r="C255" s="325" t="s">
        <v>2149</v>
      </c>
      <c r="D255" s="325" t="s">
        <v>2127</v>
      </c>
      <c r="E255" s="324" t="s">
        <v>2426</v>
      </c>
      <c r="F255" s="324" t="s">
        <v>2055</v>
      </c>
      <c r="G255" s="324" t="s">
        <v>926</v>
      </c>
      <c r="H255" s="324" t="s">
        <v>2055</v>
      </c>
      <c r="I255" s="324" t="s">
        <v>2055</v>
      </c>
      <c r="J255" s="324" t="s">
        <v>2559</v>
      </c>
      <c r="K255" s="324" t="s">
        <v>2405</v>
      </c>
      <c r="L255" s="324" t="s">
        <v>891</v>
      </c>
      <c r="M255" s="324" t="s">
        <v>892</v>
      </c>
      <c r="N255" s="324" t="s">
        <v>893</v>
      </c>
      <c r="O255" s="324" t="s">
        <v>894</v>
      </c>
      <c r="P255" s="324" t="s">
        <v>919</v>
      </c>
      <c r="Q255" s="324" t="s">
        <v>2560</v>
      </c>
      <c r="R255" s="324" t="s">
        <v>985</v>
      </c>
      <c r="S255" s="356" t="s">
        <v>895</v>
      </c>
      <c r="T255" s="309" t="s">
        <v>1082</v>
      </c>
      <c r="U255" s="357">
        <f>VLOOKUP(D255,'SUIVI JOURNALIER AVRIL'!CK:CM,3,FALSE)</f>
        <v>0</v>
      </c>
      <c r="V255" s="358" t="e">
        <f>IF(VLOOKUP('vs mars'!D255,'point sur les patentes'!B:E,4,FALSE)="","",VLOOKUP(D255,'point sur les patentes'!B:E,4,FALSE)+VLOOKUP(D255,'point sur les patentes'!B:F,5,FALSE)+VLOOKUP('vs mars'!D255,'point sur les patentes'!B:G,6,FALSE)+VLOOKUP('vs mars'!D255,'point sur les patentes'!B:H,7,FALSE)+VLOOKUP('vs mars'!D255,'point sur les patentes'!B:I,8,FALSE)+VLOOKUP(D255,'point sur les patentes'!B:J,9,FALSE)+VLOOKUP(D255,'point sur les patentes'!B:K,10,FALSE)+VLOOKUP(D255,'point sur les patentes'!B:L,11,FALSE)+VLOOKUP(D255,'point sur les patentes'!B:M,12,FALSE)+VLOOKUP(D255,'point sur les patentes'!B:N,13,FALSE)+VLOOKUP(D255,'point sur les patentes'!B:O,14,FALSE)+VLOOKUP(D255,'point sur les patentes'!B:P,15,FALSE)+VLOOKUP(D255,'point sur les patentes'!B:Q,16,FALSE)+VLOOKUP('vs mars'!D255,'point sur les patentes'!B:Z,25,FALSE))</f>
        <v>#N/A</v>
      </c>
      <c r="W255" s="340">
        <f>VLOOKUP(D255,'SUIVI JOURNALIER AVRIL'!B:J,9,FALSE)</f>
        <v>129763</v>
      </c>
      <c r="X255" s="340">
        <f>VLOOKUP(D255,'SUIVI JOURNALIER AVRIL'!B:P,14,FALSE)+VLOOKUP('vs mars'!D255,'SUIVI JOURNALIER AVRIL'!B:V,20,FALSE)+VLOOKUP('vs mars'!D255,'SUIVI JOURNALIER AVRIL'!B:W,21,FALSE)</f>
        <v>14830</v>
      </c>
      <c r="Y255" s="340">
        <f>VLOOKUP(D255,'SUIVI JOURNALIER AVRIL'!B:CC,80,FALSE)</f>
        <v>0</v>
      </c>
      <c r="Z255" s="340">
        <f t="shared" si="6"/>
        <v>144593</v>
      </c>
      <c r="AA255" s="359">
        <f>VLOOKUP(D255,'SUIVI JOURNALIER AVRIL'!B:CD,81,FALSE)</f>
        <v>144593</v>
      </c>
      <c r="AB255" s="360" t="str">
        <f t="shared" si="7"/>
        <v>ok</v>
      </c>
      <c r="AC255" s="360" t="str">
        <f>VLOOKUP(B255,labo!B:D,3,FALSE)</f>
        <v>ug5</v>
      </c>
      <c r="AD255" s="360" t="s">
        <v>2629</v>
      </c>
      <c r="AF255" s="330">
        <f>VLOOKUP(D255,'SUIVI JOURNALIER AVRIL'!CK:CL,2,FALSE)</f>
        <v>0</v>
      </c>
      <c r="AG255" s="360">
        <v>1</v>
      </c>
    </row>
    <row r="256" spans="1:33" s="360" customFormat="1" ht="13.5" customHeight="1">
      <c r="A256" s="324" t="s">
        <v>1880</v>
      </c>
      <c r="B256" s="325" t="s">
        <v>384</v>
      </c>
      <c r="C256" s="325" t="s">
        <v>788</v>
      </c>
      <c r="D256" s="325" t="s">
        <v>789</v>
      </c>
      <c r="E256" s="324" t="s">
        <v>432</v>
      </c>
      <c r="F256" s="324" t="s">
        <v>2055</v>
      </c>
      <c r="G256" s="324" t="s">
        <v>926</v>
      </c>
      <c r="H256" s="324" t="s">
        <v>1340</v>
      </c>
      <c r="I256" s="324" t="s">
        <v>1341</v>
      </c>
      <c r="J256" s="324" t="s">
        <v>940</v>
      </c>
      <c r="K256" s="324" t="s">
        <v>890</v>
      </c>
      <c r="L256" s="324" t="s">
        <v>891</v>
      </c>
      <c r="M256" s="324" t="s">
        <v>892</v>
      </c>
      <c r="N256" s="324" t="s">
        <v>905</v>
      </c>
      <c r="O256" s="324" t="s">
        <v>906</v>
      </c>
      <c r="P256" s="324" t="s">
        <v>906</v>
      </c>
      <c r="Q256" s="324" t="s">
        <v>956</v>
      </c>
      <c r="R256" s="324" t="s">
        <v>1342</v>
      </c>
      <c r="S256" s="356" t="s">
        <v>895</v>
      </c>
      <c r="T256" s="309" t="s">
        <v>1079</v>
      </c>
      <c r="U256" s="357">
        <f>VLOOKUP(D256,'SUIVI JOURNALIER AVRIL'!CK:CM,3,FALSE)</f>
        <v>0</v>
      </c>
      <c r="V256" s="358" t="e">
        <f>IF(VLOOKUP('vs mars'!D256,'point sur les patentes'!B:E,4,FALSE)="","",VLOOKUP(D256,'point sur les patentes'!B:E,4,FALSE)+VLOOKUP(D256,'point sur les patentes'!B:F,5,FALSE)+VLOOKUP('vs mars'!D256,'point sur les patentes'!B:G,6,FALSE)+VLOOKUP('vs mars'!D256,'point sur les patentes'!B:H,7,FALSE)+VLOOKUP('vs mars'!D256,'point sur les patentes'!B:I,8,FALSE)+VLOOKUP(D256,'point sur les patentes'!B:J,9,FALSE)+VLOOKUP(D256,'point sur les patentes'!B:K,10,FALSE)+VLOOKUP(D256,'point sur les patentes'!B:L,11,FALSE)+VLOOKUP(D256,'point sur les patentes'!B:M,12,FALSE)+VLOOKUP(D256,'point sur les patentes'!B:N,13,FALSE)+VLOOKUP(D256,'point sur les patentes'!B:O,14,FALSE)+VLOOKUP(D256,'point sur les patentes'!B:P,15,FALSE)+VLOOKUP(D256,'point sur les patentes'!B:Q,16,FALSE)+VLOOKUP('vs mars'!D256,'point sur les patentes'!B:Z,25,FALSE))</f>
        <v>#N/A</v>
      </c>
      <c r="W256" s="340">
        <f>VLOOKUP(D256,'SUIVI JOURNALIER AVRIL'!B:J,9,FALSE)</f>
        <v>312892</v>
      </c>
      <c r="X256" s="340">
        <f>VLOOKUP(D256,'SUIVI JOURNALIER AVRIL'!B:P,14,FALSE)+VLOOKUP('vs mars'!D256,'SUIVI JOURNALIER AVRIL'!B:V,20,FALSE)+VLOOKUP('vs mars'!D256,'SUIVI JOURNALIER AVRIL'!B:W,21,FALSE)</f>
        <v>398559</v>
      </c>
      <c r="Y256" s="340">
        <f>VLOOKUP(D256,'SUIVI JOURNALIER AVRIL'!B:CC,80,FALSE)</f>
        <v>262000</v>
      </c>
      <c r="Z256" s="340">
        <f t="shared" si="6"/>
        <v>973451</v>
      </c>
      <c r="AA256" s="359">
        <f>VLOOKUP(D256,'SUIVI JOURNALIER AVRIL'!B:CD,81,FALSE)</f>
        <v>973451</v>
      </c>
      <c r="AB256" s="360" t="str">
        <f t="shared" si="7"/>
        <v>ok</v>
      </c>
      <c r="AC256" s="360" t="str">
        <f>VLOOKUP(B256,labo!B:D,3,FALSE)</f>
        <v>ug2</v>
      </c>
      <c r="AD256" s="360" t="s">
        <v>2629</v>
      </c>
      <c r="AF256" s="330">
        <f>VLOOKUP(D256,'SUIVI JOURNALIER AVRIL'!CK:CL,2,FALSE)</f>
        <v>0</v>
      </c>
      <c r="AG256" s="360">
        <v>1</v>
      </c>
    </row>
    <row r="257" spans="1:33" s="360" customFormat="1" ht="13.5" customHeight="1">
      <c r="A257" s="324" t="s">
        <v>1318</v>
      </c>
      <c r="B257" s="325" t="s">
        <v>1552</v>
      </c>
      <c r="C257" s="325" t="s">
        <v>1564</v>
      </c>
      <c r="D257" s="325" t="s">
        <v>1553</v>
      </c>
      <c r="E257" s="324" t="s">
        <v>432</v>
      </c>
      <c r="F257" s="324" t="s">
        <v>2055</v>
      </c>
      <c r="G257" s="324" t="s">
        <v>926</v>
      </c>
      <c r="H257" s="324" t="s">
        <v>1826</v>
      </c>
      <c r="I257" s="324" t="s">
        <v>1827</v>
      </c>
      <c r="J257" s="324" t="s">
        <v>940</v>
      </c>
      <c r="K257" s="324" t="s">
        <v>890</v>
      </c>
      <c r="L257" s="324" t="s">
        <v>891</v>
      </c>
      <c r="M257" s="324" t="s">
        <v>892</v>
      </c>
      <c r="N257" s="324" t="s">
        <v>893</v>
      </c>
      <c r="O257" s="324" t="s">
        <v>894</v>
      </c>
      <c r="P257" s="324" t="s">
        <v>899</v>
      </c>
      <c r="Q257" s="324" t="s">
        <v>1280</v>
      </c>
      <c r="R257" s="324" t="s">
        <v>1554</v>
      </c>
      <c r="S257" s="356" t="s">
        <v>895</v>
      </c>
      <c r="T257" s="309" t="s">
        <v>1082</v>
      </c>
      <c r="U257" s="357" t="e">
        <f>VLOOKUP(D257,'SUIVI JOURNALIER AVRIL'!CK:CM,3,FALSE)</f>
        <v>#N/A</v>
      </c>
      <c r="V257" s="358" t="e">
        <f>IF(VLOOKUP('vs mars'!D257,'point sur les patentes'!B:E,4,FALSE)="","",VLOOKUP(D257,'point sur les patentes'!B:E,4,FALSE)+VLOOKUP(D257,'point sur les patentes'!B:F,5,FALSE)+VLOOKUP('vs mars'!D257,'point sur les patentes'!B:G,6,FALSE)+VLOOKUP('vs mars'!D257,'point sur les patentes'!B:H,7,FALSE)+VLOOKUP('vs mars'!D257,'point sur les patentes'!B:I,8,FALSE)+VLOOKUP(D257,'point sur les patentes'!B:J,9,FALSE)+VLOOKUP(D257,'point sur les patentes'!B:K,10,FALSE)+VLOOKUP(D257,'point sur les patentes'!B:L,11,FALSE)+VLOOKUP(D257,'point sur les patentes'!B:M,12,FALSE)+VLOOKUP(D257,'point sur les patentes'!B:N,13,FALSE)+VLOOKUP(D257,'point sur les patentes'!B:O,14,FALSE)+VLOOKUP(D257,'point sur les patentes'!B:P,15,FALSE)+VLOOKUP(D257,'point sur les patentes'!B:Q,16,FALSE)+VLOOKUP('vs mars'!D257,'point sur les patentes'!B:Z,25,FALSE))</f>
        <v>#N/A</v>
      </c>
      <c r="W257" s="340" t="e">
        <f>VLOOKUP(D257,'SUIVI JOURNALIER AVRIL'!B:J,9,FALSE)</f>
        <v>#N/A</v>
      </c>
      <c r="X257" s="340" t="e">
        <f>VLOOKUP(D257,'SUIVI JOURNALIER AVRIL'!B:P,14,FALSE)+VLOOKUP('vs mars'!D257,'SUIVI JOURNALIER AVRIL'!B:V,20,FALSE)+VLOOKUP('vs mars'!D257,'SUIVI JOURNALIER AVRIL'!B:W,21,FALSE)</f>
        <v>#N/A</v>
      </c>
      <c r="Y257" s="340" t="e">
        <f>VLOOKUP(D257,'SUIVI JOURNALIER AVRIL'!B:CC,80,FALSE)</f>
        <v>#N/A</v>
      </c>
      <c r="Z257" s="340" t="e">
        <f t="shared" si="6"/>
        <v>#N/A</v>
      </c>
      <c r="AA257" s="359" t="e">
        <f>VLOOKUP(D257,'SUIVI JOURNALIER AVRIL'!B:CD,81,FALSE)</f>
        <v>#N/A</v>
      </c>
      <c r="AB257" s="360" t="e">
        <f t="shared" si="7"/>
        <v>#N/A</v>
      </c>
      <c r="AC257" s="360" t="str">
        <f>VLOOKUP(B257,labo!B:D,3,FALSE)</f>
        <v>ug2</v>
      </c>
      <c r="AD257" s="360" t="s">
        <v>2629</v>
      </c>
      <c r="AF257" s="330" t="e">
        <f>VLOOKUP(D257,'SUIVI JOURNALIER AVRIL'!CK:CL,2,FALSE)</f>
        <v>#N/A</v>
      </c>
      <c r="AG257" s="360">
        <v>1</v>
      </c>
    </row>
    <row r="258" spans="1:33" s="360" customFormat="1" ht="13.5" customHeight="1">
      <c r="A258" s="324" t="s">
        <v>1881</v>
      </c>
      <c r="B258" s="325" t="s">
        <v>2132</v>
      </c>
      <c r="C258" s="325" t="s">
        <v>2055</v>
      </c>
      <c r="D258" s="325" t="s">
        <v>2142</v>
      </c>
      <c r="E258" s="324" t="s">
        <v>432</v>
      </c>
      <c r="F258" s="324" t="s">
        <v>2055</v>
      </c>
      <c r="G258" s="324" t="s">
        <v>926</v>
      </c>
      <c r="H258" s="324" t="s">
        <v>2055</v>
      </c>
      <c r="I258" s="324" t="s">
        <v>1926</v>
      </c>
      <c r="J258" s="324" t="s">
        <v>2427</v>
      </c>
      <c r="K258" s="324" t="s">
        <v>2405</v>
      </c>
      <c r="L258" s="324" t="s">
        <v>891</v>
      </c>
      <c r="M258" s="324" t="s">
        <v>892</v>
      </c>
      <c r="N258" s="324" t="s">
        <v>893</v>
      </c>
      <c r="O258" s="324" t="s">
        <v>894</v>
      </c>
      <c r="P258" s="324" t="s">
        <v>919</v>
      </c>
      <c r="Q258" s="324" t="s">
        <v>2276</v>
      </c>
      <c r="R258" s="324" t="s">
        <v>2055</v>
      </c>
      <c r="S258" s="356" t="s">
        <v>895</v>
      </c>
      <c r="T258" s="309" t="s">
        <v>999</v>
      </c>
      <c r="U258" s="357">
        <f>VLOOKUP(D258,'SUIVI JOURNALIER AVRIL'!CK:CM,3,FALSE)</f>
        <v>0</v>
      </c>
      <c r="V258" s="358" t="e">
        <f>IF(VLOOKUP('vs mars'!D258,'point sur les patentes'!B:E,4,FALSE)="","",VLOOKUP(D258,'point sur les patentes'!B:E,4,FALSE)+VLOOKUP(D258,'point sur les patentes'!B:F,5,FALSE)+VLOOKUP('vs mars'!D258,'point sur les patentes'!B:G,6,FALSE)+VLOOKUP('vs mars'!D258,'point sur les patentes'!B:H,7,FALSE)+VLOOKUP('vs mars'!D258,'point sur les patentes'!B:I,8,FALSE)+VLOOKUP(D258,'point sur les patentes'!B:J,9,FALSE)+VLOOKUP(D258,'point sur les patentes'!B:K,10,FALSE)+VLOOKUP(D258,'point sur les patentes'!B:L,11,FALSE)+VLOOKUP(D258,'point sur les patentes'!B:M,12,FALSE)+VLOOKUP(D258,'point sur les patentes'!B:N,13,FALSE)+VLOOKUP(D258,'point sur les patentes'!B:O,14,FALSE)+VLOOKUP(D258,'point sur les patentes'!B:P,15,FALSE)+VLOOKUP(D258,'point sur les patentes'!B:Q,16,FALSE)+VLOOKUP('vs mars'!D258,'point sur les patentes'!B:Z,25,FALSE))</f>
        <v>#N/A</v>
      </c>
      <c r="W258" s="340">
        <f>VLOOKUP(D258,'SUIVI JOURNALIER AVRIL'!B:J,9,FALSE)</f>
        <v>241250</v>
      </c>
      <c r="X258" s="340">
        <f>VLOOKUP(D258,'SUIVI JOURNALIER AVRIL'!B:P,14,FALSE)+VLOOKUP('vs mars'!D258,'SUIVI JOURNALIER AVRIL'!B:V,20,FALSE)+VLOOKUP('vs mars'!D258,'SUIVI JOURNALIER AVRIL'!B:W,21,FALSE)</f>
        <v>44065</v>
      </c>
      <c r="Y258" s="340">
        <f>VLOOKUP(D258,'SUIVI JOURNALIER AVRIL'!B:CC,80,FALSE)</f>
        <v>272272.27272727271</v>
      </c>
      <c r="Z258" s="340">
        <f t="shared" si="6"/>
        <v>557587.27272727271</v>
      </c>
      <c r="AA258" s="359">
        <f>VLOOKUP(D258,'SUIVI JOURNALIER AVRIL'!B:CD,81,FALSE)</f>
        <v>557587.27272727271</v>
      </c>
      <c r="AB258" s="360" t="str">
        <f t="shared" si="7"/>
        <v>ok</v>
      </c>
      <c r="AC258" s="360" t="str">
        <f>VLOOKUP(B258,labo!B:D,3,FALSE)</f>
        <v>ug2</v>
      </c>
      <c r="AD258" s="360" t="s">
        <v>2629</v>
      </c>
      <c r="AF258" s="330">
        <f>VLOOKUP(D258,'SUIVI JOURNALIER AVRIL'!CK:CL,2,FALSE)</f>
        <v>0</v>
      </c>
      <c r="AG258" s="360">
        <v>1</v>
      </c>
    </row>
    <row r="259" spans="1:33" s="360" customFormat="1" ht="13.5" customHeight="1">
      <c r="A259" s="324" t="s">
        <v>1882</v>
      </c>
      <c r="B259" s="325" t="s">
        <v>2354</v>
      </c>
      <c r="C259" s="325" t="s">
        <v>2561</v>
      </c>
      <c r="D259" s="325" t="s">
        <v>2562</v>
      </c>
      <c r="E259" s="324" t="s">
        <v>783</v>
      </c>
      <c r="F259" s="324" t="s">
        <v>2055</v>
      </c>
      <c r="G259" s="324" t="s">
        <v>926</v>
      </c>
      <c r="H259" s="324" t="s">
        <v>2055</v>
      </c>
      <c r="I259" s="324" t="s">
        <v>2055</v>
      </c>
      <c r="J259" s="324" t="s">
        <v>2427</v>
      </c>
      <c r="K259" s="324" t="s">
        <v>2405</v>
      </c>
      <c r="L259" s="324" t="s">
        <v>891</v>
      </c>
      <c r="M259" s="324" t="s">
        <v>892</v>
      </c>
      <c r="N259" s="324" t="s">
        <v>893</v>
      </c>
      <c r="O259" s="324" t="s">
        <v>894</v>
      </c>
      <c r="P259" s="324" t="s">
        <v>919</v>
      </c>
      <c r="Q259" s="324" t="s">
        <v>2055</v>
      </c>
      <c r="R259" s="324" t="s">
        <v>2055</v>
      </c>
      <c r="S259" s="356" t="s">
        <v>895</v>
      </c>
      <c r="T259" s="309" t="s">
        <v>999</v>
      </c>
      <c r="U259" s="357" t="e">
        <f>VLOOKUP(D259,'SUIVI JOURNALIER AVRIL'!CK:CM,3,FALSE)</f>
        <v>#N/A</v>
      </c>
      <c r="V259" s="358" t="e">
        <f>IF(VLOOKUP('vs mars'!D259,'point sur les patentes'!B:E,4,FALSE)="","",VLOOKUP(D259,'point sur les patentes'!B:E,4,FALSE)+VLOOKUP(D259,'point sur les patentes'!B:F,5,FALSE)+VLOOKUP('vs mars'!D259,'point sur les patentes'!B:G,6,FALSE)+VLOOKUP('vs mars'!D259,'point sur les patentes'!B:H,7,FALSE)+VLOOKUP('vs mars'!D259,'point sur les patentes'!B:I,8,FALSE)+VLOOKUP(D259,'point sur les patentes'!B:J,9,FALSE)+VLOOKUP(D259,'point sur les patentes'!B:K,10,FALSE)+VLOOKUP(D259,'point sur les patentes'!B:L,11,FALSE)+VLOOKUP(D259,'point sur les patentes'!B:M,12,FALSE)+VLOOKUP(D259,'point sur les patentes'!B:N,13,FALSE)+VLOOKUP(D259,'point sur les patentes'!B:O,14,FALSE)+VLOOKUP(D259,'point sur les patentes'!B:P,15,FALSE)+VLOOKUP(D259,'point sur les patentes'!B:Q,16,FALSE)+VLOOKUP('vs mars'!D259,'point sur les patentes'!B:Z,25,FALSE))</f>
        <v>#N/A</v>
      </c>
      <c r="W259" s="340" t="e">
        <f>VLOOKUP(D259,'SUIVI JOURNALIER AVRIL'!B:J,9,FALSE)</f>
        <v>#N/A</v>
      </c>
      <c r="X259" s="340" t="e">
        <f>VLOOKUP(D259,'SUIVI JOURNALIER AVRIL'!B:P,14,FALSE)+VLOOKUP('vs mars'!D259,'SUIVI JOURNALIER AVRIL'!B:V,20,FALSE)+VLOOKUP('vs mars'!D259,'SUIVI JOURNALIER AVRIL'!B:W,21,FALSE)</f>
        <v>#N/A</v>
      </c>
      <c r="Y259" s="340" t="e">
        <f>VLOOKUP(D259,'SUIVI JOURNALIER AVRIL'!B:CC,80,FALSE)</f>
        <v>#N/A</v>
      </c>
      <c r="Z259" s="340" t="e">
        <f t="shared" si="6"/>
        <v>#N/A</v>
      </c>
      <c r="AA259" s="359" t="e">
        <f>VLOOKUP(D259,'SUIVI JOURNALIER AVRIL'!B:CD,81,FALSE)</f>
        <v>#N/A</v>
      </c>
      <c r="AB259" s="360" t="e">
        <f t="shared" si="7"/>
        <v>#N/A</v>
      </c>
      <c r="AC259" s="360" t="str">
        <f>VLOOKUP(B259,labo!B:D,3,FALSE)</f>
        <v>ug4</v>
      </c>
      <c r="AD259" s="360" t="s">
        <v>2630</v>
      </c>
      <c r="AF259" s="330" t="e">
        <f>VLOOKUP(D259,'SUIVI JOURNALIER AVRIL'!CK:CL,2,FALSE)</f>
        <v>#N/A</v>
      </c>
      <c r="AG259" s="360">
        <v>1</v>
      </c>
    </row>
    <row r="260" spans="1:33" s="360" customFormat="1" ht="13.5" customHeight="1">
      <c r="A260" s="324" t="s">
        <v>917</v>
      </c>
      <c r="B260" s="325" t="s">
        <v>2355</v>
      </c>
      <c r="C260" s="325" t="s">
        <v>2563</v>
      </c>
      <c r="D260" s="325" t="s">
        <v>2564</v>
      </c>
      <c r="E260" s="324" t="s">
        <v>2565</v>
      </c>
      <c r="F260" s="324" t="s">
        <v>2055</v>
      </c>
      <c r="G260" s="324" t="s">
        <v>926</v>
      </c>
      <c r="H260" s="324" t="s">
        <v>2055</v>
      </c>
      <c r="I260" s="324" t="s">
        <v>2566</v>
      </c>
      <c r="J260" s="324" t="s">
        <v>2427</v>
      </c>
      <c r="K260" s="324" t="s">
        <v>2405</v>
      </c>
      <c r="L260" s="324" t="s">
        <v>891</v>
      </c>
      <c r="M260" s="324" t="s">
        <v>892</v>
      </c>
      <c r="N260" s="324" t="s">
        <v>893</v>
      </c>
      <c r="O260" s="324" t="s">
        <v>894</v>
      </c>
      <c r="P260" s="324" t="s">
        <v>919</v>
      </c>
      <c r="Q260" s="324" t="s">
        <v>2567</v>
      </c>
      <c r="R260" s="324" t="s">
        <v>2055</v>
      </c>
      <c r="S260" s="356" t="s">
        <v>895</v>
      </c>
      <c r="T260" s="309" t="s">
        <v>999</v>
      </c>
      <c r="U260" s="357">
        <f>VLOOKUP(D260,'SUIVI JOURNALIER AVRIL'!CK:CM,3,FALSE)</f>
        <v>0</v>
      </c>
      <c r="V260" s="358" t="e">
        <f>IF(VLOOKUP('vs mars'!D260,'point sur les patentes'!B:E,4,FALSE)="","",VLOOKUP(D260,'point sur les patentes'!B:E,4,FALSE)+VLOOKUP(D260,'point sur les patentes'!B:F,5,FALSE)+VLOOKUP('vs mars'!D260,'point sur les patentes'!B:G,6,FALSE)+VLOOKUP('vs mars'!D260,'point sur les patentes'!B:H,7,FALSE)+VLOOKUP('vs mars'!D260,'point sur les patentes'!B:I,8,FALSE)+VLOOKUP(D260,'point sur les patentes'!B:J,9,FALSE)+VLOOKUP(D260,'point sur les patentes'!B:K,10,FALSE)+VLOOKUP(D260,'point sur les patentes'!B:L,11,FALSE)+VLOOKUP(D260,'point sur les patentes'!B:M,12,FALSE)+VLOOKUP(D260,'point sur les patentes'!B:N,13,FALSE)+VLOOKUP(D260,'point sur les patentes'!B:O,14,FALSE)+VLOOKUP(D260,'point sur les patentes'!B:P,15,FALSE)+VLOOKUP(D260,'point sur les patentes'!B:Q,16,FALSE)+VLOOKUP('vs mars'!D260,'point sur les patentes'!B:Z,25,FALSE))</f>
        <v>#N/A</v>
      </c>
      <c r="W260" s="340">
        <f>VLOOKUP(D260,'SUIVI JOURNALIER AVRIL'!B:J,9,FALSE)</f>
        <v>4724</v>
      </c>
      <c r="X260" s="340">
        <f>VLOOKUP(D260,'SUIVI JOURNALIER AVRIL'!B:P,14,FALSE)+VLOOKUP('vs mars'!D260,'SUIVI JOURNALIER AVRIL'!B:V,20,FALSE)+VLOOKUP('vs mars'!D260,'SUIVI JOURNALIER AVRIL'!B:W,21,FALSE)</f>
        <v>24546</v>
      </c>
      <c r="Y260" s="340">
        <f>VLOOKUP(D260,'SUIVI JOURNALIER AVRIL'!B:CC,80,FALSE)</f>
        <v>122457.09090909091</v>
      </c>
      <c r="Z260" s="340">
        <f t="shared" ref="Z260:Z323" si="8">W260+X260+Y260</f>
        <v>151727.09090909091</v>
      </c>
      <c r="AA260" s="359">
        <f>VLOOKUP(D260,'SUIVI JOURNALIER AVRIL'!B:CD,81,FALSE)</f>
        <v>151727.09090909091</v>
      </c>
      <c r="AB260" s="360" t="str">
        <f t="shared" ref="AB260:AB323" si="9">IF(Z260=AA260,"ok","revoir")</f>
        <v>ok</v>
      </c>
      <c r="AC260" s="360" t="str">
        <f>VLOOKUP(B260,labo!B:D,3,FALSE)</f>
        <v>ug3</v>
      </c>
      <c r="AD260" s="360" t="s">
        <v>2630</v>
      </c>
      <c r="AF260" s="330">
        <f>VLOOKUP(D260,'SUIVI JOURNALIER AVRIL'!CK:CL,2,FALSE)</f>
        <v>0</v>
      </c>
      <c r="AG260" s="360">
        <v>1</v>
      </c>
    </row>
    <row r="261" spans="1:33" s="360" customFormat="1" ht="13.5" customHeight="1">
      <c r="A261" s="324" t="s">
        <v>1883</v>
      </c>
      <c r="B261" s="325" t="s">
        <v>790</v>
      </c>
      <c r="C261" s="325" t="s">
        <v>791</v>
      </c>
      <c r="D261" s="325" t="s">
        <v>792</v>
      </c>
      <c r="E261" s="324" t="s">
        <v>458</v>
      </c>
      <c r="F261" s="324" t="s">
        <v>2055</v>
      </c>
      <c r="G261" s="324" t="s">
        <v>926</v>
      </c>
      <c r="H261" s="324" t="s">
        <v>1343</v>
      </c>
      <c r="I261" s="324" t="s">
        <v>1344</v>
      </c>
      <c r="J261" s="324" t="s">
        <v>940</v>
      </c>
      <c r="K261" s="324" t="s">
        <v>890</v>
      </c>
      <c r="L261" s="324" t="s">
        <v>891</v>
      </c>
      <c r="M261" s="324" t="s">
        <v>892</v>
      </c>
      <c r="N261" s="324" t="s">
        <v>893</v>
      </c>
      <c r="O261" s="324" t="s">
        <v>894</v>
      </c>
      <c r="P261" s="324" t="s">
        <v>899</v>
      </c>
      <c r="Q261" s="324" t="s">
        <v>1345</v>
      </c>
      <c r="R261" s="324" t="s">
        <v>936</v>
      </c>
      <c r="S261" s="356" t="s">
        <v>895</v>
      </c>
      <c r="T261" s="309" t="s">
        <v>977</v>
      </c>
      <c r="U261" s="357">
        <f>VLOOKUP(D261,'SUIVI JOURNALIER AVRIL'!CK:CM,3,FALSE)</f>
        <v>27701308</v>
      </c>
      <c r="V261" s="358" t="e">
        <f>IF(VLOOKUP('vs mars'!D261,'point sur les patentes'!B:E,4,FALSE)="","",VLOOKUP(D261,'point sur les patentes'!B:E,4,FALSE)+VLOOKUP(D261,'point sur les patentes'!B:F,5,FALSE)+VLOOKUP('vs mars'!D261,'point sur les patentes'!B:G,6,FALSE)+VLOOKUP('vs mars'!D261,'point sur les patentes'!B:H,7,FALSE)+VLOOKUP('vs mars'!D261,'point sur les patentes'!B:I,8,FALSE)+VLOOKUP(D261,'point sur les patentes'!B:J,9,FALSE)+VLOOKUP(D261,'point sur les patentes'!B:K,10,FALSE)+VLOOKUP(D261,'point sur les patentes'!B:L,11,FALSE)+VLOOKUP(D261,'point sur les patentes'!B:M,12,FALSE)+VLOOKUP(D261,'point sur les patentes'!B:N,13,FALSE)+VLOOKUP(D261,'point sur les patentes'!B:O,14,FALSE)+VLOOKUP(D261,'point sur les patentes'!B:P,15,FALSE)+VLOOKUP(D261,'point sur les patentes'!B:Q,16,FALSE)+VLOOKUP('vs mars'!D261,'point sur les patentes'!B:Z,25,FALSE))</f>
        <v>#N/A</v>
      </c>
      <c r="W261" s="340">
        <f>VLOOKUP(D261,'SUIVI JOURNALIER AVRIL'!B:J,9,FALSE)</f>
        <v>0</v>
      </c>
      <c r="X261" s="340">
        <f>VLOOKUP(D261,'SUIVI JOURNALIER AVRIL'!B:P,14,FALSE)+VLOOKUP('vs mars'!D261,'SUIVI JOURNALIER AVRIL'!B:V,20,FALSE)+VLOOKUP('vs mars'!D261,'SUIVI JOURNALIER AVRIL'!B:W,21,FALSE)</f>
        <v>0</v>
      </c>
      <c r="Y261" s="340">
        <f>VLOOKUP(D261,'SUIVI JOURNALIER AVRIL'!B:CC,80,FALSE)</f>
        <v>2462429</v>
      </c>
      <c r="Z261" s="340">
        <f t="shared" si="8"/>
        <v>2462429</v>
      </c>
      <c r="AA261" s="359">
        <f>VLOOKUP(D261,'SUIVI JOURNALIER AVRIL'!B:CD,81,FALSE)</f>
        <v>2462429</v>
      </c>
      <c r="AB261" s="360" t="str">
        <f t="shared" si="9"/>
        <v>ok</v>
      </c>
      <c r="AC261" s="360" t="str">
        <f>VLOOKUP(B261,labo!B:D,3,FALSE)</f>
        <v>ug4</v>
      </c>
      <c r="AD261" s="360" t="s">
        <v>2629</v>
      </c>
      <c r="AF261" s="330">
        <f>VLOOKUP(D261,'SUIVI JOURNALIER AVRIL'!CK:CL,2,FALSE)</f>
        <v>0</v>
      </c>
      <c r="AG261" s="360">
        <v>1</v>
      </c>
    </row>
    <row r="262" spans="1:33" s="360" customFormat="1" ht="13.5" customHeight="1">
      <c r="A262" s="324" t="s">
        <v>1884</v>
      </c>
      <c r="B262" s="325" t="s">
        <v>277</v>
      </c>
      <c r="C262" s="325" t="s">
        <v>793</v>
      </c>
      <c r="D262" s="325" t="s">
        <v>794</v>
      </c>
      <c r="E262" s="324" t="s">
        <v>413</v>
      </c>
      <c r="F262" s="324" t="s">
        <v>2055</v>
      </c>
      <c r="G262" s="324" t="s">
        <v>926</v>
      </c>
      <c r="H262" s="324" t="s">
        <v>897</v>
      </c>
      <c r="I262" s="324" t="s">
        <v>922</v>
      </c>
      <c r="J262" s="324" t="s">
        <v>940</v>
      </c>
      <c r="K262" s="324" t="s">
        <v>890</v>
      </c>
      <c r="L262" s="324" t="s">
        <v>891</v>
      </c>
      <c r="M262" s="324" t="s">
        <v>892</v>
      </c>
      <c r="N262" s="324" t="s">
        <v>893</v>
      </c>
      <c r="O262" s="324" t="s">
        <v>894</v>
      </c>
      <c r="P262" s="324" t="s">
        <v>1035</v>
      </c>
      <c r="Q262" s="324" t="s">
        <v>1035</v>
      </c>
      <c r="R262" s="324" t="s">
        <v>1346</v>
      </c>
      <c r="S262" s="356" t="s">
        <v>895</v>
      </c>
      <c r="T262" s="309" t="s">
        <v>1082</v>
      </c>
      <c r="U262" s="357">
        <f>VLOOKUP(D262,'SUIVI JOURNALIER AVRIL'!CK:CM,3,FALSE)</f>
        <v>0</v>
      </c>
      <c r="V262" s="358" t="e">
        <f>IF(VLOOKUP('vs mars'!D262,'point sur les patentes'!B:E,4,FALSE)="","",VLOOKUP(D262,'point sur les patentes'!B:E,4,FALSE)+VLOOKUP(D262,'point sur les patentes'!B:F,5,FALSE)+VLOOKUP('vs mars'!D262,'point sur les patentes'!B:G,6,FALSE)+VLOOKUP('vs mars'!D262,'point sur les patentes'!B:H,7,FALSE)+VLOOKUP('vs mars'!D262,'point sur les patentes'!B:I,8,FALSE)+VLOOKUP(D262,'point sur les patentes'!B:J,9,FALSE)+VLOOKUP(D262,'point sur les patentes'!B:K,10,FALSE)+VLOOKUP(D262,'point sur les patentes'!B:L,11,FALSE)+VLOOKUP(D262,'point sur les patentes'!B:M,12,FALSE)+VLOOKUP(D262,'point sur les patentes'!B:N,13,FALSE)+VLOOKUP(D262,'point sur les patentes'!B:O,14,FALSE)+VLOOKUP(D262,'point sur les patentes'!B:P,15,FALSE)+VLOOKUP(D262,'point sur les patentes'!B:Q,16,FALSE)+VLOOKUP('vs mars'!D262,'point sur les patentes'!B:Z,25,FALSE))</f>
        <v>#N/A</v>
      </c>
      <c r="W262" s="340">
        <f>VLOOKUP(D262,'SUIVI JOURNALIER AVRIL'!B:J,9,FALSE)</f>
        <v>97125</v>
      </c>
      <c r="X262" s="340">
        <f>VLOOKUP(D262,'SUIVI JOURNALIER AVRIL'!B:P,14,FALSE)+VLOOKUP('vs mars'!D262,'SUIVI JOURNALIER AVRIL'!B:V,20,FALSE)+VLOOKUP('vs mars'!D262,'SUIVI JOURNALIER AVRIL'!B:W,21,FALSE)</f>
        <v>11100</v>
      </c>
      <c r="Y262" s="340">
        <f>VLOOKUP(D262,'SUIVI JOURNALIER AVRIL'!B:CC,80,FALSE)</f>
        <v>0</v>
      </c>
      <c r="Z262" s="340">
        <f t="shared" si="8"/>
        <v>108225</v>
      </c>
      <c r="AA262" s="359">
        <f>VLOOKUP(D262,'SUIVI JOURNALIER AVRIL'!B:CD,81,FALSE)</f>
        <v>108225</v>
      </c>
      <c r="AB262" s="360" t="str">
        <f t="shared" si="9"/>
        <v>ok</v>
      </c>
      <c r="AC262" s="360" t="str">
        <f>VLOOKUP(B262,labo!B:D,3,FALSE)</f>
        <v>ug4</v>
      </c>
      <c r="AD262" s="360" t="s">
        <v>2629</v>
      </c>
      <c r="AF262" s="330">
        <f>VLOOKUP(D262,'SUIVI JOURNALIER AVRIL'!CK:CL,2,FALSE)</f>
        <v>0</v>
      </c>
      <c r="AG262" s="360">
        <v>1</v>
      </c>
    </row>
    <row r="263" spans="1:33" s="360" customFormat="1" ht="13.5" customHeight="1">
      <c r="A263" s="324" t="s">
        <v>1885</v>
      </c>
      <c r="B263" s="325" t="s">
        <v>2253</v>
      </c>
      <c r="C263" s="325" t="s">
        <v>2055</v>
      </c>
      <c r="D263" s="325" t="s">
        <v>2254</v>
      </c>
      <c r="E263" s="324" t="s">
        <v>432</v>
      </c>
      <c r="F263" s="324" t="s">
        <v>2055</v>
      </c>
      <c r="G263" s="324" t="s">
        <v>887</v>
      </c>
      <c r="H263" s="324" t="s">
        <v>897</v>
      </c>
      <c r="I263" s="324" t="s">
        <v>2255</v>
      </c>
      <c r="J263" s="324" t="s">
        <v>940</v>
      </c>
      <c r="K263" s="324" t="s">
        <v>890</v>
      </c>
      <c r="L263" s="324" t="s">
        <v>891</v>
      </c>
      <c r="M263" s="324" t="s">
        <v>892</v>
      </c>
      <c r="N263" s="324" t="s">
        <v>893</v>
      </c>
      <c r="O263" s="324" t="s">
        <v>894</v>
      </c>
      <c r="P263" s="324" t="s">
        <v>935</v>
      </c>
      <c r="Q263" s="324" t="s">
        <v>2256</v>
      </c>
      <c r="R263" s="324" t="s">
        <v>2257</v>
      </c>
      <c r="S263" s="356" t="s">
        <v>895</v>
      </c>
      <c r="T263" s="309" t="s">
        <v>944</v>
      </c>
      <c r="U263" s="357" t="e">
        <f>VLOOKUP(D263,'SUIVI JOURNALIER AVRIL'!CK:CM,3,FALSE)</f>
        <v>#N/A</v>
      </c>
      <c r="V263" s="358" t="e">
        <f>IF(VLOOKUP('vs mars'!D263,'point sur les patentes'!B:E,4,FALSE)="","",VLOOKUP(D263,'point sur les patentes'!B:E,4,FALSE)+VLOOKUP(D263,'point sur les patentes'!B:F,5,FALSE)+VLOOKUP('vs mars'!D263,'point sur les patentes'!B:G,6,FALSE)+VLOOKUP('vs mars'!D263,'point sur les patentes'!B:H,7,FALSE)+VLOOKUP('vs mars'!D263,'point sur les patentes'!B:I,8,FALSE)+VLOOKUP(D263,'point sur les patentes'!B:J,9,FALSE)+VLOOKUP(D263,'point sur les patentes'!B:K,10,FALSE)+VLOOKUP(D263,'point sur les patentes'!B:L,11,FALSE)+VLOOKUP(D263,'point sur les patentes'!B:M,12,FALSE)+VLOOKUP(D263,'point sur les patentes'!B:N,13,FALSE)+VLOOKUP(D263,'point sur les patentes'!B:O,14,FALSE)+VLOOKUP(D263,'point sur les patentes'!B:P,15,FALSE)+VLOOKUP(D263,'point sur les patentes'!B:Q,16,FALSE)+VLOOKUP('vs mars'!D263,'point sur les patentes'!B:Z,25,FALSE))</f>
        <v>#N/A</v>
      </c>
      <c r="W263" s="340" t="e">
        <f>VLOOKUP(D263,'SUIVI JOURNALIER AVRIL'!B:J,9,FALSE)</f>
        <v>#N/A</v>
      </c>
      <c r="X263" s="340" t="e">
        <f>VLOOKUP(D263,'SUIVI JOURNALIER AVRIL'!B:P,14,FALSE)+VLOOKUP('vs mars'!D263,'SUIVI JOURNALIER AVRIL'!B:V,20,FALSE)+VLOOKUP('vs mars'!D263,'SUIVI JOURNALIER AVRIL'!B:W,21,FALSE)</f>
        <v>#N/A</v>
      </c>
      <c r="Y263" s="340" t="e">
        <f>VLOOKUP(D263,'SUIVI JOURNALIER AVRIL'!B:CC,80,FALSE)</f>
        <v>#N/A</v>
      </c>
      <c r="Z263" s="340" t="e">
        <f t="shared" si="8"/>
        <v>#N/A</v>
      </c>
      <c r="AA263" s="359" t="e">
        <f>VLOOKUP(D263,'SUIVI JOURNALIER AVRIL'!B:CD,81,FALSE)</f>
        <v>#N/A</v>
      </c>
      <c r="AB263" s="360" t="e">
        <f t="shared" si="9"/>
        <v>#N/A</v>
      </c>
      <c r="AC263" s="360" t="str">
        <f>VLOOKUP(B263,labo!B:D,3,FALSE)</f>
        <v>ug2</v>
      </c>
      <c r="AD263" s="360" t="s">
        <v>2629</v>
      </c>
      <c r="AF263" s="330" t="e">
        <f>VLOOKUP(D263,'SUIVI JOURNALIER AVRIL'!CK:CL,2,FALSE)</f>
        <v>#N/A</v>
      </c>
      <c r="AG263" s="360">
        <v>1</v>
      </c>
    </row>
    <row r="264" spans="1:33" s="360" customFormat="1" ht="13.5" customHeight="1">
      <c r="A264" s="324" t="s">
        <v>1886</v>
      </c>
      <c r="B264" s="325" t="s">
        <v>2259</v>
      </c>
      <c r="C264" s="325" t="s">
        <v>2055</v>
      </c>
      <c r="D264" s="325" t="s">
        <v>2260</v>
      </c>
      <c r="E264" s="324" t="s">
        <v>2261</v>
      </c>
      <c r="F264" s="324" t="s">
        <v>2055</v>
      </c>
      <c r="G264" s="324" t="s">
        <v>926</v>
      </c>
      <c r="H264" s="324" t="s">
        <v>897</v>
      </c>
      <c r="I264" s="324" t="s">
        <v>1144</v>
      </c>
      <c r="J264" s="324" t="s">
        <v>889</v>
      </c>
      <c r="K264" s="324" t="s">
        <v>890</v>
      </c>
      <c r="L264" s="324" t="s">
        <v>891</v>
      </c>
      <c r="M264" s="324" t="s">
        <v>892</v>
      </c>
      <c r="N264" s="324" t="s">
        <v>893</v>
      </c>
      <c r="O264" s="324" t="s">
        <v>894</v>
      </c>
      <c r="P264" s="324" t="s">
        <v>899</v>
      </c>
      <c r="Q264" s="324" t="s">
        <v>985</v>
      </c>
      <c r="R264" s="324" t="s">
        <v>1103</v>
      </c>
      <c r="S264" s="356" t="s">
        <v>895</v>
      </c>
      <c r="T264" s="309" t="s">
        <v>944</v>
      </c>
      <c r="U264" s="357">
        <f>VLOOKUP(D264,'SUIVI JOURNALIER AVRIL'!CK:CM,3,FALSE)</f>
        <v>0</v>
      </c>
      <c r="V264" s="358" t="e">
        <f>IF(VLOOKUP('vs mars'!D264,'point sur les patentes'!B:E,4,FALSE)="","",VLOOKUP(D264,'point sur les patentes'!B:E,4,FALSE)+VLOOKUP(D264,'point sur les patentes'!B:F,5,FALSE)+VLOOKUP('vs mars'!D264,'point sur les patentes'!B:G,6,FALSE)+VLOOKUP('vs mars'!D264,'point sur les patentes'!B:H,7,FALSE)+VLOOKUP('vs mars'!D264,'point sur les patentes'!B:I,8,FALSE)+VLOOKUP(D264,'point sur les patentes'!B:J,9,FALSE)+VLOOKUP(D264,'point sur les patentes'!B:K,10,FALSE)+VLOOKUP(D264,'point sur les patentes'!B:L,11,FALSE)+VLOOKUP(D264,'point sur les patentes'!B:M,12,FALSE)+VLOOKUP(D264,'point sur les patentes'!B:N,13,FALSE)+VLOOKUP(D264,'point sur les patentes'!B:O,14,FALSE)+VLOOKUP(D264,'point sur les patentes'!B:P,15,FALSE)+VLOOKUP(D264,'point sur les patentes'!B:Q,16,FALSE)+VLOOKUP('vs mars'!D264,'point sur les patentes'!B:Z,25,FALSE))</f>
        <v>#N/A</v>
      </c>
      <c r="W264" s="340">
        <f>VLOOKUP(D264,'SUIVI JOURNALIER AVRIL'!B:J,9,FALSE)</f>
        <v>486460</v>
      </c>
      <c r="X264" s="340">
        <f>VLOOKUP(D264,'SUIVI JOURNALIER AVRIL'!B:P,14,FALSE)+VLOOKUP('vs mars'!D264,'SUIVI JOURNALIER AVRIL'!B:V,20,FALSE)+VLOOKUP('vs mars'!D264,'SUIVI JOURNALIER AVRIL'!B:W,21,FALSE)</f>
        <v>389168</v>
      </c>
      <c r="Y264" s="340">
        <f>VLOOKUP(D264,'SUIVI JOURNALIER AVRIL'!B:CC,80,FALSE)</f>
        <v>1644579</v>
      </c>
      <c r="Z264" s="340">
        <f t="shared" si="8"/>
        <v>2520207</v>
      </c>
      <c r="AA264" s="359">
        <f>VLOOKUP(D264,'SUIVI JOURNALIER AVRIL'!B:CD,81,FALSE)</f>
        <v>2520207</v>
      </c>
      <c r="AB264" s="360" t="str">
        <f t="shared" si="9"/>
        <v>ok</v>
      </c>
      <c r="AC264" s="360" t="str">
        <f>VLOOKUP(B264,labo!B:D,3,FALSE)</f>
        <v>ug2</v>
      </c>
      <c r="AD264" s="360" t="s">
        <v>2629</v>
      </c>
      <c r="AF264" s="330">
        <f>VLOOKUP(D264,'SUIVI JOURNALIER AVRIL'!CK:CL,2,FALSE)</f>
        <v>0</v>
      </c>
      <c r="AG264" s="360">
        <v>1</v>
      </c>
    </row>
    <row r="265" spans="1:33" s="360" customFormat="1" ht="13.5" customHeight="1">
      <c r="A265" s="324" t="s">
        <v>1887</v>
      </c>
      <c r="B265" s="325" t="s">
        <v>325</v>
      </c>
      <c r="C265" s="325" t="s">
        <v>2055</v>
      </c>
      <c r="D265" s="325" t="s">
        <v>795</v>
      </c>
      <c r="E265" s="324" t="s">
        <v>458</v>
      </c>
      <c r="F265" s="324" t="s">
        <v>2055</v>
      </c>
      <c r="G265" s="324" t="s">
        <v>926</v>
      </c>
      <c r="H265" s="324" t="s">
        <v>1347</v>
      </c>
      <c r="I265" s="324" t="s">
        <v>1348</v>
      </c>
      <c r="J265" s="324" t="s">
        <v>940</v>
      </c>
      <c r="K265" s="324" t="s">
        <v>890</v>
      </c>
      <c r="L265" s="324" t="s">
        <v>891</v>
      </c>
      <c r="M265" s="324" t="s">
        <v>892</v>
      </c>
      <c r="N265" s="324" t="s">
        <v>893</v>
      </c>
      <c r="O265" s="324" t="s">
        <v>894</v>
      </c>
      <c r="P265" s="324" t="s">
        <v>899</v>
      </c>
      <c r="Q265" s="324" t="s">
        <v>1021</v>
      </c>
      <c r="R265" s="324" t="s">
        <v>1349</v>
      </c>
      <c r="S265" s="356" t="s">
        <v>895</v>
      </c>
      <c r="T265" s="309" t="s">
        <v>999</v>
      </c>
      <c r="U265" s="357" t="e">
        <f>VLOOKUP(D265,'SUIVI JOURNALIER AVRIL'!CK:CM,3,FALSE)</f>
        <v>#N/A</v>
      </c>
      <c r="V265" s="358" t="e">
        <f>IF(VLOOKUP('vs mars'!D265,'point sur les patentes'!B:E,4,FALSE)="","",VLOOKUP(D265,'point sur les patentes'!B:E,4,FALSE)+VLOOKUP(D265,'point sur les patentes'!B:F,5,FALSE)+VLOOKUP('vs mars'!D265,'point sur les patentes'!B:G,6,FALSE)+VLOOKUP('vs mars'!D265,'point sur les patentes'!B:H,7,FALSE)+VLOOKUP('vs mars'!D265,'point sur les patentes'!B:I,8,FALSE)+VLOOKUP(D265,'point sur les patentes'!B:J,9,FALSE)+VLOOKUP(D265,'point sur les patentes'!B:K,10,FALSE)+VLOOKUP(D265,'point sur les patentes'!B:L,11,FALSE)+VLOOKUP(D265,'point sur les patentes'!B:M,12,FALSE)+VLOOKUP(D265,'point sur les patentes'!B:N,13,FALSE)+VLOOKUP(D265,'point sur les patentes'!B:O,14,FALSE)+VLOOKUP(D265,'point sur les patentes'!B:P,15,FALSE)+VLOOKUP(D265,'point sur les patentes'!B:Q,16,FALSE)+VLOOKUP('vs mars'!D265,'point sur les patentes'!B:Z,25,FALSE))</f>
        <v>#N/A</v>
      </c>
      <c r="W265" s="340" t="e">
        <f>VLOOKUP(D265,'SUIVI JOURNALIER AVRIL'!B:J,9,FALSE)</f>
        <v>#N/A</v>
      </c>
      <c r="X265" s="340" t="e">
        <f>VLOOKUP(D265,'SUIVI JOURNALIER AVRIL'!B:P,14,FALSE)+VLOOKUP('vs mars'!D265,'SUIVI JOURNALIER AVRIL'!B:V,20,FALSE)+VLOOKUP('vs mars'!D265,'SUIVI JOURNALIER AVRIL'!B:W,21,FALSE)</f>
        <v>#N/A</v>
      </c>
      <c r="Y265" s="340" t="e">
        <f>VLOOKUP(D265,'SUIVI JOURNALIER AVRIL'!B:CC,80,FALSE)</f>
        <v>#N/A</v>
      </c>
      <c r="Z265" s="340" t="e">
        <f t="shared" si="8"/>
        <v>#N/A</v>
      </c>
      <c r="AA265" s="359" t="e">
        <f>VLOOKUP(D265,'SUIVI JOURNALIER AVRIL'!B:CD,81,FALSE)</f>
        <v>#N/A</v>
      </c>
      <c r="AB265" s="360" t="e">
        <f t="shared" si="9"/>
        <v>#N/A</v>
      </c>
      <c r="AC265" s="360" t="str">
        <f>VLOOKUP(B265,labo!B:D,3,FALSE)</f>
        <v>ug4</v>
      </c>
      <c r="AD265" s="360" t="s">
        <v>2629</v>
      </c>
      <c r="AF265" s="330" t="e">
        <f>VLOOKUP(D265,'SUIVI JOURNALIER AVRIL'!CK:CL,2,FALSE)</f>
        <v>#N/A</v>
      </c>
      <c r="AG265" s="360">
        <v>1</v>
      </c>
    </row>
    <row r="266" spans="1:33" s="360" customFormat="1" ht="13.5" customHeight="1">
      <c r="A266" s="324" t="s">
        <v>1888</v>
      </c>
      <c r="B266" s="325" t="s">
        <v>2356</v>
      </c>
      <c r="C266" s="325" t="s">
        <v>2055</v>
      </c>
      <c r="D266" s="325" t="s">
        <v>2568</v>
      </c>
      <c r="E266" s="324" t="s">
        <v>2569</v>
      </c>
      <c r="F266" s="324" t="s">
        <v>2055</v>
      </c>
      <c r="G266" s="324" t="s">
        <v>926</v>
      </c>
      <c r="H266" s="324" t="s">
        <v>2055</v>
      </c>
      <c r="I266" s="324" t="s">
        <v>2570</v>
      </c>
      <c r="J266" s="324" t="s">
        <v>2427</v>
      </c>
      <c r="K266" s="324" t="s">
        <v>2405</v>
      </c>
      <c r="L266" s="324" t="s">
        <v>891</v>
      </c>
      <c r="M266" s="324" t="s">
        <v>892</v>
      </c>
      <c r="N266" s="324" t="s">
        <v>893</v>
      </c>
      <c r="O266" s="324" t="s">
        <v>894</v>
      </c>
      <c r="P266" s="324" t="s">
        <v>919</v>
      </c>
      <c r="Q266" s="324" t="s">
        <v>2567</v>
      </c>
      <c r="R266" s="324" t="s">
        <v>2055</v>
      </c>
      <c r="S266" s="356" t="s">
        <v>895</v>
      </c>
      <c r="T266" s="309" t="s">
        <v>999</v>
      </c>
      <c r="U266" s="357" t="e">
        <f>VLOOKUP(D266,'SUIVI JOURNALIER AVRIL'!CK:CM,3,FALSE)</f>
        <v>#N/A</v>
      </c>
      <c r="V266" s="358">
        <f>IF(VLOOKUP('vs mars'!D266,'point sur les patentes'!B:E,4,FALSE)="","",VLOOKUP(D266,'point sur les patentes'!B:E,4,FALSE)+VLOOKUP(D266,'point sur les patentes'!B:F,5,FALSE)+VLOOKUP('vs mars'!D266,'point sur les patentes'!B:G,6,FALSE)+VLOOKUP('vs mars'!D266,'point sur les patentes'!B:H,7,FALSE)+VLOOKUP('vs mars'!D266,'point sur les patentes'!B:I,8,FALSE)+VLOOKUP(D266,'point sur les patentes'!B:J,9,FALSE)+VLOOKUP(D266,'point sur les patentes'!B:K,10,FALSE)+VLOOKUP(D266,'point sur les patentes'!B:L,11,FALSE)+VLOOKUP(D266,'point sur les patentes'!B:M,12,FALSE)+VLOOKUP(D266,'point sur les patentes'!B:N,13,FALSE)+VLOOKUP(D266,'point sur les patentes'!B:O,14,FALSE)+VLOOKUP(D266,'point sur les patentes'!B:P,15,FALSE)+VLOOKUP(D266,'point sur les patentes'!B:Q,16,FALSE)+VLOOKUP('vs mars'!D266,'point sur les patentes'!B:Z,25,FALSE))</f>
        <v>141500</v>
      </c>
      <c r="W266" s="340" t="e">
        <f>VLOOKUP(D266,'SUIVI JOURNALIER AVRIL'!B:J,9,FALSE)</f>
        <v>#N/A</v>
      </c>
      <c r="X266" s="340" t="e">
        <f>VLOOKUP(D266,'SUIVI JOURNALIER AVRIL'!B:P,14,FALSE)+VLOOKUP('vs mars'!D266,'SUIVI JOURNALIER AVRIL'!B:V,20,FALSE)+VLOOKUP('vs mars'!D266,'SUIVI JOURNALIER AVRIL'!B:W,21,FALSE)</f>
        <v>#N/A</v>
      </c>
      <c r="Y266" s="340" t="e">
        <f>VLOOKUP(D266,'SUIVI JOURNALIER AVRIL'!B:CC,80,FALSE)</f>
        <v>#N/A</v>
      </c>
      <c r="Z266" s="340" t="e">
        <f t="shared" si="8"/>
        <v>#N/A</v>
      </c>
      <c r="AA266" s="359" t="e">
        <f>VLOOKUP(D266,'SUIVI JOURNALIER AVRIL'!B:CD,81,FALSE)</f>
        <v>#N/A</v>
      </c>
      <c r="AB266" s="360" t="e">
        <f t="shared" si="9"/>
        <v>#N/A</v>
      </c>
      <c r="AC266" s="360" t="str">
        <f>VLOOKUP(B266,labo!B:D,3,FALSE)</f>
        <v>ug4</v>
      </c>
      <c r="AD266" s="360" t="s">
        <v>2630</v>
      </c>
      <c r="AF266" s="330" t="e">
        <f>VLOOKUP(D266,'SUIVI JOURNALIER AVRIL'!CK:CL,2,FALSE)</f>
        <v>#N/A</v>
      </c>
      <c r="AG266" s="360">
        <v>1</v>
      </c>
    </row>
    <row r="267" spans="1:33" s="360" customFormat="1" ht="13.5" customHeight="1">
      <c r="A267" s="324" t="s">
        <v>1889</v>
      </c>
      <c r="B267" s="325" t="s">
        <v>2201</v>
      </c>
      <c r="C267" s="325" t="s">
        <v>2055</v>
      </c>
      <c r="D267" s="325" t="s">
        <v>2223</v>
      </c>
      <c r="E267" s="324" t="s">
        <v>839</v>
      </c>
      <c r="F267" s="324" t="s">
        <v>2055</v>
      </c>
      <c r="G267" s="324" t="s">
        <v>926</v>
      </c>
      <c r="H267" s="324" t="s">
        <v>897</v>
      </c>
      <c r="I267" s="324" t="s">
        <v>2571</v>
      </c>
      <c r="J267" s="324" t="s">
        <v>940</v>
      </c>
      <c r="K267" s="324" t="s">
        <v>890</v>
      </c>
      <c r="L267" s="324" t="s">
        <v>891</v>
      </c>
      <c r="M267" s="324" t="s">
        <v>892</v>
      </c>
      <c r="N267" s="324" t="s">
        <v>893</v>
      </c>
      <c r="O267" s="324" t="s">
        <v>894</v>
      </c>
      <c r="P267" s="324" t="s">
        <v>935</v>
      </c>
      <c r="Q267" s="324" t="s">
        <v>970</v>
      </c>
      <c r="R267" s="324" t="s">
        <v>2224</v>
      </c>
      <c r="S267" s="356" t="s">
        <v>895</v>
      </c>
      <c r="T267" s="309" t="s">
        <v>953</v>
      </c>
      <c r="U267" s="357" t="e">
        <f>VLOOKUP(D267,'SUIVI JOURNALIER AVRIL'!CK:CM,3,FALSE)</f>
        <v>#N/A</v>
      </c>
      <c r="V267" s="358" t="e">
        <f>IF(VLOOKUP('vs mars'!D267,'point sur les patentes'!B:E,4,FALSE)="","",VLOOKUP(D267,'point sur les patentes'!B:E,4,FALSE)+VLOOKUP(D267,'point sur les patentes'!B:F,5,FALSE)+VLOOKUP('vs mars'!D267,'point sur les patentes'!B:G,6,FALSE)+VLOOKUP('vs mars'!D267,'point sur les patentes'!B:H,7,FALSE)+VLOOKUP('vs mars'!D267,'point sur les patentes'!B:I,8,FALSE)+VLOOKUP(D267,'point sur les patentes'!B:J,9,FALSE)+VLOOKUP(D267,'point sur les patentes'!B:K,10,FALSE)+VLOOKUP(D267,'point sur les patentes'!B:L,11,FALSE)+VLOOKUP(D267,'point sur les patentes'!B:M,12,FALSE)+VLOOKUP(D267,'point sur les patentes'!B:N,13,FALSE)+VLOOKUP(D267,'point sur les patentes'!B:O,14,FALSE)+VLOOKUP(D267,'point sur les patentes'!B:P,15,FALSE)+VLOOKUP(D267,'point sur les patentes'!B:Q,16,FALSE)+VLOOKUP('vs mars'!D267,'point sur les patentes'!B:Z,25,FALSE))</f>
        <v>#N/A</v>
      </c>
      <c r="W267" s="340" t="e">
        <f>VLOOKUP(D267,'SUIVI JOURNALIER AVRIL'!B:J,9,FALSE)</f>
        <v>#N/A</v>
      </c>
      <c r="X267" s="340" t="e">
        <f>VLOOKUP(D267,'SUIVI JOURNALIER AVRIL'!B:P,14,FALSE)+VLOOKUP('vs mars'!D267,'SUIVI JOURNALIER AVRIL'!B:V,20,FALSE)+VLOOKUP('vs mars'!D267,'SUIVI JOURNALIER AVRIL'!B:W,21,FALSE)</f>
        <v>#N/A</v>
      </c>
      <c r="Y267" s="340" t="e">
        <f>VLOOKUP(D267,'SUIVI JOURNALIER AVRIL'!B:CC,80,FALSE)</f>
        <v>#N/A</v>
      </c>
      <c r="Z267" s="340" t="e">
        <f t="shared" si="8"/>
        <v>#N/A</v>
      </c>
      <c r="AA267" s="359" t="e">
        <f>VLOOKUP(D267,'SUIVI JOURNALIER AVRIL'!B:CD,81,FALSE)</f>
        <v>#N/A</v>
      </c>
      <c r="AB267" s="360" t="e">
        <f t="shared" si="9"/>
        <v>#N/A</v>
      </c>
      <c r="AC267" s="360" t="str">
        <f>VLOOKUP(B267,labo!B:D,3,FALSE)</f>
        <v>ug5</v>
      </c>
      <c r="AD267" s="360" t="s">
        <v>2629</v>
      </c>
      <c r="AF267" s="330" t="e">
        <f>VLOOKUP(D267,'SUIVI JOURNALIER AVRIL'!CK:CL,2,FALSE)</f>
        <v>#N/A</v>
      </c>
      <c r="AG267" s="360">
        <v>1</v>
      </c>
    </row>
    <row r="268" spans="1:33" s="360" customFormat="1" ht="13.5" customHeight="1">
      <c r="A268" s="324" t="s">
        <v>1890</v>
      </c>
      <c r="B268" s="325" t="s">
        <v>2357</v>
      </c>
      <c r="C268" s="325" t="s">
        <v>2572</v>
      </c>
      <c r="D268" s="325" t="s">
        <v>2573</v>
      </c>
      <c r="E268" s="324" t="s">
        <v>458</v>
      </c>
      <c r="F268" s="324" t="s">
        <v>2055</v>
      </c>
      <c r="G268" s="324" t="s">
        <v>926</v>
      </c>
      <c r="H268" s="324" t="s">
        <v>2055</v>
      </c>
      <c r="I268" s="324" t="s">
        <v>2574</v>
      </c>
      <c r="J268" s="324" t="s">
        <v>2427</v>
      </c>
      <c r="K268" s="324" t="s">
        <v>2405</v>
      </c>
      <c r="L268" s="324" t="s">
        <v>891</v>
      </c>
      <c r="M268" s="324" t="s">
        <v>892</v>
      </c>
      <c r="N268" s="324" t="s">
        <v>893</v>
      </c>
      <c r="O268" s="324" t="s">
        <v>894</v>
      </c>
      <c r="P268" s="324" t="s">
        <v>919</v>
      </c>
      <c r="Q268" s="324" t="s">
        <v>2575</v>
      </c>
      <c r="R268" s="324" t="s">
        <v>2055</v>
      </c>
      <c r="S268" s="356" t="s">
        <v>895</v>
      </c>
      <c r="T268" s="309" t="s">
        <v>999</v>
      </c>
      <c r="U268" s="357" t="e">
        <f>VLOOKUP(D268,'SUIVI JOURNALIER AVRIL'!CK:CM,3,FALSE)</f>
        <v>#N/A</v>
      </c>
      <c r="V268" s="358" t="e">
        <f>IF(VLOOKUP('vs mars'!D268,'point sur les patentes'!B:E,4,FALSE)="","",VLOOKUP(D268,'point sur les patentes'!B:E,4,FALSE)+VLOOKUP(D268,'point sur les patentes'!B:F,5,FALSE)+VLOOKUP('vs mars'!D268,'point sur les patentes'!B:G,6,FALSE)+VLOOKUP('vs mars'!D268,'point sur les patentes'!B:H,7,FALSE)+VLOOKUP('vs mars'!D268,'point sur les patentes'!B:I,8,FALSE)+VLOOKUP(D268,'point sur les patentes'!B:J,9,FALSE)+VLOOKUP(D268,'point sur les patentes'!B:K,10,FALSE)+VLOOKUP(D268,'point sur les patentes'!B:L,11,FALSE)+VLOOKUP(D268,'point sur les patentes'!B:M,12,FALSE)+VLOOKUP(D268,'point sur les patentes'!B:N,13,FALSE)+VLOOKUP(D268,'point sur les patentes'!B:O,14,FALSE)+VLOOKUP(D268,'point sur les patentes'!B:P,15,FALSE)+VLOOKUP(D268,'point sur les patentes'!B:Q,16,FALSE)+VLOOKUP('vs mars'!D268,'point sur les patentes'!B:Z,25,FALSE))</f>
        <v>#N/A</v>
      </c>
      <c r="W268" s="340" t="e">
        <f>VLOOKUP(D268,'SUIVI JOURNALIER AVRIL'!B:J,9,FALSE)</f>
        <v>#N/A</v>
      </c>
      <c r="X268" s="340" t="e">
        <f>VLOOKUP(D268,'SUIVI JOURNALIER AVRIL'!B:P,14,FALSE)+VLOOKUP('vs mars'!D268,'SUIVI JOURNALIER AVRIL'!B:V,20,FALSE)+VLOOKUP('vs mars'!D268,'SUIVI JOURNALIER AVRIL'!B:W,21,FALSE)</f>
        <v>#N/A</v>
      </c>
      <c r="Y268" s="340" t="e">
        <f>VLOOKUP(D268,'SUIVI JOURNALIER AVRIL'!B:CC,80,FALSE)</f>
        <v>#N/A</v>
      </c>
      <c r="Z268" s="340" t="e">
        <f t="shared" si="8"/>
        <v>#N/A</v>
      </c>
      <c r="AA268" s="359" t="e">
        <f>VLOOKUP(D268,'SUIVI JOURNALIER AVRIL'!B:CD,81,FALSE)</f>
        <v>#N/A</v>
      </c>
      <c r="AB268" s="360" t="e">
        <f t="shared" si="9"/>
        <v>#N/A</v>
      </c>
      <c r="AC268" s="360" t="str">
        <f>VLOOKUP(B268,labo!B:D,3,FALSE)</f>
        <v>ug4</v>
      </c>
      <c r="AD268" s="360" t="s">
        <v>2630</v>
      </c>
      <c r="AF268" s="330" t="e">
        <f>VLOOKUP(D268,'SUIVI JOURNALIER AVRIL'!CK:CL,2,FALSE)</f>
        <v>#N/A</v>
      </c>
      <c r="AG268" s="360">
        <v>1</v>
      </c>
    </row>
    <row r="269" spans="1:33" s="360" customFormat="1" ht="13.5" customHeight="1">
      <c r="A269" s="324" t="s">
        <v>1365</v>
      </c>
      <c r="B269" s="325" t="s">
        <v>298</v>
      </c>
      <c r="C269" s="325" t="s">
        <v>796</v>
      </c>
      <c r="D269" s="325" t="s">
        <v>797</v>
      </c>
      <c r="E269" s="324" t="s">
        <v>542</v>
      </c>
      <c r="F269" s="324" t="s">
        <v>2055</v>
      </c>
      <c r="G269" s="324" t="s">
        <v>926</v>
      </c>
      <c r="H269" s="324" t="s">
        <v>1192</v>
      </c>
      <c r="I269" s="324" t="s">
        <v>1350</v>
      </c>
      <c r="J269" s="324" t="s">
        <v>940</v>
      </c>
      <c r="K269" s="324" t="s">
        <v>890</v>
      </c>
      <c r="L269" s="324" t="s">
        <v>891</v>
      </c>
      <c r="M269" s="324" t="s">
        <v>892</v>
      </c>
      <c r="N269" s="324" t="s">
        <v>905</v>
      </c>
      <c r="O269" s="324" t="s">
        <v>906</v>
      </c>
      <c r="P269" s="324" t="s">
        <v>906</v>
      </c>
      <c r="Q269" s="324" t="s">
        <v>1172</v>
      </c>
      <c r="R269" s="324" t="s">
        <v>1351</v>
      </c>
      <c r="S269" s="356" t="s">
        <v>895</v>
      </c>
      <c r="T269" s="309" t="s">
        <v>1301</v>
      </c>
      <c r="U269" s="357">
        <f>VLOOKUP(D269,'SUIVI JOURNALIER AVRIL'!CK:CM,3,FALSE)</f>
        <v>0</v>
      </c>
      <c r="V269" s="358" t="e">
        <f>IF(VLOOKUP('vs mars'!D269,'point sur les patentes'!B:E,4,FALSE)="","",VLOOKUP(D269,'point sur les patentes'!B:E,4,FALSE)+VLOOKUP(D269,'point sur les patentes'!B:F,5,FALSE)+VLOOKUP('vs mars'!D269,'point sur les patentes'!B:G,6,FALSE)+VLOOKUP('vs mars'!D269,'point sur les patentes'!B:H,7,FALSE)+VLOOKUP('vs mars'!D269,'point sur les patentes'!B:I,8,FALSE)+VLOOKUP(D269,'point sur les patentes'!B:J,9,FALSE)+VLOOKUP(D269,'point sur les patentes'!B:K,10,FALSE)+VLOOKUP(D269,'point sur les patentes'!B:L,11,FALSE)+VLOOKUP(D269,'point sur les patentes'!B:M,12,FALSE)+VLOOKUP(D269,'point sur les patentes'!B:N,13,FALSE)+VLOOKUP(D269,'point sur les patentes'!B:O,14,FALSE)+VLOOKUP(D269,'point sur les patentes'!B:P,15,FALSE)+VLOOKUP(D269,'point sur les patentes'!B:Q,16,FALSE)+VLOOKUP('vs mars'!D269,'point sur les patentes'!B:Z,25,FALSE))</f>
        <v>#N/A</v>
      </c>
      <c r="W269" s="340">
        <f>VLOOKUP(D269,'SUIVI JOURNALIER AVRIL'!B:J,9,FALSE)</f>
        <v>189613</v>
      </c>
      <c r="X269" s="340">
        <f>VLOOKUP(D269,'SUIVI JOURNALIER AVRIL'!B:P,14,FALSE)+VLOOKUP('vs mars'!D269,'SUIVI JOURNALIER AVRIL'!B:V,20,FALSE)+VLOOKUP('vs mars'!D269,'SUIVI JOURNALIER AVRIL'!B:W,21,FALSE)</f>
        <v>21670</v>
      </c>
      <c r="Y269" s="340">
        <f>VLOOKUP(D269,'SUIVI JOURNALIER AVRIL'!B:CC,80,FALSE)</f>
        <v>607301.18181818177</v>
      </c>
      <c r="Z269" s="340">
        <f t="shared" si="8"/>
        <v>818584.18181818177</v>
      </c>
      <c r="AA269" s="359">
        <f>VLOOKUP(D269,'SUIVI JOURNALIER AVRIL'!B:CD,81,FALSE)</f>
        <v>818584.18181818177</v>
      </c>
      <c r="AB269" s="360" t="str">
        <f t="shared" si="9"/>
        <v>ok</v>
      </c>
      <c r="AC269" s="360" t="str">
        <f>VLOOKUP(B269,labo!B:D,3,FALSE)</f>
        <v>ug2</v>
      </c>
      <c r="AD269" s="360" t="s">
        <v>2629</v>
      </c>
      <c r="AF269" s="330">
        <f>VLOOKUP(D269,'SUIVI JOURNALIER AVRIL'!CK:CL,2,FALSE)</f>
        <v>0</v>
      </c>
      <c r="AG269" s="360">
        <v>1</v>
      </c>
    </row>
    <row r="270" spans="1:33" s="360" customFormat="1" ht="13.5" customHeight="1">
      <c r="A270" s="324" t="s">
        <v>1891</v>
      </c>
      <c r="B270" s="325" t="s">
        <v>2358</v>
      </c>
      <c r="C270" s="325" t="s">
        <v>2055</v>
      </c>
      <c r="D270" s="325" t="s">
        <v>2576</v>
      </c>
      <c r="E270" s="324" t="s">
        <v>2577</v>
      </c>
      <c r="F270" s="324" t="s">
        <v>2055</v>
      </c>
      <c r="G270" s="324" t="s">
        <v>926</v>
      </c>
      <c r="H270" s="324" t="s">
        <v>897</v>
      </c>
      <c r="I270" s="324" t="s">
        <v>2055</v>
      </c>
      <c r="J270" s="324" t="s">
        <v>2427</v>
      </c>
      <c r="K270" s="324" t="s">
        <v>2405</v>
      </c>
      <c r="L270" s="324" t="s">
        <v>891</v>
      </c>
      <c r="M270" s="324" t="s">
        <v>892</v>
      </c>
      <c r="N270" s="324" t="s">
        <v>893</v>
      </c>
      <c r="O270" s="324" t="s">
        <v>923</v>
      </c>
      <c r="P270" s="324" t="s">
        <v>923</v>
      </c>
      <c r="Q270" s="324" t="s">
        <v>924</v>
      </c>
      <c r="R270" s="324" t="s">
        <v>1172</v>
      </c>
      <c r="S270" s="356" t="s">
        <v>895</v>
      </c>
      <c r="T270" s="309" t="s">
        <v>944</v>
      </c>
      <c r="U270" s="357" t="e">
        <f>VLOOKUP(D270,'SUIVI JOURNALIER AVRIL'!CK:CM,3,FALSE)</f>
        <v>#N/A</v>
      </c>
      <c r="V270" s="358" t="e">
        <f>IF(VLOOKUP('vs mars'!D270,'point sur les patentes'!B:E,4,FALSE)="","",VLOOKUP(D270,'point sur les patentes'!B:E,4,FALSE)+VLOOKUP(D270,'point sur les patentes'!B:F,5,FALSE)+VLOOKUP('vs mars'!D270,'point sur les patentes'!B:G,6,FALSE)+VLOOKUP('vs mars'!D270,'point sur les patentes'!B:H,7,FALSE)+VLOOKUP('vs mars'!D270,'point sur les patentes'!B:I,8,FALSE)+VLOOKUP(D270,'point sur les patentes'!B:J,9,FALSE)+VLOOKUP(D270,'point sur les patentes'!B:K,10,FALSE)+VLOOKUP(D270,'point sur les patentes'!B:L,11,FALSE)+VLOOKUP(D270,'point sur les patentes'!B:M,12,FALSE)+VLOOKUP(D270,'point sur les patentes'!B:N,13,FALSE)+VLOOKUP(D270,'point sur les patentes'!B:O,14,FALSE)+VLOOKUP(D270,'point sur les patentes'!B:P,15,FALSE)+VLOOKUP(D270,'point sur les patentes'!B:Q,16,FALSE)+VLOOKUP('vs mars'!D270,'point sur les patentes'!B:Z,25,FALSE))</f>
        <v>#N/A</v>
      </c>
      <c r="W270" s="340">
        <f>VLOOKUP(D270,'SUIVI JOURNALIER AVRIL'!B:J,9,FALSE)</f>
        <v>189423</v>
      </c>
      <c r="X270" s="340">
        <f>VLOOKUP(D270,'SUIVI JOURNALIER AVRIL'!B:P,14,FALSE)+VLOOKUP('vs mars'!D270,'SUIVI JOURNALIER AVRIL'!B:V,20,FALSE)+VLOOKUP('vs mars'!D270,'SUIVI JOURNALIER AVRIL'!B:W,21,FALSE)</f>
        <v>93252</v>
      </c>
      <c r="Y270" s="340">
        <f>VLOOKUP(D270,'SUIVI JOURNALIER AVRIL'!B:CC,80,FALSE)</f>
        <v>94764</v>
      </c>
      <c r="Z270" s="340">
        <f t="shared" si="8"/>
        <v>377439</v>
      </c>
      <c r="AA270" s="359">
        <f>VLOOKUP(D270,'SUIVI JOURNALIER AVRIL'!B:CD,81,FALSE)</f>
        <v>377439</v>
      </c>
      <c r="AB270" s="360" t="str">
        <f t="shared" si="9"/>
        <v>ok</v>
      </c>
      <c r="AC270" s="360" t="str">
        <f>VLOOKUP(B270,labo!B:D,3,FALSE)</f>
        <v>ug2</v>
      </c>
      <c r="AD270" s="360" t="s">
        <v>2629</v>
      </c>
      <c r="AF270" s="330" t="e">
        <f>VLOOKUP(D270,'SUIVI JOURNALIER AVRIL'!CK:CL,2,FALSE)</f>
        <v>#N/A</v>
      </c>
      <c r="AG270" s="360">
        <v>1</v>
      </c>
    </row>
    <row r="271" spans="1:33" s="360" customFormat="1" ht="13.5" customHeight="1">
      <c r="A271" s="324" t="s">
        <v>1892</v>
      </c>
      <c r="B271" s="325" t="s">
        <v>389</v>
      </c>
      <c r="C271" s="325" t="s">
        <v>798</v>
      </c>
      <c r="D271" s="325" t="s">
        <v>799</v>
      </c>
      <c r="E271" s="324" t="s">
        <v>681</v>
      </c>
      <c r="F271" s="324" t="s">
        <v>2055</v>
      </c>
      <c r="G271" s="324" t="s">
        <v>926</v>
      </c>
      <c r="H271" s="324" t="s">
        <v>1352</v>
      </c>
      <c r="I271" s="324" t="s">
        <v>1353</v>
      </c>
      <c r="J271" s="324" t="s">
        <v>940</v>
      </c>
      <c r="K271" s="324" t="s">
        <v>890</v>
      </c>
      <c r="L271" s="324" t="s">
        <v>891</v>
      </c>
      <c r="M271" s="324" t="s">
        <v>892</v>
      </c>
      <c r="N271" s="324" t="s">
        <v>893</v>
      </c>
      <c r="O271" s="324" t="s">
        <v>894</v>
      </c>
      <c r="P271" s="324" t="s">
        <v>899</v>
      </c>
      <c r="Q271" s="324" t="s">
        <v>985</v>
      </c>
      <c r="R271" s="324" t="s">
        <v>1354</v>
      </c>
      <c r="S271" s="356" t="s">
        <v>895</v>
      </c>
      <c r="T271" s="309" t="s">
        <v>977</v>
      </c>
      <c r="U271" s="357">
        <f>VLOOKUP(D271,'SUIVI JOURNALIER AVRIL'!CK:CM,3,FALSE)</f>
        <v>0</v>
      </c>
      <c r="V271" s="358" t="e">
        <f>IF(VLOOKUP('vs mars'!D271,'point sur les patentes'!B:E,4,FALSE)="","",VLOOKUP(D271,'point sur les patentes'!B:E,4,FALSE)+VLOOKUP(D271,'point sur les patentes'!B:F,5,FALSE)+VLOOKUP('vs mars'!D271,'point sur les patentes'!B:G,6,FALSE)+VLOOKUP('vs mars'!D271,'point sur les patentes'!B:H,7,FALSE)+VLOOKUP('vs mars'!D271,'point sur les patentes'!B:I,8,FALSE)+VLOOKUP(D271,'point sur les patentes'!B:J,9,FALSE)+VLOOKUP(D271,'point sur les patentes'!B:K,10,FALSE)+VLOOKUP(D271,'point sur les patentes'!B:L,11,FALSE)+VLOOKUP(D271,'point sur les patentes'!B:M,12,FALSE)+VLOOKUP(D271,'point sur les patentes'!B:N,13,FALSE)+VLOOKUP(D271,'point sur les patentes'!B:O,14,FALSE)+VLOOKUP(D271,'point sur les patentes'!B:P,15,FALSE)+VLOOKUP(D271,'point sur les patentes'!B:Q,16,FALSE)+VLOOKUP('vs mars'!D271,'point sur les patentes'!B:Z,25,FALSE))</f>
        <v>#N/A</v>
      </c>
      <c r="W271" s="340">
        <f>VLOOKUP(D271,'SUIVI JOURNALIER AVRIL'!B:J,9,FALSE)</f>
        <v>590293</v>
      </c>
      <c r="X271" s="340">
        <f>VLOOKUP(D271,'SUIVI JOURNALIER AVRIL'!B:P,14,FALSE)+VLOOKUP('vs mars'!D271,'SUIVI JOURNALIER AVRIL'!B:V,20,FALSE)+VLOOKUP('vs mars'!D271,'SUIVI JOURNALIER AVRIL'!B:W,21,FALSE)</f>
        <v>107696</v>
      </c>
      <c r="Y271" s="340">
        <f>VLOOKUP(D271,'SUIVI JOURNALIER AVRIL'!B:CC,80,FALSE)</f>
        <v>16926</v>
      </c>
      <c r="Z271" s="340">
        <f t="shared" si="8"/>
        <v>714915</v>
      </c>
      <c r="AA271" s="359">
        <f>VLOOKUP(D271,'SUIVI JOURNALIER AVRIL'!B:CD,81,FALSE)</f>
        <v>714915</v>
      </c>
      <c r="AB271" s="360" t="str">
        <f t="shared" si="9"/>
        <v>ok</v>
      </c>
      <c r="AC271" s="360" t="str">
        <f>VLOOKUP(B271,labo!B:D,3,FALSE)</f>
        <v>ug5</v>
      </c>
      <c r="AD271" s="360" t="s">
        <v>2629</v>
      </c>
      <c r="AF271" s="330">
        <f>VLOOKUP(D271,'SUIVI JOURNALIER AVRIL'!CK:CL,2,FALSE)</f>
        <v>0</v>
      </c>
      <c r="AG271" s="360">
        <v>1</v>
      </c>
    </row>
    <row r="272" spans="1:33" s="360" customFormat="1" ht="13.5" customHeight="1">
      <c r="A272" s="324" t="s">
        <v>1893</v>
      </c>
      <c r="B272" s="325" t="s">
        <v>2133</v>
      </c>
      <c r="C272" s="325" t="s">
        <v>2055</v>
      </c>
      <c r="D272" s="325" t="s">
        <v>2141</v>
      </c>
      <c r="E272" s="324" t="s">
        <v>436</v>
      </c>
      <c r="F272" s="324" t="s">
        <v>2055</v>
      </c>
      <c r="G272" s="324" t="s">
        <v>926</v>
      </c>
      <c r="H272" s="324" t="s">
        <v>2055</v>
      </c>
      <c r="I272" s="324" t="s">
        <v>2055</v>
      </c>
      <c r="J272" s="324" t="s">
        <v>2427</v>
      </c>
      <c r="K272" s="324" t="s">
        <v>2405</v>
      </c>
      <c r="L272" s="324" t="s">
        <v>891</v>
      </c>
      <c r="M272" s="324" t="s">
        <v>892</v>
      </c>
      <c r="N272" s="324" t="s">
        <v>893</v>
      </c>
      <c r="O272" s="324" t="s">
        <v>894</v>
      </c>
      <c r="P272" s="324" t="s">
        <v>919</v>
      </c>
      <c r="Q272" s="324" t="s">
        <v>2055</v>
      </c>
      <c r="R272" s="324" t="s">
        <v>2055</v>
      </c>
      <c r="S272" s="356" t="s">
        <v>895</v>
      </c>
      <c r="T272" s="309" t="s">
        <v>999</v>
      </c>
      <c r="U272" s="357" t="e">
        <f>VLOOKUP(D272,'SUIVI JOURNALIER AVRIL'!CK:CM,3,FALSE)</f>
        <v>#N/A</v>
      </c>
      <c r="V272" s="358" t="e">
        <f>IF(VLOOKUP('vs mars'!D272,'point sur les patentes'!B:E,4,FALSE)="","",VLOOKUP(D272,'point sur les patentes'!B:E,4,FALSE)+VLOOKUP(D272,'point sur les patentes'!B:F,5,FALSE)+VLOOKUP('vs mars'!D272,'point sur les patentes'!B:G,6,FALSE)+VLOOKUP('vs mars'!D272,'point sur les patentes'!B:H,7,FALSE)+VLOOKUP('vs mars'!D272,'point sur les patentes'!B:I,8,FALSE)+VLOOKUP(D272,'point sur les patentes'!B:J,9,FALSE)+VLOOKUP(D272,'point sur les patentes'!B:K,10,FALSE)+VLOOKUP(D272,'point sur les patentes'!B:L,11,FALSE)+VLOOKUP(D272,'point sur les patentes'!B:M,12,FALSE)+VLOOKUP(D272,'point sur les patentes'!B:N,13,FALSE)+VLOOKUP(D272,'point sur les patentes'!B:O,14,FALSE)+VLOOKUP(D272,'point sur les patentes'!B:P,15,FALSE)+VLOOKUP(D272,'point sur les patentes'!B:Q,16,FALSE)+VLOOKUP('vs mars'!D272,'point sur les patentes'!B:Z,25,FALSE))</f>
        <v>#N/A</v>
      </c>
      <c r="W272" s="340" t="e">
        <f>VLOOKUP(D272,'SUIVI JOURNALIER AVRIL'!B:J,9,FALSE)</f>
        <v>#N/A</v>
      </c>
      <c r="X272" s="340" t="e">
        <f>VLOOKUP(D272,'SUIVI JOURNALIER AVRIL'!B:P,14,FALSE)+VLOOKUP('vs mars'!D272,'SUIVI JOURNALIER AVRIL'!B:V,20,FALSE)+VLOOKUP('vs mars'!D272,'SUIVI JOURNALIER AVRIL'!B:W,21,FALSE)</f>
        <v>#N/A</v>
      </c>
      <c r="Y272" s="340" t="e">
        <f>VLOOKUP(D272,'SUIVI JOURNALIER AVRIL'!B:CC,80,FALSE)</f>
        <v>#N/A</v>
      </c>
      <c r="Z272" s="340" t="e">
        <f t="shared" si="8"/>
        <v>#N/A</v>
      </c>
      <c r="AA272" s="359" t="e">
        <f>VLOOKUP(D272,'SUIVI JOURNALIER AVRIL'!B:CD,81,FALSE)</f>
        <v>#N/A</v>
      </c>
      <c r="AB272" s="360" t="e">
        <f t="shared" si="9"/>
        <v>#N/A</v>
      </c>
      <c r="AC272" s="360" t="str">
        <f>VLOOKUP(B272,labo!B:D,3,FALSE)</f>
        <v>ug1</v>
      </c>
      <c r="AD272" s="360" t="s">
        <v>2629</v>
      </c>
      <c r="AF272" s="330" t="e">
        <f>VLOOKUP(D272,'SUIVI JOURNALIER AVRIL'!CK:CL,2,FALSE)</f>
        <v>#N/A</v>
      </c>
      <c r="AG272" s="360">
        <v>1</v>
      </c>
    </row>
    <row r="273" spans="1:33" s="360" customFormat="1" ht="13.5" customHeight="1">
      <c r="A273" s="324" t="s">
        <v>1894</v>
      </c>
      <c r="B273" s="325" t="s">
        <v>2359</v>
      </c>
      <c r="C273" s="325" t="s">
        <v>2055</v>
      </c>
      <c r="D273" s="325" t="s">
        <v>2578</v>
      </c>
      <c r="E273" s="324" t="s">
        <v>2579</v>
      </c>
      <c r="F273" s="324" t="s">
        <v>2055</v>
      </c>
      <c r="G273" s="324" t="s">
        <v>926</v>
      </c>
      <c r="H273" s="324" t="s">
        <v>2055</v>
      </c>
      <c r="I273" s="324" t="s">
        <v>2055</v>
      </c>
      <c r="J273" s="324" t="s">
        <v>2427</v>
      </c>
      <c r="K273" s="324" t="s">
        <v>2405</v>
      </c>
      <c r="L273" s="324" t="s">
        <v>891</v>
      </c>
      <c r="M273" s="324" t="s">
        <v>892</v>
      </c>
      <c r="N273" s="324" t="s">
        <v>893</v>
      </c>
      <c r="O273" s="324" t="s">
        <v>894</v>
      </c>
      <c r="P273" s="324" t="s">
        <v>2447</v>
      </c>
      <c r="Q273" s="324" t="s">
        <v>924</v>
      </c>
      <c r="R273" s="324" t="s">
        <v>1172</v>
      </c>
      <c r="S273" s="356" t="s">
        <v>895</v>
      </c>
      <c r="T273" s="309" t="s">
        <v>1079</v>
      </c>
      <c r="U273" s="357" t="e">
        <f>VLOOKUP(D273,'SUIVI JOURNALIER AVRIL'!CK:CM,3,FALSE)</f>
        <v>#N/A</v>
      </c>
      <c r="V273" s="358" t="e">
        <f>IF(VLOOKUP('vs mars'!D273,'point sur les patentes'!B:E,4,FALSE)="","",VLOOKUP(D273,'point sur les patentes'!B:E,4,FALSE)+VLOOKUP(D273,'point sur les patentes'!B:F,5,FALSE)+VLOOKUP('vs mars'!D273,'point sur les patentes'!B:G,6,FALSE)+VLOOKUP('vs mars'!D273,'point sur les patentes'!B:H,7,FALSE)+VLOOKUP('vs mars'!D273,'point sur les patentes'!B:I,8,FALSE)+VLOOKUP(D273,'point sur les patentes'!B:J,9,FALSE)+VLOOKUP(D273,'point sur les patentes'!B:K,10,FALSE)+VLOOKUP(D273,'point sur les patentes'!B:L,11,FALSE)+VLOOKUP(D273,'point sur les patentes'!B:M,12,FALSE)+VLOOKUP(D273,'point sur les patentes'!B:N,13,FALSE)+VLOOKUP(D273,'point sur les patentes'!B:O,14,FALSE)+VLOOKUP(D273,'point sur les patentes'!B:P,15,FALSE)+VLOOKUP(D273,'point sur les patentes'!B:Q,16,FALSE)+VLOOKUP('vs mars'!D273,'point sur les patentes'!B:Z,25,FALSE))</f>
        <v>#N/A</v>
      </c>
      <c r="W273" s="340" t="e">
        <f>VLOOKUP(D273,'SUIVI JOURNALIER AVRIL'!B:J,9,FALSE)</f>
        <v>#N/A</v>
      </c>
      <c r="X273" s="340" t="e">
        <f>VLOOKUP(D273,'SUIVI JOURNALIER AVRIL'!B:P,14,FALSE)+VLOOKUP('vs mars'!D273,'SUIVI JOURNALIER AVRIL'!B:V,20,FALSE)+VLOOKUP('vs mars'!D273,'SUIVI JOURNALIER AVRIL'!B:W,21,FALSE)</f>
        <v>#N/A</v>
      </c>
      <c r="Y273" s="340" t="e">
        <f>VLOOKUP(D273,'SUIVI JOURNALIER AVRIL'!B:CC,80,FALSE)</f>
        <v>#N/A</v>
      </c>
      <c r="Z273" s="340" t="e">
        <f t="shared" si="8"/>
        <v>#N/A</v>
      </c>
      <c r="AA273" s="359" t="e">
        <f>VLOOKUP(D273,'SUIVI JOURNALIER AVRIL'!B:CD,81,FALSE)</f>
        <v>#N/A</v>
      </c>
      <c r="AB273" s="360" t="e">
        <f t="shared" si="9"/>
        <v>#N/A</v>
      </c>
      <c r="AC273" s="360" t="str">
        <f>VLOOKUP(B273,labo!B:D,3,FALSE)</f>
        <v>ug4</v>
      </c>
      <c r="AD273" s="360" t="s">
        <v>2630</v>
      </c>
      <c r="AF273" s="330" t="e">
        <f>VLOOKUP(D273,'SUIVI JOURNALIER AVRIL'!CK:CL,2,FALSE)</f>
        <v>#N/A</v>
      </c>
      <c r="AG273" s="360">
        <v>1</v>
      </c>
    </row>
    <row r="274" spans="1:33" s="360" customFormat="1" ht="13.5" customHeight="1">
      <c r="A274" s="324" t="s">
        <v>1895</v>
      </c>
      <c r="B274" s="325" t="s">
        <v>2360</v>
      </c>
      <c r="C274" s="325" t="s">
        <v>2055</v>
      </c>
      <c r="D274" s="325" t="s">
        <v>2580</v>
      </c>
      <c r="E274" s="324" t="s">
        <v>2581</v>
      </c>
      <c r="F274" s="324" t="s">
        <v>2055</v>
      </c>
      <c r="G274" s="324" t="s">
        <v>926</v>
      </c>
      <c r="H274" s="324" t="s">
        <v>2055</v>
      </c>
      <c r="I274" s="324" t="s">
        <v>1415</v>
      </c>
      <c r="J274" s="324" t="s">
        <v>2427</v>
      </c>
      <c r="K274" s="324" t="s">
        <v>2405</v>
      </c>
      <c r="L274" s="324" t="s">
        <v>891</v>
      </c>
      <c r="M274" s="324" t="s">
        <v>892</v>
      </c>
      <c r="N274" s="324" t="s">
        <v>893</v>
      </c>
      <c r="O274" s="324" t="s">
        <v>894</v>
      </c>
      <c r="P274" s="324" t="s">
        <v>919</v>
      </c>
      <c r="Q274" s="324" t="s">
        <v>2055</v>
      </c>
      <c r="R274" s="324" t="s">
        <v>2055</v>
      </c>
      <c r="S274" s="356" t="s">
        <v>895</v>
      </c>
      <c r="T274" s="309"/>
      <c r="U274" s="357">
        <f>VLOOKUP(D274,'SUIVI JOURNALIER AVRIL'!CK:CM,3,FALSE)</f>
        <v>0</v>
      </c>
      <c r="V274" s="358" t="e">
        <f>IF(VLOOKUP('vs mars'!D274,'point sur les patentes'!B:E,4,FALSE)="","",VLOOKUP(D274,'point sur les patentes'!B:E,4,FALSE)+VLOOKUP(D274,'point sur les patentes'!B:F,5,FALSE)+VLOOKUP('vs mars'!D274,'point sur les patentes'!B:G,6,FALSE)+VLOOKUP('vs mars'!D274,'point sur les patentes'!B:H,7,FALSE)+VLOOKUP('vs mars'!D274,'point sur les patentes'!B:I,8,FALSE)+VLOOKUP(D274,'point sur les patentes'!B:J,9,FALSE)+VLOOKUP(D274,'point sur les patentes'!B:K,10,FALSE)+VLOOKUP(D274,'point sur les patentes'!B:L,11,FALSE)+VLOOKUP(D274,'point sur les patentes'!B:M,12,FALSE)+VLOOKUP(D274,'point sur les patentes'!B:N,13,FALSE)+VLOOKUP(D274,'point sur les patentes'!B:O,14,FALSE)+VLOOKUP(D274,'point sur les patentes'!B:P,15,FALSE)+VLOOKUP(D274,'point sur les patentes'!B:Q,16,FALSE)+VLOOKUP('vs mars'!D274,'point sur les patentes'!B:Z,25,FALSE))</f>
        <v>#N/A</v>
      </c>
      <c r="W274" s="340">
        <f>VLOOKUP(D274,'SUIVI JOURNALIER AVRIL'!B:J,9,FALSE)</f>
        <v>21262</v>
      </c>
      <c r="X274" s="340">
        <f>VLOOKUP(D274,'SUIVI JOURNALIER AVRIL'!B:P,14,FALSE)+VLOOKUP('vs mars'!D274,'SUIVI JOURNALIER AVRIL'!B:V,20,FALSE)+VLOOKUP('vs mars'!D274,'SUIVI JOURNALIER AVRIL'!B:W,21,FALSE)</f>
        <v>3166</v>
      </c>
      <c r="Y274" s="340">
        <f>VLOOKUP(D274,'SUIVI JOURNALIER AVRIL'!B:CC,80,FALSE)</f>
        <v>0</v>
      </c>
      <c r="Z274" s="340">
        <f t="shared" si="8"/>
        <v>24428</v>
      </c>
      <c r="AA274" s="359">
        <f>VLOOKUP(D274,'SUIVI JOURNALIER AVRIL'!B:CD,81,FALSE)</f>
        <v>24428</v>
      </c>
      <c r="AB274" s="360" t="str">
        <f t="shared" si="9"/>
        <v>ok</v>
      </c>
      <c r="AC274" s="360" t="str">
        <f>VLOOKUP(B274,labo!B:D,3,FALSE)</f>
        <v>ug2</v>
      </c>
      <c r="AD274" s="360" t="s">
        <v>2630</v>
      </c>
      <c r="AF274" s="330">
        <f>VLOOKUP(D274,'SUIVI JOURNALIER AVRIL'!CK:CL,2,FALSE)</f>
        <v>0</v>
      </c>
      <c r="AG274" s="360">
        <v>1</v>
      </c>
    </row>
    <row r="275" spans="1:33" s="360" customFormat="1" ht="13.5" customHeight="1">
      <c r="A275" s="324" t="s">
        <v>1896</v>
      </c>
      <c r="B275" s="325" t="s">
        <v>317</v>
      </c>
      <c r="C275" s="325" t="s">
        <v>800</v>
      </c>
      <c r="D275" s="325" t="s">
        <v>801</v>
      </c>
      <c r="E275" s="324" t="s">
        <v>802</v>
      </c>
      <c r="F275" s="324" t="s">
        <v>2055</v>
      </c>
      <c r="G275" s="324" t="s">
        <v>926</v>
      </c>
      <c r="H275" s="324" t="s">
        <v>1170</v>
      </c>
      <c r="I275" s="324" t="s">
        <v>1355</v>
      </c>
      <c r="J275" s="324" t="s">
        <v>940</v>
      </c>
      <c r="K275" s="324" t="s">
        <v>890</v>
      </c>
      <c r="L275" s="324" t="s">
        <v>891</v>
      </c>
      <c r="M275" s="324" t="s">
        <v>892</v>
      </c>
      <c r="N275" s="324" t="s">
        <v>893</v>
      </c>
      <c r="O275" s="324" t="s">
        <v>894</v>
      </c>
      <c r="P275" s="324" t="s">
        <v>899</v>
      </c>
      <c r="Q275" s="324" t="s">
        <v>924</v>
      </c>
      <c r="R275" s="324" t="s">
        <v>1356</v>
      </c>
      <c r="S275" s="356" t="s">
        <v>895</v>
      </c>
      <c r="T275" s="309" t="s">
        <v>977</v>
      </c>
      <c r="U275" s="357">
        <f>VLOOKUP(D275,'SUIVI JOURNALIER AVRIL'!CK:CM,3,FALSE)</f>
        <v>0</v>
      </c>
      <c r="V275" s="358" t="e">
        <f>IF(VLOOKUP('vs mars'!D275,'point sur les patentes'!B:E,4,FALSE)="","",VLOOKUP(D275,'point sur les patentes'!B:E,4,FALSE)+VLOOKUP(D275,'point sur les patentes'!B:F,5,FALSE)+VLOOKUP('vs mars'!D275,'point sur les patentes'!B:G,6,FALSE)+VLOOKUP('vs mars'!D275,'point sur les patentes'!B:H,7,FALSE)+VLOOKUP('vs mars'!D275,'point sur les patentes'!B:I,8,FALSE)+VLOOKUP(D275,'point sur les patentes'!B:J,9,FALSE)+VLOOKUP(D275,'point sur les patentes'!B:K,10,FALSE)+VLOOKUP(D275,'point sur les patentes'!B:L,11,FALSE)+VLOOKUP(D275,'point sur les patentes'!B:M,12,FALSE)+VLOOKUP(D275,'point sur les patentes'!B:N,13,FALSE)+VLOOKUP(D275,'point sur les patentes'!B:O,14,FALSE)+VLOOKUP(D275,'point sur les patentes'!B:P,15,FALSE)+VLOOKUP(D275,'point sur les patentes'!B:Q,16,FALSE)+VLOOKUP('vs mars'!D275,'point sur les patentes'!B:Z,25,FALSE))</f>
        <v>#N/A</v>
      </c>
      <c r="W275" s="340">
        <f>VLOOKUP(D275,'SUIVI JOURNALIER AVRIL'!B:J,9,FALSE)</f>
        <v>195124</v>
      </c>
      <c r="X275" s="340">
        <f>VLOOKUP(D275,'SUIVI JOURNALIER AVRIL'!B:P,14,FALSE)+VLOOKUP('vs mars'!D275,'SUIVI JOURNALIER AVRIL'!B:V,20,FALSE)+VLOOKUP('vs mars'!D275,'SUIVI JOURNALIER AVRIL'!B:W,21,FALSE)</f>
        <v>199811</v>
      </c>
      <c r="Y275" s="340">
        <f>VLOOKUP(D275,'SUIVI JOURNALIER AVRIL'!B:CC,80,FALSE)</f>
        <v>146105</v>
      </c>
      <c r="Z275" s="340">
        <f t="shared" si="8"/>
        <v>541040</v>
      </c>
      <c r="AA275" s="359">
        <f>VLOOKUP(D275,'SUIVI JOURNALIER AVRIL'!B:CD,81,FALSE)</f>
        <v>541040</v>
      </c>
      <c r="AB275" s="360" t="str">
        <f t="shared" si="9"/>
        <v>ok</v>
      </c>
      <c r="AC275" s="360" t="str">
        <f>VLOOKUP(B275,labo!B:D,3,FALSE)</f>
        <v>ug1</v>
      </c>
      <c r="AD275" s="360" t="s">
        <v>2629</v>
      </c>
      <c r="AF275" s="330">
        <f>VLOOKUP(D275,'SUIVI JOURNALIER AVRIL'!CK:CL,2,FALSE)</f>
        <v>0</v>
      </c>
      <c r="AG275" s="360">
        <v>1</v>
      </c>
    </row>
    <row r="276" spans="1:33" s="360" customFormat="1" ht="13.5" customHeight="1">
      <c r="A276" s="324" t="s">
        <v>1897</v>
      </c>
      <c r="B276" s="325" t="s">
        <v>301</v>
      </c>
      <c r="C276" s="325" t="s">
        <v>803</v>
      </c>
      <c r="D276" s="325" t="s">
        <v>804</v>
      </c>
      <c r="E276" s="324" t="s">
        <v>805</v>
      </c>
      <c r="F276" s="324" t="s">
        <v>2055</v>
      </c>
      <c r="G276" s="324" t="s">
        <v>887</v>
      </c>
      <c r="H276" s="324" t="s">
        <v>897</v>
      </c>
      <c r="I276" s="324" t="s">
        <v>1357</v>
      </c>
      <c r="J276" s="324" t="s">
        <v>889</v>
      </c>
      <c r="K276" s="324" t="s">
        <v>890</v>
      </c>
      <c r="L276" s="324" t="s">
        <v>891</v>
      </c>
      <c r="M276" s="324" t="s">
        <v>892</v>
      </c>
      <c r="N276" s="324" t="s">
        <v>912</v>
      </c>
      <c r="O276" s="324" t="s">
        <v>913</v>
      </c>
      <c r="P276" s="324" t="s">
        <v>913</v>
      </c>
      <c r="Q276" s="324" t="s">
        <v>914</v>
      </c>
      <c r="R276" s="324" t="s">
        <v>1358</v>
      </c>
      <c r="S276" s="356" t="s">
        <v>895</v>
      </c>
      <c r="T276" s="309" t="s">
        <v>1082</v>
      </c>
      <c r="U276" s="357" t="e">
        <f>VLOOKUP(D276,'SUIVI JOURNALIER AVRIL'!CK:CM,3,FALSE)</f>
        <v>#N/A</v>
      </c>
      <c r="V276" s="358" t="e">
        <f>IF(VLOOKUP('vs mars'!D276,'point sur les patentes'!B:E,4,FALSE)="","",VLOOKUP(D276,'point sur les patentes'!B:E,4,FALSE)+VLOOKUP(D276,'point sur les patentes'!B:F,5,FALSE)+VLOOKUP('vs mars'!D276,'point sur les patentes'!B:G,6,FALSE)+VLOOKUP('vs mars'!D276,'point sur les patentes'!B:H,7,FALSE)+VLOOKUP('vs mars'!D276,'point sur les patentes'!B:I,8,FALSE)+VLOOKUP(D276,'point sur les patentes'!B:J,9,FALSE)+VLOOKUP(D276,'point sur les patentes'!B:K,10,FALSE)+VLOOKUP(D276,'point sur les patentes'!B:L,11,FALSE)+VLOOKUP(D276,'point sur les patentes'!B:M,12,FALSE)+VLOOKUP(D276,'point sur les patentes'!B:N,13,FALSE)+VLOOKUP(D276,'point sur les patentes'!B:O,14,FALSE)+VLOOKUP(D276,'point sur les patentes'!B:P,15,FALSE)+VLOOKUP(D276,'point sur les patentes'!B:Q,16,FALSE)+VLOOKUP('vs mars'!D276,'point sur les patentes'!B:Z,25,FALSE))</f>
        <v>#N/A</v>
      </c>
      <c r="W276" s="340" t="e">
        <f>VLOOKUP(D276,'SUIVI JOURNALIER AVRIL'!B:J,9,FALSE)</f>
        <v>#N/A</v>
      </c>
      <c r="X276" s="340" t="e">
        <f>VLOOKUP(D276,'SUIVI JOURNALIER AVRIL'!B:P,14,FALSE)+VLOOKUP('vs mars'!D276,'SUIVI JOURNALIER AVRIL'!B:V,20,FALSE)+VLOOKUP('vs mars'!D276,'SUIVI JOURNALIER AVRIL'!B:W,21,FALSE)</f>
        <v>#N/A</v>
      </c>
      <c r="Y276" s="340" t="e">
        <f>VLOOKUP(D276,'SUIVI JOURNALIER AVRIL'!B:CC,80,FALSE)</f>
        <v>#N/A</v>
      </c>
      <c r="Z276" s="340" t="e">
        <f t="shared" si="8"/>
        <v>#N/A</v>
      </c>
      <c r="AA276" s="359" t="e">
        <f>VLOOKUP(D276,'SUIVI JOURNALIER AVRIL'!B:CD,81,FALSE)</f>
        <v>#N/A</v>
      </c>
      <c r="AB276" s="360" t="e">
        <f t="shared" si="9"/>
        <v>#N/A</v>
      </c>
      <c r="AC276" s="360" t="str">
        <f>VLOOKUP(B276,labo!B:D,3,FALSE)</f>
        <v>ug2</v>
      </c>
      <c r="AD276" s="360" t="s">
        <v>2629</v>
      </c>
      <c r="AF276" s="330" t="e">
        <f>VLOOKUP(D276,'SUIVI JOURNALIER AVRIL'!CK:CL,2,FALSE)</f>
        <v>#N/A</v>
      </c>
      <c r="AG276" s="360">
        <v>1</v>
      </c>
    </row>
    <row r="277" spans="1:33" s="360" customFormat="1" ht="13.5" customHeight="1">
      <c r="A277" s="324" t="s">
        <v>1898</v>
      </c>
      <c r="B277" s="325" t="s">
        <v>2361</v>
      </c>
      <c r="C277" s="325" t="s">
        <v>2582</v>
      </c>
      <c r="D277" s="325" t="s">
        <v>2094</v>
      </c>
      <c r="E277" s="324" t="s">
        <v>542</v>
      </c>
      <c r="F277" s="324" t="s">
        <v>2055</v>
      </c>
      <c r="G277" s="324" t="s">
        <v>887</v>
      </c>
      <c r="H277" s="324" t="s">
        <v>2055</v>
      </c>
      <c r="I277" s="324" t="s">
        <v>2055</v>
      </c>
      <c r="J277" s="324" t="s">
        <v>2055</v>
      </c>
      <c r="K277" s="324" t="s">
        <v>2405</v>
      </c>
      <c r="L277" s="324" t="s">
        <v>891</v>
      </c>
      <c r="M277" s="324" t="s">
        <v>892</v>
      </c>
      <c r="N277" s="324" t="s">
        <v>893</v>
      </c>
      <c r="O277" s="324" t="s">
        <v>894</v>
      </c>
      <c r="P277" s="324" t="s">
        <v>919</v>
      </c>
      <c r="Q277" s="324" t="s">
        <v>2055</v>
      </c>
      <c r="R277" s="324" t="s">
        <v>2055</v>
      </c>
      <c r="S277" s="356" t="s">
        <v>895</v>
      </c>
      <c r="T277" s="309" t="s">
        <v>977</v>
      </c>
      <c r="U277" s="357" t="e">
        <f>VLOOKUP(D277,'SUIVI JOURNALIER AVRIL'!CK:CM,3,FALSE)</f>
        <v>#N/A</v>
      </c>
      <c r="V277" s="358" t="e">
        <f>IF(VLOOKUP('vs mars'!D277,'point sur les patentes'!B:E,4,FALSE)="","",VLOOKUP(D277,'point sur les patentes'!B:E,4,FALSE)+VLOOKUP(D277,'point sur les patentes'!B:F,5,FALSE)+VLOOKUP('vs mars'!D277,'point sur les patentes'!B:G,6,FALSE)+VLOOKUP('vs mars'!D277,'point sur les patentes'!B:H,7,FALSE)+VLOOKUP('vs mars'!D277,'point sur les patentes'!B:I,8,FALSE)+VLOOKUP(D277,'point sur les patentes'!B:J,9,FALSE)+VLOOKUP(D277,'point sur les patentes'!B:K,10,FALSE)+VLOOKUP(D277,'point sur les patentes'!B:L,11,FALSE)+VLOOKUP(D277,'point sur les patentes'!B:M,12,FALSE)+VLOOKUP(D277,'point sur les patentes'!B:N,13,FALSE)+VLOOKUP(D277,'point sur les patentes'!B:O,14,FALSE)+VLOOKUP(D277,'point sur les patentes'!B:P,15,FALSE)+VLOOKUP(D277,'point sur les patentes'!B:Q,16,FALSE)+VLOOKUP('vs mars'!D277,'point sur les patentes'!B:Z,25,FALSE))</f>
        <v>#N/A</v>
      </c>
      <c r="W277" s="340">
        <f>VLOOKUP(D277,'SUIVI JOURNALIER AVRIL'!B:J,9,FALSE)</f>
        <v>34798</v>
      </c>
      <c r="X277" s="340">
        <f>VLOOKUP(D277,'SUIVI JOURNALIER AVRIL'!B:P,14,FALSE)+VLOOKUP('vs mars'!D277,'SUIVI JOURNALIER AVRIL'!B:V,20,FALSE)+VLOOKUP('vs mars'!D277,'SUIVI JOURNALIER AVRIL'!B:W,21,FALSE)</f>
        <v>13812</v>
      </c>
      <c r="Y277" s="340">
        <f>VLOOKUP(D277,'SUIVI JOURNALIER AVRIL'!B:CC,80,FALSE)</f>
        <v>0</v>
      </c>
      <c r="Z277" s="340">
        <f t="shared" si="8"/>
        <v>48610</v>
      </c>
      <c r="AA277" s="359">
        <f>VLOOKUP(D277,'SUIVI JOURNALIER AVRIL'!B:CD,81,FALSE)</f>
        <v>48610</v>
      </c>
      <c r="AB277" s="360" t="str">
        <f t="shared" si="9"/>
        <v>ok</v>
      </c>
      <c r="AC277" s="360" t="str">
        <f>VLOOKUP(B277,labo!B:D,3,FALSE)</f>
        <v>ug2</v>
      </c>
      <c r="AD277" s="360" t="s">
        <v>2629</v>
      </c>
      <c r="AF277" s="330" t="e">
        <f>VLOOKUP(D277,'SUIVI JOURNALIER AVRIL'!CK:CL,2,FALSE)</f>
        <v>#N/A</v>
      </c>
      <c r="AG277" s="360">
        <v>1</v>
      </c>
    </row>
    <row r="278" spans="1:33" s="360" customFormat="1" ht="13.5" customHeight="1">
      <c r="A278" s="324" t="s">
        <v>1900</v>
      </c>
      <c r="B278" s="325" t="s">
        <v>281</v>
      </c>
      <c r="C278" s="325" t="s">
        <v>806</v>
      </c>
      <c r="D278" s="325" t="s">
        <v>807</v>
      </c>
      <c r="E278" s="324" t="s">
        <v>413</v>
      </c>
      <c r="F278" s="324" t="s">
        <v>2055</v>
      </c>
      <c r="G278" s="324" t="s">
        <v>887</v>
      </c>
      <c r="H278" s="324" t="s">
        <v>897</v>
      </c>
      <c r="I278" s="324" t="s">
        <v>1359</v>
      </c>
      <c r="J278" s="324" t="s">
        <v>889</v>
      </c>
      <c r="K278" s="324" t="s">
        <v>890</v>
      </c>
      <c r="L278" s="324" t="s">
        <v>891</v>
      </c>
      <c r="M278" s="324" t="s">
        <v>892</v>
      </c>
      <c r="N278" s="324" t="s">
        <v>893</v>
      </c>
      <c r="O278" s="324" t="s">
        <v>894</v>
      </c>
      <c r="P278" s="324" t="s">
        <v>899</v>
      </c>
      <c r="Q278" s="324" t="s">
        <v>966</v>
      </c>
      <c r="R278" s="324" t="s">
        <v>966</v>
      </c>
      <c r="S278" s="356" t="s">
        <v>895</v>
      </c>
      <c r="T278" s="309" t="s">
        <v>896</v>
      </c>
      <c r="U278" s="357" t="e">
        <f>VLOOKUP(D278,'SUIVI JOURNALIER AVRIL'!CK:CM,3,FALSE)</f>
        <v>#N/A</v>
      </c>
      <c r="V278" s="358" t="e">
        <f>IF(VLOOKUP('vs mars'!D278,'point sur les patentes'!B:E,4,FALSE)="","",VLOOKUP(D278,'point sur les patentes'!B:E,4,FALSE)+VLOOKUP(D278,'point sur les patentes'!B:F,5,FALSE)+VLOOKUP('vs mars'!D278,'point sur les patentes'!B:G,6,FALSE)+VLOOKUP('vs mars'!D278,'point sur les patentes'!B:H,7,FALSE)+VLOOKUP('vs mars'!D278,'point sur les patentes'!B:I,8,FALSE)+VLOOKUP(D278,'point sur les patentes'!B:J,9,FALSE)+VLOOKUP(D278,'point sur les patentes'!B:K,10,FALSE)+VLOOKUP(D278,'point sur les patentes'!B:L,11,FALSE)+VLOOKUP(D278,'point sur les patentes'!B:M,12,FALSE)+VLOOKUP(D278,'point sur les patentes'!B:N,13,FALSE)+VLOOKUP(D278,'point sur les patentes'!B:O,14,FALSE)+VLOOKUP(D278,'point sur les patentes'!B:P,15,FALSE)+VLOOKUP(D278,'point sur les patentes'!B:Q,16,FALSE)+VLOOKUP('vs mars'!D278,'point sur les patentes'!B:Z,25,FALSE))</f>
        <v>#N/A</v>
      </c>
      <c r="W278" s="340" t="e">
        <f>VLOOKUP(D278,'SUIVI JOURNALIER AVRIL'!B:J,9,FALSE)</f>
        <v>#N/A</v>
      </c>
      <c r="X278" s="340" t="e">
        <f>VLOOKUP(D278,'SUIVI JOURNALIER AVRIL'!B:P,14,FALSE)+VLOOKUP('vs mars'!D278,'SUIVI JOURNALIER AVRIL'!B:V,20,FALSE)+VLOOKUP('vs mars'!D278,'SUIVI JOURNALIER AVRIL'!B:W,21,FALSE)</f>
        <v>#N/A</v>
      </c>
      <c r="Y278" s="340" t="e">
        <f>VLOOKUP(D278,'SUIVI JOURNALIER AVRIL'!B:CC,80,FALSE)</f>
        <v>#N/A</v>
      </c>
      <c r="Z278" s="340" t="e">
        <f t="shared" si="8"/>
        <v>#N/A</v>
      </c>
      <c r="AA278" s="359" t="e">
        <f>VLOOKUP(D278,'SUIVI JOURNALIER AVRIL'!B:CD,81,FALSE)</f>
        <v>#N/A</v>
      </c>
      <c r="AB278" s="360" t="e">
        <f t="shared" si="9"/>
        <v>#N/A</v>
      </c>
      <c r="AC278" s="360" t="str">
        <f>VLOOKUP(B278,labo!B:D,3,FALSE)</f>
        <v>ug4</v>
      </c>
      <c r="AD278" s="360" t="s">
        <v>2629</v>
      </c>
      <c r="AF278" s="330" t="e">
        <f>VLOOKUP(D278,'SUIVI JOURNALIER AVRIL'!CK:CL,2,FALSE)</f>
        <v>#N/A</v>
      </c>
      <c r="AG278" s="360">
        <v>1</v>
      </c>
    </row>
    <row r="279" spans="1:33" s="360" customFormat="1" ht="13.5" customHeight="1">
      <c r="A279" s="324" t="s">
        <v>1282</v>
      </c>
      <c r="B279" s="325" t="s">
        <v>379</v>
      </c>
      <c r="C279" s="325" t="s">
        <v>2055</v>
      </c>
      <c r="D279" s="325" t="s">
        <v>808</v>
      </c>
      <c r="E279" s="324" t="s">
        <v>562</v>
      </c>
      <c r="F279" s="324" t="s">
        <v>2055</v>
      </c>
      <c r="G279" s="324" t="s">
        <v>926</v>
      </c>
      <c r="H279" s="324" t="s">
        <v>1229</v>
      </c>
      <c r="I279" s="324" t="s">
        <v>1360</v>
      </c>
      <c r="J279" s="324" t="s">
        <v>940</v>
      </c>
      <c r="K279" s="324" t="s">
        <v>890</v>
      </c>
      <c r="L279" s="324" t="s">
        <v>891</v>
      </c>
      <c r="M279" s="324" t="s">
        <v>892</v>
      </c>
      <c r="N279" s="324" t="s">
        <v>893</v>
      </c>
      <c r="O279" s="324" t="s">
        <v>894</v>
      </c>
      <c r="P279" s="324" t="s">
        <v>935</v>
      </c>
      <c r="Q279" s="324" t="s">
        <v>1271</v>
      </c>
      <c r="R279" s="324" t="s">
        <v>1361</v>
      </c>
      <c r="S279" s="356" t="s">
        <v>895</v>
      </c>
      <c r="T279" s="309" t="s">
        <v>953</v>
      </c>
      <c r="U279" s="357" t="e">
        <f>VLOOKUP(D279,'SUIVI JOURNALIER AVRIL'!CK:CM,3,FALSE)</f>
        <v>#N/A</v>
      </c>
      <c r="V279" s="358" t="e">
        <f>IF(VLOOKUP('vs mars'!D279,'point sur les patentes'!B:E,4,FALSE)="","",VLOOKUP(D279,'point sur les patentes'!B:E,4,FALSE)+VLOOKUP(D279,'point sur les patentes'!B:F,5,FALSE)+VLOOKUP('vs mars'!D279,'point sur les patentes'!B:G,6,FALSE)+VLOOKUP('vs mars'!D279,'point sur les patentes'!B:H,7,FALSE)+VLOOKUP('vs mars'!D279,'point sur les patentes'!B:I,8,FALSE)+VLOOKUP(D279,'point sur les patentes'!B:J,9,FALSE)+VLOOKUP(D279,'point sur les patentes'!B:K,10,FALSE)+VLOOKUP(D279,'point sur les patentes'!B:L,11,FALSE)+VLOOKUP(D279,'point sur les patentes'!B:M,12,FALSE)+VLOOKUP(D279,'point sur les patentes'!B:N,13,FALSE)+VLOOKUP(D279,'point sur les patentes'!B:O,14,FALSE)+VLOOKUP(D279,'point sur les patentes'!B:P,15,FALSE)+VLOOKUP(D279,'point sur les patentes'!B:Q,16,FALSE)+VLOOKUP('vs mars'!D279,'point sur les patentes'!B:Z,25,FALSE))</f>
        <v>#N/A</v>
      </c>
      <c r="W279" s="340" t="e">
        <f>VLOOKUP(D279,'SUIVI JOURNALIER AVRIL'!B:J,9,FALSE)</f>
        <v>#N/A</v>
      </c>
      <c r="X279" s="340" t="e">
        <f>VLOOKUP(D279,'SUIVI JOURNALIER AVRIL'!B:P,14,FALSE)+VLOOKUP('vs mars'!D279,'SUIVI JOURNALIER AVRIL'!B:V,20,FALSE)+VLOOKUP('vs mars'!D279,'SUIVI JOURNALIER AVRIL'!B:W,21,FALSE)</f>
        <v>#N/A</v>
      </c>
      <c r="Y279" s="340" t="e">
        <f>VLOOKUP(D279,'SUIVI JOURNALIER AVRIL'!B:CC,80,FALSE)</f>
        <v>#N/A</v>
      </c>
      <c r="Z279" s="340" t="e">
        <f t="shared" si="8"/>
        <v>#N/A</v>
      </c>
      <c r="AA279" s="359" t="e">
        <f>VLOOKUP(D279,'SUIVI JOURNALIER AVRIL'!B:CD,81,FALSE)</f>
        <v>#N/A</v>
      </c>
      <c r="AB279" s="360" t="e">
        <f t="shared" si="9"/>
        <v>#N/A</v>
      </c>
      <c r="AC279" s="360" t="str">
        <f>VLOOKUP(B279,labo!B:D,3,FALSE)</f>
        <v>ug4</v>
      </c>
      <c r="AD279" s="360" t="s">
        <v>2629</v>
      </c>
      <c r="AF279" s="330" t="e">
        <f>VLOOKUP(D279,'SUIVI JOURNALIER AVRIL'!CK:CL,2,FALSE)</f>
        <v>#N/A</v>
      </c>
      <c r="AG279" s="360">
        <v>1</v>
      </c>
    </row>
    <row r="280" spans="1:33" s="360" customFormat="1" ht="13.5" customHeight="1">
      <c r="A280" s="324" t="s">
        <v>1304</v>
      </c>
      <c r="B280" s="325" t="s">
        <v>283</v>
      </c>
      <c r="C280" s="325" t="s">
        <v>2055</v>
      </c>
      <c r="D280" s="325" t="s">
        <v>809</v>
      </c>
      <c r="E280" s="324" t="s">
        <v>542</v>
      </c>
      <c r="F280" s="324" t="s">
        <v>2055</v>
      </c>
      <c r="G280" s="324" t="s">
        <v>926</v>
      </c>
      <c r="H280" s="324" t="s">
        <v>1362</v>
      </c>
      <c r="I280" s="324" t="s">
        <v>1363</v>
      </c>
      <c r="J280" s="324" t="s">
        <v>940</v>
      </c>
      <c r="K280" s="324" t="s">
        <v>890</v>
      </c>
      <c r="L280" s="324" t="s">
        <v>891</v>
      </c>
      <c r="M280" s="324" t="s">
        <v>892</v>
      </c>
      <c r="N280" s="324" t="s">
        <v>893</v>
      </c>
      <c r="O280" s="324" t="s">
        <v>894</v>
      </c>
      <c r="P280" s="324" t="s">
        <v>899</v>
      </c>
      <c r="Q280" s="324" t="s">
        <v>1021</v>
      </c>
      <c r="R280" s="324" t="s">
        <v>1208</v>
      </c>
      <c r="S280" s="356" t="s">
        <v>895</v>
      </c>
      <c r="T280" s="309" t="s">
        <v>999</v>
      </c>
      <c r="U280" s="357" t="e">
        <f>VLOOKUP(D280,'SUIVI JOURNALIER AVRIL'!CK:CM,3,FALSE)</f>
        <v>#N/A</v>
      </c>
      <c r="V280" s="358" t="e">
        <f>IF(VLOOKUP('vs mars'!D280,'point sur les patentes'!B:E,4,FALSE)="","",VLOOKUP(D280,'point sur les patentes'!B:E,4,FALSE)+VLOOKUP(D280,'point sur les patentes'!B:F,5,FALSE)+VLOOKUP('vs mars'!D280,'point sur les patentes'!B:G,6,FALSE)+VLOOKUP('vs mars'!D280,'point sur les patentes'!B:H,7,FALSE)+VLOOKUP('vs mars'!D280,'point sur les patentes'!B:I,8,FALSE)+VLOOKUP(D280,'point sur les patentes'!B:J,9,FALSE)+VLOOKUP(D280,'point sur les patentes'!B:K,10,FALSE)+VLOOKUP(D280,'point sur les patentes'!B:L,11,FALSE)+VLOOKUP(D280,'point sur les patentes'!B:M,12,FALSE)+VLOOKUP(D280,'point sur les patentes'!B:N,13,FALSE)+VLOOKUP(D280,'point sur les patentes'!B:O,14,FALSE)+VLOOKUP(D280,'point sur les patentes'!B:P,15,FALSE)+VLOOKUP(D280,'point sur les patentes'!B:Q,16,FALSE)+VLOOKUP('vs mars'!D280,'point sur les patentes'!B:Z,25,FALSE))</f>
        <v>#N/A</v>
      </c>
      <c r="W280" s="340">
        <f>VLOOKUP(D280,'SUIVI JOURNALIER AVRIL'!B:J,9,FALSE)</f>
        <v>2425184</v>
      </c>
      <c r="X280" s="340">
        <f>VLOOKUP(D280,'SUIVI JOURNALIER AVRIL'!B:P,14,FALSE)+VLOOKUP('vs mars'!D280,'SUIVI JOURNALIER AVRIL'!B:V,20,FALSE)+VLOOKUP('vs mars'!D280,'SUIVI JOURNALIER AVRIL'!B:W,21,FALSE)</f>
        <v>528618</v>
      </c>
      <c r="Y280" s="340">
        <f>VLOOKUP(D280,'SUIVI JOURNALIER AVRIL'!B:CC,80,FALSE)</f>
        <v>1536591</v>
      </c>
      <c r="Z280" s="340">
        <f t="shared" si="8"/>
        <v>4490393</v>
      </c>
      <c r="AA280" s="359">
        <f>VLOOKUP(D280,'SUIVI JOURNALIER AVRIL'!B:CD,81,FALSE)</f>
        <v>4490393</v>
      </c>
      <c r="AB280" s="360" t="str">
        <f t="shared" si="9"/>
        <v>ok</v>
      </c>
      <c r="AC280" s="360" t="str">
        <f>VLOOKUP(B280,labo!B:D,3,FALSE)</f>
        <v>ug2</v>
      </c>
      <c r="AD280" s="360" t="s">
        <v>2629</v>
      </c>
      <c r="AF280" s="330" t="e">
        <f>VLOOKUP(D280,'SUIVI JOURNALIER AVRIL'!CK:CL,2,FALSE)</f>
        <v>#N/A</v>
      </c>
      <c r="AG280" s="360">
        <v>1</v>
      </c>
    </row>
    <row r="281" spans="1:33" s="360" customFormat="1" ht="13.5" customHeight="1">
      <c r="A281" s="324" t="s">
        <v>1939</v>
      </c>
      <c r="B281" s="325" t="s">
        <v>376</v>
      </c>
      <c r="C281" s="325" t="s">
        <v>2055</v>
      </c>
      <c r="D281" s="325" t="s">
        <v>810</v>
      </c>
      <c r="E281" s="324" t="s">
        <v>562</v>
      </c>
      <c r="F281" s="324" t="s">
        <v>2055</v>
      </c>
      <c r="G281" s="324" t="s">
        <v>926</v>
      </c>
      <c r="H281" s="324" t="s">
        <v>897</v>
      </c>
      <c r="I281" s="324" t="s">
        <v>1529</v>
      </c>
      <c r="J281" s="324" t="s">
        <v>940</v>
      </c>
      <c r="K281" s="324" t="s">
        <v>890</v>
      </c>
      <c r="L281" s="324" t="s">
        <v>891</v>
      </c>
      <c r="M281" s="324" t="s">
        <v>892</v>
      </c>
      <c r="N281" s="324" t="s">
        <v>893</v>
      </c>
      <c r="O281" s="324" t="s">
        <v>894</v>
      </c>
      <c r="P281" s="324" t="s">
        <v>928</v>
      </c>
      <c r="Q281" s="324" t="s">
        <v>1364</v>
      </c>
      <c r="R281" s="324" t="s">
        <v>1364</v>
      </c>
      <c r="S281" s="356" t="s">
        <v>895</v>
      </c>
      <c r="T281" s="309" t="s">
        <v>944</v>
      </c>
      <c r="U281" s="357" t="e">
        <f>VLOOKUP(D281,'SUIVI JOURNALIER AVRIL'!CK:CM,3,FALSE)</f>
        <v>#N/A</v>
      </c>
      <c r="V281" s="358" t="e">
        <f>IF(VLOOKUP('vs mars'!D281,'point sur les patentes'!B:E,4,FALSE)="","",VLOOKUP(D281,'point sur les patentes'!B:E,4,FALSE)+VLOOKUP(D281,'point sur les patentes'!B:F,5,FALSE)+VLOOKUP('vs mars'!D281,'point sur les patentes'!B:G,6,FALSE)+VLOOKUP('vs mars'!D281,'point sur les patentes'!B:H,7,FALSE)+VLOOKUP('vs mars'!D281,'point sur les patentes'!B:I,8,FALSE)+VLOOKUP(D281,'point sur les patentes'!B:J,9,FALSE)+VLOOKUP(D281,'point sur les patentes'!B:K,10,FALSE)+VLOOKUP(D281,'point sur les patentes'!B:L,11,FALSE)+VLOOKUP(D281,'point sur les patentes'!B:M,12,FALSE)+VLOOKUP(D281,'point sur les patentes'!B:N,13,FALSE)+VLOOKUP(D281,'point sur les patentes'!B:O,14,FALSE)+VLOOKUP(D281,'point sur les patentes'!B:P,15,FALSE)+VLOOKUP(D281,'point sur les patentes'!B:Q,16,FALSE)+VLOOKUP('vs mars'!D281,'point sur les patentes'!B:Z,25,FALSE))</f>
        <v>#N/A</v>
      </c>
      <c r="W281" s="340" t="e">
        <f>VLOOKUP(D281,'SUIVI JOURNALIER AVRIL'!B:J,9,FALSE)</f>
        <v>#N/A</v>
      </c>
      <c r="X281" s="340" t="e">
        <f>VLOOKUP(D281,'SUIVI JOURNALIER AVRIL'!B:P,14,FALSE)+VLOOKUP('vs mars'!D281,'SUIVI JOURNALIER AVRIL'!B:V,20,FALSE)+VLOOKUP('vs mars'!D281,'SUIVI JOURNALIER AVRIL'!B:W,21,FALSE)</f>
        <v>#N/A</v>
      </c>
      <c r="Y281" s="340" t="e">
        <f>VLOOKUP(D281,'SUIVI JOURNALIER AVRIL'!B:CC,80,FALSE)</f>
        <v>#N/A</v>
      </c>
      <c r="Z281" s="340" t="e">
        <f t="shared" si="8"/>
        <v>#N/A</v>
      </c>
      <c r="AA281" s="359" t="e">
        <f>VLOOKUP(D281,'SUIVI JOURNALIER AVRIL'!B:CD,81,FALSE)</f>
        <v>#N/A</v>
      </c>
      <c r="AB281" s="360" t="e">
        <f t="shared" si="9"/>
        <v>#N/A</v>
      </c>
      <c r="AC281" s="360" t="str">
        <f>VLOOKUP(B281,labo!B:D,3,FALSE)</f>
        <v>ug4</v>
      </c>
      <c r="AD281" s="360" t="s">
        <v>2629</v>
      </c>
      <c r="AF281" s="330" t="e">
        <f>VLOOKUP(D281,'SUIVI JOURNALIER AVRIL'!CK:CL,2,FALSE)</f>
        <v>#N/A</v>
      </c>
      <c r="AG281" s="360">
        <v>1</v>
      </c>
    </row>
    <row r="282" spans="1:33" s="360" customFormat="1" ht="13.5" customHeight="1">
      <c r="A282" s="324" t="s">
        <v>1940</v>
      </c>
      <c r="B282" s="325" t="s">
        <v>1941</v>
      </c>
      <c r="C282" s="325" t="s">
        <v>1942</v>
      </c>
      <c r="D282" s="325" t="s">
        <v>1943</v>
      </c>
      <c r="E282" s="324" t="s">
        <v>432</v>
      </c>
      <c r="F282" s="324" t="s">
        <v>2055</v>
      </c>
      <c r="G282" s="324" t="s">
        <v>926</v>
      </c>
      <c r="H282" s="324" t="s">
        <v>1442</v>
      </c>
      <c r="I282" s="324" t="s">
        <v>2095</v>
      </c>
      <c r="J282" s="324" t="s">
        <v>940</v>
      </c>
      <c r="K282" s="324" t="s">
        <v>890</v>
      </c>
      <c r="L282" s="324" t="s">
        <v>891</v>
      </c>
      <c r="M282" s="324" t="s">
        <v>892</v>
      </c>
      <c r="N282" s="324" t="s">
        <v>893</v>
      </c>
      <c r="O282" s="324" t="s">
        <v>894</v>
      </c>
      <c r="P282" s="324" t="s">
        <v>899</v>
      </c>
      <c r="Q282" s="324" t="s">
        <v>900</v>
      </c>
      <c r="R282" s="324" t="s">
        <v>1944</v>
      </c>
      <c r="S282" s="356" t="s">
        <v>895</v>
      </c>
      <c r="T282" s="309" t="s">
        <v>1089</v>
      </c>
      <c r="U282" s="357" t="e">
        <f>VLOOKUP(D282,'SUIVI JOURNALIER AVRIL'!CK:CM,3,FALSE)</f>
        <v>#N/A</v>
      </c>
      <c r="V282" s="358" t="e">
        <f>IF(VLOOKUP('vs mars'!D282,'point sur les patentes'!B:E,4,FALSE)="","",VLOOKUP(D282,'point sur les patentes'!B:E,4,FALSE)+VLOOKUP(D282,'point sur les patentes'!B:F,5,FALSE)+VLOOKUP('vs mars'!D282,'point sur les patentes'!B:G,6,FALSE)+VLOOKUP('vs mars'!D282,'point sur les patentes'!B:H,7,FALSE)+VLOOKUP('vs mars'!D282,'point sur les patentes'!B:I,8,FALSE)+VLOOKUP(D282,'point sur les patentes'!B:J,9,FALSE)+VLOOKUP(D282,'point sur les patentes'!B:K,10,FALSE)+VLOOKUP(D282,'point sur les patentes'!B:L,11,FALSE)+VLOOKUP(D282,'point sur les patentes'!B:M,12,FALSE)+VLOOKUP(D282,'point sur les patentes'!B:N,13,FALSE)+VLOOKUP(D282,'point sur les patentes'!B:O,14,FALSE)+VLOOKUP(D282,'point sur les patentes'!B:P,15,FALSE)+VLOOKUP(D282,'point sur les patentes'!B:Q,16,FALSE)+VLOOKUP('vs mars'!D282,'point sur les patentes'!B:Z,25,FALSE))</f>
        <v>#N/A</v>
      </c>
      <c r="W282" s="340" t="e">
        <f>VLOOKUP(D282,'SUIVI JOURNALIER AVRIL'!B:J,9,FALSE)</f>
        <v>#N/A</v>
      </c>
      <c r="X282" s="340" t="e">
        <f>VLOOKUP(D282,'SUIVI JOURNALIER AVRIL'!B:P,14,FALSE)+VLOOKUP('vs mars'!D282,'SUIVI JOURNALIER AVRIL'!B:V,20,FALSE)+VLOOKUP('vs mars'!D282,'SUIVI JOURNALIER AVRIL'!B:W,21,FALSE)</f>
        <v>#N/A</v>
      </c>
      <c r="Y282" s="340" t="e">
        <f>VLOOKUP(D282,'SUIVI JOURNALIER AVRIL'!B:CC,80,FALSE)</f>
        <v>#N/A</v>
      </c>
      <c r="Z282" s="340" t="e">
        <f t="shared" si="8"/>
        <v>#N/A</v>
      </c>
      <c r="AA282" s="359" t="e">
        <f>VLOOKUP(D282,'SUIVI JOURNALIER AVRIL'!B:CD,81,FALSE)</f>
        <v>#N/A</v>
      </c>
      <c r="AB282" s="360" t="e">
        <f t="shared" si="9"/>
        <v>#N/A</v>
      </c>
      <c r="AC282" s="360" t="str">
        <f>VLOOKUP(B282,labo!B:D,3,FALSE)</f>
        <v>ug2</v>
      </c>
      <c r="AD282" s="360" t="s">
        <v>2629</v>
      </c>
      <c r="AF282" s="330" t="e">
        <f>VLOOKUP(D282,'SUIVI JOURNALIER AVRIL'!CK:CL,2,FALSE)</f>
        <v>#N/A</v>
      </c>
      <c r="AG282" s="360">
        <v>1</v>
      </c>
    </row>
    <row r="283" spans="1:33" s="360" customFormat="1" ht="13.5" customHeight="1">
      <c r="A283" s="324" t="s">
        <v>1945</v>
      </c>
      <c r="B283" s="325" t="s">
        <v>811</v>
      </c>
      <c r="C283" s="325" t="s">
        <v>812</v>
      </c>
      <c r="D283" s="325" t="s">
        <v>813</v>
      </c>
      <c r="E283" s="324" t="s">
        <v>432</v>
      </c>
      <c r="F283" s="324" t="s">
        <v>2055</v>
      </c>
      <c r="G283" s="324" t="s">
        <v>926</v>
      </c>
      <c r="H283" s="324" t="s">
        <v>1365</v>
      </c>
      <c r="I283" s="324" t="s">
        <v>1366</v>
      </c>
      <c r="J283" s="324" t="s">
        <v>889</v>
      </c>
      <c r="K283" s="324" t="s">
        <v>890</v>
      </c>
      <c r="L283" s="324" t="s">
        <v>891</v>
      </c>
      <c r="M283" s="324" t="s">
        <v>892</v>
      </c>
      <c r="N283" s="324" t="s">
        <v>893</v>
      </c>
      <c r="O283" s="324" t="s">
        <v>894</v>
      </c>
      <c r="P283" s="324" t="s">
        <v>899</v>
      </c>
      <c r="Q283" s="324" t="s">
        <v>900</v>
      </c>
      <c r="R283" s="324" t="s">
        <v>1367</v>
      </c>
      <c r="S283" s="356" t="s">
        <v>895</v>
      </c>
      <c r="T283" s="309" t="s">
        <v>977</v>
      </c>
      <c r="U283" s="357">
        <f>VLOOKUP(D283,'SUIVI JOURNALIER AVRIL'!CK:CM,3,FALSE)</f>
        <v>0</v>
      </c>
      <c r="V283" s="358" t="e">
        <f>IF(VLOOKUP('vs mars'!D283,'point sur les patentes'!B:E,4,FALSE)="","",VLOOKUP(D283,'point sur les patentes'!B:E,4,FALSE)+VLOOKUP(D283,'point sur les patentes'!B:F,5,FALSE)+VLOOKUP('vs mars'!D283,'point sur les patentes'!B:G,6,FALSE)+VLOOKUP('vs mars'!D283,'point sur les patentes'!B:H,7,FALSE)+VLOOKUP('vs mars'!D283,'point sur les patentes'!B:I,8,FALSE)+VLOOKUP(D283,'point sur les patentes'!B:J,9,FALSE)+VLOOKUP(D283,'point sur les patentes'!B:K,10,FALSE)+VLOOKUP(D283,'point sur les patentes'!B:L,11,FALSE)+VLOOKUP(D283,'point sur les patentes'!B:M,12,FALSE)+VLOOKUP(D283,'point sur les patentes'!B:N,13,FALSE)+VLOOKUP(D283,'point sur les patentes'!B:O,14,FALSE)+VLOOKUP(D283,'point sur les patentes'!B:P,15,FALSE)+VLOOKUP(D283,'point sur les patentes'!B:Q,16,FALSE)+VLOOKUP('vs mars'!D283,'point sur les patentes'!B:Z,25,FALSE))</f>
        <v>#N/A</v>
      </c>
      <c r="W283" s="340">
        <f>VLOOKUP(D283,'SUIVI JOURNALIER AVRIL'!B:J,9,FALSE)</f>
        <v>637102</v>
      </c>
      <c r="X283" s="340">
        <f>VLOOKUP(D283,'SUIVI JOURNALIER AVRIL'!B:P,14,FALSE)+VLOOKUP('vs mars'!D283,'SUIVI JOURNALIER AVRIL'!B:V,20,FALSE)+VLOOKUP('vs mars'!D283,'SUIVI JOURNALIER AVRIL'!B:W,21,FALSE)</f>
        <v>708495</v>
      </c>
      <c r="Y283" s="340">
        <f>VLOOKUP(D283,'SUIVI JOURNALIER AVRIL'!B:CC,80,FALSE)</f>
        <v>140664.27272727274</v>
      </c>
      <c r="Z283" s="340">
        <f t="shared" si="8"/>
        <v>1486261.2727272727</v>
      </c>
      <c r="AA283" s="359">
        <f>VLOOKUP(D283,'SUIVI JOURNALIER AVRIL'!B:CD,81,FALSE)</f>
        <v>1486261.2727272727</v>
      </c>
      <c r="AB283" s="360" t="str">
        <f t="shared" si="9"/>
        <v>ok</v>
      </c>
      <c r="AC283" s="360" t="str">
        <f>VLOOKUP(B283,labo!B:D,3,FALSE)</f>
        <v>ug2</v>
      </c>
      <c r="AD283" s="360" t="s">
        <v>2629</v>
      </c>
      <c r="AF283" s="330">
        <f>VLOOKUP(D283,'SUIVI JOURNALIER AVRIL'!CK:CL,2,FALSE)</f>
        <v>0</v>
      </c>
      <c r="AG283" s="360">
        <v>1</v>
      </c>
    </row>
    <row r="284" spans="1:33" s="360" customFormat="1" ht="13.5" customHeight="1">
      <c r="A284" s="324" t="s">
        <v>1949</v>
      </c>
      <c r="B284" s="325" t="s">
        <v>1916</v>
      </c>
      <c r="C284" s="325" t="s">
        <v>2055</v>
      </c>
      <c r="D284" s="325" t="s">
        <v>1922</v>
      </c>
      <c r="E284" s="324" t="s">
        <v>1928</v>
      </c>
      <c r="F284" s="324" t="s">
        <v>2055</v>
      </c>
      <c r="G284" s="324" t="s">
        <v>926</v>
      </c>
      <c r="H284" s="324" t="s">
        <v>897</v>
      </c>
      <c r="I284" s="324" t="s">
        <v>1929</v>
      </c>
      <c r="J284" s="324" t="s">
        <v>940</v>
      </c>
      <c r="K284" s="324" t="s">
        <v>890</v>
      </c>
      <c r="L284" s="324" t="s">
        <v>891</v>
      </c>
      <c r="M284" s="324" t="s">
        <v>892</v>
      </c>
      <c r="N284" s="324" t="s">
        <v>893</v>
      </c>
      <c r="O284" s="324" t="s">
        <v>894</v>
      </c>
      <c r="P284" s="324" t="s">
        <v>899</v>
      </c>
      <c r="Q284" s="324" t="s">
        <v>1930</v>
      </c>
      <c r="R284" s="324" t="s">
        <v>1931</v>
      </c>
      <c r="S284" s="356" t="s">
        <v>895</v>
      </c>
      <c r="T284" s="309" t="s">
        <v>944</v>
      </c>
      <c r="U284" s="357" t="e">
        <f>VLOOKUP(D284,'SUIVI JOURNALIER AVRIL'!CK:CM,3,FALSE)</f>
        <v>#N/A</v>
      </c>
      <c r="V284" s="358" t="e">
        <f>IF(VLOOKUP('vs mars'!D284,'point sur les patentes'!B:E,4,FALSE)="","",VLOOKUP(D284,'point sur les patentes'!B:E,4,FALSE)+VLOOKUP(D284,'point sur les patentes'!B:F,5,FALSE)+VLOOKUP('vs mars'!D284,'point sur les patentes'!B:G,6,FALSE)+VLOOKUP('vs mars'!D284,'point sur les patentes'!B:H,7,FALSE)+VLOOKUP('vs mars'!D284,'point sur les patentes'!B:I,8,FALSE)+VLOOKUP(D284,'point sur les patentes'!B:J,9,FALSE)+VLOOKUP(D284,'point sur les patentes'!B:K,10,FALSE)+VLOOKUP(D284,'point sur les patentes'!B:L,11,FALSE)+VLOOKUP(D284,'point sur les patentes'!B:M,12,FALSE)+VLOOKUP(D284,'point sur les patentes'!B:N,13,FALSE)+VLOOKUP(D284,'point sur les patentes'!B:O,14,FALSE)+VLOOKUP(D284,'point sur les patentes'!B:P,15,FALSE)+VLOOKUP(D284,'point sur les patentes'!B:Q,16,FALSE)+VLOOKUP('vs mars'!D284,'point sur les patentes'!B:Z,25,FALSE))</f>
        <v>#N/A</v>
      </c>
      <c r="W284" s="340" t="e">
        <f>VLOOKUP(D284,'SUIVI JOURNALIER AVRIL'!B:J,9,FALSE)</f>
        <v>#N/A</v>
      </c>
      <c r="X284" s="340" t="e">
        <f>VLOOKUP(D284,'SUIVI JOURNALIER AVRIL'!B:P,14,FALSE)+VLOOKUP('vs mars'!D284,'SUIVI JOURNALIER AVRIL'!B:V,20,FALSE)+VLOOKUP('vs mars'!D284,'SUIVI JOURNALIER AVRIL'!B:W,21,FALSE)</f>
        <v>#N/A</v>
      </c>
      <c r="Y284" s="340" t="e">
        <f>VLOOKUP(D284,'SUIVI JOURNALIER AVRIL'!B:CC,80,FALSE)</f>
        <v>#N/A</v>
      </c>
      <c r="Z284" s="340" t="e">
        <f t="shared" si="8"/>
        <v>#N/A</v>
      </c>
      <c r="AA284" s="359" t="e">
        <f>VLOOKUP(D284,'SUIVI JOURNALIER AVRIL'!B:CD,81,FALSE)</f>
        <v>#N/A</v>
      </c>
      <c r="AB284" s="360" t="e">
        <f t="shared" si="9"/>
        <v>#N/A</v>
      </c>
      <c r="AC284" s="360" t="str">
        <f>VLOOKUP(B284,labo!B:D,3,FALSE)</f>
        <v>ug5</v>
      </c>
      <c r="AD284" s="360" t="s">
        <v>2629</v>
      </c>
      <c r="AF284" s="330" t="e">
        <f>VLOOKUP(D284,'SUIVI JOURNALIER AVRIL'!CK:CL,2,FALSE)</f>
        <v>#N/A</v>
      </c>
      <c r="AG284" s="360">
        <v>1</v>
      </c>
    </row>
    <row r="285" spans="1:33" s="360" customFormat="1" ht="13.5" customHeight="1">
      <c r="A285" s="324" t="s">
        <v>1953</v>
      </c>
      <c r="B285" s="325" t="s">
        <v>326</v>
      </c>
      <c r="C285" s="325" t="s">
        <v>2055</v>
      </c>
      <c r="D285" s="325" t="s">
        <v>814</v>
      </c>
      <c r="E285" s="324" t="s">
        <v>458</v>
      </c>
      <c r="F285" s="324" t="s">
        <v>2055</v>
      </c>
      <c r="G285" s="324" t="s">
        <v>926</v>
      </c>
      <c r="H285" s="324" t="s">
        <v>897</v>
      </c>
      <c r="I285" s="324" t="s">
        <v>1530</v>
      </c>
      <c r="J285" s="324" t="s">
        <v>940</v>
      </c>
      <c r="K285" s="324" t="s">
        <v>890</v>
      </c>
      <c r="L285" s="324" t="s">
        <v>891</v>
      </c>
      <c r="M285" s="324" t="s">
        <v>892</v>
      </c>
      <c r="N285" s="324" t="s">
        <v>893</v>
      </c>
      <c r="O285" s="324" t="s">
        <v>894</v>
      </c>
      <c r="P285" s="324" t="s">
        <v>928</v>
      </c>
      <c r="Q285" s="324" t="s">
        <v>1368</v>
      </c>
      <c r="R285" s="324" t="s">
        <v>1369</v>
      </c>
      <c r="S285" s="356" t="s">
        <v>895</v>
      </c>
      <c r="T285" s="309" t="s">
        <v>1177</v>
      </c>
      <c r="U285" s="357" t="e">
        <f>VLOOKUP(D285,'SUIVI JOURNALIER AVRIL'!CK:CM,3,FALSE)</f>
        <v>#N/A</v>
      </c>
      <c r="V285" s="358" t="e">
        <f>IF(VLOOKUP('vs mars'!D285,'point sur les patentes'!B:E,4,FALSE)="","",VLOOKUP(D285,'point sur les patentes'!B:E,4,FALSE)+VLOOKUP(D285,'point sur les patentes'!B:F,5,FALSE)+VLOOKUP('vs mars'!D285,'point sur les patentes'!B:G,6,FALSE)+VLOOKUP('vs mars'!D285,'point sur les patentes'!B:H,7,FALSE)+VLOOKUP('vs mars'!D285,'point sur les patentes'!B:I,8,FALSE)+VLOOKUP(D285,'point sur les patentes'!B:J,9,FALSE)+VLOOKUP(D285,'point sur les patentes'!B:K,10,FALSE)+VLOOKUP(D285,'point sur les patentes'!B:L,11,FALSE)+VLOOKUP(D285,'point sur les patentes'!B:M,12,FALSE)+VLOOKUP(D285,'point sur les patentes'!B:N,13,FALSE)+VLOOKUP(D285,'point sur les patentes'!B:O,14,FALSE)+VLOOKUP(D285,'point sur les patentes'!B:P,15,FALSE)+VLOOKUP(D285,'point sur les patentes'!B:Q,16,FALSE)+VLOOKUP('vs mars'!D285,'point sur les patentes'!B:Z,25,FALSE))</f>
        <v>#N/A</v>
      </c>
      <c r="W285" s="340" t="e">
        <f>VLOOKUP(D285,'SUIVI JOURNALIER AVRIL'!B:J,9,FALSE)</f>
        <v>#N/A</v>
      </c>
      <c r="X285" s="340" t="e">
        <f>VLOOKUP(D285,'SUIVI JOURNALIER AVRIL'!B:P,14,FALSE)+VLOOKUP('vs mars'!D285,'SUIVI JOURNALIER AVRIL'!B:V,20,FALSE)+VLOOKUP('vs mars'!D285,'SUIVI JOURNALIER AVRIL'!B:W,21,FALSE)</f>
        <v>#N/A</v>
      </c>
      <c r="Y285" s="340" t="e">
        <f>VLOOKUP(D285,'SUIVI JOURNALIER AVRIL'!B:CC,80,FALSE)</f>
        <v>#N/A</v>
      </c>
      <c r="Z285" s="340" t="e">
        <f t="shared" si="8"/>
        <v>#N/A</v>
      </c>
      <c r="AA285" s="359" t="e">
        <f>VLOOKUP(D285,'SUIVI JOURNALIER AVRIL'!B:CD,81,FALSE)</f>
        <v>#N/A</v>
      </c>
      <c r="AB285" s="360" t="e">
        <f t="shared" si="9"/>
        <v>#N/A</v>
      </c>
      <c r="AC285" s="360" t="str">
        <f>VLOOKUP(B285,labo!B:D,3,FALSE)</f>
        <v>ug4</v>
      </c>
      <c r="AD285" s="360" t="s">
        <v>2629</v>
      </c>
      <c r="AF285" s="330" t="e">
        <f>VLOOKUP(D285,'SUIVI JOURNALIER AVRIL'!CK:CL,2,FALSE)</f>
        <v>#N/A</v>
      </c>
      <c r="AG285" s="360">
        <v>1</v>
      </c>
    </row>
    <row r="286" spans="1:33" s="360" customFormat="1" ht="13.5" customHeight="1">
      <c r="A286" s="324" t="s">
        <v>1139</v>
      </c>
      <c r="B286" s="325" t="s">
        <v>327</v>
      </c>
      <c r="C286" s="325" t="s">
        <v>815</v>
      </c>
      <c r="D286" s="325" t="s">
        <v>816</v>
      </c>
      <c r="E286" s="324" t="s">
        <v>562</v>
      </c>
      <c r="F286" s="324" t="s">
        <v>2055</v>
      </c>
      <c r="G286" s="324" t="s">
        <v>926</v>
      </c>
      <c r="H286" s="324" t="s">
        <v>897</v>
      </c>
      <c r="I286" s="324" t="s">
        <v>1531</v>
      </c>
      <c r="J286" s="324" t="s">
        <v>940</v>
      </c>
      <c r="K286" s="324" t="s">
        <v>890</v>
      </c>
      <c r="L286" s="324" t="s">
        <v>891</v>
      </c>
      <c r="M286" s="324" t="s">
        <v>892</v>
      </c>
      <c r="N286" s="324" t="s">
        <v>893</v>
      </c>
      <c r="O286" s="324" t="s">
        <v>894</v>
      </c>
      <c r="P286" s="324" t="s">
        <v>928</v>
      </c>
      <c r="Q286" s="324" t="s">
        <v>1271</v>
      </c>
      <c r="R286" s="324" t="s">
        <v>1370</v>
      </c>
      <c r="S286" s="356" t="s">
        <v>895</v>
      </c>
      <c r="T286" s="309" t="s">
        <v>999</v>
      </c>
      <c r="U286" s="357" t="e">
        <f>VLOOKUP(D286,'SUIVI JOURNALIER AVRIL'!CK:CM,3,FALSE)</f>
        <v>#N/A</v>
      </c>
      <c r="V286" s="358" t="e">
        <f>IF(VLOOKUP('vs mars'!D286,'point sur les patentes'!B:E,4,FALSE)="","",VLOOKUP(D286,'point sur les patentes'!B:E,4,FALSE)+VLOOKUP(D286,'point sur les patentes'!B:F,5,FALSE)+VLOOKUP('vs mars'!D286,'point sur les patentes'!B:G,6,FALSE)+VLOOKUP('vs mars'!D286,'point sur les patentes'!B:H,7,FALSE)+VLOOKUP('vs mars'!D286,'point sur les patentes'!B:I,8,FALSE)+VLOOKUP(D286,'point sur les patentes'!B:J,9,FALSE)+VLOOKUP(D286,'point sur les patentes'!B:K,10,FALSE)+VLOOKUP(D286,'point sur les patentes'!B:L,11,FALSE)+VLOOKUP(D286,'point sur les patentes'!B:M,12,FALSE)+VLOOKUP(D286,'point sur les patentes'!B:N,13,FALSE)+VLOOKUP(D286,'point sur les patentes'!B:O,14,FALSE)+VLOOKUP(D286,'point sur les patentes'!B:P,15,FALSE)+VLOOKUP(D286,'point sur les patentes'!B:Q,16,FALSE)+VLOOKUP('vs mars'!D286,'point sur les patentes'!B:Z,25,FALSE))</f>
        <v>#N/A</v>
      </c>
      <c r="W286" s="340" t="e">
        <f>VLOOKUP(D286,'SUIVI JOURNALIER AVRIL'!B:J,9,FALSE)</f>
        <v>#N/A</v>
      </c>
      <c r="X286" s="340" t="e">
        <f>VLOOKUP(D286,'SUIVI JOURNALIER AVRIL'!B:P,14,FALSE)+VLOOKUP('vs mars'!D286,'SUIVI JOURNALIER AVRIL'!B:V,20,FALSE)+VLOOKUP('vs mars'!D286,'SUIVI JOURNALIER AVRIL'!B:W,21,FALSE)</f>
        <v>#N/A</v>
      </c>
      <c r="Y286" s="340" t="e">
        <f>VLOOKUP(D286,'SUIVI JOURNALIER AVRIL'!B:CC,80,FALSE)</f>
        <v>#N/A</v>
      </c>
      <c r="Z286" s="340" t="e">
        <f t="shared" si="8"/>
        <v>#N/A</v>
      </c>
      <c r="AA286" s="359" t="e">
        <f>VLOOKUP(D286,'SUIVI JOURNALIER AVRIL'!B:CD,81,FALSE)</f>
        <v>#N/A</v>
      </c>
      <c r="AB286" s="360" t="e">
        <f t="shared" si="9"/>
        <v>#N/A</v>
      </c>
      <c r="AC286" s="360" t="str">
        <f>VLOOKUP(B286,labo!B:D,3,FALSE)</f>
        <v>ug4</v>
      </c>
      <c r="AD286" s="360" t="s">
        <v>2629</v>
      </c>
      <c r="AF286" s="330" t="e">
        <f>VLOOKUP(D286,'SUIVI JOURNALIER AVRIL'!CK:CL,2,FALSE)</f>
        <v>#N/A</v>
      </c>
      <c r="AG286" s="360">
        <v>1</v>
      </c>
    </row>
    <row r="287" spans="1:33" s="360" customFormat="1" ht="13.5" customHeight="1">
      <c r="A287" s="324" t="s">
        <v>2097</v>
      </c>
      <c r="B287" s="325" t="s">
        <v>1840</v>
      </c>
      <c r="C287" s="325" t="s">
        <v>2055</v>
      </c>
      <c r="D287" s="325" t="s">
        <v>1923</v>
      </c>
      <c r="E287" s="324" t="s">
        <v>542</v>
      </c>
      <c r="F287" s="324" t="s">
        <v>2055</v>
      </c>
      <c r="G287" s="324" t="s">
        <v>926</v>
      </c>
      <c r="H287" s="324" t="s">
        <v>897</v>
      </c>
      <c r="I287" s="324" t="s">
        <v>1415</v>
      </c>
      <c r="J287" s="324" t="s">
        <v>940</v>
      </c>
      <c r="K287" s="324" t="s">
        <v>890</v>
      </c>
      <c r="L287" s="324" t="s">
        <v>891</v>
      </c>
      <c r="M287" s="324" t="s">
        <v>892</v>
      </c>
      <c r="N287" s="324" t="s">
        <v>893</v>
      </c>
      <c r="O287" s="324" t="s">
        <v>894</v>
      </c>
      <c r="P287" s="324" t="s">
        <v>899</v>
      </c>
      <c r="Q287" s="324" t="s">
        <v>995</v>
      </c>
      <c r="R287" s="324" t="s">
        <v>1841</v>
      </c>
      <c r="S287" s="356" t="s">
        <v>895</v>
      </c>
      <c r="T287" s="309" t="s">
        <v>1090</v>
      </c>
      <c r="U287" s="357" t="e">
        <f>VLOOKUP(D287,'SUIVI JOURNALIER AVRIL'!CK:CM,3,FALSE)</f>
        <v>#N/A</v>
      </c>
      <c r="V287" s="358" t="e">
        <f>IF(VLOOKUP('vs mars'!D287,'point sur les patentes'!B:E,4,FALSE)="","",VLOOKUP(D287,'point sur les patentes'!B:E,4,FALSE)+VLOOKUP(D287,'point sur les patentes'!B:F,5,FALSE)+VLOOKUP('vs mars'!D287,'point sur les patentes'!B:G,6,FALSE)+VLOOKUP('vs mars'!D287,'point sur les patentes'!B:H,7,FALSE)+VLOOKUP('vs mars'!D287,'point sur les patentes'!B:I,8,FALSE)+VLOOKUP(D287,'point sur les patentes'!B:J,9,FALSE)+VLOOKUP(D287,'point sur les patentes'!B:K,10,FALSE)+VLOOKUP(D287,'point sur les patentes'!B:L,11,FALSE)+VLOOKUP(D287,'point sur les patentes'!B:M,12,FALSE)+VLOOKUP(D287,'point sur les patentes'!B:N,13,FALSE)+VLOOKUP(D287,'point sur les patentes'!B:O,14,FALSE)+VLOOKUP(D287,'point sur les patentes'!B:P,15,FALSE)+VLOOKUP(D287,'point sur les patentes'!B:Q,16,FALSE)+VLOOKUP('vs mars'!D287,'point sur les patentes'!B:Z,25,FALSE))</f>
        <v>#N/A</v>
      </c>
      <c r="W287" s="340" t="e">
        <f>VLOOKUP(D287,'SUIVI JOURNALIER AVRIL'!B:J,9,FALSE)</f>
        <v>#N/A</v>
      </c>
      <c r="X287" s="340" t="e">
        <f>VLOOKUP(D287,'SUIVI JOURNALIER AVRIL'!B:P,14,FALSE)+VLOOKUP('vs mars'!D287,'SUIVI JOURNALIER AVRIL'!B:V,20,FALSE)+VLOOKUP('vs mars'!D287,'SUIVI JOURNALIER AVRIL'!B:W,21,FALSE)</f>
        <v>#N/A</v>
      </c>
      <c r="Y287" s="340" t="e">
        <f>VLOOKUP(D287,'SUIVI JOURNALIER AVRIL'!B:CC,80,FALSE)</f>
        <v>#N/A</v>
      </c>
      <c r="Z287" s="340" t="e">
        <f t="shared" si="8"/>
        <v>#N/A</v>
      </c>
      <c r="AA287" s="359" t="e">
        <f>VLOOKUP(D287,'SUIVI JOURNALIER AVRIL'!B:CD,81,FALSE)</f>
        <v>#N/A</v>
      </c>
      <c r="AB287" s="360" t="e">
        <f t="shared" si="9"/>
        <v>#N/A</v>
      </c>
      <c r="AC287" s="360" t="str">
        <f>VLOOKUP(B287,labo!B:D,3,FALSE)</f>
        <v>ug2</v>
      </c>
      <c r="AD287" s="360" t="s">
        <v>2629</v>
      </c>
      <c r="AF287" s="330" t="e">
        <f>VLOOKUP(D287,'SUIVI JOURNALIER AVRIL'!CK:CL,2,FALSE)</f>
        <v>#N/A</v>
      </c>
      <c r="AG287" s="360">
        <v>1</v>
      </c>
    </row>
    <row r="288" spans="1:33" s="360" customFormat="1" ht="13.5" customHeight="1">
      <c r="A288" s="324" t="s">
        <v>2098</v>
      </c>
      <c r="B288" s="325" t="s">
        <v>817</v>
      </c>
      <c r="C288" s="325" t="s">
        <v>818</v>
      </c>
      <c r="D288" s="325" t="s">
        <v>819</v>
      </c>
      <c r="E288" s="324" t="s">
        <v>733</v>
      </c>
      <c r="F288" s="324" t="s">
        <v>2055</v>
      </c>
      <c r="G288" s="324" t="s">
        <v>926</v>
      </c>
      <c r="H288" s="324" t="s">
        <v>897</v>
      </c>
      <c r="I288" s="324" t="s">
        <v>1371</v>
      </c>
      <c r="J288" s="324" t="s">
        <v>940</v>
      </c>
      <c r="K288" s="324" t="s">
        <v>890</v>
      </c>
      <c r="L288" s="324" t="s">
        <v>891</v>
      </c>
      <c r="M288" s="324" t="s">
        <v>892</v>
      </c>
      <c r="N288" s="324" t="s">
        <v>893</v>
      </c>
      <c r="O288" s="324" t="s">
        <v>894</v>
      </c>
      <c r="P288" s="324" t="s">
        <v>899</v>
      </c>
      <c r="Q288" s="324" t="s">
        <v>1372</v>
      </c>
      <c r="R288" s="324" t="s">
        <v>1373</v>
      </c>
      <c r="S288" s="356" t="s">
        <v>895</v>
      </c>
      <c r="T288" s="309" t="s">
        <v>965</v>
      </c>
      <c r="U288" s="357">
        <f>VLOOKUP(D288,'SUIVI JOURNALIER AVRIL'!CK:CM,3,FALSE)</f>
        <v>0</v>
      </c>
      <c r="V288" s="358" t="e">
        <f>IF(VLOOKUP('vs mars'!D288,'point sur les patentes'!B:E,4,FALSE)="","",VLOOKUP(D288,'point sur les patentes'!B:E,4,FALSE)+VLOOKUP(D288,'point sur les patentes'!B:F,5,FALSE)+VLOOKUP('vs mars'!D288,'point sur les patentes'!B:G,6,FALSE)+VLOOKUP('vs mars'!D288,'point sur les patentes'!B:H,7,FALSE)+VLOOKUP('vs mars'!D288,'point sur les patentes'!B:I,8,FALSE)+VLOOKUP(D288,'point sur les patentes'!B:J,9,FALSE)+VLOOKUP(D288,'point sur les patentes'!B:K,10,FALSE)+VLOOKUP(D288,'point sur les patentes'!B:L,11,FALSE)+VLOOKUP(D288,'point sur les patentes'!B:M,12,FALSE)+VLOOKUP(D288,'point sur les patentes'!B:N,13,FALSE)+VLOOKUP(D288,'point sur les patentes'!B:O,14,FALSE)+VLOOKUP(D288,'point sur les patentes'!B:P,15,FALSE)+VLOOKUP(D288,'point sur les patentes'!B:Q,16,FALSE)+VLOOKUP('vs mars'!D288,'point sur les patentes'!B:Z,25,FALSE))</f>
        <v>#N/A</v>
      </c>
      <c r="W288" s="340">
        <f>VLOOKUP(D288,'SUIVI JOURNALIER AVRIL'!B:J,9,FALSE)</f>
        <v>0</v>
      </c>
      <c r="X288" s="340">
        <f>VLOOKUP(D288,'SUIVI JOURNALIER AVRIL'!B:P,14,FALSE)+VLOOKUP('vs mars'!D288,'SUIVI JOURNALIER AVRIL'!B:V,20,FALSE)+VLOOKUP('vs mars'!D288,'SUIVI JOURNALIER AVRIL'!B:W,21,FALSE)</f>
        <v>1333070</v>
      </c>
      <c r="Y288" s="340">
        <f>VLOOKUP(D288,'SUIVI JOURNALIER AVRIL'!B:CC,80,FALSE)</f>
        <v>110507</v>
      </c>
      <c r="Z288" s="340">
        <f t="shared" si="8"/>
        <v>1443577</v>
      </c>
      <c r="AA288" s="359">
        <f>VLOOKUP(D288,'SUIVI JOURNALIER AVRIL'!B:CD,81,FALSE)</f>
        <v>1443577</v>
      </c>
      <c r="AB288" s="360" t="str">
        <f t="shared" si="9"/>
        <v>ok</v>
      </c>
      <c r="AC288" s="360" t="str">
        <f>VLOOKUP(B288,labo!B:D,3,FALSE)</f>
        <v>ug4</v>
      </c>
      <c r="AD288" s="360" t="s">
        <v>2629</v>
      </c>
      <c r="AF288" s="330">
        <f>VLOOKUP(D288,'SUIVI JOURNALIER AVRIL'!CK:CL,2,FALSE)</f>
        <v>0</v>
      </c>
      <c r="AG288" s="360">
        <v>1</v>
      </c>
    </row>
    <row r="289" spans="1:33" s="360" customFormat="1" ht="13.5" customHeight="1">
      <c r="A289" s="324" t="s">
        <v>2099</v>
      </c>
      <c r="B289" s="325" t="s">
        <v>2362</v>
      </c>
      <c r="C289" s="325" t="s">
        <v>2055</v>
      </c>
      <c r="D289" s="325" t="s">
        <v>2583</v>
      </c>
      <c r="E289" s="324" t="s">
        <v>2584</v>
      </c>
      <c r="F289" s="324" t="s">
        <v>2055</v>
      </c>
      <c r="G289" s="324" t="s">
        <v>926</v>
      </c>
      <c r="H289" s="324" t="s">
        <v>2055</v>
      </c>
      <c r="I289" s="324" t="s">
        <v>2585</v>
      </c>
      <c r="J289" s="324" t="s">
        <v>2427</v>
      </c>
      <c r="K289" s="324" t="s">
        <v>2405</v>
      </c>
      <c r="L289" s="324" t="s">
        <v>891</v>
      </c>
      <c r="M289" s="324" t="s">
        <v>892</v>
      </c>
      <c r="N289" s="324" t="s">
        <v>893</v>
      </c>
      <c r="O289" s="324" t="s">
        <v>894</v>
      </c>
      <c r="P289" s="324" t="s">
        <v>919</v>
      </c>
      <c r="Q289" s="324" t="s">
        <v>2586</v>
      </c>
      <c r="R289" s="324" t="s">
        <v>2055</v>
      </c>
      <c r="S289" s="356" t="s">
        <v>895</v>
      </c>
      <c r="T289" s="309" t="s">
        <v>948</v>
      </c>
      <c r="U289" s="357">
        <f>VLOOKUP(D289,'SUIVI JOURNALIER AVRIL'!CK:CM,3,FALSE)</f>
        <v>0</v>
      </c>
      <c r="V289" s="358" t="e">
        <f>IF(VLOOKUP('vs mars'!D289,'point sur les patentes'!B:E,4,FALSE)="","",VLOOKUP(D289,'point sur les patentes'!B:E,4,FALSE)+VLOOKUP(D289,'point sur les patentes'!B:F,5,FALSE)+VLOOKUP('vs mars'!D289,'point sur les patentes'!B:G,6,FALSE)+VLOOKUP('vs mars'!D289,'point sur les patentes'!B:H,7,FALSE)+VLOOKUP('vs mars'!D289,'point sur les patentes'!B:I,8,FALSE)+VLOOKUP(D289,'point sur les patentes'!B:J,9,FALSE)+VLOOKUP(D289,'point sur les patentes'!B:K,10,FALSE)+VLOOKUP(D289,'point sur les patentes'!B:L,11,FALSE)+VLOOKUP(D289,'point sur les patentes'!B:M,12,FALSE)+VLOOKUP(D289,'point sur les patentes'!B:N,13,FALSE)+VLOOKUP(D289,'point sur les patentes'!B:O,14,FALSE)+VLOOKUP(D289,'point sur les patentes'!B:P,15,FALSE)+VLOOKUP(D289,'point sur les patentes'!B:Q,16,FALSE)+VLOOKUP('vs mars'!D289,'point sur les patentes'!B:Z,25,FALSE))</f>
        <v>#N/A</v>
      </c>
      <c r="W289" s="340">
        <f>VLOOKUP(D289,'SUIVI JOURNALIER AVRIL'!B:J,9,FALSE)</f>
        <v>0</v>
      </c>
      <c r="X289" s="340">
        <f>VLOOKUP(D289,'SUIVI JOURNALIER AVRIL'!B:P,14,FALSE)+VLOOKUP('vs mars'!D289,'SUIVI JOURNALIER AVRIL'!B:V,20,FALSE)+VLOOKUP('vs mars'!D289,'SUIVI JOURNALIER AVRIL'!B:W,21,FALSE)</f>
        <v>105610</v>
      </c>
      <c r="Y289" s="340">
        <f>VLOOKUP(D289,'SUIVI JOURNALIER AVRIL'!B:CC,80,FALSE)</f>
        <v>130708</v>
      </c>
      <c r="Z289" s="340">
        <f t="shared" si="8"/>
        <v>236318</v>
      </c>
      <c r="AA289" s="359">
        <f>VLOOKUP(D289,'SUIVI JOURNALIER AVRIL'!B:CD,81,FALSE)</f>
        <v>236318</v>
      </c>
      <c r="AB289" s="360" t="str">
        <f t="shared" si="9"/>
        <v>ok</v>
      </c>
      <c r="AC289" s="360" t="str">
        <f>VLOOKUP(B289,labo!B:D,3,FALSE)</f>
        <v>ug4</v>
      </c>
      <c r="AD289" s="360" t="s">
        <v>2630</v>
      </c>
      <c r="AF289" s="330">
        <f>VLOOKUP(D289,'SUIVI JOURNALIER AVRIL'!CK:CL,2,FALSE)</f>
        <v>0</v>
      </c>
      <c r="AG289" s="360">
        <v>1</v>
      </c>
    </row>
    <row r="290" spans="1:33" s="360" customFormat="1" ht="13.5" customHeight="1">
      <c r="A290" s="324" t="s">
        <v>2100</v>
      </c>
      <c r="B290" s="325" t="s">
        <v>329</v>
      </c>
      <c r="C290" s="325" t="s">
        <v>2055</v>
      </c>
      <c r="D290" s="325" t="s">
        <v>820</v>
      </c>
      <c r="E290" s="324" t="s">
        <v>432</v>
      </c>
      <c r="F290" s="324" t="s">
        <v>2055</v>
      </c>
      <c r="G290" s="324" t="s">
        <v>926</v>
      </c>
      <c r="H290" s="324" t="s">
        <v>897</v>
      </c>
      <c r="I290" s="324" t="s">
        <v>1374</v>
      </c>
      <c r="J290" s="324" t="s">
        <v>940</v>
      </c>
      <c r="K290" s="324" t="s">
        <v>890</v>
      </c>
      <c r="L290" s="324" t="s">
        <v>891</v>
      </c>
      <c r="M290" s="324" t="s">
        <v>892</v>
      </c>
      <c r="N290" s="324" t="s">
        <v>893</v>
      </c>
      <c r="O290" s="324" t="s">
        <v>894</v>
      </c>
      <c r="P290" s="324" t="s">
        <v>928</v>
      </c>
      <c r="Q290" s="324" t="s">
        <v>1364</v>
      </c>
      <c r="R290" s="324" t="s">
        <v>1375</v>
      </c>
      <c r="S290" s="356" t="s">
        <v>895</v>
      </c>
      <c r="T290" s="309" t="s">
        <v>916</v>
      </c>
      <c r="U290" s="357" t="e">
        <f>VLOOKUP(D290,'SUIVI JOURNALIER AVRIL'!CK:CM,3,FALSE)</f>
        <v>#N/A</v>
      </c>
      <c r="V290" s="358" t="e">
        <f>IF(VLOOKUP('vs mars'!D290,'point sur les patentes'!B:E,4,FALSE)="","",VLOOKUP(D290,'point sur les patentes'!B:E,4,FALSE)+VLOOKUP(D290,'point sur les patentes'!B:F,5,FALSE)+VLOOKUP('vs mars'!D290,'point sur les patentes'!B:G,6,FALSE)+VLOOKUP('vs mars'!D290,'point sur les patentes'!B:H,7,FALSE)+VLOOKUP('vs mars'!D290,'point sur les patentes'!B:I,8,FALSE)+VLOOKUP(D290,'point sur les patentes'!B:J,9,FALSE)+VLOOKUP(D290,'point sur les patentes'!B:K,10,FALSE)+VLOOKUP(D290,'point sur les patentes'!B:L,11,FALSE)+VLOOKUP(D290,'point sur les patentes'!B:M,12,FALSE)+VLOOKUP(D290,'point sur les patentes'!B:N,13,FALSE)+VLOOKUP(D290,'point sur les patentes'!B:O,14,FALSE)+VLOOKUP(D290,'point sur les patentes'!B:P,15,FALSE)+VLOOKUP(D290,'point sur les patentes'!B:Q,16,FALSE)+VLOOKUP('vs mars'!D290,'point sur les patentes'!B:Z,25,FALSE))</f>
        <v>#N/A</v>
      </c>
      <c r="W290" s="340" t="e">
        <f>VLOOKUP(D290,'SUIVI JOURNALIER AVRIL'!B:J,9,FALSE)</f>
        <v>#N/A</v>
      </c>
      <c r="X290" s="340" t="e">
        <f>VLOOKUP(D290,'SUIVI JOURNALIER AVRIL'!B:P,14,FALSE)+VLOOKUP('vs mars'!D290,'SUIVI JOURNALIER AVRIL'!B:V,20,FALSE)+VLOOKUP('vs mars'!D290,'SUIVI JOURNALIER AVRIL'!B:W,21,FALSE)</f>
        <v>#N/A</v>
      </c>
      <c r="Y290" s="340" t="e">
        <f>VLOOKUP(D290,'SUIVI JOURNALIER AVRIL'!B:CC,80,FALSE)</f>
        <v>#N/A</v>
      </c>
      <c r="Z290" s="340" t="e">
        <f t="shared" si="8"/>
        <v>#N/A</v>
      </c>
      <c r="AA290" s="359" t="e">
        <f>VLOOKUP(D290,'SUIVI JOURNALIER AVRIL'!B:CD,81,FALSE)</f>
        <v>#N/A</v>
      </c>
      <c r="AB290" s="360" t="e">
        <f t="shared" si="9"/>
        <v>#N/A</v>
      </c>
      <c r="AC290" s="360" t="str">
        <f>VLOOKUP(B290,labo!B:D,3,FALSE)</f>
        <v>ug2</v>
      </c>
      <c r="AD290" s="360" t="s">
        <v>2629</v>
      </c>
      <c r="AF290" s="330" t="e">
        <f>VLOOKUP(D290,'SUIVI JOURNALIER AVRIL'!CK:CL,2,FALSE)</f>
        <v>#N/A</v>
      </c>
      <c r="AG290" s="360">
        <v>1</v>
      </c>
    </row>
    <row r="291" spans="1:33" s="360" customFormat="1" ht="13.5" customHeight="1">
      <c r="A291" s="324" t="s">
        <v>2102</v>
      </c>
      <c r="B291" s="325" t="s">
        <v>1845</v>
      </c>
      <c r="C291" s="325" t="s">
        <v>2055</v>
      </c>
      <c r="D291" s="325" t="s">
        <v>1924</v>
      </c>
      <c r="E291" s="324" t="s">
        <v>432</v>
      </c>
      <c r="F291" s="324" t="s">
        <v>2055</v>
      </c>
      <c r="G291" s="324" t="s">
        <v>926</v>
      </c>
      <c r="H291" s="324" t="s">
        <v>1230</v>
      </c>
      <c r="I291" s="324" t="s">
        <v>1231</v>
      </c>
      <c r="J291" s="324" t="s">
        <v>940</v>
      </c>
      <c r="K291" s="324" t="s">
        <v>890</v>
      </c>
      <c r="L291" s="324" t="s">
        <v>891</v>
      </c>
      <c r="M291" s="324" t="s">
        <v>892</v>
      </c>
      <c r="N291" s="324" t="s">
        <v>893</v>
      </c>
      <c r="O291" s="324" t="s">
        <v>894</v>
      </c>
      <c r="P291" s="324" t="s">
        <v>899</v>
      </c>
      <c r="Q291" s="324" t="s">
        <v>900</v>
      </c>
      <c r="R291" s="324" t="s">
        <v>1846</v>
      </c>
      <c r="S291" s="356" t="s">
        <v>895</v>
      </c>
      <c r="T291" s="309" t="s">
        <v>957</v>
      </c>
      <c r="U291" s="357">
        <f>VLOOKUP(D291,'SUIVI JOURNALIER AVRIL'!CK:CM,3,FALSE)</f>
        <v>0</v>
      </c>
      <c r="V291" s="358" t="e">
        <f>IF(VLOOKUP('vs mars'!D291,'point sur les patentes'!B:E,4,FALSE)="","",VLOOKUP(D291,'point sur les patentes'!B:E,4,FALSE)+VLOOKUP(D291,'point sur les patentes'!B:F,5,FALSE)+VLOOKUP('vs mars'!D291,'point sur les patentes'!B:G,6,FALSE)+VLOOKUP('vs mars'!D291,'point sur les patentes'!B:H,7,FALSE)+VLOOKUP('vs mars'!D291,'point sur les patentes'!B:I,8,FALSE)+VLOOKUP(D291,'point sur les patentes'!B:J,9,FALSE)+VLOOKUP(D291,'point sur les patentes'!B:K,10,FALSE)+VLOOKUP(D291,'point sur les patentes'!B:L,11,FALSE)+VLOOKUP(D291,'point sur les patentes'!B:M,12,FALSE)+VLOOKUP(D291,'point sur les patentes'!B:N,13,FALSE)+VLOOKUP(D291,'point sur les patentes'!B:O,14,FALSE)+VLOOKUP(D291,'point sur les patentes'!B:P,15,FALSE)+VLOOKUP(D291,'point sur les patentes'!B:Q,16,FALSE)+VLOOKUP('vs mars'!D291,'point sur les patentes'!B:Z,25,FALSE))</f>
        <v>#N/A</v>
      </c>
      <c r="W291" s="340">
        <f>VLOOKUP(D291,'SUIVI JOURNALIER AVRIL'!B:J,9,FALSE)</f>
        <v>0</v>
      </c>
      <c r="X291" s="340">
        <f>VLOOKUP(D291,'SUIVI JOURNALIER AVRIL'!B:P,14,FALSE)+VLOOKUP('vs mars'!D291,'SUIVI JOURNALIER AVRIL'!B:V,20,FALSE)+VLOOKUP('vs mars'!D291,'SUIVI JOURNALIER AVRIL'!B:W,21,FALSE)</f>
        <v>100881</v>
      </c>
      <c r="Y291" s="340">
        <f>VLOOKUP(D291,'SUIVI JOURNALIER AVRIL'!B:CC,80,FALSE)</f>
        <v>1591108.7272727271</v>
      </c>
      <c r="Z291" s="340">
        <f t="shared" si="8"/>
        <v>1691989.7272727271</v>
      </c>
      <c r="AA291" s="359">
        <f>VLOOKUP(D291,'SUIVI JOURNALIER AVRIL'!B:CD,81,FALSE)</f>
        <v>1691989.7272727271</v>
      </c>
      <c r="AB291" s="360" t="str">
        <f t="shared" si="9"/>
        <v>ok</v>
      </c>
      <c r="AC291" s="360" t="str">
        <f>VLOOKUP(B291,labo!B:D,3,FALSE)</f>
        <v>ug2</v>
      </c>
      <c r="AD291" s="360" t="s">
        <v>2629</v>
      </c>
      <c r="AF291" s="330">
        <f>VLOOKUP(D291,'SUIVI JOURNALIER AVRIL'!CK:CL,2,FALSE)</f>
        <v>0</v>
      </c>
      <c r="AG291" s="360">
        <v>1</v>
      </c>
    </row>
    <row r="292" spans="1:33" s="360" customFormat="1" ht="13.5" customHeight="1">
      <c r="A292" s="324" t="s">
        <v>2103</v>
      </c>
      <c r="B292" s="325" t="s">
        <v>2145</v>
      </c>
      <c r="C292" s="325" t="s">
        <v>2146</v>
      </c>
      <c r="D292" s="325" t="s">
        <v>2147</v>
      </c>
      <c r="E292" s="324" t="s">
        <v>2140</v>
      </c>
      <c r="F292" s="324" t="s">
        <v>2055</v>
      </c>
      <c r="G292" s="324" t="s">
        <v>926</v>
      </c>
      <c r="H292" s="324" t="s">
        <v>1871</v>
      </c>
      <c r="I292" s="324" t="s">
        <v>2217</v>
      </c>
      <c r="J292" s="324" t="s">
        <v>940</v>
      </c>
      <c r="K292" s="324" t="s">
        <v>890</v>
      </c>
      <c r="L292" s="324" t="s">
        <v>891</v>
      </c>
      <c r="M292" s="324" t="s">
        <v>892</v>
      </c>
      <c r="N292" s="324" t="s">
        <v>893</v>
      </c>
      <c r="O292" s="324" t="s">
        <v>894</v>
      </c>
      <c r="P292" s="324" t="s">
        <v>935</v>
      </c>
      <c r="Q292" s="324" t="s">
        <v>924</v>
      </c>
      <c r="R292" s="324" t="s">
        <v>924</v>
      </c>
      <c r="S292" s="356" t="s">
        <v>895</v>
      </c>
      <c r="T292" s="309" t="s">
        <v>953</v>
      </c>
      <c r="U292" s="357" t="e">
        <f>VLOOKUP(D292,'SUIVI JOURNALIER AVRIL'!CK:CM,3,FALSE)</f>
        <v>#N/A</v>
      </c>
      <c r="V292" s="358" t="e">
        <f>IF(VLOOKUP('vs mars'!D292,'point sur les patentes'!B:E,4,FALSE)="","",VLOOKUP(D292,'point sur les patentes'!B:E,4,FALSE)+VLOOKUP(D292,'point sur les patentes'!B:F,5,FALSE)+VLOOKUP('vs mars'!D292,'point sur les patentes'!B:G,6,FALSE)+VLOOKUP('vs mars'!D292,'point sur les patentes'!B:H,7,FALSE)+VLOOKUP('vs mars'!D292,'point sur les patentes'!B:I,8,FALSE)+VLOOKUP(D292,'point sur les patentes'!B:J,9,FALSE)+VLOOKUP(D292,'point sur les patentes'!B:K,10,FALSE)+VLOOKUP(D292,'point sur les patentes'!B:L,11,FALSE)+VLOOKUP(D292,'point sur les patentes'!B:M,12,FALSE)+VLOOKUP(D292,'point sur les patentes'!B:N,13,FALSE)+VLOOKUP(D292,'point sur les patentes'!B:O,14,FALSE)+VLOOKUP(D292,'point sur les patentes'!B:P,15,FALSE)+VLOOKUP(D292,'point sur les patentes'!B:Q,16,FALSE)+VLOOKUP('vs mars'!D292,'point sur les patentes'!B:Z,25,FALSE))</f>
        <v>#N/A</v>
      </c>
      <c r="W292" s="340" t="e">
        <f>VLOOKUP(D292,'SUIVI JOURNALIER AVRIL'!B:J,9,FALSE)</f>
        <v>#N/A</v>
      </c>
      <c r="X292" s="340" t="e">
        <f>VLOOKUP(D292,'SUIVI JOURNALIER AVRIL'!B:P,14,FALSE)+VLOOKUP('vs mars'!D292,'SUIVI JOURNALIER AVRIL'!B:V,20,FALSE)+VLOOKUP('vs mars'!D292,'SUIVI JOURNALIER AVRIL'!B:W,21,FALSE)</f>
        <v>#N/A</v>
      </c>
      <c r="Y292" s="340" t="e">
        <f>VLOOKUP(D292,'SUIVI JOURNALIER AVRIL'!B:CC,80,FALSE)</f>
        <v>#N/A</v>
      </c>
      <c r="Z292" s="340" t="e">
        <f t="shared" si="8"/>
        <v>#N/A</v>
      </c>
      <c r="AA292" s="359" t="e">
        <f>VLOOKUP(D292,'SUIVI JOURNALIER AVRIL'!B:CD,81,FALSE)</f>
        <v>#N/A</v>
      </c>
      <c r="AB292" s="360" t="e">
        <f t="shared" si="9"/>
        <v>#N/A</v>
      </c>
      <c r="AC292" s="360" t="str">
        <f>VLOOKUP(B292,labo!B:D,3,FALSE)</f>
        <v>ug5</v>
      </c>
      <c r="AD292" s="360" t="s">
        <v>2629</v>
      </c>
      <c r="AF292" s="330" t="e">
        <f>VLOOKUP(D292,'SUIVI JOURNALIER AVRIL'!CK:CL,2,FALSE)</f>
        <v>#N/A</v>
      </c>
      <c r="AG292" s="360">
        <v>1</v>
      </c>
    </row>
    <row r="293" spans="1:33" s="360" customFormat="1" ht="13.5" customHeight="1">
      <c r="A293" s="324" t="s">
        <v>2109</v>
      </c>
      <c r="B293" s="325" t="s">
        <v>821</v>
      </c>
      <c r="C293" s="325" t="s">
        <v>822</v>
      </c>
      <c r="D293" s="325" t="s">
        <v>823</v>
      </c>
      <c r="E293" s="324" t="s">
        <v>432</v>
      </c>
      <c r="F293" s="324" t="s">
        <v>2055</v>
      </c>
      <c r="G293" s="324" t="s">
        <v>926</v>
      </c>
      <c r="H293" s="324" t="s">
        <v>1376</v>
      </c>
      <c r="I293" s="324" t="s">
        <v>1377</v>
      </c>
      <c r="J293" s="324" t="s">
        <v>940</v>
      </c>
      <c r="K293" s="324" t="s">
        <v>890</v>
      </c>
      <c r="L293" s="324" t="s">
        <v>891</v>
      </c>
      <c r="M293" s="324" t="s">
        <v>892</v>
      </c>
      <c r="N293" s="324" t="s">
        <v>893</v>
      </c>
      <c r="O293" s="324" t="s">
        <v>894</v>
      </c>
      <c r="P293" s="324" t="s">
        <v>899</v>
      </c>
      <c r="Q293" s="324" t="s">
        <v>995</v>
      </c>
      <c r="R293" s="324" t="s">
        <v>1378</v>
      </c>
      <c r="S293" s="356" t="s">
        <v>895</v>
      </c>
      <c r="T293" s="309" t="s">
        <v>1089</v>
      </c>
      <c r="U293" s="357" t="e">
        <f>VLOOKUP(D293,'SUIVI JOURNALIER AVRIL'!CK:CM,3,FALSE)</f>
        <v>#N/A</v>
      </c>
      <c r="V293" s="358" t="e">
        <f>IF(VLOOKUP('vs mars'!D293,'point sur les patentes'!B:E,4,FALSE)="","",VLOOKUP(D293,'point sur les patentes'!B:E,4,FALSE)+VLOOKUP(D293,'point sur les patentes'!B:F,5,FALSE)+VLOOKUP('vs mars'!D293,'point sur les patentes'!B:G,6,FALSE)+VLOOKUP('vs mars'!D293,'point sur les patentes'!B:H,7,FALSE)+VLOOKUP('vs mars'!D293,'point sur les patentes'!B:I,8,FALSE)+VLOOKUP(D293,'point sur les patentes'!B:J,9,FALSE)+VLOOKUP(D293,'point sur les patentes'!B:K,10,FALSE)+VLOOKUP(D293,'point sur les patentes'!B:L,11,FALSE)+VLOOKUP(D293,'point sur les patentes'!B:M,12,FALSE)+VLOOKUP(D293,'point sur les patentes'!B:N,13,FALSE)+VLOOKUP(D293,'point sur les patentes'!B:O,14,FALSE)+VLOOKUP(D293,'point sur les patentes'!B:P,15,FALSE)+VLOOKUP(D293,'point sur les patentes'!B:Q,16,FALSE)+VLOOKUP('vs mars'!D293,'point sur les patentes'!B:Z,25,FALSE))</f>
        <v>#N/A</v>
      </c>
      <c r="W293" s="340" t="e">
        <f>VLOOKUP(D293,'SUIVI JOURNALIER AVRIL'!B:J,9,FALSE)</f>
        <v>#N/A</v>
      </c>
      <c r="X293" s="340" t="e">
        <f>VLOOKUP(D293,'SUIVI JOURNALIER AVRIL'!B:P,14,FALSE)+VLOOKUP('vs mars'!D293,'SUIVI JOURNALIER AVRIL'!B:V,20,FALSE)+VLOOKUP('vs mars'!D293,'SUIVI JOURNALIER AVRIL'!B:W,21,FALSE)</f>
        <v>#N/A</v>
      </c>
      <c r="Y293" s="340" t="e">
        <f>VLOOKUP(D293,'SUIVI JOURNALIER AVRIL'!B:CC,80,FALSE)</f>
        <v>#N/A</v>
      </c>
      <c r="Z293" s="340" t="e">
        <f t="shared" si="8"/>
        <v>#N/A</v>
      </c>
      <c r="AA293" s="359" t="e">
        <f>VLOOKUP(D293,'SUIVI JOURNALIER AVRIL'!B:CD,81,FALSE)</f>
        <v>#N/A</v>
      </c>
      <c r="AB293" s="360" t="e">
        <f t="shared" si="9"/>
        <v>#N/A</v>
      </c>
      <c r="AC293" s="360" t="str">
        <f>VLOOKUP(B293,labo!B:D,3,FALSE)</f>
        <v>ug2</v>
      </c>
      <c r="AD293" s="360" t="s">
        <v>2629</v>
      </c>
      <c r="AF293" s="330" t="e">
        <f>VLOOKUP(D293,'SUIVI JOURNALIER AVRIL'!CK:CL,2,FALSE)</f>
        <v>#N/A</v>
      </c>
      <c r="AG293" s="360">
        <v>1</v>
      </c>
    </row>
    <row r="294" spans="1:33" s="360" customFormat="1" ht="13.5" customHeight="1">
      <c r="A294" s="324" t="s">
        <v>2110</v>
      </c>
      <c r="B294" s="325" t="s">
        <v>1917</v>
      </c>
      <c r="C294" s="325" t="s">
        <v>1919</v>
      </c>
      <c r="D294" s="325" t="s">
        <v>1920</v>
      </c>
      <c r="E294" s="324" t="s">
        <v>1921</v>
      </c>
      <c r="F294" s="324" t="s">
        <v>2055</v>
      </c>
      <c r="G294" s="324" t="s">
        <v>926</v>
      </c>
      <c r="H294" s="324" t="s">
        <v>897</v>
      </c>
      <c r="I294" s="324" t="s">
        <v>1932</v>
      </c>
      <c r="J294" s="324" t="s">
        <v>940</v>
      </c>
      <c r="K294" s="324" t="s">
        <v>890</v>
      </c>
      <c r="L294" s="324" t="s">
        <v>891</v>
      </c>
      <c r="M294" s="324" t="s">
        <v>892</v>
      </c>
      <c r="N294" s="324" t="s">
        <v>893</v>
      </c>
      <c r="O294" s="324" t="s">
        <v>894</v>
      </c>
      <c r="P294" s="324" t="s">
        <v>899</v>
      </c>
      <c r="Q294" s="324" t="s">
        <v>1390</v>
      </c>
      <c r="R294" s="324" t="s">
        <v>1390</v>
      </c>
      <c r="S294" s="356" t="s">
        <v>895</v>
      </c>
      <c r="T294" s="309" t="s">
        <v>1089</v>
      </c>
      <c r="U294" s="357">
        <f>VLOOKUP(D294,'SUIVI JOURNALIER AVRIL'!CK:CM,3,FALSE)</f>
        <v>0</v>
      </c>
      <c r="V294" s="358" t="e">
        <f>IF(VLOOKUP('vs mars'!D294,'point sur les patentes'!B:E,4,FALSE)="","",VLOOKUP(D294,'point sur les patentes'!B:E,4,FALSE)+VLOOKUP(D294,'point sur les patentes'!B:F,5,FALSE)+VLOOKUP('vs mars'!D294,'point sur les patentes'!B:G,6,FALSE)+VLOOKUP('vs mars'!D294,'point sur les patentes'!B:H,7,FALSE)+VLOOKUP('vs mars'!D294,'point sur les patentes'!B:I,8,FALSE)+VLOOKUP(D294,'point sur les patentes'!B:J,9,FALSE)+VLOOKUP(D294,'point sur les patentes'!B:K,10,FALSE)+VLOOKUP(D294,'point sur les patentes'!B:L,11,FALSE)+VLOOKUP(D294,'point sur les patentes'!B:M,12,FALSE)+VLOOKUP(D294,'point sur les patentes'!B:N,13,FALSE)+VLOOKUP(D294,'point sur les patentes'!B:O,14,FALSE)+VLOOKUP(D294,'point sur les patentes'!B:P,15,FALSE)+VLOOKUP(D294,'point sur les patentes'!B:Q,16,FALSE)+VLOOKUP('vs mars'!D294,'point sur les patentes'!B:Z,25,FALSE))</f>
        <v>#N/A</v>
      </c>
      <c r="W294" s="340">
        <f>VLOOKUP(D294,'SUIVI JOURNALIER AVRIL'!B:J,9,FALSE)</f>
        <v>0</v>
      </c>
      <c r="X294" s="340">
        <f>VLOOKUP(D294,'SUIVI JOURNALIER AVRIL'!B:P,14,FALSE)+VLOOKUP('vs mars'!D294,'SUIVI JOURNALIER AVRIL'!B:V,20,FALSE)+VLOOKUP('vs mars'!D294,'SUIVI JOURNALIER AVRIL'!B:W,21,FALSE)</f>
        <v>1402652</v>
      </c>
      <c r="Y294" s="340">
        <f>VLOOKUP(D294,'SUIVI JOURNALIER AVRIL'!B:CC,80,FALSE)</f>
        <v>1538825</v>
      </c>
      <c r="Z294" s="340">
        <f t="shared" si="8"/>
        <v>2941477</v>
      </c>
      <c r="AA294" s="359">
        <f>VLOOKUP(D294,'SUIVI JOURNALIER AVRIL'!B:CD,81,FALSE)</f>
        <v>2941477</v>
      </c>
      <c r="AB294" s="360" t="str">
        <f t="shared" si="9"/>
        <v>ok</v>
      </c>
      <c r="AC294" s="360" t="str">
        <f>VLOOKUP(B294,labo!B:D,3,FALSE)</f>
        <v>ug1</v>
      </c>
      <c r="AD294" s="360" t="s">
        <v>2629</v>
      </c>
      <c r="AF294" s="330">
        <f>VLOOKUP(D294,'SUIVI JOURNALIER AVRIL'!CK:CL,2,FALSE)</f>
        <v>0</v>
      </c>
      <c r="AG294" s="360">
        <v>1</v>
      </c>
    </row>
    <row r="295" spans="1:33" s="360" customFormat="1" ht="13.5" customHeight="1">
      <c r="A295" s="324" t="s">
        <v>2111</v>
      </c>
      <c r="B295" s="325" t="s">
        <v>335</v>
      </c>
      <c r="C295" s="325" t="s">
        <v>824</v>
      </c>
      <c r="D295" s="325" t="s">
        <v>825</v>
      </c>
      <c r="E295" s="324" t="s">
        <v>826</v>
      </c>
      <c r="F295" s="324" t="s">
        <v>2055</v>
      </c>
      <c r="G295" s="324" t="s">
        <v>926</v>
      </c>
      <c r="H295" s="324" t="s">
        <v>897</v>
      </c>
      <c r="I295" s="324" t="s">
        <v>1379</v>
      </c>
      <c r="J295" s="324" t="s">
        <v>940</v>
      </c>
      <c r="K295" s="324" t="s">
        <v>890</v>
      </c>
      <c r="L295" s="324" t="s">
        <v>891</v>
      </c>
      <c r="M295" s="324" t="s">
        <v>892</v>
      </c>
      <c r="N295" s="324" t="s">
        <v>893</v>
      </c>
      <c r="O295" s="324" t="s">
        <v>894</v>
      </c>
      <c r="P295" s="324" t="s">
        <v>928</v>
      </c>
      <c r="Q295" s="324" t="s">
        <v>1380</v>
      </c>
      <c r="R295" s="324" t="s">
        <v>1380</v>
      </c>
      <c r="S295" s="356" t="s">
        <v>895</v>
      </c>
      <c r="T295" s="309" t="s">
        <v>999</v>
      </c>
      <c r="U295" s="357" t="e">
        <f>VLOOKUP(D295,'SUIVI JOURNALIER AVRIL'!CK:CM,3,FALSE)</f>
        <v>#N/A</v>
      </c>
      <c r="V295" s="358" t="e">
        <f>IF(VLOOKUP('vs mars'!D295,'point sur les patentes'!B:E,4,FALSE)="","",VLOOKUP(D295,'point sur les patentes'!B:E,4,FALSE)+VLOOKUP(D295,'point sur les patentes'!B:F,5,FALSE)+VLOOKUP('vs mars'!D295,'point sur les patentes'!B:G,6,FALSE)+VLOOKUP('vs mars'!D295,'point sur les patentes'!B:H,7,FALSE)+VLOOKUP('vs mars'!D295,'point sur les patentes'!B:I,8,FALSE)+VLOOKUP(D295,'point sur les patentes'!B:J,9,FALSE)+VLOOKUP(D295,'point sur les patentes'!B:K,10,FALSE)+VLOOKUP(D295,'point sur les patentes'!B:L,11,FALSE)+VLOOKUP(D295,'point sur les patentes'!B:M,12,FALSE)+VLOOKUP(D295,'point sur les patentes'!B:N,13,FALSE)+VLOOKUP(D295,'point sur les patentes'!B:O,14,FALSE)+VLOOKUP(D295,'point sur les patentes'!B:P,15,FALSE)+VLOOKUP(D295,'point sur les patentes'!B:Q,16,FALSE)+VLOOKUP('vs mars'!D295,'point sur les patentes'!B:Z,25,FALSE))</f>
        <v>#N/A</v>
      </c>
      <c r="W295" s="340" t="e">
        <f>VLOOKUP(D295,'SUIVI JOURNALIER AVRIL'!B:J,9,FALSE)</f>
        <v>#N/A</v>
      </c>
      <c r="X295" s="340" t="e">
        <f>VLOOKUP(D295,'SUIVI JOURNALIER AVRIL'!B:P,14,FALSE)+VLOOKUP('vs mars'!D295,'SUIVI JOURNALIER AVRIL'!B:V,20,FALSE)+VLOOKUP('vs mars'!D295,'SUIVI JOURNALIER AVRIL'!B:W,21,FALSE)</f>
        <v>#N/A</v>
      </c>
      <c r="Y295" s="340" t="e">
        <f>VLOOKUP(D295,'SUIVI JOURNALIER AVRIL'!B:CC,80,FALSE)</f>
        <v>#N/A</v>
      </c>
      <c r="Z295" s="340" t="e">
        <f t="shared" si="8"/>
        <v>#N/A</v>
      </c>
      <c r="AA295" s="359" t="e">
        <f>VLOOKUP(D295,'SUIVI JOURNALIER AVRIL'!B:CD,81,FALSE)</f>
        <v>#N/A</v>
      </c>
      <c r="AB295" s="360" t="e">
        <f t="shared" si="9"/>
        <v>#N/A</v>
      </c>
      <c r="AC295" s="360" t="str">
        <f>VLOOKUP(B295,labo!B:D,3,FALSE)</f>
        <v>ug5</v>
      </c>
      <c r="AD295" s="360" t="s">
        <v>2629</v>
      </c>
      <c r="AF295" s="330" t="e">
        <f>VLOOKUP(D295,'SUIVI JOURNALIER AVRIL'!CK:CL,2,FALSE)</f>
        <v>#N/A</v>
      </c>
      <c r="AG295" s="360">
        <v>1</v>
      </c>
    </row>
    <row r="296" spans="1:33" s="360" customFormat="1" ht="13.5" customHeight="1">
      <c r="A296" s="324" t="s">
        <v>2112</v>
      </c>
      <c r="B296" s="325" t="s">
        <v>286</v>
      </c>
      <c r="C296" s="325" t="s">
        <v>827</v>
      </c>
      <c r="D296" s="325" t="s">
        <v>828</v>
      </c>
      <c r="E296" s="324" t="s">
        <v>458</v>
      </c>
      <c r="F296" s="324" t="s">
        <v>2055</v>
      </c>
      <c r="G296" s="324" t="s">
        <v>926</v>
      </c>
      <c r="H296" s="324" t="s">
        <v>1381</v>
      </c>
      <c r="I296" s="324" t="s">
        <v>1382</v>
      </c>
      <c r="J296" s="324" t="s">
        <v>940</v>
      </c>
      <c r="K296" s="324" t="s">
        <v>890</v>
      </c>
      <c r="L296" s="324" t="s">
        <v>891</v>
      </c>
      <c r="M296" s="324" t="s">
        <v>892</v>
      </c>
      <c r="N296" s="324" t="s">
        <v>905</v>
      </c>
      <c r="O296" s="324" t="s">
        <v>906</v>
      </c>
      <c r="P296" s="324" t="s">
        <v>906</v>
      </c>
      <c r="Q296" s="324" t="s">
        <v>1383</v>
      </c>
      <c r="R296" s="324" t="s">
        <v>1384</v>
      </c>
      <c r="S296" s="356" t="s">
        <v>895</v>
      </c>
      <c r="T296" s="309" t="s">
        <v>909</v>
      </c>
      <c r="U296" s="357">
        <f>VLOOKUP(D296,'SUIVI JOURNALIER AVRIL'!CK:CM,3,FALSE)</f>
        <v>0</v>
      </c>
      <c r="V296" s="358" t="e">
        <f>IF(VLOOKUP('vs mars'!D296,'point sur les patentes'!B:E,4,FALSE)="","",VLOOKUP(D296,'point sur les patentes'!B:E,4,FALSE)+VLOOKUP(D296,'point sur les patentes'!B:F,5,FALSE)+VLOOKUP('vs mars'!D296,'point sur les patentes'!B:G,6,FALSE)+VLOOKUP('vs mars'!D296,'point sur les patentes'!B:H,7,FALSE)+VLOOKUP('vs mars'!D296,'point sur les patentes'!B:I,8,FALSE)+VLOOKUP(D296,'point sur les patentes'!B:J,9,FALSE)+VLOOKUP(D296,'point sur les patentes'!B:K,10,FALSE)+VLOOKUP(D296,'point sur les patentes'!B:L,11,FALSE)+VLOOKUP(D296,'point sur les patentes'!B:M,12,FALSE)+VLOOKUP(D296,'point sur les patentes'!B:N,13,FALSE)+VLOOKUP(D296,'point sur les patentes'!B:O,14,FALSE)+VLOOKUP(D296,'point sur les patentes'!B:P,15,FALSE)+VLOOKUP(D296,'point sur les patentes'!B:Q,16,FALSE)+VLOOKUP('vs mars'!D296,'point sur les patentes'!B:Z,25,FALSE))</f>
        <v>#N/A</v>
      </c>
      <c r="W296" s="340">
        <f>VLOOKUP(D296,'SUIVI JOURNALIER AVRIL'!B:J,9,FALSE)</f>
        <v>0</v>
      </c>
      <c r="X296" s="340">
        <f>VLOOKUP(D296,'SUIVI JOURNALIER AVRIL'!B:P,14,FALSE)+VLOOKUP('vs mars'!D296,'SUIVI JOURNALIER AVRIL'!B:V,20,FALSE)+VLOOKUP('vs mars'!D296,'SUIVI JOURNALIER AVRIL'!B:W,21,FALSE)</f>
        <v>0</v>
      </c>
      <c r="Y296" s="340">
        <f>VLOOKUP(D296,'SUIVI JOURNALIER AVRIL'!B:CC,80,FALSE)</f>
        <v>10212</v>
      </c>
      <c r="Z296" s="340">
        <f t="shared" si="8"/>
        <v>10212</v>
      </c>
      <c r="AA296" s="359">
        <f>VLOOKUP(D296,'SUIVI JOURNALIER AVRIL'!B:CD,81,FALSE)</f>
        <v>10212</v>
      </c>
      <c r="AB296" s="360" t="str">
        <f t="shared" si="9"/>
        <v>ok</v>
      </c>
      <c r="AC296" s="360" t="str">
        <f>VLOOKUP(B296,labo!B:D,3,FALSE)</f>
        <v>ug4</v>
      </c>
      <c r="AD296" s="360" t="s">
        <v>2629</v>
      </c>
      <c r="AF296" s="330">
        <f>VLOOKUP(D296,'SUIVI JOURNALIER AVRIL'!CK:CL,2,FALSE)</f>
        <v>0</v>
      </c>
      <c r="AG296" s="360">
        <v>1</v>
      </c>
    </row>
    <row r="297" spans="1:33" s="360" customFormat="1" ht="13.5" customHeight="1">
      <c r="A297" s="324" t="s">
        <v>2113</v>
      </c>
      <c r="B297" s="325" t="s">
        <v>2363</v>
      </c>
      <c r="C297" s="325" t="s">
        <v>2587</v>
      </c>
      <c r="D297" s="325" t="s">
        <v>2588</v>
      </c>
      <c r="E297" s="324" t="s">
        <v>2589</v>
      </c>
      <c r="F297" s="324" t="s">
        <v>2055</v>
      </c>
      <c r="G297" s="324" t="s">
        <v>926</v>
      </c>
      <c r="H297" s="324" t="s">
        <v>2055</v>
      </c>
      <c r="I297" s="324" t="s">
        <v>2590</v>
      </c>
      <c r="J297" s="324" t="s">
        <v>2427</v>
      </c>
      <c r="K297" s="324" t="s">
        <v>2405</v>
      </c>
      <c r="L297" s="324" t="s">
        <v>891</v>
      </c>
      <c r="M297" s="324" t="s">
        <v>892</v>
      </c>
      <c r="N297" s="324" t="s">
        <v>893</v>
      </c>
      <c r="O297" s="324" t="s">
        <v>894</v>
      </c>
      <c r="P297" s="324" t="s">
        <v>919</v>
      </c>
      <c r="Q297" s="324" t="s">
        <v>2591</v>
      </c>
      <c r="R297" s="324" t="s">
        <v>2055</v>
      </c>
      <c r="S297" s="356" t="s">
        <v>895</v>
      </c>
      <c r="T297" s="309" t="s">
        <v>957</v>
      </c>
      <c r="U297" s="357" t="e">
        <f>VLOOKUP(D297,'SUIVI JOURNALIER AVRIL'!CK:CM,3,FALSE)</f>
        <v>#N/A</v>
      </c>
      <c r="V297" s="358" t="e">
        <f>IF(VLOOKUP('vs mars'!D297,'point sur les patentes'!B:E,4,FALSE)="","",VLOOKUP(D297,'point sur les patentes'!B:E,4,FALSE)+VLOOKUP(D297,'point sur les patentes'!B:F,5,FALSE)+VLOOKUP('vs mars'!D297,'point sur les patentes'!B:G,6,FALSE)+VLOOKUP('vs mars'!D297,'point sur les patentes'!B:H,7,FALSE)+VLOOKUP('vs mars'!D297,'point sur les patentes'!B:I,8,FALSE)+VLOOKUP(D297,'point sur les patentes'!B:J,9,FALSE)+VLOOKUP(D297,'point sur les patentes'!B:K,10,FALSE)+VLOOKUP(D297,'point sur les patentes'!B:L,11,FALSE)+VLOOKUP(D297,'point sur les patentes'!B:M,12,FALSE)+VLOOKUP(D297,'point sur les patentes'!B:N,13,FALSE)+VLOOKUP(D297,'point sur les patentes'!B:O,14,FALSE)+VLOOKUP(D297,'point sur les patentes'!B:P,15,FALSE)+VLOOKUP(D297,'point sur les patentes'!B:Q,16,FALSE)+VLOOKUP('vs mars'!D297,'point sur les patentes'!B:Z,25,FALSE))</f>
        <v>#N/A</v>
      </c>
      <c r="W297" s="340" t="e">
        <f>VLOOKUP(D297,'SUIVI JOURNALIER AVRIL'!B:J,9,FALSE)</f>
        <v>#N/A</v>
      </c>
      <c r="X297" s="340" t="e">
        <f>VLOOKUP(D297,'SUIVI JOURNALIER AVRIL'!B:P,14,FALSE)+VLOOKUP('vs mars'!D297,'SUIVI JOURNALIER AVRIL'!B:V,20,FALSE)+VLOOKUP('vs mars'!D297,'SUIVI JOURNALIER AVRIL'!B:W,21,FALSE)</f>
        <v>#N/A</v>
      </c>
      <c r="Y297" s="340" t="e">
        <f>VLOOKUP(D297,'SUIVI JOURNALIER AVRIL'!B:CC,80,FALSE)</f>
        <v>#N/A</v>
      </c>
      <c r="Z297" s="340" t="e">
        <f t="shared" si="8"/>
        <v>#N/A</v>
      </c>
      <c r="AA297" s="359" t="e">
        <f>VLOOKUP(D297,'SUIVI JOURNALIER AVRIL'!B:CD,81,FALSE)</f>
        <v>#N/A</v>
      </c>
      <c r="AB297" s="360" t="e">
        <f t="shared" si="9"/>
        <v>#N/A</v>
      </c>
      <c r="AC297" s="360" t="str">
        <f>VLOOKUP(B297,labo!B:D,3,FALSE)</f>
        <v>ug4</v>
      </c>
      <c r="AD297" s="360" t="s">
        <v>2630</v>
      </c>
      <c r="AF297" s="330" t="e">
        <f>VLOOKUP(D297,'SUIVI JOURNALIER AVRIL'!CK:CL,2,FALSE)</f>
        <v>#N/A</v>
      </c>
      <c r="AG297" s="360">
        <v>1</v>
      </c>
    </row>
    <row r="298" spans="1:33" s="360" customFormat="1" ht="13.5" customHeight="1">
      <c r="A298" s="324" t="s">
        <v>2114</v>
      </c>
      <c r="B298" s="325" t="s">
        <v>1572</v>
      </c>
      <c r="C298" s="325" t="s">
        <v>1573</v>
      </c>
      <c r="D298" s="325" t="s">
        <v>1850</v>
      </c>
      <c r="E298" s="324" t="s">
        <v>432</v>
      </c>
      <c r="F298" s="324" t="s">
        <v>2055</v>
      </c>
      <c r="G298" s="324" t="s">
        <v>926</v>
      </c>
      <c r="H298" s="324" t="s">
        <v>897</v>
      </c>
      <c r="I298" s="324" t="s">
        <v>1851</v>
      </c>
      <c r="J298" s="324" t="s">
        <v>940</v>
      </c>
      <c r="K298" s="324" t="s">
        <v>890</v>
      </c>
      <c r="L298" s="324" t="s">
        <v>891</v>
      </c>
      <c r="M298" s="324" t="s">
        <v>892</v>
      </c>
      <c r="N298" s="324" t="s">
        <v>912</v>
      </c>
      <c r="O298" s="324" t="s">
        <v>913</v>
      </c>
      <c r="P298" s="324" t="s">
        <v>913</v>
      </c>
      <c r="Q298" s="324" t="s">
        <v>924</v>
      </c>
      <c r="R298" s="324" t="s">
        <v>1574</v>
      </c>
      <c r="S298" s="356" t="s">
        <v>895</v>
      </c>
      <c r="T298" s="309" t="s">
        <v>1116</v>
      </c>
      <c r="U298" s="357" t="e">
        <f>VLOOKUP(D298,'SUIVI JOURNALIER AVRIL'!CK:CM,3,FALSE)</f>
        <v>#N/A</v>
      </c>
      <c r="V298" s="358" t="e">
        <f>IF(VLOOKUP('vs mars'!D298,'point sur les patentes'!B:E,4,FALSE)="","",VLOOKUP(D298,'point sur les patentes'!B:E,4,FALSE)+VLOOKUP(D298,'point sur les patentes'!B:F,5,FALSE)+VLOOKUP('vs mars'!D298,'point sur les patentes'!B:G,6,FALSE)+VLOOKUP('vs mars'!D298,'point sur les patentes'!B:H,7,FALSE)+VLOOKUP('vs mars'!D298,'point sur les patentes'!B:I,8,FALSE)+VLOOKUP(D298,'point sur les patentes'!B:J,9,FALSE)+VLOOKUP(D298,'point sur les patentes'!B:K,10,FALSE)+VLOOKUP(D298,'point sur les patentes'!B:L,11,FALSE)+VLOOKUP(D298,'point sur les patentes'!B:M,12,FALSE)+VLOOKUP(D298,'point sur les patentes'!B:N,13,FALSE)+VLOOKUP(D298,'point sur les patentes'!B:O,14,FALSE)+VLOOKUP(D298,'point sur les patentes'!B:P,15,FALSE)+VLOOKUP(D298,'point sur les patentes'!B:Q,16,FALSE)+VLOOKUP('vs mars'!D298,'point sur les patentes'!B:Z,25,FALSE))</f>
        <v>#N/A</v>
      </c>
      <c r="W298" s="340" t="e">
        <f>VLOOKUP(D298,'SUIVI JOURNALIER AVRIL'!B:J,9,FALSE)</f>
        <v>#N/A</v>
      </c>
      <c r="X298" s="340" t="e">
        <f>VLOOKUP(D298,'SUIVI JOURNALIER AVRIL'!B:P,14,FALSE)+VLOOKUP('vs mars'!D298,'SUIVI JOURNALIER AVRIL'!B:V,20,FALSE)+VLOOKUP('vs mars'!D298,'SUIVI JOURNALIER AVRIL'!B:W,21,FALSE)</f>
        <v>#N/A</v>
      </c>
      <c r="Y298" s="340" t="e">
        <f>VLOOKUP(D298,'SUIVI JOURNALIER AVRIL'!B:CC,80,FALSE)</f>
        <v>#N/A</v>
      </c>
      <c r="Z298" s="340" t="e">
        <f t="shared" si="8"/>
        <v>#N/A</v>
      </c>
      <c r="AA298" s="359" t="e">
        <f>VLOOKUP(D298,'SUIVI JOURNALIER AVRIL'!B:CD,81,FALSE)</f>
        <v>#N/A</v>
      </c>
      <c r="AB298" s="360" t="e">
        <f t="shared" si="9"/>
        <v>#N/A</v>
      </c>
      <c r="AC298" s="360" t="str">
        <f>VLOOKUP(B298,labo!B:D,3,FALSE)</f>
        <v>ug2</v>
      </c>
      <c r="AD298" s="360" t="s">
        <v>2629</v>
      </c>
      <c r="AF298" s="330" t="e">
        <f>VLOOKUP(D298,'SUIVI JOURNALIER AVRIL'!CK:CL,2,FALSE)</f>
        <v>#N/A</v>
      </c>
      <c r="AG298" s="360">
        <v>1</v>
      </c>
    </row>
    <row r="299" spans="1:33" s="360" customFormat="1" ht="13.5" customHeight="1">
      <c r="A299" s="324" t="s">
        <v>2115</v>
      </c>
      <c r="B299" s="325" t="s">
        <v>366</v>
      </c>
      <c r="C299" s="325" t="s">
        <v>829</v>
      </c>
      <c r="D299" s="325" t="s">
        <v>830</v>
      </c>
      <c r="E299" s="324" t="s">
        <v>542</v>
      </c>
      <c r="F299" s="324" t="s">
        <v>2055</v>
      </c>
      <c r="G299" s="324" t="s">
        <v>926</v>
      </c>
      <c r="H299" s="324" t="s">
        <v>1129</v>
      </c>
      <c r="I299" s="324" t="s">
        <v>1385</v>
      </c>
      <c r="J299" s="324" t="s">
        <v>940</v>
      </c>
      <c r="K299" s="324" t="s">
        <v>890</v>
      </c>
      <c r="L299" s="324" t="s">
        <v>891</v>
      </c>
      <c r="M299" s="324" t="s">
        <v>892</v>
      </c>
      <c r="N299" s="324" t="s">
        <v>893</v>
      </c>
      <c r="O299" s="324" t="s">
        <v>894</v>
      </c>
      <c r="P299" s="324" t="s">
        <v>899</v>
      </c>
      <c r="Q299" s="324" t="s">
        <v>924</v>
      </c>
      <c r="R299" s="324" t="s">
        <v>1386</v>
      </c>
      <c r="S299" s="356" t="s">
        <v>895</v>
      </c>
      <c r="T299" s="309" t="s">
        <v>953</v>
      </c>
      <c r="U299" s="357" t="e">
        <f>VLOOKUP(D299,'SUIVI JOURNALIER AVRIL'!CK:CM,3,FALSE)</f>
        <v>#N/A</v>
      </c>
      <c r="V299" s="358" t="e">
        <f>IF(VLOOKUP('vs mars'!D299,'point sur les patentes'!B:E,4,FALSE)="","",VLOOKUP(D299,'point sur les patentes'!B:E,4,FALSE)+VLOOKUP(D299,'point sur les patentes'!B:F,5,FALSE)+VLOOKUP('vs mars'!D299,'point sur les patentes'!B:G,6,FALSE)+VLOOKUP('vs mars'!D299,'point sur les patentes'!B:H,7,FALSE)+VLOOKUP('vs mars'!D299,'point sur les patentes'!B:I,8,FALSE)+VLOOKUP(D299,'point sur les patentes'!B:J,9,FALSE)+VLOOKUP(D299,'point sur les patentes'!B:K,10,FALSE)+VLOOKUP(D299,'point sur les patentes'!B:L,11,FALSE)+VLOOKUP(D299,'point sur les patentes'!B:M,12,FALSE)+VLOOKUP(D299,'point sur les patentes'!B:N,13,FALSE)+VLOOKUP(D299,'point sur les patentes'!B:O,14,FALSE)+VLOOKUP(D299,'point sur les patentes'!B:P,15,FALSE)+VLOOKUP(D299,'point sur les patentes'!B:Q,16,FALSE)+VLOOKUP('vs mars'!D299,'point sur les patentes'!B:Z,25,FALSE))</f>
        <v>#N/A</v>
      </c>
      <c r="W299" s="340" t="e">
        <f>VLOOKUP(D299,'SUIVI JOURNALIER AVRIL'!B:J,9,FALSE)</f>
        <v>#N/A</v>
      </c>
      <c r="X299" s="340" t="e">
        <f>VLOOKUP(D299,'SUIVI JOURNALIER AVRIL'!B:P,14,FALSE)+VLOOKUP('vs mars'!D299,'SUIVI JOURNALIER AVRIL'!B:V,20,FALSE)+VLOOKUP('vs mars'!D299,'SUIVI JOURNALIER AVRIL'!B:W,21,FALSE)</f>
        <v>#N/A</v>
      </c>
      <c r="Y299" s="340" t="e">
        <f>VLOOKUP(D299,'SUIVI JOURNALIER AVRIL'!B:CC,80,FALSE)</f>
        <v>#N/A</v>
      </c>
      <c r="Z299" s="340" t="e">
        <f t="shared" si="8"/>
        <v>#N/A</v>
      </c>
      <c r="AA299" s="359" t="e">
        <f>VLOOKUP(D299,'SUIVI JOURNALIER AVRIL'!B:CD,81,FALSE)</f>
        <v>#N/A</v>
      </c>
      <c r="AB299" s="360" t="e">
        <f t="shared" si="9"/>
        <v>#N/A</v>
      </c>
      <c r="AC299" s="360" t="str">
        <f>VLOOKUP(B299,labo!B:D,3,FALSE)</f>
        <v>ug2</v>
      </c>
      <c r="AD299" s="360" t="s">
        <v>2629</v>
      </c>
      <c r="AF299" s="330" t="e">
        <f>VLOOKUP(D299,'SUIVI JOURNALIER AVRIL'!CK:CL,2,FALSE)</f>
        <v>#N/A</v>
      </c>
      <c r="AG299" s="360">
        <v>1</v>
      </c>
    </row>
    <row r="300" spans="1:33" s="360" customFormat="1" ht="13.5" customHeight="1">
      <c r="A300" s="324" t="s">
        <v>2116</v>
      </c>
      <c r="B300" s="325" t="s">
        <v>2364</v>
      </c>
      <c r="C300" s="325" t="s">
        <v>2592</v>
      </c>
      <c r="D300" s="325" t="s">
        <v>2593</v>
      </c>
      <c r="E300" s="324" t="s">
        <v>458</v>
      </c>
      <c r="F300" s="324" t="s">
        <v>2055</v>
      </c>
      <c r="G300" s="324" t="s">
        <v>926</v>
      </c>
      <c r="H300" s="324" t="s">
        <v>1725</v>
      </c>
      <c r="I300" s="324" t="s">
        <v>2055</v>
      </c>
      <c r="J300" s="324" t="s">
        <v>2427</v>
      </c>
      <c r="K300" s="324" t="s">
        <v>2405</v>
      </c>
      <c r="L300" s="324" t="s">
        <v>891</v>
      </c>
      <c r="M300" s="324" t="s">
        <v>892</v>
      </c>
      <c r="N300" s="324" t="s">
        <v>893</v>
      </c>
      <c r="O300" s="324" t="s">
        <v>894</v>
      </c>
      <c r="P300" s="324" t="s">
        <v>919</v>
      </c>
      <c r="Q300" s="324" t="s">
        <v>2591</v>
      </c>
      <c r="R300" s="324" t="s">
        <v>995</v>
      </c>
      <c r="S300" s="356" t="s">
        <v>895</v>
      </c>
      <c r="T300" s="309" t="s">
        <v>1301</v>
      </c>
      <c r="U300" s="357" t="e">
        <f>VLOOKUP(D300,'SUIVI JOURNALIER AVRIL'!CK:CM,3,FALSE)</f>
        <v>#N/A</v>
      </c>
      <c r="V300" s="358" t="e">
        <f>IF(VLOOKUP('vs mars'!D300,'point sur les patentes'!B:E,4,FALSE)="","",VLOOKUP(D300,'point sur les patentes'!B:E,4,FALSE)+VLOOKUP(D300,'point sur les patentes'!B:F,5,FALSE)+VLOOKUP('vs mars'!D300,'point sur les patentes'!B:G,6,FALSE)+VLOOKUP('vs mars'!D300,'point sur les patentes'!B:H,7,FALSE)+VLOOKUP('vs mars'!D300,'point sur les patentes'!B:I,8,FALSE)+VLOOKUP(D300,'point sur les patentes'!B:J,9,FALSE)+VLOOKUP(D300,'point sur les patentes'!B:K,10,FALSE)+VLOOKUP(D300,'point sur les patentes'!B:L,11,FALSE)+VLOOKUP(D300,'point sur les patentes'!B:M,12,FALSE)+VLOOKUP(D300,'point sur les patentes'!B:N,13,FALSE)+VLOOKUP(D300,'point sur les patentes'!B:O,14,FALSE)+VLOOKUP(D300,'point sur les patentes'!B:P,15,FALSE)+VLOOKUP(D300,'point sur les patentes'!B:Q,16,FALSE)+VLOOKUP('vs mars'!D300,'point sur les patentes'!B:Z,25,FALSE))</f>
        <v>#N/A</v>
      </c>
      <c r="W300" s="340" t="e">
        <f>VLOOKUP(D300,'SUIVI JOURNALIER AVRIL'!B:J,9,FALSE)</f>
        <v>#N/A</v>
      </c>
      <c r="X300" s="340" t="e">
        <f>VLOOKUP(D300,'SUIVI JOURNALIER AVRIL'!B:P,14,FALSE)+VLOOKUP('vs mars'!D300,'SUIVI JOURNALIER AVRIL'!B:V,20,FALSE)+VLOOKUP('vs mars'!D300,'SUIVI JOURNALIER AVRIL'!B:W,21,FALSE)</f>
        <v>#N/A</v>
      </c>
      <c r="Y300" s="340" t="e">
        <f>VLOOKUP(D300,'SUIVI JOURNALIER AVRIL'!B:CC,80,FALSE)</f>
        <v>#N/A</v>
      </c>
      <c r="Z300" s="340" t="e">
        <f t="shared" si="8"/>
        <v>#N/A</v>
      </c>
      <c r="AA300" s="359" t="e">
        <f>VLOOKUP(D300,'SUIVI JOURNALIER AVRIL'!B:CD,81,FALSE)</f>
        <v>#N/A</v>
      </c>
      <c r="AB300" s="360" t="e">
        <f t="shared" si="9"/>
        <v>#N/A</v>
      </c>
      <c r="AC300" s="360" t="str">
        <f>VLOOKUP(B300,labo!B:D,3,FALSE)</f>
        <v>ug4</v>
      </c>
      <c r="AD300" s="360" t="s">
        <v>2630</v>
      </c>
      <c r="AF300" s="330" t="e">
        <f>VLOOKUP(D300,'SUIVI JOURNALIER AVRIL'!CK:CL,2,FALSE)</f>
        <v>#N/A</v>
      </c>
      <c r="AG300" s="360">
        <v>1</v>
      </c>
    </row>
    <row r="301" spans="1:33" s="360" customFormat="1" ht="13.5" customHeight="1">
      <c r="A301" s="324" t="s">
        <v>2117</v>
      </c>
      <c r="B301" s="325" t="s">
        <v>1957</v>
      </c>
      <c r="C301" s="325" t="s">
        <v>2055</v>
      </c>
      <c r="D301" s="325" t="s">
        <v>1958</v>
      </c>
      <c r="E301" s="324" t="s">
        <v>458</v>
      </c>
      <c r="F301" s="324" t="s">
        <v>2055</v>
      </c>
      <c r="G301" s="324" t="s">
        <v>926</v>
      </c>
      <c r="H301" s="324" t="s">
        <v>897</v>
      </c>
      <c r="I301" s="324" t="s">
        <v>918</v>
      </c>
      <c r="J301" s="324" t="s">
        <v>940</v>
      </c>
      <c r="K301" s="324" t="s">
        <v>890</v>
      </c>
      <c r="L301" s="324" t="s">
        <v>891</v>
      </c>
      <c r="M301" s="324" t="s">
        <v>892</v>
      </c>
      <c r="N301" s="324" t="s">
        <v>893</v>
      </c>
      <c r="O301" s="324" t="s">
        <v>894</v>
      </c>
      <c r="P301" s="324" t="s">
        <v>899</v>
      </c>
      <c r="Q301" s="324" t="s">
        <v>970</v>
      </c>
      <c r="R301" s="324" t="s">
        <v>1959</v>
      </c>
      <c r="S301" s="356" t="s">
        <v>895</v>
      </c>
      <c r="T301" s="309" t="s">
        <v>944</v>
      </c>
      <c r="U301" s="357">
        <f>VLOOKUP(D301,'SUIVI JOURNALIER AVRIL'!CK:CM,3,FALSE)</f>
        <v>0</v>
      </c>
      <c r="V301" s="358" t="e">
        <f>IF(VLOOKUP('vs mars'!D301,'point sur les patentes'!B:E,4,FALSE)="","",VLOOKUP(D301,'point sur les patentes'!B:E,4,FALSE)+VLOOKUP(D301,'point sur les patentes'!B:F,5,FALSE)+VLOOKUP('vs mars'!D301,'point sur les patentes'!B:G,6,FALSE)+VLOOKUP('vs mars'!D301,'point sur les patentes'!B:H,7,FALSE)+VLOOKUP('vs mars'!D301,'point sur les patentes'!B:I,8,FALSE)+VLOOKUP(D301,'point sur les patentes'!B:J,9,FALSE)+VLOOKUP(D301,'point sur les patentes'!B:K,10,FALSE)+VLOOKUP(D301,'point sur les patentes'!B:L,11,FALSE)+VLOOKUP(D301,'point sur les patentes'!B:M,12,FALSE)+VLOOKUP(D301,'point sur les patentes'!B:N,13,FALSE)+VLOOKUP(D301,'point sur les patentes'!B:O,14,FALSE)+VLOOKUP(D301,'point sur les patentes'!B:P,15,FALSE)+VLOOKUP(D301,'point sur les patentes'!B:Q,16,FALSE)+VLOOKUP('vs mars'!D301,'point sur les patentes'!B:Z,25,FALSE))</f>
        <v>#N/A</v>
      </c>
      <c r="W301" s="340">
        <f>VLOOKUP(D301,'SUIVI JOURNALIER AVRIL'!B:J,9,FALSE)</f>
        <v>0</v>
      </c>
      <c r="X301" s="340">
        <f>VLOOKUP(D301,'SUIVI JOURNALIER AVRIL'!B:P,14,FALSE)+VLOOKUP('vs mars'!D301,'SUIVI JOURNALIER AVRIL'!B:V,20,FALSE)+VLOOKUP('vs mars'!D301,'SUIVI JOURNALIER AVRIL'!B:W,21,FALSE)</f>
        <v>0</v>
      </c>
      <c r="Y301" s="340">
        <f>VLOOKUP(D301,'SUIVI JOURNALIER AVRIL'!B:CC,80,FALSE)</f>
        <v>11349</v>
      </c>
      <c r="Z301" s="340">
        <f t="shared" si="8"/>
        <v>11349</v>
      </c>
      <c r="AA301" s="359">
        <f>VLOOKUP(D301,'SUIVI JOURNALIER AVRIL'!B:CD,81,FALSE)</f>
        <v>11349</v>
      </c>
      <c r="AB301" s="360" t="str">
        <f t="shared" si="9"/>
        <v>ok</v>
      </c>
      <c r="AC301" s="360" t="str">
        <f>VLOOKUP(B301,labo!B:D,3,FALSE)</f>
        <v>ug4</v>
      </c>
      <c r="AD301" s="360" t="s">
        <v>2629</v>
      </c>
      <c r="AF301" s="330">
        <f>VLOOKUP(D301,'SUIVI JOURNALIER AVRIL'!CK:CL,2,FALSE)</f>
        <v>0</v>
      </c>
      <c r="AG301" s="360">
        <v>1</v>
      </c>
    </row>
    <row r="302" spans="1:33" s="360" customFormat="1" ht="13.5" customHeight="1">
      <c r="A302" s="324" t="s">
        <v>2118</v>
      </c>
      <c r="B302" s="325" t="s">
        <v>1532</v>
      </c>
      <c r="C302" s="325" t="s">
        <v>2055</v>
      </c>
      <c r="D302" s="325" t="s">
        <v>1533</v>
      </c>
      <c r="E302" s="324" t="s">
        <v>562</v>
      </c>
      <c r="F302" s="324" t="s">
        <v>2055</v>
      </c>
      <c r="G302" s="324" t="s">
        <v>926</v>
      </c>
      <c r="H302" s="324" t="s">
        <v>897</v>
      </c>
      <c r="I302" s="324" t="s">
        <v>1853</v>
      </c>
      <c r="J302" s="324" t="s">
        <v>940</v>
      </c>
      <c r="K302" s="324" t="s">
        <v>890</v>
      </c>
      <c r="L302" s="324" t="s">
        <v>891</v>
      </c>
      <c r="M302" s="324" t="s">
        <v>892</v>
      </c>
      <c r="N302" s="324" t="s">
        <v>893</v>
      </c>
      <c r="O302" s="324" t="s">
        <v>894</v>
      </c>
      <c r="P302" s="324" t="s">
        <v>899</v>
      </c>
      <c r="Q302" s="324" t="s">
        <v>1854</v>
      </c>
      <c r="R302" s="324" t="s">
        <v>1534</v>
      </c>
      <c r="S302" s="356" t="s">
        <v>895</v>
      </c>
      <c r="T302" s="309" t="s">
        <v>1079</v>
      </c>
      <c r="U302" s="357" t="e">
        <f>VLOOKUP(D302,'SUIVI JOURNALIER AVRIL'!CK:CM,3,FALSE)</f>
        <v>#N/A</v>
      </c>
      <c r="V302" s="358" t="e">
        <f>IF(VLOOKUP('vs mars'!D302,'point sur les patentes'!B:E,4,FALSE)="","",VLOOKUP(D302,'point sur les patentes'!B:E,4,FALSE)+VLOOKUP(D302,'point sur les patentes'!B:F,5,FALSE)+VLOOKUP('vs mars'!D302,'point sur les patentes'!B:G,6,FALSE)+VLOOKUP('vs mars'!D302,'point sur les patentes'!B:H,7,FALSE)+VLOOKUP('vs mars'!D302,'point sur les patentes'!B:I,8,FALSE)+VLOOKUP(D302,'point sur les patentes'!B:J,9,FALSE)+VLOOKUP(D302,'point sur les patentes'!B:K,10,FALSE)+VLOOKUP(D302,'point sur les patentes'!B:L,11,FALSE)+VLOOKUP(D302,'point sur les patentes'!B:M,12,FALSE)+VLOOKUP(D302,'point sur les patentes'!B:N,13,FALSE)+VLOOKUP(D302,'point sur les patentes'!B:O,14,FALSE)+VLOOKUP(D302,'point sur les patentes'!B:P,15,FALSE)+VLOOKUP(D302,'point sur les patentes'!B:Q,16,FALSE)+VLOOKUP('vs mars'!D302,'point sur les patentes'!B:Z,25,FALSE))</f>
        <v>#N/A</v>
      </c>
      <c r="W302" s="340" t="e">
        <f>VLOOKUP(D302,'SUIVI JOURNALIER AVRIL'!B:J,9,FALSE)</f>
        <v>#N/A</v>
      </c>
      <c r="X302" s="340" t="e">
        <f>VLOOKUP(D302,'SUIVI JOURNALIER AVRIL'!B:P,14,FALSE)+VLOOKUP('vs mars'!D302,'SUIVI JOURNALIER AVRIL'!B:V,20,FALSE)+VLOOKUP('vs mars'!D302,'SUIVI JOURNALIER AVRIL'!B:W,21,FALSE)</f>
        <v>#N/A</v>
      </c>
      <c r="Y302" s="340" t="e">
        <f>VLOOKUP(D302,'SUIVI JOURNALIER AVRIL'!B:CC,80,FALSE)</f>
        <v>#N/A</v>
      </c>
      <c r="Z302" s="340" t="e">
        <f t="shared" si="8"/>
        <v>#N/A</v>
      </c>
      <c r="AA302" s="359" t="e">
        <f>VLOOKUP(D302,'SUIVI JOURNALIER AVRIL'!B:CD,81,FALSE)</f>
        <v>#N/A</v>
      </c>
      <c r="AB302" s="360" t="e">
        <f t="shared" si="9"/>
        <v>#N/A</v>
      </c>
      <c r="AC302" s="360" t="str">
        <f>VLOOKUP(B302,labo!B:D,3,FALSE)</f>
        <v>ug4</v>
      </c>
      <c r="AD302" s="360" t="s">
        <v>2629</v>
      </c>
      <c r="AF302" s="330" t="e">
        <f>VLOOKUP(D302,'SUIVI JOURNALIER AVRIL'!CK:CL,2,FALSE)</f>
        <v>#N/A</v>
      </c>
      <c r="AG302" s="360">
        <v>1</v>
      </c>
    </row>
    <row r="303" spans="1:33" s="360" customFormat="1" ht="13.5" customHeight="1">
      <c r="A303" s="324" t="s">
        <v>2119</v>
      </c>
      <c r="B303" s="325" t="s">
        <v>831</v>
      </c>
      <c r="C303" s="325" t="s">
        <v>2055</v>
      </c>
      <c r="D303" s="325" t="s">
        <v>832</v>
      </c>
      <c r="E303" s="324" t="s">
        <v>458</v>
      </c>
      <c r="F303" s="324" t="s">
        <v>2055</v>
      </c>
      <c r="G303" s="324" t="s">
        <v>926</v>
      </c>
      <c r="H303" s="324" t="s">
        <v>897</v>
      </c>
      <c r="I303" s="324" t="s">
        <v>1535</v>
      </c>
      <c r="J303" s="324" t="s">
        <v>940</v>
      </c>
      <c r="K303" s="324" t="s">
        <v>890</v>
      </c>
      <c r="L303" s="324" t="s">
        <v>891</v>
      </c>
      <c r="M303" s="324" t="s">
        <v>892</v>
      </c>
      <c r="N303" s="324" t="s">
        <v>893</v>
      </c>
      <c r="O303" s="324" t="s">
        <v>1035</v>
      </c>
      <c r="P303" s="324" t="s">
        <v>1035</v>
      </c>
      <c r="Q303" s="324" t="s">
        <v>924</v>
      </c>
      <c r="R303" s="324" t="s">
        <v>924</v>
      </c>
      <c r="S303" s="356" t="s">
        <v>895</v>
      </c>
      <c r="T303" s="309" t="s">
        <v>965</v>
      </c>
      <c r="U303" s="357" t="e">
        <f>VLOOKUP(D303,'SUIVI JOURNALIER AVRIL'!CK:CM,3,FALSE)</f>
        <v>#N/A</v>
      </c>
      <c r="V303" s="358" t="e">
        <f>IF(VLOOKUP('vs mars'!D303,'point sur les patentes'!B:E,4,FALSE)="","",VLOOKUP(D303,'point sur les patentes'!B:E,4,FALSE)+VLOOKUP(D303,'point sur les patentes'!B:F,5,FALSE)+VLOOKUP('vs mars'!D303,'point sur les patentes'!B:G,6,FALSE)+VLOOKUP('vs mars'!D303,'point sur les patentes'!B:H,7,FALSE)+VLOOKUP('vs mars'!D303,'point sur les patentes'!B:I,8,FALSE)+VLOOKUP(D303,'point sur les patentes'!B:J,9,FALSE)+VLOOKUP(D303,'point sur les patentes'!B:K,10,FALSE)+VLOOKUP(D303,'point sur les patentes'!B:L,11,FALSE)+VLOOKUP(D303,'point sur les patentes'!B:M,12,FALSE)+VLOOKUP(D303,'point sur les patentes'!B:N,13,FALSE)+VLOOKUP(D303,'point sur les patentes'!B:O,14,FALSE)+VLOOKUP(D303,'point sur les patentes'!B:P,15,FALSE)+VLOOKUP(D303,'point sur les patentes'!B:Q,16,FALSE)+VLOOKUP('vs mars'!D303,'point sur les patentes'!B:Z,25,FALSE))</f>
        <v>#N/A</v>
      </c>
      <c r="W303" s="340" t="e">
        <f>VLOOKUP(D303,'SUIVI JOURNALIER AVRIL'!B:J,9,FALSE)</f>
        <v>#N/A</v>
      </c>
      <c r="X303" s="340" t="e">
        <f>VLOOKUP(D303,'SUIVI JOURNALIER AVRIL'!B:P,14,FALSE)+VLOOKUP('vs mars'!D303,'SUIVI JOURNALIER AVRIL'!B:V,20,FALSE)+VLOOKUP('vs mars'!D303,'SUIVI JOURNALIER AVRIL'!B:W,21,FALSE)</f>
        <v>#N/A</v>
      </c>
      <c r="Y303" s="340" t="e">
        <f>VLOOKUP(D303,'SUIVI JOURNALIER AVRIL'!B:CC,80,FALSE)</f>
        <v>#N/A</v>
      </c>
      <c r="Z303" s="340" t="e">
        <f t="shared" si="8"/>
        <v>#N/A</v>
      </c>
      <c r="AA303" s="359" t="e">
        <f>VLOOKUP(D303,'SUIVI JOURNALIER AVRIL'!B:CD,81,FALSE)</f>
        <v>#N/A</v>
      </c>
      <c r="AB303" s="360" t="e">
        <f t="shared" si="9"/>
        <v>#N/A</v>
      </c>
      <c r="AC303" s="360" t="str">
        <f>VLOOKUP(B303,labo!B:D,3,FALSE)</f>
        <v>ug4</v>
      </c>
      <c r="AD303" s="360" t="s">
        <v>2629</v>
      </c>
      <c r="AF303" s="330" t="e">
        <f>VLOOKUP(D303,'SUIVI JOURNALIER AVRIL'!CK:CL,2,FALSE)</f>
        <v>#N/A</v>
      </c>
      <c r="AG303" s="360">
        <v>1</v>
      </c>
    </row>
    <row r="304" spans="1:33" s="360" customFormat="1" ht="13.5" customHeight="1">
      <c r="A304" s="324" t="s">
        <v>2258</v>
      </c>
      <c r="B304" s="325" t="s">
        <v>833</v>
      </c>
      <c r="C304" s="325" t="s">
        <v>834</v>
      </c>
      <c r="D304" s="325" t="s">
        <v>835</v>
      </c>
      <c r="E304" s="324" t="s">
        <v>836</v>
      </c>
      <c r="F304" s="324" t="s">
        <v>2055</v>
      </c>
      <c r="G304" s="324" t="s">
        <v>926</v>
      </c>
      <c r="H304" s="324" t="s">
        <v>1310</v>
      </c>
      <c r="I304" s="324" t="s">
        <v>1387</v>
      </c>
      <c r="J304" s="324" t="s">
        <v>940</v>
      </c>
      <c r="K304" s="324" t="s">
        <v>890</v>
      </c>
      <c r="L304" s="324" t="s">
        <v>891</v>
      </c>
      <c r="M304" s="324" t="s">
        <v>892</v>
      </c>
      <c r="N304" s="324" t="s">
        <v>893</v>
      </c>
      <c r="O304" s="324" t="s">
        <v>894</v>
      </c>
      <c r="P304" s="324" t="s">
        <v>935</v>
      </c>
      <c r="Q304" s="324" t="s">
        <v>970</v>
      </c>
      <c r="R304" s="324" t="s">
        <v>966</v>
      </c>
      <c r="S304" s="356" t="s">
        <v>895</v>
      </c>
      <c r="T304" s="309" t="s">
        <v>1089</v>
      </c>
      <c r="U304" s="357">
        <f>VLOOKUP(D304,'SUIVI JOURNALIER AVRIL'!CK:CM,3,FALSE)</f>
        <v>0</v>
      </c>
      <c r="V304" s="358" t="e">
        <f>IF(VLOOKUP('vs mars'!D304,'point sur les patentes'!B:E,4,FALSE)="","",VLOOKUP(D304,'point sur les patentes'!B:E,4,FALSE)+VLOOKUP(D304,'point sur les patentes'!B:F,5,FALSE)+VLOOKUP('vs mars'!D304,'point sur les patentes'!B:G,6,FALSE)+VLOOKUP('vs mars'!D304,'point sur les patentes'!B:H,7,FALSE)+VLOOKUP('vs mars'!D304,'point sur les patentes'!B:I,8,FALSE)+VLOOKUP(D304,'point sur les patentes'!B:J,9,FALSE)+VLOOKUP(D304,'point sur les patentes'!B:K,10,FALSE)+VLOOKUP(D304,'point sur les patentes'!B:L,11,FALSE)+VLOOKUP(D304,'point sur les patentes'!B:M,12,FALSE)+VLOOKUP(D304,'point sur les patentes'!B:N,13,FALSE)+VLOOKUP(D304,'point sur les patentes'!B:O,14,FALSE)+VLOOKUP(D304,'point sur les patentes'!B:P,15,FALSE)+VLOOKUP(D304,'point sur les patentes'!B:Q,16,FALSE)+VLOOKUP('vs mars'!D304,'point sur les patentes'!B:Z,25,FALSE))</f>
        <v>#N/A</v>
      </c>
      <c r="W304" s="340">
        <f>VLOOKUP(D304,'SUIVI JOURNALIER AVRIL'!B:J,9,FALSE)</f>
        <v>639194</v>
      </c>
      <c r="X304" s="340">
        <f>VLOOKUP(D304,'SUIVI JOURNALIER AVRIL'!B:P,14,FALSE)+VLOOKUP('vs mars'!D304,'SUIVI JOURNALIER AVRIL'!B:V,20,FALSE)+VLOOKUP('vs mars'!D304,'SUIVI JOURNALIER AVRIL'!B:W,21,FALSE)</f>
        <v>200801</v>
      </c>
      <c r="Y304" s="340">
        <f>VLOOKUP(D304,'SUIVI JOURNALIER AVRIL'!B:CC,80,FALSE)</f>
        <v>395977</v>
      </c>
      <c r="Z304" s="340">
        <f t="shared" si="8"/>
        <v>1235972</v>
      </c>
      <c r="AA304" s="359">
        <f>VLOOKUP(D304,'SUIVI JOURNALIER AVRIL'!B:CD,81,FALSE)</f>
        <v>1235972</v>
      </c>
      <c r="AB304" s="360" t="str">
        <f t="shared" si="9"/>
        <v>ok</v>
      </c>
      <c r="AC304" s="360" t="str">
        <f>VLOOKUP(B304,labo!B:D,3,FALSE)</f>
        <v>ug2</v>
      </c>
      <c r="AD304" s="360" t="s">
        <v>2629</v>
      </c>
      <c r="AF304" s="330">
        <f>VLOOKUP(D304,'SUIVI JOURNALIER AVRIL'!CK:CL,2,FALSE)</f>
        <v>0</v>
      </c>
      <c r="AG304" s="360">
        <v>1</v>
      </c>
    </row>
    <row r="305" spans="1:33" s="360" customFormat="1" ht="13.5" customHeight="1">
      <c r="A305" s="324" t="s">
        <v>2262</v>
      </c>
      <c r="B305" s="325" t="s">
        <v>837</v>
      </c>
      <c r="C305" s="325" t="s">
        <v>2055</v>
      </c>
      <c r="D305" s="325" t="s">
        <v>838</v>
      </c>
      <c r="E305" s="324" t="s">
        <v>1562</v>
      </c>
      <c r="F305" s="324" t="s">
        <v>2055</v>
      </c>
      <c r="G305" s="324" t="s">
        <v>926</v>
      </c>
      <c r="H305" s="324" t="s">
        <v>897</v>
      </c>
      <c r="I305" s="324" t="s">
        <v>1536</v>
      </c>
      <c r="J305" s="324" t="s">
        <v>940</v>
      </c>
      <c r="K305" s="324" t="s">
        <v>890</v>
      </c>
      <c r="L305" s="324" t="s">
        <v>891</v>
      </c>
      <c r="M305" s="324" t="s">
        <v>892</v>
      </c>
      <c r="N305" s="324" t="s">
        <v>893</v>
      </c>
      <c r="O305" s="324" t="s">
        <v>894</v>
      </c>
      <c r="P305" s="324" t="s">
        <v>899</v>
      </c>
      <c r="Q305" s="324" t="s">
        <v>1388</v>
      </c>
      <c r="R305" s="324" t="s">
        <v>1389</v>
      </c>
      <c r="S305" s="356" t="s">
        <v>895</v>
      </c>
      <c r="T305" s="309" t="s">
        <v>957</v>
      </c>
      <c r="U305" s="357">
        <f>VLOOKUP(D305,'SUIVI JOURNALIER AVRIL'!CK:CM,3,FALSE)</f>
        <v>0</v>
      </c>
      <c r="V305" s="358" t="e">
        <f>IF(VLOOKUP('vs mars'!D305,'point sur les patentes'!B:E,4,FALSE)="","",VLOOKUP(D305,'point sur les patentes'!B:E,4,FALSE)+VLOOKUP(D305,'point sur les patentes'!B:F,5,FALSE)+VLOOKUP('vs mars'!D305,'point sur les patentes'!B:G,6,FALSE)+VLOOKUP('vs mars'!D305,'point sur les patentes'!B:H,7,FALSE)+VLOOKUP('vs mars'!D305,'point sur les patentes'!B:I,8,FALSE)+VLOOKUP(D305,'point sur les patentes'!B:J,9,FALSE)+VLOOKUP(D305,'point sur les patentes'!B:K,10,FALSE)+VLOOKUP(D305,'point sur les patentes'!B:L,11,FALSE)+VLOOKUP(D305,'point sur les patentes'!B:M,12,FALSE)+VLOOKUP(D305,'point sur les patentes'!B:N,13,FALSE)+VLOOKUP(D305,'point sur les patentes'!B:O,14,FALSE)+VLOOKUP(D305,'point sur les patentes'!B:P,15,FALSE)+VLOOKUP(D305,'point sur les patentes'!B:Q,16,FALSE)+VLOOKUP('vs mars'!D305,'point sur les patentes'!B:Z,25,FALSE))</f>
        <v>#N/A</v>
      </c>
      <c r="W305" s="340">
        <f>VLOOKUP(D305,'SUIVI JOURNALIER AVRIL'!B:J,9,FALSE)</f>
        <v>0</v>
      </c>
      <c r="X305" s="340">
        <f>VLOOKUP(D305,'SUIVI JOURNALIER AVRIL'!B:P,14,FALSE)+VLOOKUP('vs mars'!D305,'SUIVI JOURNALIER AVRIL'!B:V,20,FALSE)+VLOOKUP('vs mars'!D305,'SUIVI JOURNALIER AVRIL'!B:W,21,FALSE)</f>
        <v>0</v>
      </c>
      <c r="Y305" s="340">
        <f>VLOOKUP(D305,'SUIVI JOURNALIER AVRIL'!B:CC,80,FALSE)</f>
        <v>67296.363636363632</v>
      </c>
      <c r="Z305" s="340">
        <f t="shared" si="8"/>
        <v>67296.363636363632</v>
      </c>
      <c r="AA305" s="359">
        <f>VLOOKUP(D305,'SUIVI JOURNALIER AVRIL'!B:CD,81,FALSE)</f>
        <v>67296.363636363632</v>
      </c>
      <c r="AB305" s="360" t="str">
        <f t="shared" si="9"/>
        <v>ok</v>
      </c>
      <c r="AC305" s="360" t="str">
        <f>VLOOKUP(B305,labo!B:D,3,FALSE)</f>
        <v>ug5</v>
      </c>
      <c r="AD305" s="360" t="s">
        <v>2629</v>
      </c>
      <c r="AF305" s="330">
        <f>VLOOKUP(D305,'SUIVI JOURNALIER AVRIL'!CK:CL,2,FALSE)</f>
        <v>0</v>
      </c>
      <c r="AG305" s="360">
        <v>1</v>
      </c>
    </row>
    <row r="306" spans="1:33" s="360" customFormat="1" ht="13.5" customHeight="1">
      <c r="A306" s="324" t="s">
        <v>2266</v>
      </c>
      <c r="B306" s="325" t="s">
        <v>2310</v>
      </c>
      <c r="C306" s="325" t="s">
        <v>2594</v>
      </c>
      <c r="D306" s="325" t="s">
        <v>2595</v>
      </c>
      <c r="E306" s="324" t="s">
        <v>2596</v>
      </c>
      <c r="F306" s="324" t="s">
        <v>2055</v>
      </c>
      <c r="G306" s="324" t="s">
        <v>926</v>
      </c>
      <c r="H306" s="324" t="s">
        <v>2597</v>
      </c>
      <c r="I306" s="324" t="s">
        <v>2055</v>
      </c>
      <c r="J306" s="324" t="s">
        <v>2427</v>
      </c>
      <c r="K306" s="324" t="s">
        <v>2405</v>
      </c>
      <c r="L306" s="324" t="s">
        <v>891</v>
      </c>
      <c r="M306" s="324" t="s">
        <v>892</v>
      </c>
      <c r="N306" s="324" t="s">
        <v>893</v>
      </c>
      <c r="O306" s="324" t="s">
        <v>894</v>
      </c>
      <c r="P306" s="324" t="s">
        <v>919</v>
      </c>
      <c r="Q306" s="324" t="s">
        <v>2598</v>
      </c>
      <c r="R306" s="324" t="s">
        <v>1280</v>
      </c>
      <c r="S306" s="356" t="s">
        <v>895</v>
      </c>
      <c r="T306" s="309" t="s">
        <v>1082</v>
      </c>
      <c r="U306" s="357">
        <f>VLOOKUP(D306,'SUIVI JOURNALIER AVRIL'!CK:CM,3,FALSE)</f>
        <v>0</v>
      </c>
      <c r="V306" s="358" t="e">
        <f>IF(VLOOKUP('vs mars'!D306,'point sur les patentes'!B:E,4,FALSE)="","",VLOOKUP(D306,'point sur les patentes'!B:E,4,FALSE)+VLOOKUP(D306,'point sur les patentes'!B:F,5,FALSE)+VLOOKUP('vs mars'!D306,'point sur les patentes'!B:G,6,FALSE)+VLOOKUP('vs mars'!D306,'point sur les patentes'!B:H,7,FALSE)+VLOOKUP('vs mars'!D306,'point sur les patentes'!B:I,8,FALSE)+VLOOKUP(D306,'point sur les patentes'!B:J,9,FALSE)+VLOOKUP(D306,'point sur les patentes'!B:K,10,FALSE)+VLOOKUP(D306,'point sur les patentes'!B:L,11,FALSE)+VLOOKUP(D306,'point sur les patentes'!B:M,12,FALSE)+VLOOKUP(D306,'point sur les patentes'!B:N,13,FALSE)+VLOOKUP(D306,'point sur les patentes'!B:O,14,FALSE)+VLOOKUP(D306,'point sur les patentes'!B:P,15,FALSE)+VLOOKUP(D306,'point sur les patentes'!B:Q,16,FALSE)+VLOOKUP('vs mars'!D306,'point sur les patentes'!B:Z,25,FALSE))</f>
        <v>#N/A</v>
      </c>
      <c r="W306" s="340">
        <f>VLOOKUP(D306,'SUIVI JOURNALIER AVRIL'!B:J,9,FALSE)</f>
        <v>546416</v>
      </c>
      <c r="X306" s="340">
        <f>VLOOKUP(D306,'SUIVI JOURNALIER AVRIL'!B:P,14,FALSE)+VLOOKUP('vs mars'!D306,'SUIVI JOURNALIER AVRIL'!B:V,20,FALSE)+VLOOKUP('vs mars'!D306,'SUIVI JOURNALIER AVRIL'!B:W,21,FALSE)</f>
        <v>198577</v>
      </c>
      <c r="Y306" s="340">
        <f>VLOOKUP(D306,'SUIVI JOURNALIER AVRIL'!B:CC,80,FALSE)</f>
        <v>6618</v>
      </c>
      <c r="Z306" s="340">
        <f t="shared" si="8"/>
        <v>751611</v>
      </c>
      <c r="AA306" s="359">
        <f>VLOOKUP(D306,'SUIVI JOURNALIER AVRIL'!B:CD,81,FALSE)</f>
        <v>751611</v>
      </c>
      <c r="AB306" s="360" t="str">
        <f t="shared" si="9"/>
        <v>ok</v>
      </c>
      <c r="AC306" s="360" t="str">
        <f>VLOOKUP(B306,labo!B:D,3,FALSE)</f>
        <v>ug5</v>
      </c>
      <c r="AD306" s="360" t="s">
        <v>2630</v>
      </c>
      <c r="AF306" s="330">
        <f>VLOOKUP(D306,'SUIVI JOURNALIER AVRIL'!CK:CL,2,FALSE)</f>
        <v>0</v>
      </c>
      <c r="AG306" s="360">
        <v>1</v>
      </c>
    </row>
    <row r="307" spans="1:33" s="360" customFormat="1" ht="13.5" customHeight="1">
      <c r="A307" s="324" t="s">
        <v>2269</v>
      </c>
      <c r="B307" s="325" t="s">
        <v>840</v>
      </c>
      <c r="C307" s="325" t="s">
        <v>841</v>
      </c>
      <c r="D307" s="325" t="s">
        <v>842</v>
      </c>
      <c r="E307" s="324" t="s">
        <v>843</v>
      </c>
      <c r="F307" s="324" t="s">
        <v>2055</v>
      </c>
      <c r="G307" s="324" t="s">
        <v>926</v>
      </c>
      <c r="H307" s="324" t="s">
        <v>1537</v>
      </c>
      <c r="I307" s="324" t="s">
        <v>1538</v>
      </c>
      <c r="J307" s="324" t="s">
        <v>940</v>
      </c>
      <c r="K307" s="324" t="s">
        <v>890</v>
      </c>
      <c r="L307" s="324" t="s">
        <v>891</v>
      </c>
      <c r="M307" s="324" t="s">
        <v>892</v>
      </c>
      <c r="N307" s="324" t="s">
        <v>893</v>
      </c>
      <c r="O307" s="324" t="s">
        <v>894</v>
      </c>
      <c r="P307" s="324" t="s">
        <v>928</v>
      </c>
      <c r="Q307" s="324" t="s">
        <v>1364</v>
      </c>
      <c r="R307" s="324" t="s">
        <v>1364</v>
      </c>
      <c r="S307" s="356" t="s">
        <v>895</v>
      </c>
      <c r="T307" s="309" t="s">
        <v>965</v>
      </c>
      <c r="U307" s="357">
        <f>VLOOKUP(D307,'SUIVI JOURNALIER AVRIL'!CK:CM,3,FALSE)</f>
        <v>0</v>
      </c>
      <c r="V307" s="358" t="e">
        <f>IF(VLOOKUP('vs mars'!D307,'point sur les patentes'!B:E,4,FALSE)="","",VLOOKUP(D307,'point sur les patentes'!B:E,4,FALSE)+VLOOKUP(D307,'point sur les patentes'!B:F,5,FALSE)+VLOOKUP('vs mars'!D307,'point sur les patentes'!B:G,6,FALSE)+VLOOKUP('vs mars'!D307,'point sur les patentes'!B:H,7,FALSE)+VLOOKUP('vs mars'!D307,'point sur les patentes'!B:I,8,FALSE)+VLOOKUP(D307,'point sur les patentes'!B:J,9,FALSE)+VLOOKUP(D307,'point sur les patentes'!B:K,10,FALSE)+VLOOKUP(D307,'point sur les patentes'!B:L,11,FALSE)+VLOOKUP(D307,'point sur les patentes'!B:M,12,FALSE)+VLOOKUP(D307,'point sur les patentes'!B:N,13,FALSE)+VLOOKUP(D307,'point sur les patentes'!B:O,14,FALSE)+VLOOKUP(D307,'point sur les patentes'!B:P,15,FALSE)+VLOOKUP(D307,'point sur les patentes'!B:Q,16,FALSE)+VLOOKUP('vs mars'!D307,'point sur les patentes'!B:Z,25,FALSE))</f>
        <v>#N/A</v>
      </c>
      <c r="W307" s="340">
        <f>VLOOKUP(D307,'SUIVI JOURNALIER AVRIL'!B:J,9,FALSE)</f>
        <v>0</v>
      </c>
      <c r="X307" s="340">
        <f>VLOOKUP(D307,'SUIVI JOURNALIER AVRIL'!B:P,14,FALSE)+VLOOKUP('vs mars'!D307,'SUIVI JOURNALIER AVRIL'!B:V,20,FALSE)+VLOOKUP('vs mars'!D307,'SUIVI JOURNALIER AVRIL'!B:W,21,FALSE)</f>
        <v>0</v>
      </c>
      <c r="Y307" s="340">
        <f>VLOOKUP(D307,'SUIVI JOURNALIER AVRIL'!B:CC,80,FALSE)</f>
        <v>29387</v>
      </c>
      <c r="Z307" s="340">
        <f t="shared" si="8"/>
        <v>29387</v>
      </c>
      <c r="AA307" s="359">
        <f>VLOOKUP(D307,'SUIVI JOURNALIER AVRIL'!B:CD,81,FALSE)</f>
        <v>29387</v>
      </c>
      <c r="AB307" s="360" t="str">
        <f t="shared" si="9"/>
        <v>ok</v>
      </c>
      <c r="AC307" s="360" t="str">
        <f>VLOOKUP(B307,labo!B:D,3,FALSE)</f>
        <v>ug3</v>
      </c>
      <c r="AD307" s="360" t="s">
        <v>2629</v>
      </c>
      <c r="AF307" s="330">
        <f>VLOOKUP(D307,'SUIVI JOURNALIER AVRIL'!CK:CL,2,FALSE)</f>
        <v>0</v>
      </c>
      <c r="AG307" s="360">
        <v>1</v>
      </c>
    </row>
    <row r="308" spans="1:33" s="360" customFormat="1" ht="13.5" customHeight="1">
      <c r="A308" s="324" t="s">
        <v>2272</v>
      </c>
      <c r="B308" s="325" t="s">
        <v>1860</v>
      </c>
      <c r="C308" s="325" t="s">
        <v>2055</v>
      </c>
      <c r="D308" s="325" t="s">
        <v>1861</v>
      </c>
      <c r="E308" s="324" t="s">
        <v>542</v>
      </c>
      <c r="F308" s="324" t="s">
        <v>2055</v>
      </c>
      <c r="G308" s="324" t="s">
        <v>926</v>
      </c>
      <c r="H308" s="324" t="s">
        <v>1230</v>
      </c>
      <c r="I308" s="324" t="s">
        <v>1401</v>
      </c>
      <c r="J308" s="324" t="s">
        <v>940</v>
      </c>
      <c r="K308" s="324" t="s">
        <v>890</v>
      </c>
      <c r="L308" s="324" t="s">
        <v>891</v>
      </c>
      <c r="M308" s="324" t="s">
        <v>892</v>
      </c>
      <c r="N308" s="324" t="s">
        <v>893</v>
      </c>
      <c r="O308" s="324" t="s">
        <v>894</v>
      </c>
      <c r="P308" s="324" t="s">
        <v>899</v>
      </c>
      <c r="Q308" s="324" t="s">
        <v>1257</v>
      </c>
      <c r="R308" s="324" t="s">
        <v>1862</v>
      </c>
      <c r="S308" s="356" t="s">
        <v>895</v>
      </c>
      <c r="T308" s="309" t="s">
        <v>902</v>
      </c>
      <c r="U308" s="357">
        <f>VLOOKUP(D308,'SUIVI JOURNALIER AVRIL'!CK:CM,3,FALSE)</f>
        <v>0</v>
      </c>
      <c r="V308" s="358" t="e">
        <f>IF(VLOOKUP('vs mars'!D308,'point sur les patentes'!B:E,4,FALSE)="","",VLOOKUP(D308,'point sur les patentes'!B:E,4,FALSE)+VLOOKUP(D308,'point sur les patentes'!B:F,5,FALSE)+VLOOKUP('vs mars'!D308,'point sur les patentes'!B:G,6,FALSE)+VLOOKUP('vs mars'!D308,'point sur les patentes'!B:H,7,FALSE)+VLOOKUP('vs mars'!D308,'point sur les patentes'!B:I,8,FALSE)+VLOOKUP(D308,'point sur les patentes'!B:J,9,FALSE)+VLOOKUP(D308,'point sur les patentes'!B:K,10,FALSE)+VLOOKUP(D308,'point sur les patentes'!B:L,11,FALSE)+VLOOKUP(D308,'point sur les patentes'!B:M,12,FALSE)+VLOOKUP(D308,'point sur les patentes'!B:N,13,FALSE)+VLOOKUP(D308,'point sur les patentes'!B:O,14,FALSE)+VLOOKUP(D308,'point sur les patentes'!B:P,15,FALSE)+VLOOKUP(D308,'point sur les patentes'!B:Q,16,FALSE)+VLOOKUP('vs mars'!D308,'point sur les patentes'!B:Z,25,FALSE))</f>
        <v>#N/A</v>
      </c>
      <c r="W308" s="340">
        <f>VLOOKUP(D308,'SUIVI JOURNALIER AVRIL'!B:J,9,FALSE)</f>
        <v>0</v>
      </c>
      <c r="X308" s="340">
        <f>VLOOKUP(D308,'SUIVI JOURNALIER AVRIL'!B:P,14,FALSE)+VLOOKUP('vs mars'!D308,'SUIVI JOURNALIER AVRIL'!B:V,20,FALSE)+VLOOKUP('vs mars'!D308,'SUIVI JOURNALIER AVRIL'!B:W,21,FALSE)</f>
        <v>103028</v>
      </c>
      <c r="Y308" s="340">
        <f>VLOOKUP(D308,'SUIVI JOURNALIER AVRIL'!B:CC,80,FALSE)</f>
        <v>1607967.4545454546</v>
      </c>
      <c r="Z308" s="340">
        <f t="shared" si="8"/>
        <v>1710995.4545454546</v>
      </c>
      <c r="AA308" s="359">
        <f>VLOOKUP(D308,'SUIVI JOURNALIER AVRIL'!B:CD,81,FALSE)</f>
        <v>1710995.4545454546</v>
      </c>
      <c r="AB308" s="360" t="str">
        <f t="shared" si="9"/>
        <v>ok</v>
      </c>
      <c r="AC308" s="360" t="str">
        <f>VLOOKUP(B308,labo!B:D,3,FALSE)</f>
        <v>ug2</v>
      </c>
      <c r="AD308" s="360" t="s">
        <v>2629</v>
      </c>
      <c r="AF308" s="330">
        <f>VLOOKUP(D308,'SUIVI JOURNALIER AVRIL'!CK:CL,2,FALSE)</f>
        <v>0</v>
      </c>
      <c r="AG308" s="360">
        <v>1</v>
      </c>
    </row>
    <row r="309" spans="1:33" s="360" customFormat="1" ht="13.5" customHeight="1">
      <c r="A309" s="324" t="s">
        <v>2274</v>
      </c>
      <c r="B309" s="325" t="s">
        <v>1864</v>
      </c>
      <c r="C309" s="325" t="s">
        <v>1865</v>
      </c>
      <c r="D309" s="325" t="s">
        <v>1934</v>
      </c>
      <c r="E309" s="324" t="s">
        <v>542</v>
      </c>
      <c r="F309" s="324" t="s">
        <v>2055</v>
      </c>
      <c r="G309" s="324" t="s">
        <v>926</v>
      </c>
      <c r="H309" s="324" t="s">
        <v>1230</v>
      </c>
      <c r="I309" s="324" t="s">
        <v>1524</v>
      </c>
      <c r="J309" s="324" t="s">
        <v>940</v>
      </c>
      <c r="K309" s="324" t="s">
        <v>890</v>
      </c>
      <c r="L309" s="324" t="s">
        <v>891</v>
      </c>
      <c r="M309" s="324" t="s">
        <v>892</v>
      </c>
      <c r="N309" s="324" t="s">
        <v>893</v>
      </c>
      <c r="O309" s="324" t="s">
        <v>894</v>
      </c>
      <c r="P309" s="324" t="s">
        <v>899</v>
      </c>
      <c r="Q309" s="324" t="s">
        <v>995</v>
      </c>
      <c r="R309" s="324" t="s">
        <v>1866</v>
      </c>
      <c r="S309" s="356" t="s">
        <v>895</v>
      </c>
      <c r="T309" s="309" t="s">
        <v>953</v>
      </c>
      <c r="U309" s="357" t="e">
        <f>VLOOKUP(D309,'SUIVI JOURNALIER AVRIL'!CK:CM,3,FALSE)</f>
        <v>#N/A</v>
      </c>
      <c r="V309" s="358" t="e">
        <f>IF(VLOOKUP('vs mars'!D309,'point sur les patentes'!B:E,4,FALSE)="","",VLOOKUP(D309,'point sur les patentes'!B:E,4,FALSE)+VLOOKUP(D309,'point sur les patentes'!B:F,5,FALSE)+VLOOKUP('vs mars'!D309,'point sur les patentes'!B:G,6,FALSE)+VLOOKUP('vs mars'!D309,'point sur les patentes'!B:H,7,FALSE)+VLOOKUP('vs mars'!D309,'point sur les patentes'!B:I,8,FALSE)+VLOOKUP(D309,'point sur les patentes'!B:J,9,FALSE)+VLOOKUP(D309,'point sur les patentes'!B:K,10,FALSE)+VLOOKUP(D309,'point sur les patentes'!B:L,11,FALSE)+VLOOKUP(D309,'point sur les patentes'!B:M,12,FALSE)+VLOOKUP(D309,'point sur les patentes'!B:N,13,FALSE)+VLOOKUP(D309,'point sur les patentes'!B:O,14,FALSE)+VLOOKUP(D309,'point sur les patentes'!B:P,15,FALSE)+VLOOKUP(D309,'point sur les patentes'!B:Q,16,FALSE)+VLOOKUP('vs mars'!D309,'point sur les patentes'!B:Z,25,FALSE))</f>
        <v>#N/A</v>
      </c>
      <c r="W309" s="340" t="e">
        <f>VLOOKUP(D309,'SUIVI JOURNALIER AVRIL'!B:J,9,FALSE)</f>
        <v>#N/A</v>
      </c>
      <c r="X309" s="340" t="e">
        <f>VLOOKUP(D309,'SUIVI JOURNALIER AVRIL'!B:P,14,FALSE)+VLOOKUP('vs mars'!D309,'SUIVI JOURNALIER AVRIL'!B:V,20,FALSE)+VLOOKUP('vs mars'!D309,'SUIVI JOURNALIER AVRIL'!B:W,21,FALSE)</f>
        <v>#N/A</v>
      </c>
      <c r="Y309" s="340" t="e">
        <f>VLOOKUP(D309,'SUIVI JOURNALIER AVRIL'!B:CC,80,FALSE)</f>
        <v>#N/A</v>
      </c>
      <c r="Z309" s="340" t="e">
        <f t="shared" si="8"/>
        <v>#N/A</v>
      </c>
      <c r="AA309" s="359" t="e">
        <f>VLOOKUP(D309,'SUIVI JOURNALIER AVRIL'!B:CD,81,FALSE)</f>
        <v>#N/A</v>
      </c>
      <c r="AB309" s="360" t="e">
        <f t="shared" si="9"/>
        <v>#N/A</v>
      </c>
      <c r="AC309" s="360" t="str">
        <f>VLOOKUP(B309,labo!B:D,3,FALSE)</f>
        <v>ug2</v>
      </c>
      <c r="AD309" s="360" t="s">
        <v>2629</v>
      </c>
      <c r="AF309" s="330" t="e">
        <f>VLOOKUP(D309,'SUIVI JOURNALIER AVRIL'!CK:CL,2,FALSE)</f>
        <v>#N/A</v>
      </c>
      <c r="AG309" s="360">
        <v>1</v>
      </c>
    </row>
    <row r="310" spans="1:33" s="360" customFormat="1" ht="13.5" customHeight="1">
      <c r="A310" s="324" t="s">
        <v>2280</v>
      </c>
      <c r="B310" s="325" t="s">
        <v>1935</v>
      </c>
      <c r="C310" s="325" t="s">
        <v>2055</v>
      </c>
      <c r="D310" s="325" t="s">
        <v>1936</v>
      </c>
      <c r="E310" s="324" t="s">
        <v>458</v>
      </c>
      <c r="F310" s="324" t="s">
        <v>2055</v>
      </c>
      <c r="G310" s="324" t="s">
        <v>926</v>
      </c>
      <c r="H310" s="324" t="s">
        <v>1937</v>
      </c>
      <c r="I310" s="324" t="s">
        <v>2096</v>
      </c>
      <c r="J310" s="324" t="s">
        <v>940</v>
      </c>
      <c r="K310" s="324" t="s">
        <v>890</v>
      </c>
      <c r="L310" s="324" t="s">
        <v>891</v>
      </c>
      <c r="M310" s="324" t="s">
        <v>892</v>
      </c>
      <c r="N310" s="324" t="s">
        <v>975</v>
      </c>
      <c r="O310" s="324" t="s">
        <v>976</v>
      </c>
      <c r="P310" s="324" t="s">
        <v>976</v>
      </c>
      <c r="Q310" s="324" t="s">
        <v>1938</v>
      </c>
      <c r="R310" s="324" t="s">
        <v>1938</v>
      </c>
      <c r="S310" s="356" t="s">
        <v>895</v>
      </c>
      <c r="T310" s="309" t="s">
        <v>1116</v>
      </c>
      <c r="U310" s="357" t="e">
        <f>VLOOKUP(D310,'SUIVI JOURNALIER AVRIL'!CK:CM,3,FALSE)</f>
        <v>#N/A</v>
      </c>
      <c r="V310" s="358" t="e">
        <f>IF(VLOOKUP('vs mars'!D310,'point sur les patentes'!B:E,4,FALSE)="","",VLOOKUP(D310,'point sur les patentes'!B:E,4,FALSE)+VLOOKUP(D310,'point sur les patentes'!B:F,5,FALSE)+VLOOKUP('vs mars'!D310,'point sur les patentes'!B:G,6,FALSE)+VLOOKUP('vs mars'!D310,'point sur les patentes'!B:H,7,FALSE)+VLOOKUP('vs mars'!D310,'point sur les patentes'!B:I,8,FALSE)+VLOOKUP(D310,'point sur les patentes'!B:J,9,FALSE)+VLOOKUP(D310,'point sur les patentes'!B:K,10,FALSE)+VLOOKUP(D310,'point sur les patentes'!B:L,11,FALSE)+VLOOKUP(D310,'point sur les patentes'!B:M,12,FALSE)+VLOOKUP(D310,'point sur les patentes'!B:N,13,FALSE)+VLOOKUP(D310,'point sur les patentes'!B:O,14,FALSE)+VLOOKUP(D310,'point sur les patentes'!B:P,15,FALSE)+VLOOKUP(D310,'point sur les patentes'!B:Q,16,FALSE)+VLOOKUP('vs mars'!D310,'point sur les patentes'!B:Z,25,FALSE))</f>
        <v>#N/A</v>
      </c>
      <c r="W310" s="340" t="e">
        <f>VLOOKUP(D310,'SUIVI JOURNALIER AVRIL'!B:J,9,FALSE)</f>
        <v>#N/A</v>
      </c>
      <c r="X310" s="340" t="e">
        <f>VLOOKUP(D310,'SUIVI JOURNALIER AVRIL'!B:P,14,FALSE)+VLOOKUP('vs mars'!D310,'SUIVI JOURNALIER AVRIL'!B:V,20,FALSE)+VLOOKUP('vs mars'!D310,'SUIVI JOURNALIER AVRIL'!B:W,21,FALSE)</f>
        <v>#N/A</v>
      </c>
      <c r="Y310" s="340" t="e">
        <f>VLOOKUP(D310,'SUIVI JOURNALIER AVRIL'!B:CC,80,FALSE)</f>
        <v>#N/A</v>
      </c>
      <c r="Z310" s="340" t="e">
        <f t="shared" si="8"/>
        <v>#N/A</v>
      </c>
      <c r="AA310" s="359" t="e">
        <f>VLOOKUP(D310,'SUIVI JOURNALIER AVRIL'!B:CD,81,FALSE)</f>
        <v>#N/A</v>
      </c>
      <c r="AB310" s="360" t="e">
        <f t="shared" si="9"/>
        <v>#N/A</v>
      </c>
      <c r="AC310" s="360" t="str">
        <f>VLOOKUP(B310,labo!B:D,3,FALSE)</f>
        <v>ug4</v>
      </c>
      <c r="AD310" s="360" t="s">
        <v>2629</v>
      </c>
      <c r="AF310" s="330" t="e">
        <f>VLOOKUP(D310,'SUIVI JOURNALIER AVRIL'!CK:CL,2,FALSE)</f>
        <v>#N/A</v>
      </c>
      <c r="AG310" s="360">
        <v>1</v>
      </c>
    </row>
    <row r="311" spans="1:33" s="360" customFormat="1" ht="13.5" customHeight="1">
      <c r="A311" s="324" t="s">
        <v>2281</v>
      </c>
      <c r="B311" s="325" t="s">
        <v>1868</v>
      </c>
      <c r="C311" s="325" t="s">
        <v>2055</v>
      </c>
      <c r="D311" s="325" t="s">
        <v>1869</v>
      </c>
      <c r="E311" s="324" t="s">
        <v>542</v>
      </c>
      <c r="F311" s="324" t="s">
        <v>2055</v>
      </c>
      <c r="G311" s="324" t="s">
        <v>926</v>
      </c>
      <c r="H311" s="324" t="s">
        <v>897</v>
      </c>
      <c r="I311" s="324" t="s">
        <v>1244</v>
      </c>
      <c r="J311" s="324" t="s">
        <v>889</v>
      </c>
      <c r="K311" s="324" t="s">
        <v>890</v>
      </c>
      <c r="L311" s="324" t="s">
        <v>891</v>
      </c>
      <c r="M311" s="324" t="s">
        <v>892</v>
      </c>
      <c r="N311" s="324" t="s">
        <v>893</v>
      </c>
      <c r="O311" s="324" t="s">
        <v>894</v>
      </c>
      <c r="P311" s="324" t="s">
        <v>899</v>
      </c>
      <c r="Q311" s="324" t="s">
        <v>941</v>
      </c>
      <c r="R311" s="324" t="s">
        <v>1137</v>
      </c>
      <c r="S311" s="356" t="s">
        <v>895</v>
      </c>
      <c r="T311" s="309" t="s">
        <v>1116</v>
      </c>
      <c r="U311" s="357" t="e">
        <f>VLOOKUP(D311,'SUIVI JOURNALIER AVRIL'!CK:CM,3,FALSE)</f>
        <v>#N/A</v>
      </c>
      <c r="V311" s="358" t="e">
        <f>IF(VLOOKUP('vs mars'!D311,'point sur les patentes'!B:E,4,FALSE)="","",VLOOKUP(D311,'point sur les patentes'!B:E,4,FALSE)+VLOOKUP(D311,'point sur les patentes'!B:F,5,FALSE)+VLOOKUP('vs mars'!D311,'point sur les patentes'!B:G,6,FALSE)+VLOOKUP('vs mars'!D311,'point sur les patentes'!B:H,7,FALSE)+VLOOKUP('vs mars'!D311,'point sur les patentes'!B:I,8,FALSE)+VLOOKUP(D311,'point sur les patentes'!B:J,9,FALSE)+VLOOKUP(D311,'point sur les patentes'!B:K,10,FALSE)+VLOOKUP(D311,'point sur les patentes'!B:L,11,FALSE)+VLOOKUP(D311,'point sur les patentes'!B:M,12,FALSE)+VLOOKUP(D311,'point sur les patentes'!B:N,13,FALSE)+VLOOKUP(D311,'point sur les patentes'!B:O,14,FALSE)+VLOOKUP(D311,'point sur les patentes'!B:P,15,FALSE)+VLOOKUP(D311,'point sur les patentes'!B:Q,16,FALSE)+VLOOKUP('vs mars'!D311,'point sur les patentes'!B:Z,25,FALSE))</f>
        <v>#N/A</v>
      </c>
      <c r="W311" s="340" t="e">
        <f>VLOOKUP(D311,'SUIVI JOURNALIER AVRIL'!B:J,9,FALSE)</f>
        <v>#N/A</v>
      </c>
      <c r="X311" s="340" t="e">
        <f>VLOOKUP(D311,'SUIVI JOURNALIER AVRIL'!B:P,14,FALSE)+VLOOKUP('vs mars'!D311,'SUIVI JOURNALIER AVRIL'!B:V,20,FALSE)+VLOOKUP('vs mars'!D311,'SUIVI JOURNALIER AVRIL'!B:W,21,FALSE)</f>
        <v>#N/A</v>
      </c>
      <c r="Y311" s="340" t="e">
        <f>VLOOKUP(D311,'SUIVI JOURNALIER AVRIL'!B:CC,80,FALSE)</f>
        <v>#N/A</v>
      </c>
      <c r="Z311" s="340" t="e">
        <f>W311+X311+Y311</f>
        <v>#N/A</v>
      </c>
      <c r="AA311" s="359" t="e">
        <f>VLOOKUP(D311,'SUIVI JOURNALIER AVRIL'!B:CD,81,FALSE)</f>
        <v>#N/A</v>
      </c>
      <c r="AB311" s="360" t="e">
        <f t="shared" si="9"/>
        <v>#N/A</v>
      </c>
      <c r="AC311" s="360" t="str">
        <f>VLOOKUP(B311,labo!B:D,3,FALSE)</f>
        <v>ug2</v>
      </c>
      <c r="AD311" s="360" t="s">
        <v>2629</v>
      </c>
      <c r="AF311" s="330" t="e">
        <f>VLOOKUP(D311,'SUIVI JOURNALIER AVRIL'!CK:CL,2,FALSE)</f>
        <v>#N/A</v>
      </c>
      <c r="AG311" s="360">
        <v>1</v>
      </c>
    </row>
    <row r="312" spans="1:33" s="360" customFormat="1" ht="13.5" customHeight="1">
      <c r="A312" s="324" t="s">
        <v>2282</v>
      </c>
      <c r="B312" s="325" t="s">
        <v>328</v>
      </c>
      <c r="C312" s="325" t="s">
        <v>2055</v>
      </c>
      <c r="D312" s="325" t="s">
        <v>844</v>
      </c>
      <c r="E312" s="324" t="s">
        <v>733</v>
      </c>
      <c r="F312" s="324" t="s">
        <v>2055</v>
      </c>
      <c r="G312" s="324" t="s">
        <v>926</v>
      </c>
      <c r="H312" s="324" t="s">
        <v>897</v>
      </c>
      <c r="I312" s="324" t="s">
        <v>1539</v>
      </c>
      <c r="J312" s="324" t="s">
        <v>940</v>
      </c>
      <c r="K312" s="324" t="s">
        <v>890</v>
      </c>
      <c r="L312" s="324" t="s">
        <v>891</v>
      </c>
      <c r="M312" s="324" t="s">
        <v>892</v>
      </c>
      <c r="N312" s="324" t="s">
        <v>893</v>
      </c>
      <c r="O312" s="324" t="s">
        <v>894</v>
      </c>
      <c r="P312" s="324" t="s">
        <v>928</v>
      </c>
      <c r="Q312" s="324" t="s">
        <v>1390</v>
      </c>
      <c r="R312" s="324" t="s">
        <v>1390</v>
      </c>
      <c r="S312" s="356" t="s">
        <v>895</v>
      </c>
      <c r="T312" s="309" t="s">
        <v>957</v>
      </c>
      <c r="U312" s="357">
        <f>VLOOKUP(D312,'SUIVI JOURNALIER AVRIL'!CK:CM,3,FALSE)</f>
        <v>0</v>
      </c>
      <c r="V312" s="358" t="e">
        <f>IF(VLOOKUP('vs mars'!D312,'point sur les patentes'!B:E,4,FALSE)="","",VLOOKUP(D312,'point sur les patentes'!B:E,4,FALSE)+VLOOKUP(D312,'point sur les patentes'!B:F,5,FALSE)+VLOOKUP('vs mars'!D312,'point sur les patentes'!B:G,6,FALSE)+VLOOKUP('vs mars'!D312,'point sur les patentes'!B:H,7,FALSE)+VLOOKUP('vs mars'!D312,'point sur les patentes'!B:I,8,FALSE)+VLOOKUP(D312,'point sur les patentes'!B:J,9,FALSE)+VLOOKUP(D312,'point sur les patentes'!B:K,10,FALSE)+VLOOKUP(D312,'point sur les patentes'!B:L,11,FALSE)+VLOOKUP(D312,'point sur les patentes'!B:M,12,FALSE)+VLOOKUP(D312,'point sur les patentes'!B:N,13,FALSE)+VLOOKUP(D312,'point sur les patentes'!B:O,14,FALSE)+VLOOKUP(D312,'point sur les patentes'!B:P,15,FALSE)+VLOOKUP(D312,'point sur les patentes'!B:Q,16,FALSE)+VLOOKUP('vs mars'!D312,'point sur les patentes'!B:Z,25,FALSE))</f>
        <v>#N/A</v>
      </c>
      <c r="W312" s="340">
        <f>VLOOKUP(D312,'SUIVI JOURNALIER AVRIL'!B:J,9,FALSE)</f>
        <v>188641</v>
      </c>
      <c r="X312" s="340">
        <f>VLOOKUP(D312,'SUIVI JOURNALIER AVRIL'!B:P,14,FALSE)+VLOOKUP('vs mars'!D312,'SUIVI JOURNALIER AVRIL'!B:V,20,FALSE)+VLOOKUP('vs mars'!D312,'SUIVI JOURNALIER AVRIL'!B:W,21,FALSE)</f>
        <v>21559</v>
      </c>
      <c r="Y312" s="340">
        <f>VLOOKUP(D312,'SUIVI JOURNALIER AVRIL'!B:CC,80,FALSE)</f>
        <v>71295</v>
      </c>
      <c r="Z312" s="340">
        <f>W312+X312+Y312</f>
        <v>281495</v>
      </c>
      <c r="AA312" s="359">
        <f>VLOOKUP(D312,'SUIVI JOURNALIER AVRIL'!B:CD,81,FALSE)</f>
        <v>281495</v>
      </c>
      <c r="AB312" s="360" t="str">
        <f>IF(Z312=AA312,"ok","revoir")</f>
        <v>ok</v>
      </c>
      <c r="AC312" s="360" t="str">
        <f>VLOOKUP(B312,labo!B:D,3,FALSE)</f>
        <v>ug4</v>
      </c>
      <c r="AD312" s="360" t="s">
        <v>2629</v>
      </c>
      <c r="AF312" s="330">
        <f>VLOOKUP(D312,'SUIVI JOURNALIER AVRIL'!CK:CL,2,FALSE)</f>
        <v>0</v>
      </c>
      <c r="AG312" s="360">
        <v>1</v>
      </c>
    </row>
    <row r="313" spans="1:33" s="360" customFormat="1" ht="13.5" customHeight="1">
      <c r="A313" s="324" t="s">
        <v>2291</v>
      </c>
      <c r="B313" s="325" t="s">
        <v>2365</v>
      </c>
      <c r="C313" s="325" t="s">
        <v>2599</v>
      </c>
      <c r="D313" s="325" t="s">
        <v>2600</v>
      </c>
      <c r="E313" s="324" t="s">
        <v>839</v>
      </c>
      <c r="F313" s="324" t="s">
        <v>2055</v>
      </c>
      <c r="G313" s="324" t="s">
        <v>887</v>
      </c>
      <c r="H313" s="324" t="s">
        <v>2601</v>
      </c>
      <c r="I313" s="324" t="s">
        <v>2602</v>
      </c>
      <c r="J313" s="324" t="s">
        <v>2481</v>
      </c>
      <c r="K313" s="324" t="s">
        <v>2405</v>
      </c>
      <c r="L313" s="324" t="s">
        <v>891</v>
      </c>
      <c r="M313" s="324" t="s">
        <v>2603</v>
      </c>
      <c r="N313" s="324" t="s">
        <v>2604</v>
      </c>
      <c r="O313" s="324" t="s">
        <v>2605</v>
      </c>
      <c r="P313" s="324" t="s">
        <v>2606</v>
      </c>
      <c r="Q313" s="324" t="s">
        <v>2607</v>
      </c>
      <c r="R313" s="324" t="s">
        <v>2607</v>
      </c>
      <c r="S313" s="356" t="s">
        <v>895</v>
      </c>
      <c r="T313" s="309" t="s">
        <v>957</v>
      </c>
      <c r="U313" s="357" t="e">
        <f>VLOOKUP(D313,'SUIVI JOURNALIER AVRIL'!CK:CM,3,FALSE)</f>
        <v>#N/A</v>
      </c>
      <c r="V313" s="358" t="e">
        <f>IF(VLOOKUP('vs mars'!D313,'point sur les patentes'!B:E,4,FALSE)="","",VLOOKUP(D313,'point sur les patentes'!B:E,4,FALSE)+VLOOKUP(D313,'point sur les patentes'!B:F,5,FALSE)+VLOOKUP('vs mars'!D313,'point sur les patentes'!B:G,6,FALSE)+VLOOKUP('vs mars'!D313,'point sur les patentes'!B:H,7,FALSE)+VLOOKUP('vs mars'!D313,'point sur les patentes'!B:I,8,FALSE)+VLOOKUP(D313,'point sur les patentes'!B:J,9,FALSE)+VLOOKUP(D313,'point sur les patentes'!B:K,10,FALSE)+VLOOKUP(D313,'point sur les patentes'!B:L,11,FALSE)+VLOOKUP(D313,'point sur les patentes'!B:M,12,FALSE)+VLOOKUP(D313,'point sur les patentes'!B:N,13,FALSE)+VLOOKUP(D313,'point sur les patentes'!B:O,14,FALSE)+VLOOKUP(D313,'point sur les patentes'!B:P,15,FALSE)+VLOOKUP(D313,'point sur les patentes'!B:Q,16,FALSE)+VLOOKUP('vs mars'!D313,'point sur les patentes'!B:Z,25,FALSE))</f>
        <v>#N/A</v>
      </c>
      <c r="W313" s="340" t="e">
        <f>VLOOKUP(D313,'SUIVI JOURNALIER AVRIL'!B:J,9,FALSE)</f>
        <v>#N/A</v>
      </c>
      <c r="X313" s="340" t="e">
        <f>VLOOKUP(D313,'SUIVI JOURNALIER AVRIL'!B:P,14,FALSE)+VLOOKUP('vs mars'!D313,'SUIVI JOURNALIER AVRIL'!B:V,20,FALSE)+VLOOKUP('vs mars'!D313,'SUIVI JOURNALIER AVRIL'!B:W,21,FALSE)</f>
        <v>#N/A</v>
      </c>
      <c r="Y313" s="340" t="e">
        <f>VLOOKUP(D313,'SUIVI JOURNALIER AVRIL'!B:CC,80,FALSE)</f>
        <v>#N/A</v>
      </c>
      <c r="Z313" s="340" t="e">
        <f>W313+X313+Y313</f>
        <v>#N/A</v>
      </c>
      <c r="AA313" s="359" t="e">
        <f>VLOOKUP(D313,'SUIVI JOURNALIER AVRIL'!B:CD,81,FALSE)</f>
        <v>#N/A</v>
      </c>
      <c r="AB313" s="360" t="e">
        <f>IF(Z313=AA313,"ok","revoir")</f>
        <v>#N/A</v>
      </c>
      <c r="AC313" s="360" t="str">
        <f>VLOOKUP(B313,labo!B:D,3,FALSE)</f>
        <v>ug5</v>
      </c>
      <c r="AD313" s="360" t="s">
        <v>2630</v>
      </c>
      <c r="AF313" s="330" t="e">
        <f>VLOOKUP(D313,'SUIVI JOURNALIER AVRIL'!CK:CL,2,FALSE)</f>
        <v>#N/A</v>
      </c>
      <c r="AG313" s="360">
        <v>1</v>
      </c>
    </row>
    <row r="314" spans="1:33" s="360" customFormat="1" ht="13.5" customHeight="1">
      <c r="A314" s="324" t="s">
        <v>2366</v>
      </c>
      <c r="B314" s="325" t="s">
        <v>845</v>
      </c>
      <c r="C314" s="325" t="s">
        <v>846</v>
      </c>
      <c r="D314" s="325" t="s">
        <v>847</v>
      </c>
      <c r="E314" s="324" t="s">
        <v>549</v>
      </c>
      <c r="F314" s="324" t="s">
        <v>2055</v>
      </c>
      <c r="G314" s="324" t="s">
        <v>887</v>
      </c>
      <c r="H314" s="324" t="s">
        <v>1391</v>
      </c>
      <c r="I314" s="324" t="s">
        <v>1392</v>
      </c>
      <c r="J314" s="324" t="s">
        <v>889</v>
      </c>
      <c r="K314" s="324" t="s">
        <v>890</v>
      </c>
      <c r="L314" s="324" t="s">
        <v>891</v>
      </c>
      <c r="M314" s="324" t="s">
        <v>892</v>
      </c>
      <c r="N314" s="324" t="s">
        <v>893</v>
      </c>
      <c r="O314" s="324" t="s">
        <v>894</v>
      </c>
      <c r="P314" s="324" t="s">
        <v>899</v>
      </c>
      <c r="Q314" s="324" t="s">
        <v>995</v>
      </c>
      <c r="R314" s="324" t="s">
        <v>1393</v>
      </c>
      <c r="S314" s="356" t="s">
        <v>895</v>
      </c>
      <c r="T314" s="309" t="s">
        <v>999</v>
      </c>
      <c r="U314" s="357" t="e">
        <f>VLOOKUP(D314,'SUIVI JOURNALIER AVRIL'!CK:CM,3,FALSE)</f>
        <v>#N/A</v>
      </c>
      <c r="V314" s="358" t="e">
        <f>IF(VLOOKUP('vs mars'!D314,'point sur les patentes'!B:E,4,FALSE)="","",VLOOKUP(D314,'point sur les patentes'!B:E,4,FALSE)+VLOOKUP(D314,'point sur les patentes'!B:F,5,FALSE)+VLOOKUP('vs mars'!D314,'point sur les patentes'!B:G,6,FALSE)+VLOOKUP('vs mars'!D314,'point sur les patentes'!B:H,7,FALSE)+VLOOKUP('vs mars'!D314,'point sur les patentes'!B:I,8,FALSE)+VLOOKUP(D314,'point sur les patentes'!B:J,9,FALSE)+VLOOKUP(D314,'point sur les patentes'!B:K,10,FALSE)+VLOOKUP(D314,'point sur les patentes'!B:L,11,FALSE)+VLOOKUP(D314,'point sur les patentes'!B:M,12,FALSE)+VLOOKUP(D314,'point sur les patentes'!B:N,13,FALSE)+VLOOKUP(D314,'point sur les patentes'!B:O,14,FALSE)+VLOOKUP(D314,'point sur les patentes'!B:P,15,FALSE)+VLOOKUP(D314,'point sur les patentes'!B:Q,16,FALSE)+VLOOKUP('vs mars'!D314,'point sur les patentes'!B:Z,25,FALSE))</f>
        <v>#N/A</v>
      </c>
      <c r="W314" s="340" t="e">
        <f>VLOOKUP(D314,'SUIVI JOURNALIER AVRIL'!B:J,9,FALSE)</f>
        <v>#N/A</v>
      </c>
      <c r="X314" s="340" t="e">
        <f>VLOOKUP(D314,'SUIVI JOURNALIER AVRIL'!B:P,14,FALSE)+VLOOKUP('vs mars'!D314,'SUIVI JOURNALIER AVRIL'!B:V,20,FALSE)+VLOOKUP('vs mars'!D314,'SUIVI JOURNALIER AVRIL'!B:W,21,FALSE)</f>
        <v>#N/A</v>
      </c>
      <c r="Y314" s="340" t="e">
        <f>VLOOKUP(D314,'SUIVI JOURNALIER AVRIL'!B:CC,80,FALSE)</f>
        <v>#N/A</v>
      </c>
      <c r="Z314" s="340" t="e">
        <f>W314+X314+Y314</f>
        <v>#N/A</v>
      </c>
      <c r="AA314" s="359" t="e">
        <f>VLOOKUP(D314,'SUIVI JOURNALIER AVRIL'!B:CD,81,FALSE)</f>
        <v>#N/A</v>
      </c>
      <c r="AB314" s="360" t="e">
        <f>IF(Z314=AA314,"ok","revoir")</f>
        <v>#N/A</v>
      </c>
      <c r="AC314" s="360" t="str">
        <f>VLOOKUP(B314,labo!B:D,3,FALSE)</f>
        <v>ug5</v>
      </c>
      <c r="AD314" s="360" t="s">
        <v>2629</v>
      </c>
      <c r="AF314" s="330" t="e">
        <f>VLOOKUP(D314,'SUIVI JOURNALIER AVRIL'!CK:CL,2,FALSE)</f>
        <v>#N/A</v>
      </c>
      <c r="AG314" s="360">
        <v>1</v>
      </c>
    </row>
    <row r="315" spans="1:33" s="360" customFormat="1" ht="13.5" customHeight="1">
      <c r="A315" s="324" t="s">
        <v>2367</v>
      </c>
      <c r="B315" s="325" t="s">
        <v>1540</v>
      </c>
      <c r="C315" s="325" t="s">
        <v>1541</v>
      </c>
      <c r="D315" s="325" t="s">
        <v>1542</v>
      </c>
      <c r="E315" s="324" t="s">
        <v>422</v>
      </c>
      <c r="F315" s="324" t="s">
        <v>2055</v>
      </c>
      <c r="G315" s="324" t="s">
        <v>887</v>
      </c>
      <c r="H315" s="324" t="s">
        <v>897</v>
      </c>
      <c r="I315" s="324" t="s">
        <v>1876</v>
      </c>
      <c r="J315" s="324" t="s">
        <v>889</v>
      </c>
      <c r="K315" s="324" t="s">
        <v>890</v>
      </c>
      <c r="L315" s="324" t="s">
        <v>891</v>
      </c>
      <c r="M315" s="324" t="s">
        <v>892</v>
      </c>
      <c r="N315" s="324" t="s">
        <v>905</v>
      </c>
      <c r="O315" s="324" t="s">
        <v>1544</v>
      </c>
      <c r="P315" s="324" t="s">
        <v>1544</v>
      </c>
      <c r="Q315" s="324" t="s">
        <v>1476</v>
      </c>
      <c r="R315" s="324" t="s">
        <v>1545</v>
      </c>
      <c r="S315" s="356"/>
      <c r="T315" s="309"/>
      <c r="U315" s="357">
        <f>VLOOKUP(D315,'SUIVI JOURNALIER AVRIL'!CK:CM,3,FALSE)</f>
        <v>0</v>
      </c>
      <c r="V315" s="358" t="e">
        <f>IF(VLOOKUP('vs mars'!D315,'point sur les patentes'!B:E,4,FALSE)="","",VLOOKUP(D315,'point sur les patentes'!B:E,4,FALSE)+VLOOKUP(D315,'point sur les patentes'!B:F,5,FALSE)+VLOOKUP('vs mars'!D315,'point sur les patentes'!B:G,6,FALSE)+VLOOKUP('vs mars'!D315,'point sur les patentes'!B:H,7,FALSE)+VLOOKUP('vs mars'!D315,'point sur les patentes'!B:I,8,FALSE)+VLOOKUP(D315,'point sur les patentes'!B:J,9,FALSE)+VLOOKUP(D315,'point sur les patentes'!B:K,10,FALSE)+VLOOKUP(D315,'point sur les patentes'!B:L,11,FALSE)+VLOOKUP(D315,'point sur les patentes'!B:M,12,FALSE)+VLOOKUP(D315,'point sur les patentes'!B:N,13,FALSE)+VLOOKUP(D315,'point sur les patentes'!B:O,14,FALSE)+VLOOKUP(D315,'point sur les patentes'!B:P,15,FALSE)+VLOOKUP(D315,'point sur les patentes'!B:Q,16,FALSE)+VLOOKUP('vs mars'!D315,'point sur les patentes'!B:Z,25,FALSE))</f>
        <v>#N/A</v>
      </c>
      <c r="W315" s="340">
        <f>VLOOKUP(D315,'SUIVI JOURNALIER AVRIL'!B:J,9,FALSE)</f>
        <v>191451</v>
      </c>
      <c r="X315" s="340">
        <f>VLOOKUP(D315,'SUIVI JOURNALIER AVRIL'!B:P,14,FALSE)+VLOOKUP('vs mars'!D315,'SUIVI JOURNALIER AVRIL'!B:V,20,FALSE)+VLOOKUP('vs mars'!D315,'SUIVI JOURNALIER AVRIL'!B:W,21,FALSE)</f>
        <v>0</v>
      </c>
      <c r="Y315" s="340">
        <f>VLOOKUP(D315,'SUIVI JOURNALIER AVRIL'!B:CC,80,FALSE)</f>
        <v>1056</v>
      </c>
      <c r="Z315" s="340">
        <f>W315+X315+Y315</f>
        <v>192507</v>
      </c>
      <c r="AA315" s="359">
        <f>VLOOKUP(D315,'SUIVI JOURNALIER AVRIL'!B:CD,81,FALSE)</f>
        <v>192507</v>
      </c>
      <c r="AB315" s="360" t="str">
        <f>IF(Z315=AA315,"ok","revoir")</f>
        <v>ok</v>
      </c>
      <c r="AC315" s="360" t="str">
        <f>VLOOKUP(B315,labo!B:D,3,FALSE)</f>
        <v>ug4</v>
      </c>
      <c r="AD315" s="360" t="s">
        <v>2629</v>
      </c>
      <c r="AF315" s="330">
        <f>VLOOKUP(D315,'SUIVI JOURNALIER AVRIL'!CK:CL,2,FALSE)</f>
        <v>0</v>
      </c>
      <c r="AG315" s="360">
        <v>1</v>
      </c>
    </row>
    <row r="316" spans="1:33" s="360" customFormat="1" ht="13.5" customHeight="1">
      <c r="A316" s="324" t="s">
        <v>2369</v>
      </c>
      <c r="B316" s="325" t="s">
        <v>2368</v>
      </c>
      <c r="C316" s="325" t="s">
        <v>2608</v>
      </c>
      <c r="D316" s="325" t="s">
        <v>2609</v>
      </c>
      <c r="E316" s="324" t="s">
        <v>432</v>
      </c>
      <c r="F316" s="324" t="s">
        <v>2055</v>
      </c>
      <c r="G316" s="324" t="s">
        <v>887</v>
      </c>
      <c r="H316" s="324" t="s">
        <v>2113</v>
      </c>
      <c r="I316" s="324" t="s">
        <v>2610</v>
      </c>
      <c r="J316" s="324" t="s">
        <v>2055</v>
      </c>
      <c r="K316" s="324" t="s">
        <v>2405</v>
      </c>
      <c r="L316" s="324" t="s">
        <v>891</v>
      </c>
      <c r="M316" s="324" t="s">
        <v>892</v>
      </c>
      <c r="N316" s="324" t="s">
        <v>893</v>
      </c>
      <c r="O316" s="324" t="s">
        <v>894</v>
      </c>
      <c r="P316" s="324" t="s">
        <v>919</v>
      </c>
      <c r="Q316" s="324" t="s">
        <v>2611</v>
      </c>
      <c r="R316" s="324" t="s">
        <v>995</v>
      </c>
      <c r="S316" s="356"/>
      <c r="T316" s="309"/>
      <c r="U316" s="357" t="e">
        <f>VLOOKUP(D316,'SUIVI JOURNALIER AVRIL'!CK:CM,3,FALSE)</f>
        <v>#N/A</v>
      </c>
      <c r="V316" s="358" t="e">
        <f>IF(VLOOKUP('vs mars'!D316,'point sur les patentes'!B:E,4,FALSE)="","",VLOOKUP(D316,'point sur les patentes'!B:E,4,FALSE)+VLOOKUP(D316,'point sur les patentes'!B:F,5,FALSE)+VLOOKUP('vs mars'!D316,'point sur les patentes'!B:G,6,FALSE)+VLOOKUP('vs mars'!D316,'point sur les patentes'!B:H,7,FALSE)+VLOOKUP('vs mars'!D316,'point sur les patentes'!B:I,8,FALSE)+VLOOKUP(D316,'point sur les patentes'!B:J,9,FALSE)+VLOOKUP(D316,'point sur les patentes'!B:K,10,FALSE)+VLOOKUP(D316,'point sur les patentes'!B:L,11,FALSE)+VLOOKUP(D316,'point sur les patentes'!B:M,12,FALSE)+VLOOKUP(D316,'point sur les patentes'!B:N,13,FALSE)+VLOOKUP(D316,'point sur les patentes'!B:O,14,FALSE)+VLOOKUP(D316,'point sur les patentes'!B:P,15,FALSE)+VLOOKUP(D316,'point sur les patentes'!B:Q,16,FALSE)+VLOOKUP('vs mars'!D316,'point sur les patentes'!B:Z,25,FALSE))</f>
        <v>#N/A</v>
      </c>
      <c r="W316" s="340" t="e">
        <f>VLOOKUP(D316,'SUIVI JOURNALIER AVRIL'!B:J,9,FALSE)</f>
        <v>#N/A</v>
      </c>
      <c r="X316" s="340" t="e">
        <f>VLOOKUP(D316,'SUIVI JOURNALIER AVRIL'!B:P,14,FALSE)+VLOOKUP('vs mars'!D316,'SUIVI JOURNALIER AVRIL'!B:V,20,FALSE)+VLOOKUP('vs mars'!D316,'SUIVI JOURNALIER AVRIL'!B:W,21,FALSE)</f>
        <v>#N/A</v>
      </c>
      <c r="Y316" s="340" t="e">
        <f>VLOOKUP(D316,'SUIVI JOURNALIER AVRIL'!B:CC,80,FALSE)</f>
        <v>#N/A</v>
      </c>
      <c r="Z316" s="340" t="e">
        <f t="shared" si="8"/>
        <v>#N/A</v>
      </c>
      <c r="AA316" s="359" t="e">
        <f>VLOOKUP(D316,'SUIVI JOURNALIER AVRIL'!B:CD,81,FALSE)</f>
        <v>#N/A</v>
      </c>
      <c r="AB316" s="360" t="e">
        <f t="shared" si="9"/>
        <v>#N/A</v>
      </c>
      <c r="AC316" s="360" t="str">
        <f>VLOOKUP(B316,labo!B:D,3,FALSE)</f>
        <v>ug2</v>
      </c>
      <c r="AD316" s="360" t="s">
        <v>2630</v>
      </c>
      <c r="AF316" s="330" t="e">
        <f>VLOOKUP(D316,'SUIVI JOURNALIER AVRIL'!CK:CL,2,FALSE)</f>
        <v>#N/A</v>
      </c>
      <c r="AG316" s="360">
        <v>1</v>
      </c>
    </row>
    <row r="317" spans="1:33" s="360" customFormat="1" ht="13.5" customHeight="1">
      <c r="A317" s="324" t="s">
        <v>2370</v>
      </c>
      <c r="B317" s="325" t="s">
        <v>300</v>
      </c>
      <c r="C317" s="325" t="s">
        <v>848</v>
      </c>
      <c r="D317" s="325" t="s">
        <v>849</v>
      </c>
      <c r="E317" s="324" t="s">
        <v>436</v>
      </c>
      <c r="F317" s="324" t="s">
        <v>2055</v>
      </c>
      <c r="G317" s="324" t="s">
        <v>887</v>
      </c>
      <c r="H317" s="324" t="s">
        <v>1394</v>
      </c>
      <c r="I317" s="324" t="s">
        <v>1395</v>
      </c>
      <c r="J317" s="324" t="s">
        <v>889</v>
      </c>
      <c r="K317" s="324" t="s">
        <v>890</v>
      </c>
      <c r="L317" s="324" t="s">
        <v>891</v>
      </c>
      <c r="M317" s="324" t="s">
        <v>892</v>
      </c>
      <c r="N317" s="324" t="s">
        <v>893</v>
      </c>
      <c r="O317" s="324" t="s">
        <v>894</v>
      </c>
      <c r="P317" s="324" t="s">
        <v>935</v>
      </c>
      <c r="Q317" s="324" t="s">
        <v>941</v>
      </c>
      <c r="R317" s="324" t="s">
        <v>848</v>
      </c>
      <c r="S317" s="356"/>
      <c r="T317" s="309"/>
      <c r="U317" s="357">
        <f>VLOOKUP(D317,'SUIVI JOURNALIER AVRIL'!CK:CM,3,FALSE)</f>
        <v>0</v>
      </c>
      <c r="V317" s="358" t="e">
        <f>IF(VLOOKUP('vs mars'!D317,'point sur les patentes'!B:E,4,FALSE)="","",VLOOKUP(D317,'point sur les patentes'!B:E,4,FALSE)+VLOOKUP(D317,'point sur les patentes'!B:F,5,FALSE)+VLOOKUP('vs mars'!D317,'point sur les patentes'!B:G,6,FALSE)+VLOOKUP('vs mars'!D317,'point sur les patentes'!B:H,7,FALSE)+VLOOKUP('vs mars'!D317,'point sur les patentes'!B:I,8,FALSE)+VLOOKUP(D317,'point sur les patentes'!B:J,9,FALSE)+VLOOKUP(D317,'point sur les patentes'!B:K,10,FALSE)+VLOOKUP(D317,'point sur les patentes'!B:L,11,FALSE)+VLOOKUP(D317,'point sur les patentes'!B:M,12,FALSE)+VLOOKUP(D317,'point sur les patentes'!B:N,13,FALSE)+VLOOKUP(D317,'point sur les patentes'!B:O,14,FALSE)+VLOOKUP(D317,'point sur les patentes'!B:P,15,FALSE)+VLOOKUP(D317,'point sur les patentes'!B:Q,16,FALSE)+VLOOKUP('vs mars'!D317,'point sur les patentes'!B:Z,25,FALSE))</f>
        <v>#N/A</v>
      </c>
      <c r="W317" s="340">
        <f>VLOOKUP(D317,'SUIVI JOURNALIER AVRIL'!B:J,9,FALSE)</f>
        <v>0</v>
      </c>
      <c r="X317" s="340">
        <f>VLOOKUP(D317,'SUIVI JOURNALIER AVRIL'!B:P,14,FALSE)+VLOOKUP('vs mars'!D317,'SUIVI JOURNALIER AVRIL'!B:V,20,FALSE)+VLOOKUP('vs mars'!D317,'SUIVI JOURNALIER AVRIL'!B:W,21,FALSE)</f>
        <v>33455</v>
      </c>
      <c r="Y317" s="340">
        <f>VLOOKUP(D317,'SUIVI JOURNALIER AVRIL'!B:CC,80,FALSE)</f>
        <v>31233</v>
      </c>
      <c r="Z317" s="340">
        <f t="shared" si="8"/>
        <v>64688</v>
      </c>
      <c r="AA317" s="359">
        <f>VLOOKUP(D317,'SUIVI JOURNALIER AVRIL'!B:CD,81,FALSE)</f>
        <v>64688</v>
      </c>
      <c r="AB317" s="360" t="str">
        <f t="shared" si="9"/>
        <v>ok</v>
      </c>
      <c r="AC317" s="360" t="str">
        <f>VLOOKUP(B317,labo!B:D,3,FALSE)</f>
        <v>ug1</v>
      </c>
      <c r="AD317" s="360" t="s">
        <v>2629</v>
      </c>
      <c r="AF317" s="330">
        <f>VLOOKUP(D317,'SUIVI JOURNALIER AVRIL'!CK:CL,2,FALSE)</f>
        <v>0</v>
      </c>
      <c r="AG317" s="360">
        <v>1</v>
      </c>
    </row>
    <row r="318" spans="1:33" s="360" customFormat="1" ht="13.5" customHeight="1">
      <c r="A318" s="324" t="s">
        <v>2371</v>
      </c>
      <c r="B318" s="325" t="s">
        <v>336</v>
      </c>
      <c r="C318" s="325" t="s">
        <v>850</v>
      </c>
      <c r="D318" s="325" t="s">
        <v>851</v>
      </c>
      <c r="E318" s="324" t="s">
        <v>419</v>
      </c>
      <c r="F318" s="324" t="s">
        <v>2055</v>
      </c>
      <c r="G318" s="324" t="s">
        <v>887</v>
      </c>
      <c r="H318" s="324" t="s">
        <v>897</v>
      </c>
      <c r="I318" s="324" t="s">
        <v>1396</v>
      </c>
      <c r="J318" s="324" t="s">
        <v>889</v>
      </c>
      <c r="K318" s="324" t="s">
        <v>890</v>
      </c>
      <c r="L318" s="324" t="s">
        <v>891</v>
      </c>
      <c r="M318" s="324" t="s">
        <v>892</v>
      </c>
      <c r="N318" s="324" t="s">
        <v>912</v>
      </c>
      <c r="O318" s="324" t="s">
        <v>913</v>
      </c>
      <c r="P318" s="324" t="s">
        <v>913</v>
      </c>
      <c r="Q318" s="324" t="s">
        <v>914</v>
      </c>
      <c r="R318" s="324" t="s">
        <v>1397</v>
      </c>
      <c r="S318" s="356"/>
      <c r="T318" s="309"/>
      <c r="U318" s="357">
        <f>VLOOKUP(D318,'SUIVI JOURNALIER AVRIL'!CK:CM,3,FALSE)</f>
        <v>0</v>
      </c>
      <c r="V318" s="358" t="e">
        <f>IF(VLOOKUP('vs mars'!D318,'point sur les patentes'!B:E,4,FALSE)="","",VLOOKUP(D318,'point sur les patentes'!B:E,4,FALSE)+VLOOKUP(D318,'point sur les patentes'!B:F,5,FALSE)+VLOOKUP('vs mars'!D318,'point sur les patentes'!B:G,6,FALSE)+VLOOKUP('vs mars'!D318,'point sur les patentes'!B:H,7,FALSE)+VLOOKUP('vs mars'!D318,'point sur les patentes'!B:I,8,FALSE)+VLOOKUP(D318,'point sur les patentes'!B:J,9,FALSE)+VLOOKUP(D318,'point sur les patentes'!B:K,10,FALSE)+VLOOKUP(D318,'point sur les patentes'!B:L,11,FALSE)+VLOOKUP(D318,'point sur les patentes'!B:M,12,FALSE)+VLOOKUP(D318,'point sur les patentes'!B:N,13,FALSE)+VLOOKUP(D318,'point sur les patentes'!B:O,14,FALSE)+VLOOKUP(D318,'point sur les patentes'!B:P,15,FALSE)+VLOOKUP(D318,'point sur les patentes'!B:Q,16,FALSE)+VLOOKUP('vs mars'!D318,'point sur les patentes'!B:Z,25,FALSE))</f>
        <v>#N/A</v>
      </c>
      <c r="W318" s="340">
        <f>VLOOKUP(D318,'SUIVI JOURNALIER AVRIL'!B:J,9,FALSE)</f>
        <v>0</v>
      </c>
      <c r="X318" s="340">
        <f>VLOOKUP(D318,'SUIVI JOURNALIER AVRIL'!B:P,14,FALSE)+VLOOKUP('vs mars'!D318,'SUIVI JOURNALIER AVRIL'!B:V,20,FALSE)+VLOOKUP('vs mars'!D318,'SUIVI JOURNALIER AVRIL'!B:W,21,FALSE)</f>
        <v>0</v>
      </c>
      <c r="Y318" s="340">
        <f>VLOOKUP(D318,'SUIVI JOURNALIER AVRIL'!B:CC,80,FALSE)</f>
        <v>1749</v>
      </c>
      <c r="Z318" s="340">
        <f t="shared" si="8"/>
        <v>1749</v>
      </c>
      <c r="AA318" s="359">
        <f>VLOOKUP(D318,'SUIVI JOURNALIER AVRIL'!B:CD,81,FALSE)</f>
        <v>1749</v>
      </c>
      <c r="AB318" s="360" t="str">
        <f t="shared" si="9"/>
        <v>ok</v>
      </c>
      <c r="AC318" s="360" t="str">
        <f>VLOOKUP(B318,labo!B:D,3,FALSE)</f>
        <v>ug5</v>
      </c>
      <c r="AD318" s="360" t="s">
        <v>2629</v>
      </c>
      <c r="AF318" s="330">
        <f>VLOOKUP(D318,'SUIVI JOURNALIER AVRIL'!CK:CL,2,FALSE)</f>
        <v>0</v>
      </c>
      <c r="AG318" s="360">
        <v>1</v>
      </c>
    </row>
    <row r="319" spans="1:33" s="360" customFormat="1" ht="13.5" customHeight="1">
      <c r="A319" s="324" t="s">
        <v>2372</v>
      </c>
      <c r="B319" s="325" t="s">
        <v>852</v>
      </c>
      <c r="C319" s="325" t="s">
        <v>853</v>
      </c>
      <c r="D319" s="325" t="s">
        <v>854</v>
      </c>
      <c r="E319" s="324" t="s">
        <v>446</v>
      </c>
      <c r="F319" s="324" t="s">
        <v>2055</v>
      </c>
      <c r="G319" s="324" t="s">
        <v>887</v>
      </c>
      <c r="H319" s="324" t="s">
        <v>897</v>
      </c>
      <c r="I319" s="324" t="s">
        <v>1398</v>
      </c>
      <c r="J319" s="324" t="s">
        <v>889</v>
      </c>
      <c r="K319" s="324" t="s">
        <v>890</v>
      </c>
      <c r="L319" s="324" t="s">
        <v>891</v>
      </c>
      <c r="M319" s="324" t="s">
        <v>892</v>
      </c>
      <c r="N319" s="324" t="s">
        <v>954</v>
      </c>
      <c r="O319" s="324" t="s">
        <v>955</v>
      </c>
      <c r="P319" s="324" t="s">
        <v>955</v>
      </c>
      <c r="Q319" s="324" t="s">
        <v>1399</v>
      </c>
      <c r="R319" s="324" t="s">
        <v>1400</v>
      </c>
      <c r="S319" s="356"/>
      <c r="T319" s="309"/>
      <c r="U319" s="357" t="e">
        <f>VLOOKUP(D319,'SUIVI JOURNALIER AVRIL'!CK:CM,3,FALSE)</f>
        <v>#N/A</v>
      </c>
      <c r="V319" s="358" t="e">
        <f>IF(VLOOKUP('vs mars'!D319,'point sur les patentes'!B:E,4,FALSE)="","",VLOOKUP(D319,'point sur les patentes'!B:E,4,FALSE)+VLOOKUP(D319,'point sur les patentes'!B:F,5,FALSE)+VLOOKUP('vs mars'!D319,'point sur les patentes'!B:G,6,FALSE)+VLOOKUP('vs mars'!D319,'point sur les patentes'!B:H,7,FALSE)+VLOOKUP('vs mars'!D319,'point sur les patentes'!B:I,8,FALSE)+VLOOKUP(D319,'point sur les patentes'!B:J,9,FALSE)+VLOOKUP(D319,'point sur les patentes'!B:K,10,FALSE)+VLOOKUP(D319,'point sur les patentes'!B:L,11,FALSE)+VLOOKUP(D319,'point sur les patentes'!B:M,12,FALSE)+VLOOKUP(D319,'point sur les patentes'!B:N,13,FALSE)+VLOOKUP(D319,'point sur les patentes'!B:O,14,FALSE)+VLOOKUP(D319,'point sur les patentes'!B:P,15,FALSE)+VLOOKUP(D319,'point sur les patentes'!B:Q,16,FALSE)+VLOOKUP('vs mars'!D319,'point sur les patentes'!B:Z,25,FALSE))</f>
        <v>#N/A</v>
      </c>
      <c r="W319" s="340" t="e">
        <f>VLOOKUP(D319,'SUIVI JOURNALIER AVRIL'!B:J,9,FALSE)</f>
        <v>#N/A</v>
      </c>
      <c r="X319" s="340" t="e">
        <f>VLOOKUP(D319,'SUIVI JOURNALIER AVRIL'!B:P,14,FALSE)+VLOOKUP('vs mars'!D319,'SUIVI JOURNALIER AVRIL'!B:V,20,FALSE)+VLOOKUP('vs mars'!D319,'SUIVI JOURNALIER AVRIL'!B:W,21,FALSE)</f>
        <v>#N/A</v>
      </c>
      <c r="Y319" s="340" t="e">
        <f>VLOOKUP(D319,'SUIVI JOURNALIER AVRIL'!B:CC,80,FALSE)</f>
        <v>#N/A</v>
      </c>
      <c r="Z319" s="340" t="e">
        <f t="shared" si="8"/>
        <v>#N/A</v>
      </c>
      <c r="AA319" s="359" t="e">
        <f>VLOOKUP(D319,'SUIVI JOURNALIER AVRIL'!B:CD,81,FALSE)</f>
        <v>#N/A</v>
      </c>
      <c r="AB319" s="360" t="e">
        <f t="shared" si="9"/>
        <v>#N/A</v>
      </c>
      <c r="AC319" s="360" t="str">
        <f>VLOOKUP(B319,labo!B:D,3,FALSE)</f>
        <v>ug5</v>
      </c>
      <c r="AD319" s="360" t="s">
        <v>2629</v>
      </c>
      <c r="AF319" s="330" t="e">
        <f>VLOOKUP(D319,'SUIVI JOURNALIER AVRIL'!CK:CL,2,FALSE)</f>
        <v>#N/A</v>
      </c>
      <c r="AG319" s="360">
        <v>1</v>
      </c>
    </row>
    <row r="320" spans="1:33" s="360" customFormat="1" ht="13.5" customHeight="1">
      <c r="A320" s="324" t="s">
        <v>2374</v>
      </c>
      <c r="B320" s="325" t="s">
        <v>2373</v>
      </c>
      <c r="C320" s="325" t="s">
        <v>2612</v>
      </c>
      <c r="D320" s="325" t="s">
        <v>2125</v>
      </c>
      <c r="E320" s="324" t="s">
        <v>2248</v>
      </c>
      <c r="F320" s="324" t="s">
        <v>2055</v>
      </c>
      <c r="G320" s="324" t="s">
        <v>887</v>
      </c>
      <c r="H320" s="324" t="s">
        <v>2055</v>
      </c>
      <c r="I320" s="324" t="s">
        <v>2055</v>
      </c>
      <c r="J320" s="324" t="s">
        <v>2055</v>
      </c>
      <c r="K320" s="324" t="s">
        <v>2405</v>
      </c>
      <c r="L320" s="324" t="s">
        <v>891</v>
      </c>
      <c r="M320" s="324" t="s">
        <v>892</v>
      </c>
      <c r="N320" s="324" t="s">
        <v>893</v>
      </c>
      <c r="O320" s="324" t="s">
        <v>894</v>
      </c>
      <c r="P320" s="324" t="s">
        <v>919</v>
      </c>
      <c r="Q320" s="324" t="s">
        <v>2613</v>
      </c>
      <c r="R320" s="324" t="s">
        <v>985</v>
      </c>
      <c r="S320" s="356"/>
      <c r="T320" s="309"/>
      <c r="U320" s="357" t="e">
        <f>VLOOKUP(D320,'SUIVI JOURNALIER AVRIL'!CK:CM,3,FALSE)</f>
        <v>#N/A</v>
      </c>
      <c r="V320" s="358" t="e">
        <f>IF(VLOOKUP('vs mars'!D320,'point sur les patentes'!B:E,4,FALSE)="","",VLOOKUP(D320,'point sur les patentes'!B:E,4,FALSE)+VLOOKUP(D320,'point sur les patentes'!B:F,5,FALSE)+VLOOKUP('vs mars'!D320,'point sur les patentes'!B:G,6,FALSE)+VLOOKUP('vs mars'!D320,'point sur les patentes'!B:H,7,FALSE)+VLOOKUP('vs mars'!D320,'point sur les patentes'!B:I,8,FALSE)+VLOOKUP(D320,'point sur les patentes'!B:J,9,FALSE)+VLOOKUP(D320,'point sur les patentes'!B:K,10,FALSE)+VLOOKUP(D320,'point sur les patentes'!B:L,11,FALSE)+VLOOKUP(D320,'point sur les patentes'!B:M,12,FALSE)+VLOOKUP(D320,'point sur les patentes'!B:N,13,FALSE)+VLOOKUP(D320,'point sur les patentes'!B:O,14,FALSE)+VLOOKUP(D320,'point sur les patentes'!B:P,15,FALSE)+VLOOKUP(D320,'point sur les patentes'!B:Q,16,FALSE)+VLOOKUP('vs mars'!D320,'point sur les patentes'!B:Z,25,FALSE))</f>
        <v>#N/A</v>
      </c>
      <c r="W320" s="340" t="e">
        <f>VLOOKUP(D320,'SUIVI JOURNALIER AVRIL'!B:J,9,FALSE)</f>
        <v>#N/A</v>
      </c>
      <c r="X320" s="340" t="e">
        <f>VLOOKUP(D320,'SUIVI JOURNALIER AVRIL'!B:P,14,FALSE)+VLOOKUP('vs mars'!D320,'SUIVI JOURNALIER AVRIL'!B:V,20,FALSE)+VLOOKUP('vs mars'!D320,'SUIVI JOURNALIER AVRIL'!B:W,21,FALSE)</f>
        <v>#N/A</v>
      </c>
      <c r="Y320" s="340" t="e">
        <f>VLOOKUP(D320,'SUIVI JOURNALIER AVRIL'!B:CC,80,FALSE)</f>
        <v>#N/A</v>
      </c>
      <c r="Z320" s="340" t="e">
        <f t="shared" si="8"/>
        <v>#N/A</v>
      </c>
      <c r="AA320" s="359" t="e">
        <f>VLOOKUP(D320,'SUIVI JOURNALIER AVRIL'!B:CD,81,FALSE)</f>
        <v>#N/A</v>
      </c>
      <c r="AB320" s="360" t="e">
        <f t="shared" si="9"/>
        <v>#N/A</v>
      </c>
      <c r="AC320" s="360" t="str">
        <f>VLOOKUP(B320,labo!B:D,3,FALSE)</f>
        <v>ug5</v>
      </c>
      <c r="AD320" s="360" t="s">
        <v>2629</v>
      </c>
      <c r="AF320" s="330" t="e">
        <f>VLOOKUP(D320,'SUIVI JOURNALIER AVRIL'!CK:CL,2,FALSE)</f>
        <v>#N/A</v>
      </c>
      <c r="AG320" s="360">
        <v>1</v>
      </c>
    </row>
    <row r="321" spans="1:33" s="360" customFormat="1" ht="13.5" customHeight="1">
      <c r="A321" s="324" t="s">
        <v>2375</v>
      </c>
      <c r="B321" s="325" t="s">
        <v>1575</v>
      </c>
      <c r="C321" s="325" t="s">
        <v>2055</v>
      </c>
      <c r="D321" s="325" t="s">
        <v>1576</v>
      </c>
      <c r="E321" s="324" t="s">
        <v>542</v>
      </c>
      <c r="F321" s="324" t="s">
        <v>2055</v>
      </c>
      <c r="G321" s="324" t="s">
        <v>887</v>
      </c>
      <c r="H321" s="324" t="s">
        <v>897</v>
      </c>
      <c r="I321" s="324" t="s">
        <v>1577</v>
      </c>
      <c r="J321" s="324" t="s">
        <v>889</v>
      </c>
      <c r="K321" s="324" t="s">
        <v>890</v>
      </c>
      <c r="L321" s="324" t="s">
        <v>891</v>
      </c>
      <c r="M321" s="324" t="s">
        <v>892</v>
      </c>
      <c r="N321" s="324" t="s">
        <v>893</v>
      </c>
      <c r="O321" s="324" t="s">
        <v>894</v>
      </c>
      <c r="P321" s="324" t="s">
        <v>899</v>
      </c>
      <c r="Q321" s="324" t="s">
        <v>985</v>
      </c>
      <c r="R321" s="324" t="s">
        <v>1578</v>
      </c>
      <c r="S321" s="356"/>
      <c r="T321" s="309"/>
      <c r="U321" s="357" t="e">
        <f>VLOOKUP(D321,'SUIVI JOURNALIER AVRIL'!CK:CM,3,FALSE)</f>
        <v>#N/A</v>
      </c>
      <c r="V321" s="358" t="e">
        <f>IF(VLOOKUP('vs mars'!D321,'point sur les patentes'!B:E,4,FALSE)="","",VLOOKUP(D321,'point sur les patentes'!B:E,4,FALSE)+VLOOKUP(D321,'point sur les patentes'!B:F,5,FALSE)+VLOOKUP('vs mars'!D321,'point sur les patentes'!B:G,6,FALSE)+VLOOKUP('vs mars'!D321,'point sur les patentes'!B:H,7,FALSE)+VLOOKUP('vs mars'!D321,'point sur les patentes'!B:I,8,FALSE)+VLOOKUP(D321,'point sur les patentes'!B:J,9,FALSE)+VLOOKUP(D321,'point sur les patentes'!B:K,10,FALSE)+VLOOKUP(D321,'point sur les patentes'!B:L,11,FALSE)+VLOOKUP(D321,'point sur les patentes'!B:M,12,FALSE)+VLOOKUP(D321,'point sur les patentes'!B:N,13,FALSE)+VLOOKUP(D321,'point sur les patentes'!B:O,14,FALSE)+VLOOKUP(D321,'point sur les patentes'!B:P,15,FALSE)+VLOOKUP(D321,'point sur les patentes'!B:Q,16,FALSE)+VLOOKUP('vs mars'!D321,'point sur les patentes'!B:Z,25,FALSE))</f>
        <v>#N/A</v>
      </c>
      <c r="W321" s="340" t="e">
        <f>VLOOKUP(D321,'SUIVI JOURNALIER AVRIL'!B:J,9,FALSE)</f>
        <v>#N/A</v>
      </c>
      <c r="X321" s="340" t="e">
        <f>VLOOKUP(D321,'SUIVI JOURNALIER AVRIL'!B:P,14,FALSE)+VLOOKUP('vs mars'!D321,'SUIVI JOURNALIER AVRIL'!B:V,20,FALSE)+VLOOKUP('vs mars'!D321,'SUIVI JOURNALIER AVRIL'!B:W,21,FALSE)</f>
        <v>#N/A</v>
      </c>
      <c r="Y321" s="340" t="e">
        <f>VLOOKUP(D321,'SUIVI JOURNALIER AVRIL'!B:CC,80,FALSE)</f>
        <v>#N/A</v>
      </c>
      <c r="Z321" s="340" t="e">
        <f t="shared" si="8"/>
        <v>#N/A</v>
      </c>
      <c r="AA321" s="359" t="e">
        <f>VLOOKUP(D321,'SUIVI JOURNALIER AVRIL'!B:CD,81,FALSE)</f>
        <v>#N/A</v>
      </c>
      <c r="AB321" s="360" t="e">
        <f t="shared" si="9"/>
        <v>#N/A</v>
      </c>
      <c r="AC321" s="360" t="str">
        <f>VLOOKUP(B321,labo!B:D,3,FALSE)</f>
        <v>ug2</v>
      </c>
      <c r="AD321" s="360" t="s">
        <v>2629</v>
      </c>
      <c r="AF321" s="330" t="e">
        <f>VLOOKUP(D321,'SUIVI JOURNALIER AVRIL'!CK:CL,2,FALSE)</f>
        <v>#N/A</v>
      </c>
      <c r="AG321" s="360">
        <v>1</v>
      </c>
    </row>
    <row r="322" spans="1:33" s="360" customFormat="1" ht="13.5" customHeight="1">
      <c r="A322" s="324" t="s">
        <v>888</v>
      </c>
      <c r="B322" s="325" t="s">
        <v>2376</v>
      </c>
      <c r="C322" s="325" t="s">
        <v>2614</v>
      </c>
      <c r="D322" s="325" t="s">
        <v>2307</v>
      </c>
      <c r="E322" s="324" t="s">
        <v>2615</v>
      </c>
      <c r="F322" s="324" t="s">
        <v>2055</v>
      </c>
      <c r="G322" s="324" t="s">
        <v>887</v>
      </c>
      <c r="H322" s="324" t="s">
        <v>2055</v>
      </c>
      <c r="I322" s="324" t="s">
        <v>2055</v>
      </c>
      <c r="J322" s="324" t="s">
        <v>2055</v>
      </c>
      <c r="K322" s="324" t="s">
        <v>2405</v>
      </c>
      <c r="L322" s="324" t="s">
        <v>891</v>
      </c>
      <c r="M322" s="324" t="s">
        <v>892</v>
      </c>
      <c r="N322" s="324" t="s">
        <v>893</v>
      </c>
      <c r="O322" s="324" t="s">
        <v>894</v>
      </c>
      <c r="P322" s="324" t="s">
        <v>919</v>
      </c>
      <c r="Q322" s="324" t="s">
        <v>2616</v>
      </c>
      <c r="R322" s="324" t="s">
        <v>2055</v>
      </c>
      <c r="S322" s="356"/>
      <c r="T322" s="309"/>
      <c r="U322" s="357">
        <f>VLOOKUP(D322,'SUIVI JOURNALIER AVRIL'!CK:CM,3,FALSE)</f>
        <v>0</v>
      </c>
      <c r="V322" s="358" t="e">
        <f>IF(VLOOKUP('vs mars'!D322,'point sur les patentes'!B:E,4,FALSE)="","",VLOOKUP(D322,'point sur les patentes'!B:E,4,FALSE)+VLOOKUP(D322,'point sur les patentes'!B:F,5,FALSE)+VLOOKUP('vs mars'!D322,'point sur les patentes'!B:G,6,FALSE)+VLOOKUP('vs mars'!D322,'point sur les patentes'!B:H,7,FALSE)+VLOOKUP('vs mars'!D322,'point sur les patentes'!B:I,8,FALSE)+VLOOKUP(D322,'point sur les patentes'!B:J,9,FALSE)+VLOOKUP(D322,'point sur les patentes'!B:K,10,FALSE)+VLOOKUP(D322,'point sur les patentes'!B:L,11,FALSE)+VLOOKUP(D322,'point sur les patentes'!B:M,12,FALSE)+VLOOKUP(D322,'point sur les patentes'!B:N,13,FALSE)+VLOOKUP(D322,'point sur les patentes'!B:O,14,FALSE)+VLOOKUP(D322,'point sur les patentes'!B:P,15,FALSE)+VLOOKUP(D322,'point sur les patentes'!B:Q,16,FALSE)+VLOOKUP('vs mars'!D322,'point sur les patentes'!B:Z,25,FALSE))</f>
        <v>#N/A</v>
      </c>
      <c r="W322" s="340">
        <f>VLOOKUP(D322,'SUIVI JOURNALIER AVRIL'!B:J,9,FALSE)</f>
        <v>92360</v>
      </c>
      <c r="X322" s="340">
        <f>VLOOKUP(D322,'SUIVI JOURNALIER AVRIL'!B:P,14,FALSE)+VLOOKUP('vs mars'!D322,'SUIVI JOURNALIER AVRIL'!B:V,20,FALSE)+VLOOKUP('vs mars'!D322,'SUIVI JOURNALIER AVRIL'!B:W,21,FALSE)</f>
        <v>72784</v>
      </c>
      <c r="Y322" s="340">
        <f>VLOOKUP(D322,'SUIVI JOURNALIER AVRIL'!B:CC,80,FALSE)</f>
        <v>23080</v>
      </c>
      <c r="Z322" s="340">
        <f t="shared" si="8"/>
        <v>188224</v>
      </c>
      <c r="AA322" s="359">
        <f>VLOOKUP(D322,'SUIVI JOURNALIER AVRIL'!B:CD,81,FALSE)</f>
        <v>188224</v>
      </c>
      <c r="AB322" s="360" t="str">
        <f t="shared" si="9"/>
        <v>ok</v>
      </c>
      <c r="AC322" s="360" t="str">
        <f>VLOOKUP(B322,labo!B:D,3,FALSE)</f>
        <v>ug2</v>
      </c>
      <c r="AD322" s="360" t="s">
        <v>2630</v>
      </c>
      <c r="AF322" s="330">
        <f>VLOOKUP(D322,'SUIVI JOURNALIER AVRIL'!CK:CL,2,FALSE)</f>
        <v>0</v>
      </c>
      <c r="AG322" s="360">
        <v>1</v>
      </c>
    </row>
    <row r="323" spans="1:33" s="360" customFormat="1" ht="13.5" customHeight="1">
      <c r="A323" s="324" t="s">
        <v>2377</v>
      </c>
      <c r="B323" s="325" t="s">
        <v>855</v>
      </c>
      <c r="C323" s="325" t="s">
        <v>2055</v>
      </c>
      <c r="D323" s="325" t="s">
        <v>856</v>
      </c>
      <c r="E323" s="324" t="s">
        <v>542</v>
      </c>
      <c r="F323" s="324" t="s">
        <v>2055</v>
      </c>
      <c r="G323" s="324" t="s">
        <v>887</v>
      </c>
      <c r="H323" s="324" t="s">
        <v>897</v>
      </c>
      <c r="I323" s="324" t="s">
        <v>1402</v>
      </c>
      <c r="J323" s="324" t="s">
        <v>889</v>
      </c>
      <c r="K323" s="324" t="s">
        <v>890</v>
      </c>
      <c r="L323" s="324" t="s">
        <v>891</v>
      </c>
      <c r="M323" s="324" t="s">
        <v>892</v>
      </c>
      <c r="N323" s="324" t="s">
        <v>912</v>
      </c>
      <c r="O323" s="324" t="s">
        <v>913</v>
      </c>
      <c r="P323" s="324" t="s">
        <v>913</v>
      </c>
      <c r="Q323" s="324" t="s">
        <v>1403</v>
      </c>
      <c r="R323" s="324" t="s">
        <v>1404</v>
      </c>
      <c r="S323" s="356"/>
      <c r="T323" s="309"/>
      <c r="U323" s="357">
        <f>VLOOKUP(D323,'SUIVI JOURNALIER AVRIL'!CK:CM,3,FALSE)</f>
        <v>0</v>
      </c>
      <c r="V323" s="358" t="e">
        <f>IF(VLOOKUP('vs mars'!D323,'point sur les patentes'!B:E,4,FALSE)="","",VLOOKUP(D323,'point sur les patentes'!B:E,4,FALSE)+VLOOKUP(D323,'point sur les patentes'!B:F,5,FALSE)+VLOOKUP('vs mars'!D323,'point sur les patentes'!B:G,6,FALSE)+VLOOKUP('vs mars'!D323,'point sur les patentes'!B:H,7,FALSE)+VLOOKUP('vs mars'!D323,'point sur les patentes'!B:I,8,FALSE)+VLOOKUP(D323,'point sur les patentes'!B:J,9,FALSE)+VLOOKUP(D323,'point sur les patentes'!B:K,10,FALSE)+VLOOKUP(D323,'point sur les patentes'!B:L,11,FALSE)+VLOOKUP(D323,'point sur les patentes'!B:M,12,FALSE)+VLOOKUP(D323,'point sur les patentes'!B:N,13,FALSE)+VLOOKUP(D323,'point sur les patentes'!B:O,14,FALSE)+VLOOKUP(D323,'point sur les patentes'!B:P,15,FALSE)+VLOOKUP(D323,'point sur les patentes'!B:Q,16,FALSE)+VLOOKUP('vs mars'!D323,'point sur les patentes'!B:Z,25,FALSE))</f>
        <v>#N/A</v>
      </c>
      <c r="W323" s="340">
        <f>VLOOKUP(D323,'SUIVI JOURNALIER AVRIL'!B:J,9,FALSE)</f>
        <v>0</v>
      </c>
      <c r="X323" s="340">
        <f>VLOOKUP(D323,'SUIVI JOURNALIER AVRIL'!B:P,14,FALSE)+VLOOKUP('vs mars'!D323,'SUIVI JOURNALIER AVRIL'!B:V,20,FALSE)+VLOOKUP('vs mars'!D323,'SUIVI JOURNALIER AVRIL'!B:W,21,FALSE)</f>
        <v>1577</v>
      </c>
      <c r="Y323" s="340">
        <f>VLOOKUP(D323,'SUIVI JOURNALIER AVRIL'!B:CC,80,FALSE)</f>
        <v>8000</v>
      </c>
      <c r="Z323" s="340">
        <f t="shared" si="8"/>
        <v>9577</v>
      </c>
      <c r="AA323" s="359">
        <f>VLOOKUP(D323,'SUIVI JOURNALIER AVRIL'!B:CD,81,FALSE)</f>
        <v>9577</v>
      </c>
      <c r="AB323" s="360" t="str">
        <f t="shared" si="9"/>
        <v>ok</v>
      </c>
      <c r="AC323" s="360" t="str">
        <f>VLOOKUP(B323,labo!B:D,3,FALSE)</f>
        <v>ug2</v>
      </c>
      <c r="AD323" s="360" t="s">
        <v>2629</v>
      </c>
      <c r="AF323" s="330">
        <f>VLOOKUP(D323,'SUIVI JOURNALIER AVRIL'!CK:CL,2,FALSE)</f>
        <v>0</v>
      </c>
      <c r="AG323" s="360">
        <v>1</v>
      </c>
    </row>
    <row r="324" spans="1:33" s="360" customFormat="1" ht="13.5" customHeight="1">
      <c r="A324" s="324" t="s">
        <v>2378</v>
      </c>
      <c r="B324" s="325" t="s">
        <v>1950</v>
      </c>
      <c r="C324" s="325" t="s">
        <v>2055</v>
      </c>
      <c r="D324" s="325" t="s">
        <v>1951</v>
      </c>
      <c r="E324" s="324" t="s">
        <v>432</v>
      </c>
      <c r="F324" s="324" t="s">
        <v>2055</v>
      </c>
      <c r="G324" s="324" t="s">
        <v>887</v>
      </c>
      <c r="H324" s="324" t="s">
        <v>897</v>
      </c>
      <c r="I324" s="324" t="s">
        <v>1190</v>
      </c>
      <c r="J324" s="324" t="s">
        <v>889</v>
      </c>
      <c r="K324" s="324" t="s">
        <v>890</v>
      </c>
      <c r="L324" s="324" t="s">
        <v>891</v>
      </c>
      <c r="M324" s="324" t="s">
        <v>892</v>
      </c>
      <c r="N324" s="324" t="s">
        <v>912</v>
      </c>
      <c r="O324" s="324" t="s">
        <v>913</v>
      </c>
      <c r="P324" s="324" t="s">
        <v>913</v>
      </c>
      <c r="Q324" s="324" t="s">
        <v>924</v>
      </c>
      <c r="R324" s="324" t="s">
        <v>1952</v>
      </c>
      <c r="S324" s="356"/>
      <c r="T324" s="309"/>
      <c r="U324" s="357" t="e">
        <f>VLOOKUP(D324,'SUIVI JOURNALIER AVRIL'!CK:CM,3,FALSE)</f>
        <v>#N/A</v>
      </c>
      <c r="V324" s="358" t="e">
        <f>IF(VLOOKUP('vs mars'!D324,'point sur les patentes'!B:E,4,FALSE)="","",VLOOKUP(D324,'point sur les patentes'!B:E,4,FALSE)+VLOOKUP(D324,'point sur les patentes'!B:F,5,FALSE)+VLOOKUP('vs mars'!D324,'point sur les patentes'!B:G,6,FALSE)+VLOOKUP('vs mars'!D324,'point sur les patentes'!B:H,7,FALSE)+VLOOKUP('vs mars'!D324,'point sur les patentes'!B:I,8,FALSE)+VLOOKUP(D324,'point sur les patentes'!B:J,9,FALSE)+VLOOKUP(D324,'point sur les patentes'!B:K,10,FALSE)+VLOOKUP(D324,'point sur les patentes'!B:L,11,FALSE)+VLOOKUP(D324,'point sur les patentes'!B:M,12,FALSE)+VLOOKUP(D324,'point sur les patentes'!B:N,13,FALSE)+VLOOKUP(D324,'point sur les patentes'!B:O,14,FALSE)+VLOOKUP(D324,'point sur les patentes'!B:P,15,FALSE)+VLOOKUP(D324,'point sur les patentes'!B:Q,16,FALSE)+VLOOKUP('vs mars'!D324,'point sur les patentes'!B:Z,25,FALSE))</f>
        <v>#N/A</v>
      </c>
      <c r="W324" s="340" t="e">
        <f>VLOOKUP(D324,'SUIVI JOURNALIER AVRIL'!B:J,9,FALSE)</f>
        <v>#N/A</v>
      </c>
      <c r="X324" s="340" t="e">
        <f>VLOOKUP(D324,'SUIVI JOURNALIER AVRIL'!B:P,14,FALSE)+VLOOKUP('vs mars'!D324,'SUIVI JOURNALIER AVRIL'!B:V,20,FALSE)+VLOOKUP('vs mars'!D324,'SUIVI JOURNALIER AVRIL'!B:W,21,FALSE)</f>
        <v>#N/A</v>
      </c>
      <c r="Y324" s="340" t="e">
        <f>VLOOKUP(D324,'SUIVI JOURNALIER AVRIL'!B:CC,80,FALSE)</f>
        <v>#N/A</v>
      </c>
      <c r="Z324" s="340" t="e">
        <f t="shared" ref="Z324:Z352" si="10">W324+X324+Y324</f>
        <v>#N/A</v>
      </c>
      <c r="AA324" s="359" t="e">
        <f>VLOOKUP(D324,'SUIVI JOURNALIER AVRIL'!B:CD,81,FALSE)</f>
        <v>#N/A</v>
      </c>
      <c r="AB324" s="360" t="e">
        <f t="shared" ref="AB324:AB352" si="11">IF(Z324=AA324,"ok","revoir")</f>
        <v>#N/A</v>
      </c>
      <c r="AC324" s="360" t="str">
        <f>VLOOKUP(B324,labo!B:D,3,FALSE)</f>
        <v>ug2</v>
      </c>
      <c r="AD324" s="360" t="s">
        <v>2630</v>
      </c>
      <c r="AF324" s="330" t="e">
        <f>VLOOKUP(D324,'SUIVI JOURNALIER AVRIL'!CK:CL,2,FALSE)</f>
        <v>#N/A</v>
      </c>
      <c r="AG324" s="360">
        <v>1</v>
      </c>
    </row>
    <row r="325" spans="1:33" s="360" customFormat="1" ht="13.5" customHeight="1">
      <c r="A325" s="324" t="s">
        <v>2379</v>
      </c>
      <c r="B325" s="325" t="s">
        <v>857</v>
      </c>
      <c r="C325" s="325" t="s">
        <v>858</v>
      </c>
      <c r="D325" s="325" t="s">
        <v>859</v>
      </c>
      <c r="E325" s="324" t="s">
        <v>547</v>
      </c>
      <c r="F325" s="324" t="s">
        <v>2055</v>
      </c>
      <c r="G325" s="324" t="s">
        <v>887</v>
      </c>
      <c r="H325" s="324" t="s">
        <v>1405</v>
      </c>
      <c r="I325" s="324" t="s">
        <v>1406</v>
      </c>
      <c r="J325" s="324" t="s">
        <v>889</v>
      </c>
      <c r="K325" s="324" t="s">
        <v>890</v>
      </c>
      <c r="L325" s="324" t="s">
        <v>891</v>
      </c>
      <c r="M325" s="324" t="s">
        <v>892</v>
      </c>
      <c r="N325" s="324" t="s">
        <v>893</v>
      </c>
      <c r="O325" s="324" t="s">
        <v>894</v>
      </c>
      <c r="P325" s="324" t="s">
        <v>899</v>
      </c>
      <c r="Q325" s="324" t="s">
        <v>995</v>
      </c>
      <c r="R325" s="324" t="s">
        <v>1160</v>
      </c>
      <c r="S325" s="356"/>
      <c r="T325" s="309"/>
      <c r="U325" s="357">
        <f>VLOOKUP(D325,'SUIVI JOURNALIER AVRIL'!CK:CM,3,FALSE)</f>
        <v>0</v>
      </c>
      <c r="V325" s="358" t="e">
        <f>IF(VLOOKUP('vs mars'!D325,'point sur les patentes'!B:E,4,FALSE)="","",VLOOKUP(D325,'point sur les patentes'!B:E,4,FALSE)+VLOOKUP(D325,'point sur les patentes'!B:F,5,FALSE)+VLOOKUP('vs mars'!D325,'point sur les patentes'!B:G,6,FALSE)+VLOOKUP('vs mars'!D325,'point sur les patentes'!B:H,7,FALSE)+VLOOKUP('vs mars'!D325,'point sur les patentes'!B:I,8,FALSE)+VLOOKUP(D325,'point sur les patentes'!B:J,9,FALSE)+VLOOKUP(D325,'point sur les patentes'!B:K,10,FALSE)+VLOOKUP(D325,'point sur les patentes'!B:L,11,FALSE)+VLOOKUP(D325,'point sur les patentes'!B:M,12,FALSE)+VLOOKUP(D325,'point sur les patentes'!B:N,13,FALSE)+VLOOKUP(D325,'point sur les patentes'!B:O,14,FALSE)+VLOOKUP(D325,'point sur les patentes'!B:P,15,FALSE)+VLOOKUP(D325,'point sur les patentes'!B:Q,16,FALSE)+VLOOKUP('vs mars'!D325,'point sur les patentes'!B:Z,25,FALSE))</f>
        <v>#N/A</v>
      </c>
      <c r="W325" s="340">
        <f>VLOOKUP(D325,'SUIVI JOURNALIER AVRIL'!B:J,9,FALSE)</f>
        <v>0</v>
      </c>
      <c r="X325" s="340">
        <f>VLOOKUP(D325,'SUIVI JOURNALIER AVRIL'!B:P,14,FALSE)+VLOOKUP('vs mars'!D325,'SUIVI JOURNALIER AVRIL'!B:V,20,FALSE)+VLOOKUP('vs mars'!D325,'SUIVI JOURNALIER AVRIL'!B:W,21,FALSE)</f>
        <v>557285</v>
      </c>
      <c r="Y325" s="340">
        <f>VLOOKUP(D325,'SUIVI JOURNALIER AVRIL'!B:CC,80,FALSE)</f>
        <v>82498</v>
      </c>
      <c r="Z325" s="340">
        <f t="shared" si="10"/>
        <v>639783</v>
      </c>
      <c r="AA325" s="359">
        <f>VLOOKUP(D325,'SUIVI JOURNALIER AVRIL'!B:CD,81,FALSE)</f>
        <v>639783</v>
      </c>
      <c r="AB325" s="360" t="str">
        <f t="shared" si="11"/>
        <v>ok</v>
      </c>
      <c r="AC325" s="360" t="str">
        <f>VLOOKUP(B325,labo!B:D,3,FALSE)</f>
        <v>ug5</v>
      </c>
      <c r="AD325" s="360" t="s">
        <v>2629</v>
      </c>
      <c r="AF325" s="330">
        <f>VLOOKUP(D325,'SUIVI JOURNALIER AVRIL'!CK:CL,2,FALSE)</f>
        <v>0</v>
      </c>
      <c r="AG325" s="360">
        <v>1</v>
      </c>
    </row>
    <row r="326" spans="1:33" s="360" customFormat="1" ht="13.5" customHeight="1">
      <c r="A326" s="324" t="s">
        <v>2380</v>
      </c>
      <c r="B326" s="325" t="s">
        <v>295</v>
      </c>
      <c r="C326" s="325" t="s">
        <v>2055</v>
      </c>
      <c r="D326" s="325" t="s">
        <v>860</v>
      </c>
      <c r="E326" s="324" t="s">
        <v>455</v>
      </c>
      <c r="F326" s="324" t="s">
        <v>2055</v>
      </c>
      <c r="G326" s="324" t="s">
        <v>887</v>
      </c>
      <c r="H326" s="324" t="s">
        <v>1158</v>
      </c>
      <c r="I326" s="324" t="s">
        <v>1407</v>
      </c>
      <c r="J326" s="324" t="s">
        <v>889</v>
      </c>
      <c r="K326" s="324" t="s">
        <v>890</v>
      </c>
      <c r="L326" s="324" t="s">
        <v>891</v>
      </c>
      <c r="M326" s="324" t="s">
        <v>892</v>
      </c>
      <c r="N326" s="324" t="s">
        <v>893</v>
      </c>
      <c r="O326" s="324" t="s">
        <v>894</v>
      </c>
      <c r="P326" s="324" t="s">
        <v>899</v>
      </c>
      <c r="Q326" s="324" t="s">
        <v>985</v>
      </c>
      <c r="R326" s="324" t="s">
        <v>1408</v>
      </c>
      <c r="S326" s="356"/>
      <c r="T326" s="309"/>
      <c r="U326" s="357">
        <f>VLOOKUP(D326,'SUIVI JOURNALIER AVRIL'!CK:CM,3,FALSE)</f>
        <v>0</v>
      </c>
      <c r="V326" s="358" t="e">
        <f>IF(VLOOKUP('vs mars'!D326,'point sur les patentes'!B:E,4,FALSE)="","",VLOOKUP(D326,'point sur les patentes'!B:E,4,FALSE)+VLOOKUP(D326,'point sur les patentes'!B:F,5,FALSE)+VLOOKUP('vs mars'!D326,'point sur les patentes'!B:G,6,FALSE)+VLOOKUP('vs mars'!D326,'point sur les patentes'!B:H,7,FALSE)+VLOOKUP('vs mars'!D326,'point sur les patentes'!B:I,8,FALSE)+VLOOKUP(D326,'point sur les patentes'!B:J,9,FALSE)+VLOOKUP(D326,'point sur les patentes'!B:K,10,FALSE)+VLOOKUP(D326,'point sur les patentes'!B:L,11,FALSE)+VLOOKUP(D326,'point sur les patentes'!B:M,12,FALSE)+VLOOKUP(D326,'point sur les patentes'!B:N,13,FALSE)+VLOOKUP(D326,'point sur les patentes'!B:O,14,FALSE)+VLOOKUP(D326,'point sur les patentes'!B:P,15,FALSE)+VLOOKUP(D326,'point sur les patentes'!B:Q,16,FALSE)+VLOOKUP('vs mars'!D326,'point sur les patentes'!B:Z,25,FALSE))</f>
        <v>#N/A</v>
      </c>
      <c r="W326" s="340">
        <f>VLOOKUP(D326,'SUIVI JOURNALIER AVRIL'!B:J,9,FALSE)</f>
        <v>66038</v>
      </c>
      <c r="X326" s="340">
        <f>VLOOKUP(D326,'SUIVI JOURNALIER AVRIL'!B:P,14,FALSE)+VLOOKUP('vs mars'!D326,'SUIVI JOURNALIER AVRIL'!B:V,20,FALSE)+VLOOKUP('vs mars'!D326,'SUIVI JOURNALIER AVRIL'!B:W,21,FALSE)</f>
        <v>0</v>
      </c>
      <c r="Y326" s="340">
        <f>VLOOKUP(D326,'SUIVI JOURNALIER AVRIL'!B:CC,80,FALSE)</f>
        <v>0</v>
      </c>
      <c r="Z326" s="340">
        <f t="shared" si="10"/>
        <v>66038</v>
      </c>
      <c r="AA326" s="359">
        <f>VLOOKUP(D326,'SUIVI JOURNALIER AVRIL'!B:CD,81,FALSE)</f>
        <v>66038</v>
      </c>
      <c r="AB326" s="360" t="str">
        <f t="shared" si="11"/>
        <v>ok</v>
      </c>
      <c r="AC326" s="360" t="str">
        <f>VLOOKUP(B326,labo!B:D,3,FALSE)</f>
        <v>ug5</v>
      </c>
      <c r="AD326" s="360" t="s">
        <v>2629</v>
      </c>
      <c r="AF326" s="330">
        <f>VLOOKUP(D326,'SUIVI JOURNALIER AVRIL'!CK:CL,2,FALSE)</f>
        <v>0</v>
      </c>
      <c r="AG326" s="360">
        <v>1</v>
      </c>
    </row>
    <row r="327" spans="1:33" s="360" customFormat="1" ht="13.5" customHeight="1">
      <c r="A327" s="324" t="s">
        <v>2381</v>
      </c>
      <c r="B327" s="325" t="s">
        <v>315</v>
      </c>
      <c r="C327" s="325" t="s">
        <v>861</v>
      </c>
      <c r="D327" s="325" t="s">
        <v>862</v>
      </c>
      <c r="E327" s="324" t="s">
        <v>574</v>
      </c>
      <c r="F327" s="324" t="s">
        <v>2055</v>
      </c>
      <c r="G327" s="324" t="s">
        <v>887</v>
      </c>
      <c r="H327" s="324" t="s">
        <v>1409</v>
      </c>
      <c r="I327" s="324" t="s">
        <v>1410</v>
      </c>
      <c r="J327" s="324" t="s">
        <v>889</v>
      </c>
      <c r="K327" s="324" t="s">
        <v>890</v>
      </c>
      <c r="L327" s="324" t="s">
        <v>891</v>
      </c>
      <c r="M327" s="324" t="s">
        <v>892</v>
      </c>
      <c r="N327" s="324" t="s">
        <v>893</v>
      </c>
      <c r="O327" s="324" t="s">
        <v>894</v>
      </c>
      <c r="P327" s="324" t="s">
        <v>935</v>
      </c>
      <c r="Q327" s="324" t="s">
        <v>1091</v>
      </c>
      <c r="R327" s="324" t="s">
        <v>1411</v>
      </c>
      <c r="S327" s="356"/>
      <c r="T327" s="309"/>
      <c r="U327" s="357">
        <f>VLOOKUP(D327,'SUIVI JOURNALIER AVRIL'!CK:CM,3,FALSE)</f>
        <v>0</v>
      </c>
      <c r="V327" s="358" t="e">
        <f>IF(VLOOKUP('vs mars'!D327,'point sur les patentes'!B:E,4,FALSE)="","",VLOOKUP(D327,'point sur les patentes'!B:E,4,FALSE)+VLOOKUP(D327,'point sur les patentes'!B:F,5,FALSE)+VLOOKUP('vs mars'!D327,'point sur les patentes'!B:G,6,FALSE)+VLOOKUP('vs mars'!D327,'point sur les patentes'!B:H,7,FALSE)+VLOOKUP('vs mars'!D327,'point sur les patentes'!B:I,8,FALSE)+VLOOKUP(D327,'point sur les patentes'!B:J,9,FALSE)+VLOOKUP(D327,'point sur les patentes'!B:K,10,FALSE)+VLOOKUP(D327,'point sur les patentes'!B:L,11,FALSE)+VLOOKUP(D327,'point sur les patentes'!B:M,12,FALSE)+VLOOKUP(D327,'point sur les patentes'!B:N,13,FALSE)+VLOOKUP(D327,'point sur les patentes'!B:O,14,FALSE)+VLOOKUP(D327,'point sur les patentes'!B:P,15,FALSE)+VLOOKUP(D327,'point sur les patentes'!B:Q,16,FALSE)+VLOOKUP('vs mars'!D327,'point sur les patentes'!B:Z,25,FALSE))</f>
        <v>#N/A</v>
      </c>
      <c r="W327" s="340">
        <f>VLOOKUP(D327,'SUIVI JOURNALIER AVRIL'!B:J,9,FALSE)</f>
        <v>49846</v>
      </c>
      <c r="X327" s="340">
        <f>VLOOKUP(D327,'SUIVI JOURNALIER AVRIL'!B:P,14,FALSE)+VLOOKUP('vs mars'!D327,'SUIVI JOURNALIER AVRIL'!B:V,20,FALSE)+VLOOKUP('vs mars'!D327,'SUIVI JOURNALIER AVRIL'!B:W,21,FALSE)</f>
        <v>11451</v>
      </c>
      <c r="Y327" s="340">
        <f>VLOOKUP(D327,'SUIVI JOURNALIER AVRIL'!B:CC,80,FALSE)</f>
        <v>19138</v>
      </c>
      <c r="Z327" s="340">
        <f t="shared" si="10"/>
        <v>80435</v>
      </c>
      <c r="AA327" s="359">
        <f>VLOOKUP(D327,'SUIVI JOURNALIER AVRIL'!B:CD,81,FALSE)</f>
        <v>80435</v>
      </c>
      <c r="AB327" s="360" t="str">
        <f t="shared" si="11"/>
        <v>ok</v>
      </c>
      <c r="AC327" s="360" t="str">
        <f>VLOOKUP(B327,labo!B:D,3,FALSE)</f>
        <v>ug2</v>
      </c>
      <c r="AD327" s="360" t="s">
        <v>2629</v>
      </c>
      <c r="AF327" s="330">
        <f>VLOOKUP(D327,'SUIVI JOURNALIER AVRIL'!CK:CL,2,FALSE)</f>
        <v>0</v>
      </c>
      <c r="AG327" s="360">
        <v>1</v>
      </c>
    </row>
    <row r="328" spans="1:33" s="360" customFormat="1" ht="13.5" customHeight="1">
      <c r="A328" s="324" t="s">
        <v>2383</v>
      </c>
      <c r="B328" s="325" t="s">
        <v>2382</v>
      </c>
      <c r="C328" s="325" t="s">
        <v>2617</v>
      </c>
      <c r="D328" s="325" t="s">
        <v>2101</v>
      </c>
      <c r="E328" s="324" t="s">
        <v>2248</v>
      </c>
      <c r="F328" s="324" t="s">
        <v>2055</v>
      </c>
      <c r="G328" s="324" t="s">
        <v>887</v>
      </c>
      <c r="H328" s="324" t="s">
        <v>2055</v>
      </c>
      <c r="I328" s="324" t="s">
        <v>2055</v>
      </c>
      <c r="J328" s="324" t="s">
        <v>2055</v>
      </c>
      <c r="K328" s="324" t="s">
        <v>2405</v>
      </c>
      <c r="L328" s="324" t="s">
        <v>891</v>
      </c>
      <c r="M328" s="324" t="s">
        <v>892</v>
      </c>
      <c r="N328" s="324" t="s">
        <v>893</v>
      </c>
      <c r="O328" s="324" t="s">
        <v>894</v>
      </c>
      <c r="P328" s="324" t="s">
        <v>919</v>
      </c>
      <c r="Q328" s="324" t="s">
        <v>2055</v>
      </c>
      <c r="R328" s="324" t="s">
        <v>2055</v>
      </c>
      <c r="S328" s="356"/>
      <c r="T328" s="309"/>
      <c r="U328" s="357" t="e">
        <f>VLOOKUP(D328,'SUIVI JOURNALIER AVRIL'!CK:CM,3,FALSE)</f>
        <v>#N/A</v>
      </c>
      <c r="V328" s="358" t="e">
        <f>IF(VLOOKUP('vs mars'!D328,'point sur les patentes'!B:E,4,FALSE)="","",VLOOKUP(D328,'point sur les patentes'!B:E,4,FALSE)+VLOOKUP(D328,'point sur les patentes'!B:F,5,FALSE)+VLOOKUP('vs mars'!D328,'point sur les patentes'!B:G,6,FALSE)+VLOOKUP('vs mars'!D328,'point sur les patentes'!B:H,7,FALSE)+VLOOKUP('vs mars'!D328,'point sur les patentes'!B:I,8,FALSE)+VLOOKUP(D328,'point sur les patentes'!B:J,9,FALSE)+VLOOKUP(D328,'point sur les patentes'!B:K,10,FALSE)+VLOOKUP(D328,'point sur les patentes'!B:L,11,FALSE)+VLOOKUP(D328,'point sur les patentes'!B:M,12,FALSE)+VLOOKUP(D328,'point sur les patentes'!B:N,13,FALSE)+VLOOKUP(D328,'point sur les patentes'!B:O,14,FALSE)+VLOOKUP(D328,'point sur les patentes'!B:P,15,FALSE)+VLOOKUP(D328,'point sur les patentes'!B:Q,16,FALSE)+VLOOKUP('vs mars'!D328,'point sur les patentes'!B:Z,25,FALSE))</f>
        <v>#N/A</v>
      </c>
      <c r="W328" s="340" t="e">
        <f>VLOOKUP(D328,'SUIVI JOURNALIER AVRIL'!B:J,9,FALSE)</f>
        <v>#N/A</v>
      </c>
      <c r="X328" s="340" t="e">
        <f>VLOOKUP(D328,'SUIVI JOURNALIER AVRIL'!B:P,14,FALSE)+VLOOKUP('vs mars'!D328,'SUIVI JOURNALIER AVRIL'!B:V,20,FALSE)+VLOOKUP('vs mars'!D328,'SUIVI JOURNALIER AVRIL'!B:W,21,FALSE)</f>
        <v>#N/A</v>
      </c>
      <c r="Y328" s="340" t="e">
        <f>VLOOKUP(D328,'SUIVI JOURNALIER AVRIL'!B:CC,80,FALSE)</f>
        <v>#N/A</v>
      </c>
      <c r="Z328" s="340" t="e">
        <f t="shared" si="10"/>
        <v>#N/A</v>
      </c>
      <c r="AA328" s="359" t="e">
        <f>VLOOKUP(D328,'SUIVI JOURNALIER AVRIL'!B:CD,81,FALSE)</f>
        <v>#N/A</v>
      </c>
      <c r="AB328" s="360" t="e">
        <f t="shared" si="11"/>
        <v>#N/A</v>
      </c>
      <c r="AC328" s="360" t="str">
        <f>VLOOKUP(B328,labo!B:D,3,FALSE)</f>
        <v>ug5</v>
      </c>
      <c r="AD328" s="360" t="s">
        <v>2629</v>
      </c>
      <c r="AF328" s="330" t="e">
        <f>VLOOKUP(D328,'SUIVI JOURNALIER AVRIL'!CK:CL,2,FALSE)</f>
        <v>#N/A</v>
      </c>
      <c r="AG328" s="360">
        <v>1</v>
      </c>
    </row>
    <row r="329" spans="1:33" s="360" customFormat="1" ht="13.5" customHeight="1">
      <c r="A329" s="324" t="s">
        <v>2384</v>
      </c>
      <c r="B329" s="325" t="s">
        <v>863</v>
      </c>
      <c r="C329" s="325" t="s">
        <v>864</v>
      </c>
      <c r="D329" s="325" t="s">
        <v>865</v>
      </c>
      <c r="E329" s="324" t="s">
        <v>748</v>
      </c>
      <c r="F329" s="324" t="s">
        <v>2055</v>
      </c>
      <c r="G329" s="324" t="s">
        <v>887</v>
      </c>
      <c r="H329" s="324" t="s">
        <v>1546</v>
      </c>
      <c r="I329" s="324" t="s">
        <v>1547</v>
      </c>
      <c r="J329" s="324" t="s">
        <v>889</v>
      </c>
      <c r="K329" s="324" t="s">
        <v>890</v>
      </c>
      <c r="L329" s="324" t="s">
        <v>891</v>
      </c>
      <c r="M329" s="324" t="s">
        <v>892</v>
      </c>
      <c r="N329" s="324" t="s">
        <v>893</v>
      </c>
      <c r="O329" s="324" t="s">
        <v>894</v>
      </c>
      <c r="P329" s="324" t="s">
        <v>928</v>
      </c>
      <c r="Q329" s="324" t="s">
        <v>1412</v>
      </c>
      <c r="R329" s="324" t="s">
        <v>1412</v>
      </c>
      <c r="S329" s="356"/>
      <c r="T329" s="309"/>
      <c r="U329" s="357">
        <f>VLOOKUP(D329,'SUIVI JOURNALIER AVRIL'!CK:CM,3,FALSE)</f>
        <v>0</v>
      </c>
      <c r="V329" s="358" t="e">
        <f>IF(VLOOKUP('vs mars'!D329,'point sur les patentes'!B:E,4,FALSE)="","",VLOOKUP(D329,'point sur les patentes'!B:E,4,FALSE)+VLOOKUP(D329,'point sur les patentes'!B:F,5,FALSE)+VLOOKUP('vs mars'!D329,'point sur les patentes'!B:G,6,FALSE)+VLOOKUP('vs mars'!D329,'point sur les patentes'!B:H,7,FALSE)+VLOOKUP('vs mars'!D329,'point sur les patentes'!B:I,8,FALSE)+VLOOKUP(D329,'point sur les patentes'!B:J,9,FALSE)+VLOOKUP(D329,'point sur les patentes'!B:K,10,FALSE)+VLOOKUP(D329,'point sur les patentes'!B:L,11,FALSE)+VLOOKUP(D329,'point sur les patentes'!B:M,12,FALSE)+VLOOKUP(D329,'point sur les patentes'!B:N,13,FALSE)+VLOOKUP(D329,'point sur les patentes'!B:O,14,FALSE)+VLOOKUP(D329,'point sur les patentes'!B:P,15,FALSE)+VLOOKUP(D329,'point sur les patentes'!B:Q,16,FALSE)+VLOOKUP('vs mars'!D329,'point sur les patentes'!B:Z,25,FALSE))</f>
        <v>#N/A</v>
      </c>
      <c r="W329" s="340">
        <f>VLOOKUP(D329,'SUIVI JOURNALIER AVRIL'!B:J,9,FALSE)</f>
        <v>0</v>
      </c>
      <c r="X329" s="340">
        <f>VLOOKUP(D329,'SUIVI JOURNALIER AVRIL'!B:P,14,FALSE)+VLOOKUP('vs mars'!D329,'SUIVI JOURNALIER AVRIL'!B:V,20,FALSE)+VLOOKUP('vs mars'!D329,'SUIVI JOURNALIER AVRIL'!B:W,21,FALSE)</f>
        <v>0</v>
      </c>
      <c r="Y329" s="340">
        <f>VLOOKUP(D329,'SUIVI JOURNALIER AVRIL'!B:CC,80,FALSE)</f>
        <v>26593</v>
      </c>
      <c r="Z329" s="340">
        <f t="shared" si="10"/>
        <v>26593</v>
      </c>
      <c r="AA329" s="359">
        <f>VLOOKUP(D329,'SUIVI JOURNALIER AVRIL'!B:CD,81,FALSE)</f>
        <v>26593</v>
      </c>
      <c r="AB329" s="360" t="str">
        <f t="shared" si="11"/>
        <v>ok</v>
      </c>
      <c r="AC329" s="360" t="str">
        <f>VLOOKUP(B329,labo!B:D,3,FALSE)</f>
        <v>ug5</v>
      </c>
      <c r="AD329" s="360" t="s">
        <v>2629</v>
      </c>
      <c r="AF329" s="330">
        <f>VLOOKUP(D329,'SUIVI JOURNALIER AVRIL'!CK:CL,2,FALSE)</f>
        <v>0</v>
      </c>
      <c r="AG329" s="360">
        <v>1</v>
      </c>
    </row>
    <row r="330" spans="1:33" s="360" customFormat="1" ht="13.5" customHeight="1">
      <c r="A330" s="324" t="s">
        <v>2385</v>
      </c>
      <c r="B330" s="325" t="s">
        <v>2104</v>
      </c>
      <c r="C330" s="325" t="s">
        <v>2105</v>
      </c>
      <c r="D330" s="325" t="s">
        <v>2106</v>
      </c>
      <c r="E330" s="324" t="s">
        <v>2107</v>
      </c>
      <c r="F330" s="324" t="s">
        <v>2055</v>
      </c>
      <c r="G330" s="324" t="s">
        <v>887</v>
      </c>
      <c r="H330" s="324" t="s">
        <v>897</v>
      </c>
      <c r="I330" s="324" t="s">
        <v>2108</v>
      </c>
      <c r="J330" s="324" t="s">
        <v>940</v>
      </c>
      <c r="K330" s="324" t="s">
        <v>890</v>
      </c>
      <c r="L330" s="324" t="s">
        <v>891</v>
      </c>
      <c r="M330" s="324" t="s">
        <v>892</v>
      </c>
      <c r="N330" s="324" t="s">
        <v>893</v>
      </c>
      <c r="O330" s="324" t="s">
        <v>894</v>
      </c>
      <c r="P330" s="324" t="s">
        <v>899</v>
      </c>
      <c r="Q330" s="324" t="s">
        <v>956</v>
      </c>
      <c r="R330" s="324" t="s">
        <v>956</v>
      </c>
      <c r="S330" s="356"/>
      <c r="T330" s="309"/>
      <c r="U330" s="357">
        <f>VLOOKUP(D330,'SUIVI JOURNALIER AVRIL'!CK:CM,3,FALSE)</f>
        <v>0</v>
      </c>
      <c r="V330" s="358" t="e">
        <f>IF(VLOOKUP('vs mars'!D330,'point sur les patentes'!B:E,4,FALSE)="","",VLOOKUP(D330,'point sur les patentes'!B:E,4,FALSE)+VLOOKUP(D330,'point sur les patentes'!B:F,5,FALSE)+VLOOKUP('vs mars'!D330,'point sur les patentes'!B:G,6,FALSE)+VLOOKUP('vs mars'!D330,'point sur les patentes'!B:H,7,FALSE)+VLOOKUP('vs mars'!D330,'point sur les patentes'!B:I,8,FALSE)+VLOOKUP(D330,'point sur les patentes'!B:J,9,FALSE)+VLOOKUP(D330,'point sur les patentes'!B:K,10,FALSE)+VLOOKUP(D330,'point sur les patentes'!B:L,11,FALSE)+VLOOKUP(D330,'point sur les patentes'!B:M,12,FALSE)+VLOOKUP(D330,'point sur les patentes'!B:N,13,FALSE)+VLOOKUP(D330,'point sur les patentes'!B:O,14,FALSE)+VLOOKUP(D330,'point sur les patentes'!B:P,15,FALSE)+VLOOKUP(D330,'point sur les patentes'!B:Q,16,FALSE)+VLOOKUP('vs mars'!D330,'point sur les patentes'!B:Z,25,FALSE))</f>
        <v>#N/A</v>
      </c>
      <c r="W330" s="340">
        <f>VLOOKUP(D330,'SUIVI JOURNALIER AVRIL'!B:J,9,FALSE)</f>
        <v>0</v>
      </c>
      <c r="X330" s="340">
        <f>VLOOKUP(D330,'SUIVI JOURNALIER AVRIL'!B:P,14,FALSE)+VLOOKUP('vs mars'!D330,'SUIVI JOURNALIER AVRIL'!B:V,20,FALSE)+VLOOKUP('vs mars'!D330,'SUIVI JOURNALIER AVRIL'!B:W,21,FALSE)</f>
        <v>0</v>
      </c>
      <c r="Y330" s="340">
        <f>VLOOKUP(D330,'SUIVI JOURNALIER AVRIL'!B:CC,80,FALSE)</f>
        <v>7912</v>
      </c>
      <c r="Z330" s="340">
        <f t="shared" si="10"/>
        <v>7912</v>
      </c>
      <c r="AA330" s="359">
        <f>VLOOKUP(D330,'SUIVI JOURNALIER AVRIL'!B:CD,81,FALSE)</f>
        <v>7912</v>
      </c>
      <c r="AB330" s="360" t="str">
        <f t="shared" si="11"/>
        <v>ok</v>
      </c>
      <c r="AC330" s="360" t="str">
        <f>VLOOKUP(B330,labo!B:D,3,FALSE)</f>
        <v>ug5</v>
      </c>
      <c r="AD330" s="360" t="s">
        <v>2629</v>
      </c>
      <c r="AF330" s="330">
        <f>VLOOKUP(D330,'SUIVI JOURNALIER AVRIL'!CK:CL,2,FALSE)</f>
        <v>0</v>
      </c>
      <c r="AG330" s="360">
        <v>1</v>
      </c>
    </row>
    <row r="331" spans="1:33" s="360" customFormat="1" ht="13.5" customHeight="1">
      <c r="A331" s="324" t="s">
        <v>2386</v>
      </c>
      <c r="B331" s="325" t="s">
        <v>299</v>
      </c>
      <c r="C331" s="325" t="s">
        <v>866</v>
      </c>
      <c r="D331" s="325" t="s">
        <v>867</v>
      </c>
      <c r="E331" s="324" t="s">
        <v>542</v>
      </c>
      <c r="F331" s="324" t="s">
        <v>2055</v>
      </c>
      <c r="G331" s="324" t="s">
        <v>926</v>
      </c>
      <c r="H331" s="324" t="s">
        <v>1129</v>
      </c>
      <c r="I331" s="324" t="s">
        <v>1413</v>
      </c>
      <c r="J331" s="324" t="s">
        <v>940</v>
      </c>
      <c r="K331" s="324" t="s">
        <v>890</v>
      </c>
      <c r="L331" s="324" t="s">
        <v>891</v>
      </c>
      <c r="M331" s="324" t="s">
        <v>892</v>
      </c>
      <c r="N331" s="324" t="s">
        <v>893</v>
      </c>
      <c r="O331" s="324" t="s">
        <v>894</v>
      </c>
      <c r="P331" s="324" t="s">
        <v>899</v>
      </c>
      <c r="Q331" s="324" t="s">
        <v>1131</v>
      </c>
      <c r="R331" s="324" t="s">
        <v>1414</v>
      </c>
      <c r="S331" s="356"/>
      <c r="T331" s="309"/>
      <c r="U331" s="357">
        <f>VLOOKUP(D331,'SUIVI JOURNALIER AVRIL'!CK:CM,3,FALSE)</f>
        <v>0</v>
      </c>
      <c r="V331" s="358" t="e">
        <f>IF(VLOOKUP('vs mars'!D331,'point sur les patentes'!B:E,4,FALSE)="","",VLOOKUP(D331,'point sur les patentes'!B:E,4,FALSE)+VLOOKUP(D331,'point sur les patentes'!B:F,5,FALSE)+VLOOKUP('vs mars'!D331,'point sur les patentes'!B:G,6,FALSE)+VLOOKUP('vs mars'!D331,'point sur les patentes'!B:H,7,FALSE)+VLOOKUP('vs mars'!D331,'point sur les patentes'!B:I,8,FALSE)+VLOOKUP(D331,'point sur les patentes'!B:J,9,FALSE)+VLOOKUP(D331,'point sur les patentes'!B:K,10,FALSE)+VLOOKUP(D331,'point sur les patentes'!B:L,11,FALSE)+VLOOKUP(D331,'point sur les patentes'!B:M,12,FALSE)+VLOOKUP(D331,'point sur les patentes'!B:N,13,FALSE)+VLOOKUP(D331,'point sur les patentes'!B:O,14,FALSE)+VLOOKUP(D331,'point sur les patentes'!B:P,15,FALSE)+VLOOKUP(D331,'point sur les patentes'!B:Q,16,FALSE)+VLOOKUP('vs mars'!D331,'point sur les patentes'!B:Z,25,FALSE))</f>
        <v>#N/A</v>
      </c>
      <c r="W331" s="340">
        <f>VLOOKUP(D331,'SUIVI JOURNALIER AVRIL'!B:J,9,FALSE)</f>
        <v>953985</v>
      </c>
      <c r="X331" s="340">
        <f>VLOOKUP(D331,'SUIVI JOURNALIER AVRIL'!B:P,14,FALSE)+VLOOKUP('vs mars'!D331,'SUIVI JOURNALIER AVRIL'!B:V,20,FALSE)+VLOOKUP('vs mars'!D331,'SUIVI JOURNALIER AVRIL'!B:W,21,FALSE)</f>
        <v>109026</v>
      </c>
      <c r="Y331" s="340">
        <f>VLOOKUP(D331,'SUIVI JOURNALIER AVRIL'!B:CC,80,FALSE)</f>
        <v>1793655</v>
      </c>
      <c r="Z331" s="340">
        <f t="shared" si="10"/>
        <v>2856666</v>
      </c>
      <c r="AA331" s="359">
        <f>VLOOKUP(D331,'SUIVI JOURNALIER AVRIL'!B:CD,81,FALSE)</f>
        <v>2856666</v>
      </c>
      <c r="AB331" s="360" t="str">
        <f t="shared" si="11"/>
        <v>ok</v>
      </c>
      <c r="AC331" s="360" t="str">
        <f>VLOOKUP(B331,labo!B:D,3,FALSE)</f>
        <v>ug2</v>
      </c>
      <c r="AD331" s="360" t="s">
        <v>2629</v>
      </c>
      <c r="AF331" s="330">
        <f>VLOOKUP(D331,'SUIVI JOURNALIER AVRIL'!CK:CL,2,FALSE)</f>
        <v>0</v>
      </c>
      <c r="AG331" s="360">
        <v>1</v>
      </c>
    </row>
    <row r="332" spans="1:33" s="360" customFormat="1" ht="13.5" customHeight="1">
      <c r="A332" s="324" t="s">
        <v>2388</v>
      </c>
      <c r="B332" s="325" t="s">
        <v>2387</v>
      </c>
      <c r="C332" s="325" t="s">
        <v>2618</v>
      </c>
      <c r="D332" s="325" t="s">
        <v>2275</v>
      </c>
      <c r="E332" s="324" t="s">
        <v>2248</v>
      </c>
      <c r="F332" s="324" t="s">
        <v>2055</v>
      </c>
      <c r="G332" s="324" t="s">
        <v>887</v>
      </c>
      <c r="H332" s="324" t="s">
        <v>2055</v>
      </c>
      <c r="I332" s="324" t="s">
        <v>2055</v>
      </c>
      <c r="J332" s="324" t="s">
        <v>2055</v>
      </c>
      <c r="K332" s="324" t="s">
        <v>2405</v>
      </c>
      <c r="L332" s="324" t="s">
        <v>891</v>
      </c>
      <c r="M332" s="324" t="s">
        <v>892</v>
      </c>
      <c r="N332" s="324" t="s">
        <v>893</v>
      </c>
      <c r="O332" s="324" t="s">
        <v>894</v>
      </c>
      <c r="P332" s="324" t="s">
        <v>919</v>
      </c>
      <c r="Q332" s="324" t="s">
        <v>2276</v>
      </c>
      <c r="R332" s="324" t="s">
        <v>2277</v>
      </c>
      <c r="S332" s="356"/>
      <c r="T332" s="309"/>
      <c r="U332" s="357" t="e">
        <f>VLOOKUP(D332,'SUIVI JOURNALIER AVRIL'!CK:CM,3,FALSE)</f>
        <v>#N/A</v>
      </c>
      <c r="V332" s="358" t="e">
        <f>IF(VLOOKUP('vs mars'!D332,'point sur les patentes'!B:E,4,FALSE)="","",VLOOKUP(D332,'point sur les patentes'!B:E,4,FALSE)+VLOOKUP(D332,'point sur les patentes'!B:F,5,FALSE)+VLOOKUP('vs mars'!D332,'point sur les patentes'!B:G,6,FALSE)+VLOOKUP('vs mars'!D332,'point sur les patentes'!B:H,7,FALSE)+VLOOKUP('vs mars'!D332,'point sur les patentes'!B:I,8,FALSE)+VLOOKUP(D332,'point sur les patentes'!B:J,9,FALSE)+VLOOKUP(D332,'point sur les patentes'!B:K,10,FALSE)+VLOOKUP(D332,'point sur les patentes'!B:L,11,FALSE)+VLOOKUP(D332,'point sur les patentes'!B:M,12,FALSE)+VLOOKUP(D332,'point sur les patentes'!B:N,13,FALSE)+VLOOKUP(D332,'point sur les patentes'!B:O,14,FALSE)+VLOOKUP(D332,'point sur les patentes'!B:P,15,FALSE)+VLOOKUP(D332,'point sur les patentes'!B:Q,16,FALSE)+VLOOKUP('vs mars'!D332,'point sur les patentes'!B:Z,25,FALSE))</f>
        <v>#N/A</v>
      </c>
      <c r="W332" s="340" t="e">
        <f>VLOOKUP(D332,'SUIVI JOURNALIER AVRIL'!B:J,9,FALSE)</f>
        <v>#N/A</v>
      </c>
      <c r="X332" s="340" t="e">
        <f>VLOOKUP(D332,'SUIVI JOURNALIER AVRIL'!B:P,14,FALSE)+VLOOKUP('vs mars'!D332,'SUIVI JOURNALIER AVRIL'!B:V,20,FALSE)+VLOOKUP('vs mars'!D332,'SUIVI JOURNALIER AVRIL'!B:W,21,FALSE)</f>
        <v>#N/A</v>
      </c>
      <c r="Y332" s="340" t="e">
        <f>VLOOKUP(D332,'SUIVI JOURNALIER AVRIL'!B:CC,80,FALSE)</f>
        <v>#N/A</v>
      </c>
      <c r="Z332" s="340" t="e">
        <f t="shared" si="10"/>
        <v>#N/A</v>
      </c>
      <c r="AA332" s="359" t="e">
        <f>VLOOKUP(D332,'SUIVI JOURNALIER AVRIL'!B:CD,81,FALSE)</f>
        <v>#N/A</v>
      </c>
      <c r="AB332" s="360" t="e">
        <f t="shared" si="11"/>
        <v>#N/A</v>
      </c>
      <c r="AC332" s="360" t="str">
        <f>VLOOKUP(B332,labo!B:D,3,FALSE)</f>
        <v>ug5</v>
      </c>
      <c r="AD332" s="360" t="s">
        <v>2629</v>
      </c>
      <c r="AF332" s="330" t="e">
        <f>VLOOKUP(D332,'SUIVI JOURNALIER AVRIL'!CK:CL,2,FALSE)</f>
        <v>#N/A</v>
      </c>
      <c r="AG332" s="360">
        <v>1</v>
      </c>
    </row>
    <row r="333" spans="1:33" s="360" customFormat="1" ht="13.5" customHeight="1">
      <c r="A333" s="324" t="s">
        <v>2389</v>
      </c>
      <c r="B333" s="325" t="s">
        <v>385</v>
      </c>
      <c r="C333" s="325" t="s">
        <v>2055</v>
      </c>
      <c r="D333" s="325" t="s">
        <v>870</v>
      </c>
      <c r="E333" s="324" t="s">
        <v>542</v>
      </c>
      <c r="F333" s="324" t="s">
        <v>2055</v>
      </c>
      <c r="G333" s="324" t="s">
        <v>887</v>
      </c>
      <c r="H333" s="324" t="s">
        <v>897</v>
      </c>
      <c r="I333" s="324" t="s">
        <v>1418</v>
      </c>
      <c r="J333" s="324" t="s">
        <v>889</v>
      </c>
      <c r="K333" s="324" t="s">
        <v>890</v>
      </c>
      <c r="L333" s="324" t="s">
        <v>891</v>
      </c>
      <c r="M333" s="324" t="s">
        <v>892</v>
      </c>
      <c r="N333" s="324" t="s">
        <v>893</v>
      </c>
      <c r="O333" s="324" t="s">
        <v>894</v>
      </c>
      <c r="P333" s="324" t="s">
        <v>935</v>
      </c>
      <c r="Q333" s="324" t="s">
        <v>1345</v>
      </c>
      <c r="R333" s="324" t="s">
        <v>1419</v>
      </c>
      <c r="S333" s="356"/>
      <c r="T333" s="309"/>
      <c r="U333" s="357">
        <f>VLOOKUP(D333,'SUIVI JOURNALIER AVRIL'!CK:CM,3,FALSE)</f>
        <v>0</v>
      </c>
      <c r="V333" s="358" t="e">
        <f>IF(VLOOKUP('vs mars'!D333,'point sur les patentes'!B:E,4,FALSE)="","",VLOOKUP(D333,'point sur les patentes'!B:E,4,FALSE)+VLOOKUP(D333,'point sur les patentes'!B:F,5,FALSE)+VLOOKUP('vs mars'!D333,'point sur les patentes'!B:G,6,FALSE)+VLOOKUP('vs mars'!D333,'point sur les patentes'!B:H,7,FALSE)+VLOOKUP('vs mars'!D333,'point sur les patentes'!B:I,8,FALSE)+VLOOKUP(D333,'point sur les patentes'!B:J,9,FALSE)+VLOOKUP(D333,'point sur les patentes'!B:K,10,FALSE)+VLOOKUP(D333,'point sur les patentes'!B:L,11,FALSE)+VLOOKUP(D333,'point sur les patentes'!B:M,12,FALSE)+VLOOKUP(D333,'point sur les patentes'!B:N,13,FALSE)+VLOOKUP(D333,'point sur les patentes'!B:O,14,FALSE)+VLOOKUP(D333,'point sur les patentes'!B:P,15,FALSE)+VLOOKUP(D333,'point sur les patentes'!B:Q,16,FALSE)+VLOOKUP('vs mars'!D333,'point sur les patentes'!B:Z,25,FALSE))</f>
        <v>#N/A</v>
      </c>
      <c r="W333" s="340">
        <f>VLOOKUP(D333,'SUIVI JOURNALIER AVRIL'!B:J,9,FALSE)</f>
        <v>179582</v>
      </c>
      <c r="X333" s="340">
        <f>VLOOKUP(D333,'SUIVI JOURNALIER AVRIL'!B:P,14,FALSE)+VLOOKUP('vs mars'!D333,'SUIVI JOURNALIER AVRIL'!B:V,20,FALSE)+VLOOKUP('vs mars'!D333,'SUIVI JOURNALIER AVRIL'!B:W,21,FALSE)</f>
        <v>133580</v>
      </c>
      <c r="Y333" s="340">
        <f>VLOOKUP(D333,'SUIVI JOURNALIER AVRIL'!B:CC,80,FALSE)</f>
        <v>22950</v>
      </c>
      <c r="Z333" s="340">
        <f t="shared" si="10"/>
        <v>336112</v>
      </c>
      <c r="AA333" s="359">
        <f>VLOOKUP(D333,'SUIVI JOURNALIER AVRIL'!B:CD,81,FALSE)</f>
        <v>336112</v>
      </c>
      <c r="AB333" s="360" t="str">
        <f t="shared" si="11"/>
        <v>ok</v>
      </c>
      <c r="AC333" s="360" t="str">
        <f>VLOOKUP(B333,labo!B:D,3,FALSE)</f>
        <v>ug2</v>
      </c>
      <c r="AD333" s="360" t="s">
        <v>2629</v>
      </c>
      <c r="AF333" s="330">
        <f>VLOOKUP(D333,'SUIVI JOURNALIER AVRIL'!CK:CL,2,FALSE)</f>
        <v>0</v>
      </c>
      <c r="AG333" s="360">
        <v>1</v>
      </c>
    </row>
    <row r="334" spans="1:33" s="360" customFormat="1" ht="13.5" customHeight="1">
      <c r="A334" s="324" t="s">
        <v>2390</v>
      </c>
      <c r="B334" s="325" t="s">
        <v>871</v>
      </c>
      <c r="C334" s="325" t="s">
        <v>2055</v>
      </c>
      <c r="D334" s="325" t="s">
        <v>872</v>
      </c>
      <c r="E334" s="324" t="s">
        <v>446</v>
      </c>
      <c r="F334" s="324" t="s">
        <v>2055</v>
      </c>
      <c r="G334" s="324" t="s">
        <v>887</v>
      </c>
      <c r="H334" s="324" t="s">
        <v>897</v>
      </c>
      <c r="I334" s="324" t="s">
        <v>1420</v>
      </c>
      <c r="J334" s="324" t="s">
        <v>889</v>
      </c>
      <c r="K334" s="324" t="s">
        <v>890</v>
      </c>
      <c r="L334" s="324" t="s">
        <v>891</v>
      </c>
      <c r="M334" s="324" t="s">
        <v>892</v>
      </c>
      <c r="N334" s="324" t="s">
        <v>893</v>
      </c>
      <c r="O334" s="324" t="s">
        <v>894</v>
      </c>
      <c r="P334" s="324" t="s">
        <v>935</v>
      </c>
      <c r="Q334" s="324" t="s">
        <v>924</v>
      </c>
      <c r="R334" s="324" t="s">
        <v>1421</v>
      </c>
      <c r="S334" s="356"/>
      <c r="T334" s="309"/>
      <c r="U334" s="357">
        <f>VLOOKUP(D334,'SUIVI JOURNALIER AVRIL'!CK:CM,3,FALSE)</f>
        <v>0</v>
      </c>
      <c r="V334" s="358" t="e">
        <f>IF(VLOOKUP('vs mars'!D334,'point sur les patentes'!B:E,4,FALSE)="","",VLOOKUP(D334,'point sur les patentes'!B:E,4,FALSE)+VLOOKUP(D334,'point sur les patentes'!B:F,5,FALSE)+VLOOKUP('vs mars'!D334,'point sur les patentes'!B:G,6,FALSE)+VLOOKUP('vs mars'!D334,'point sur les patentes'!B:H,7,FALSE)+VLOOKUP('vs mars'!D334,'point sur les patentes'!B:I,8,FALSE)+VLOOKUP(D334,'point sur les patentes'!B:J,9,FALSE)+VLOOKUP(D334,'point sur les patentes'!B:K,10,FALSE)+VLOOKUP(D334,'point sur les patentes'!B:L,11,FALSE)+VLOOKUP(D334,'point sur les patentes'!B:M,12,FALSE)+VLOOKUP(D334,'point sur les patentes'!B:N,13,FALSE)+VLOOKUP(D334,'point sur les patentes'!B:O,14,FALSE)+VLOOKUP(D334,'point sur les patentes'!B:P,15,FALSE)+VLOOKUP(D334,'point sur les patentes'!B:Q,16,FALSE)+VLOOKUP('vs mars'!D334,'point sur les patentes'!B:Z,25,FALSE))</f>
        <v>#N/A</v>
      </c>
      <c r="W334" s="340">
        <f>VLOOKUP(D334,'SUIVI JOURNALIER AVRIL'!B:J,9,FALSE)</f>
        <v>0</v>
      </c>
      <c r="X334" s="340">
        <f>VLOOKUP(D334,'SUIVI JOURNALIER AVRIL'!B:P,14,FALSE)+VLOOKUP('vs mars'!D334,'SUIVI JOURNALIER AVRIL'!B:V,20,FALSE)+VLOOKUP('vs mars'!D334,'SUIVI JOURNALIER AVRIL'!B:W,21,FALSE)</f>
        <v>0</v>
      </c>
      <c r="Y334" s="340">
        <f>VLOOKUP(D334,'SUIVI JOURNALIER AVRIL'!B:CC,80,FALSE)</f>
        <v>9600</v>
      </c>
      <c r="Z334" s="340">
        <f t="shared" si="10"/>
        <v>9600</v>
      </c>
      <c r="AA334" s="359">
        <f>VLOOKUP(D334,'SUIVI JOURNALIER AVRIL'!B:CD,81,FALSE)</f>
        <v>9600</v>
      </c>
      <c r="AB334" s="360" t="str">
        <f t="shared" si="11"/>
        <v>ok</v>
      </c>
      <c r="AC334" s="360" t="str">
        <f>VLOOKUP(B334,labo!B:D,3,FALSE)</f>
        <v>ug5</v>
      </c>
      <c r="AD334" s="360" t="s">
        <v>2629</v>
      </c>
      <c r="AF334" s="330">
        <f>VLOOKUP(D334,'SUIVI JOURNALIER AVRIL'!CK:CL,2,FALSE)</f>
        <v>0</v>
      </c>
      <c r="AG334" s="360">
        <v>1</v>
      </c>
    </row>
    <row r="335" spans="1:33" s="360" customFormat="1" ht="13.5" customHeight="1">
      <c r="A335" s="324" t="s">
        <v>982</v>
      </c>
      <c r="B335" s="325" t="s">
        <v>2391</v>
      </c>
      <c r="C335" s="325" t="s">
        <v>2619</v>
      </c>
      <c r="D335" s="325" t="s">
        <v>2620</v>
      </c>
      <c r="E335" s="324" t="s">
        <v>2409</v>
      </c>
      <c r="F335" s="324" t="s">
        <v>2055</v>
      </c>
      <c r="G335" s="324" t="s">
        <v>887</v>
      </c>
      <c r="H335" s="324" t="s">
        <v>2055</v>
      </c>
      <c r="I335" s="324" t="s">
        <v>2621</v>
      </c>
      <c r="J335" s="324" t="s">
        <v>2055</v>
      </c>
      <c r="K335" s="324" t="s">
        <v>2405</v>
      </c>
      <c r="L335" s="324" t="s">
        <v>891</v>
      </c>
      <c r="M335" s="324" t="s">
        <v>892</v>
      </c>
      <c r="N335" s="324" t="s">
        <v>893</v>
      </c>
      <c r="O335" s="324" t="s">
        <v>894</v>
      </c>
      <c r="P335" s="324" t="s">
        <v>919</v>
      </c>
      <c r="Q335" s="324" t="s">
        <v>2622</v>
      </c>
      <c r="R335" s="324" t="s">
        <v>2055</v>
      </c>
      <c r="S335" s="356"/>
      <c r="T335" s="309"/>
      <c r="U335" s="357">
        <f>VLOOKUP(D335,'SUIVI JOURNALIER AVRIL'!CK:CM,3,FALSE)</f>
        <v>0</v>
      </c>
      <c r="V335" s="358" t="e">
        <f>IF(VLOOKUP('vs mars'!D335,'point sur les patentes'!B:E,4,FALSE)="","",VLOOKUP(D335,'point sur les patentes'!B:E,4,FALSE)+VLOOKUP(D335,'point sur les patentes'!B:F,5,FALSE)+VLOOKUP('vs mars'!D335,'point sur les patentes'!B:G,6,FALSE)+VLOOKUP('vs mars'!D335,'point sur les patentes'!B:H,7,FALSE)+VLOOKUP('vs mars'!D335,'point sur les patentes'!B:I,8,FALSE)+VLOOKUP(D335,'point sur les patentes'!B:J,9,FALSE)+VLOOKUP(D335,'point sur les patentes'!B:K,10,FALSE)+VLOOKUP(D335,'point sur les patentes'!B:L,11,FALSE)+VLOOKUP(D335,'point sur les patentes'!B:M,12,FALSE)+VLOOKUP(D335,'point sur les patentes'!B:N,13,FALSE)+VLOOKUP(D335,'point sur les patentes'!B:O,14,FALSE)+VLOOKUP(D335,'point sur les patentes'!B:P,15,FALSE)+VLOOKUP(D335,'point sur les patentes'!B:Q,16,FALSE)+VLOOKUP('vs mars'!D335,'point sur les patentes'!B:Z,25,FALSE))</f>
        <v>#N/A</v>
      </c>
      <c r="W335" s="340">
        <f>VLOOKUP(D335,'SUIVI JOURNALIER AVRIL'!B:J,9,FALSE)</f>
        <v>41877</v>
      </c>
      <c r="X335" s="340">
        <f>VLOOKUP(D335,'SUIVI JOURNALIER AVRIL'!B:P,14,FALSE)+VLOOKUP('vs mars'!D335,'SUIVI JOURNALIER AVRIL'!B:V,20,FALSE)+VLOOKUP('vs mars'!D335,'SUIVI JOURNALIER AVRIL'!B:W,21,FALSE)</f>
        <v>4786</v>
      </c>
      <c r="Y335" s="340">
        <f>VLOOKUP(D335,'SUIVI JOURNALIER AVRIL'!B:CC,80,FALSE)</f>
        <v>10559</v>
      </c>
      <c r="Z335" s="340">
        <f t="shared" si="10"/>
        <v>57222</v>
      </c>
      <c r="AA335" s="359">
        <f>VLOOKUP(D335,'SUIVI JOURNALIER AVRIL'!B:CD,81,FALSE)</f>
        <v>57222</v>
      </c>
      <c r="AB335" s="360" t="str">
        <f t="shared" si="11"/>
        <v>ok</v>
      </c>
      <c r="AC335" s="360" t="str">
        <f>VLOOKUP(B335,labo!B:D,3,FALSE)</f>
        <v>ug4</v>
      </c>
      <c r="AD335" s="360" t="s">
        <v>2630</v>
      </c>
      <c r="AF335" s="330">
        <f>VLOOKUP(D335,'SUIVI JOURNALIER AVRIL'!CK:CL,2,FALSE)</f>
        <v>0</v>
      </c>
      <c r="AG335" s="360">
        <v>1</v>
      </c>
    </row>
    <row r="336" spans="1:33" s="360" customFormat="1" ht="13.5" customHeight="1">
      <c r="A336" s="324" t="s">
        <v>2392</v>
      </c>
      <c r="B336" s="325" t="s">
        <v>272</v>
      </c>
      <c r="C336" s="325" t="s">
        <v>873</v>
      </c>
      <c r="D336" s="325" t="s">
        <v>874</v>
      </c>
      <c r="E336" s="324" t="s">
        <v>413</v>
      </c>
      <c r="F336" s="324" t="s">
        <v>2055</v>
      </c>
      <c r="G336" s="324" t="s">
        <v>887</v>
      </c>
      <c r="H336" s="324" t="s">
        <v>897</v>
      </c>
      <c r="I336" s="324" t="s">
        <v>1359</v>
      </c>
      <c r="J336" s="324" t="s">
        <v>889</v>
      </c>
      <c r="K336" s="324" t="s">
        <v>890</v>
      </c>
      <c r="L336" s="324" t="s">
        <v>891</v>
      </c>
      <c r="M336" s="324" t="s">
        <v>892</v>
      </c>
      <c r="N336" s="324" t="s">
        <v>893</v>
      </c>
      <c r="O336" s="324" t="s">
        <v>894</v>
      </c>
      <c r="P336" s="324" t="s">
        <v>899</v>
      </c>
      <c r="Q336" s="324" t="s">
        <v>995</v>
      </c>
      <c r="R336" s="324" t="s">
        <v>1160</v>
      </c>
      <c r="S336" s="356"/>
      <c r="T336" s="309"/>
      <c r="U336" s="357" t="e">
        <f>VLOOKUP(D336,'SUIVI JOURNALIER AVRIL'!CK:CM,3,FALSE)</f>
        <v>#N/A</v>
      </c>
      <c r="V336" s="358" t="e">
        <f>IF(VLOOKUP('vs mars'!D336,'point sur les patentes'!B:E,4,FALSE)="","",VLOOKUP(D336,'point sur les patentes'!B:E,4,FALSE)+VLOOKUP(D336,'point sur les patentes'!B:F,5,FALSE)+VLOOKUP('vs mars'!D336,'point sur les patentes'!B:G,6,FALSE)+VLOOKUP('vs mars'!D336,'point sur les patentes'!B:H,7,FALSE)+VLOOKUP('vs mars'!D336,'point sur les patentes'!B:I,8,FALSE)+VLOOKUP(D336,'point sur les patentes'!B:J,9,FALSE)+VLOOKUP(D336,'point sur les patentes'!B:K,10,FALSE)+VLOOKUP(D336,'point sur les patentes'!B:L,11,FALSE)+VLOOKUP(D336,'point sur les patentes'!B:M,12,FALSE)+VLOOKUP(D336,'point sur les patentes'!B:N,13,FALSE)+VLOOKUP(D336,'point sur les patentes'!B:O,14,FALSE)+VLOOKUP(D336,'point sur les patentes'!B:P,15,FALSE)+VLOOKUP(D336,'point sur les patentes'!B:Q,16,FALSE)+VLOOKUP('vs mars'!D336,'point sur les patentes'!B:Z,25,FALSE))</f>
        <v>#N/A</v>
      </c>
      <c r="W336" s="340" t="e">
        <f>VLOOKUP(D336,'SUIVI JOURNALIER AVRIL'!B:J,9,FALSE)</f>
        <v>#N/A</v>
      </c>
      <c r="X336" s="340" t="e">
        <f>VLOOKUP(D336,'SUIVI JOURNALIER AVRIL'!B:P,14,FALSE)+VLOOKUP('vs mars'!D336,'SUIVI JOURNALIER AVRIL'!B:V,20,FALSE)+VLOOKUP('vs mars'!D336,'SUIVI JOURNALIER AVRIL'!B:W,21,FALSE)</f>
        <v>#N/A</v>
      </c>
      <c r="Y336" s="340" t="e">
        <f>VLOOKUP(D336,'SUIVI JOURNALIER AVRIL'!B:CC,80,FALSE)</f>
        <v>#N/A</v>
      </c>
      <c r="Z336" s="340" t="e">
        <f t="shared" si="10"/>
        <v>#N/A</v>
      </c>
      <c r="AA336" s="359" t="e">
        <f>VLOOKUP(D336,'SUIVI JOURNALIER AVRIL'!B:CD,81,FALSE)</f>
        <v>#N/A</v>
      </c>
      <c r="AB336" s="360" t="e">
        <f t="shared" si="11"/>
        <v>#N/A</v>
      </c>
      <c r="AC336" s="360" t="str">
        <f>VLOOKUP(B336,labo!B:D,3,FALSE)</f>
        <v>ug4</v>
      </c>
      <c r="AD336" s="360" t="s">
        <v>2629</v>
      </c>
      <c r="AF336" s="330" t="e">
        <f>VLOOKUP(D336,'SUIVI JOURNALIER AVRIL'!CK:CL,2,FALSE)</f>
        <v>#N/A</v>
      </c>
      <c r="AG336" s="360">
        <v>1</v>
      </c>
    </row>
    <row r="337" spans="1:33" s="360" customFormat="1" ht="13.5" customHeight="1">
      <c r="A337" s="324" t="s">
        <v>2394</v>
      </c>
      <c r="B337" s="325" t="s">
        <v>2393</v>
      </c>
      <c r="C337" s="325" t="s">
        <v>2623</v>
      </c>
      <c r="D337" s="325" t="s">
        <v>2267</v>
      </c>
      <c r="E337" s="324" t="s">
        <v>2248</v>
      </c>
      <c r="F337" s="324" t="s">
        <v>2055</v>
      </c>
      <c r="G337" s="324" t="s">
        <v>887</v>
      </c>
      <c r="H337" s="324" t="s">
        <v>2055</v>
      </c>
      <c r="I337" s="324" t="s">
        <v>2268</v>
      </c>
      <c r="J337" s="324" t="s">
        <v>2055</v>
      </c>
      <c r="K337" s="324" t="s">
        <v>2405</v>
      </c>
      <c r="L337" s="324" t="s">
        <v>891</v>
      </c>
      <c r="M337" s="324" t="s">
        <v>892</v>
      </c>
      <c r="N337" s="324" t="s">
        <v>893</v>
      </c>
      <c r="O337" s="324" t="s">
        <v>894</v>
      </c>
      <c r="P337" s="324" t="s">
        <v>919</v>
      </c>
      <c r="Q337" s="324" t="s">
        <v>2055</v>
      </c>
      <c r="R337" s="324" t="s">
        <v>2055</v>
      </c>
      <c r="S337" s="356"/>
      <c r="T337" s="309"/>
      <c r="U337" s="357" t="e">
        <f>VLOOKUP(D337,'SUIVI JOURNALIER AVRIL'!CK:CM,3,FALSE)</f>
        <v>#N/A</v>
      </c>
      <c r="V337" s="358" t="e">
        <f>IF(VLOOKUP('vs mars'!D337,'point sur les patentes'!B:E,4,FALSE)="","",VLOOKUP(D337,'point sur les patentes'!B:E,4,FALSE)+VLOOKUP(D337,'point sur les patentes'!B:F,5,FALSE)+VLOOKUP('vs mars'!D337,'point sur les patentes'!B:G,6,FALSE)+VLOOKUP('vs mars'!D337,'point sur les patentes'!B:H,7,FALSE)+VLOOKUP('vs mars'!D337,'point sur les patentes'!B:I,8,FALSE)+VLOOKUP(D337,'point sur les patentes'!B:J,9,FALSE)+VLOOKUP(D337,'point sur les patentes'!B:K,10,FALSE)+VLOOKUP(D337,'point sur les patentes'!B:L,11,FALSE)+VLOOKUP(D337,'point sur les patentes'!B:M,12,FALSE)+VLOOKUP(D337,'point sur les patentes'!B:N,13,FALSE)+VLOOKUP(D337,'point sur les patentes'!B:O,14,FALSE)+VLOOKUP(D337,'point sur les patentes'!B:P,15,FALSE)+VLOOKUP(D337,'point sur les patentes'!B:Q,16,FALSE)+VLOOKUP('vs mars'!D337,'point sur les patentes'!B:Z,25,FALSE))</f>
        <v>#N/A</v>
      </c>
      <c r="W337" s="340" t="e">
        <f>VLOOKUP(D337,'SUIVI JOURNALIER AVRIL'!B:J,9,FALSE)</f>
        <v>#N/A</v>
      </c>
      <c r="X337" s="340" t="e">
        <f>VLOOKUP(D337,'SUIVI JOURNALIER AVRIL'!B:P,14,FALSE)+VLOOKUP('vs mars'!D337,'SUIVI JOURNALIER AVRIL'!B:V,20,FALSE)+VLOOKUP('vs mars'!D337,'SUIVI JOURNALIER AVRIL'!B:W,21,FALSE)</f>
        <v>#N/A</v>
      </c>
      <c r="Y337" s="340" t="e">
        <f>VLOOKUP(D337,'SUIVI JOURNALIER AVRIL'!B:CC,80,FALSE)</f>
        <v>#N/A</v>
      </c>
      <c r="Z337" s="340" t="e">
        <f t="shared" si="10"/>
        <v>#N/A</v>
      </c>
      <c r="AA337" s="359" t="e">
        <f>VLOOKUP(D337,'SUIVI JOURNALIER AVRIL'!B:CD,81,FALSE)</f>
        <v>#N/A</v>
      </c>
      <c r="AB337" s="360" t="e">
        <f t="shared" si="11"/>
        <v>#N/A</v>
      </c>
      <c r="AC337" s="360" t="str">
        <f>VLOOKUP(B337,labo!B:D,3,FALSE)</f>
        <v>ug5</v>
      </c>
      <c r="AD337" s="360" t="s">
        <v>2629</v>
      </c>
      <c r="AF337" s="330" t="e">
        <f>VLOOKUP(D337,'SUIVI JOURNALIER AVRIL'!CK:CL,2,FALSE)</f>
        <v>#N/A</v>
      </c>
      <c r="AG337" s="360">
        <v>1</v>
      </c>
    </row>
    <row r="338" spans="1:33" s="360" customFormat="1" ht="13.5" customHeight="1">
      <c r="A338" s="324" t="s">
        <v>2395</v>
      </c>
      <c r="B338" s="325" t="s">
        <v>278</v>
      </c>
      <c r="C338" s="325" t="s">
        <v>875</v>
      </c>
      <c r="D338" s="325" t="s">
        <v>876</v>
      </c>
      <c r="E338" s="324" t="s">
        <v>413</v>
      </c>
      <c r="F338" s="324" t="s">
        <v>2055</v>
      </c>
      <c r="G338" s="324" t="s">
        <v>887</v>
      </c>
      <c r="H338" s="324" t="s">
        <v>897</v>
      </c>
      <c r="I338" s="324" t="s">
        <v>1422</v>
      </c>
      <c r="J338" s="324" t="s">
        <v>889</v>
      </c>
      <c r="K338" s="324" t="s">
        <v>890</v>
      </c>
      <c r="L338" s="324" t="s">
        <v>891</v>
      </c>
      <c r="M338" s="324" t="s">
        <v>892</v>
      </c>
      <c r="N338" s="324" t="s">
        <v>893</v>
      </c>
      <c r="O338" s="324" t="s">
        <v>923</v>
      </c>
      <c r="P338" s="324" t="s">
        <v>923</v>
      </c>
      <c r="Q338" s="324" t="s">
        <v>1423</v>
      </c>
      <c r="R338" s="324" t="s">
        <v>1423</v>
      </c>
      <c r="S338" s="356"/>
      <c r="T338" s="309"/>
      <c r="U338" s="357" t="e">
        <f>VLOOKUP(D338,'SUIVI JOURNALIER AVRIL'!CK:CM,3,FALSE)</f>
        <v>#N/A</v>
      </c>
      <c r="V338" s="358" t="e">
        <f>IF(VLOOKUP('vs mars'!D338,'point sur les patentes'!B:E,4,FALSE)="","",VLOOKUP(D338,'point sur les patentes'!B:E,4,FALSE)+VLOOKUP(D338,'point sur les patentes'!B:F,5,FALSE)+VLOOKUP('vs mars'!D338,'point sur les patentes'!B:G,6,FALSE)+VLOOKUP('vs mars'!D338,'point sur les patentes'!B:H,7,FALSE)+VLOOKUP('vs mars'!D338,'point sur les patentes'!B:I,8,FALSE)+VLOOKUP(D338,'point sur les patentes'!B:J,9,FALSE)+VLOOKUP(D338,'point sur les patentes'!B:K,10,FALSE)+VLOOKUP(D338,'point sur les patentes'!B:L,11,FALSE)+VLOOKUP(D338,'point sur les patentes'!B:M,12,FALSE)+VLOOKUP(D338,'point sur les patentes'!B:N,13,FALSE)+VLOOKUP(D338,'point sur les patentes'!B:O,14,FALSE)+VLOOKUP(D338,'point sur les patentes'!B:P,15,FALSE)+VLOOKUP(D338,'point sur les patentes'!B:Q,16,FALSE)+VLOOKUP('vs mars'!D338,'point sur les patentes'!B:Z,25,FALSE))</f>
        <v>#N/A</v>
      </c>
      <c r="W338" s="340" t="e">
        <f>VLOOKUP(D338,'SUIVI JOURNALIER AVRIL'!B:J,9,FALSE)</f>
        <v>#N/A</v>
      </c>
      <c r="X338" s="340" t="e">
        <f>VLOOKUP(D338,'SUIVI JOURNALIER AVRIL'!B:P,14,FALSE)+VLOOKUP('vs mars'!D338,'SUIVI JOURNALIER AVRIL'!B:V,20,FALSE)+VLOOKUP('vs mars'!D338,'SUIVI JOURNALIER AVRIL'!B:W,21,FALSE)</f>
        <v>#N/A</v>
      </c>
      <c r="Y338" s="340" t="e">
        <f>VLOOKUP(D338,'SUIVI JOURNALIER AVRIL'!B:CC,80,FALSE)</f>
        <v>#N/A</v>
      </c>
      <c r="Z338" s="340" t="e">
        <f t="shared" si="10"/>
        <v>#N/A</v>
      </c>
      <c r="AA338" s="359" t="e">
        <f>VLOOKUP(D338,'SUIVI JOURNALIER AVRIL'!B:CD,81,FALSE)</f>
        <v>#N/A</v>
      </c>
      <c r="AB338" s="360" t="e">
        <f t="shared" si="11"/>
        <v>#N/A</v>
      </c>
      <c r="AC338" s="360" t="str">
        <f>VLOOKUP(B338,labo!B:D,3,FALSE)</f>
        <v>ug4</v>
      </c>
      <c r="AD338" s="360" t="s">
        <v>2629</v>
      </c>
      <c r="AF338" s="330" t="e">
        <f>VLOOKUP(D338,'SUIVI JOURNALIER AVRIL'!CK:CL,2,FALSE)</f>
        <v>#N/A</v>
      </c>
      <c r="AG338" s="360">
        <v>1</v>
      </c>
    </row>
    <row r="339" spans="1:33" s="360" customFormat="1" ht="13.5" customHeight="1">
      <c r="A339" s="324" t="s">
        <v>2396</v>
      </c>
      <c r="B339" s="325" t="s">
        <v>386</v>
      </c>
      <c r="C339" s="325" t="s">
        <v>877</v>
      </c>
      <c r="D339" s="325" t="s">
        <v>878</v>
      </c>
      <c r="E339" s="324" t="s">
        <v>574</v>
      </c>
      <c r="F339" s="324" t="s">
        <v>2055</v>
      </c>
      <c r="G339" s="324" t="s">
        <v>887</v>
      </c>
      <c r="H339" s="324" t="s">
        <v>897</v>
      </c>
      <c r="I339" s="324" t="s">
        <v>1424</v>
      </c>
      <c r="J339" s="324" t="s">
        <v>889</v>
      </c>
      <c r="K339" s="324" t="s">
        <v>890</v>
      </c>
      <c r="L339" s="324" t="s">
        <v>891</v>
      </c>
      <c r="M339" s="324" t="s">
        <v>892</v>
      </c>
      <c r="N339" s="324" t="s">
        <v>893</v>
      </c>
      <c r="O339" s="324" t="s">
        <v>894</v>
      </c>
      <c r="P339" s="324" t="s">
        <v>935</v>
      </c>
      <c r="Q339" s="324" t="s">
        <v>970</v>
      </c>
      <c r="R339" s="324" t="s">
        <v>1425</v>
      </c>
      <c r="S339" s="356"/>
      <c r="T339" s="309"/>
      <c r="U339" s="357">
        <f>VLOOKUP(D339,'SUIVI JOURNALIER AVRIL'!CK:CM,3,FALSE)</f>
        <v>0</v>
      </c>
      <c r="V339" s="358" t="e">
        <f>IF(VLOOKUP('vs mars'!D339,'point sur les patentes'!B:E,4,FALSE)="","",VLOOKUP(D339,'point sur les patentes'!B:E,4,FALSE)+VLOOKUP(D339,'point sur les patentes'!B:F,5,FALSE)+VLOOKUP('vs mars'!D339,'point sur les patentes'!B:G,6,FALSE)+VLOOKUP('vs mars'!D339,'point sur les patentes'!B:H,7,FALSE)+VLOOKUP('vs mars'!D339,'point sur les patentes'!B:I,8,FALSE)+VLOOKUP(D339,'point sur les patentes'!B:J,9,FALSE)+VLOOKUP(D339,'point sur les patentes'!B:K,10,FALSE)+VLOOKUP(D339,'point sur les patentes'!B:L,11,FALSE)+VLOOKUP(D339,'point sur les patentes'!B:M,12,FALSE)+VLOOKUP(D339,'point sur les patentes'!B:N,13,FALSE)+VLOOKUP(D339,'point sur les patentes'!B:O,14,FALSE)+VLOOKUP(D339,'point sur les patentes'!B:P,15,FALSE)+VLOOKUP(D339,'point sur les patentes'!B:Q,16,FALSE)+VLOOKUP('vs mars'!D339,'point sur les patentes'!B:Z,25,FALSE))</f>
        <v>#N/A</v>
      </c>
      <c r="W339" s="340">
        <f>VLOOKUP(D339,'SUIVI JOURNALIER AVRIL'!B:J,9,FALSE)</f>
        <v>136778</v>
      </c>
      <c r="X339" s="340">
        <f>VLOOKUP(D339,'SUIVI JOURNALIER AVRIL'!B:P,14,FALSE)+VLOOKUP('vs mars'!D339,'SUIVI JOURNALIER AVRIL'!B:V,20,FALSE)+VLOOKUP('vs mars'!D339,'SUIVI JOURNALIER AVRIL'!B:W,21,FALSE)</f>
        <v>44310</v>
      </c>
      <c r="Y339" s="340">
        <f>VLOOKUP(D339,'SUIVI JOURNALIER AVRIL'!B:CC,80,FALSE)</f>
        <v>719</v>
      </c>
      <c r="Z339" s="340">
        <f t="shared" si="10"/>
        <v>181807</v>
      </c>
      <c r="AA339" s="359">
        <f>VLOOKUP(D339,'SUIVI JOURNALIER AVRIL'!B:CD,81,FALSE)</f>
        <v>181807</v>
      </c>
      <c r="AB339" s="360" t="str">
        <f t="shared" si="11"/>
        <v>ok</v>
      </c>
      <c r="AC339" s="360" t="str">
        <f>VLOOKUP(B339,labo!B:D,3,FALSE)</f>
        <v>ug2</v>
      </c>
      <c r="AD339" s="360" t="s">
        <v>2629</v>
      </c>
      <c r="AF339" s="330">
        <f>VLOOKUP(D339,'SUIVI JOURNALIER AVRIL'!CK:CL,2,FALSE)</f>
        <v>0</v>
      </c>
      <c r="AG339" s="360">
        <v>1</v>
      </c>
    </row>
    <row r="340" spans="1:33" s="360" customFormat="1" ht="13.5" customHeight="1">
      <c r="A340" s="324" t="s">
        <v>2397</v>
      </c>
      <c r="B340" s="325" t="s">
        <v>285</v>
      </c>
      <c r="C340" s="325" t="s">
        <v>879</v>
      </c>
      <c r="D340" s="325" t="s">
        <v>880</v>
      </c>
      <c r="E340" s="324" t="s">
        <v>574</v>
      </c>
      <c r="F340" s="324" t="s">
        <v>2055</v>
      </c>
      <c r="G340" s="324" t="s">
        <v>887</v>
      </c>
      <c r="H340" s="324" t="s">
        <v>1426</v>
      </c>
      <c r="I340" s="324" t="s">
        <v>1427</v>
      </c>
      <c r="J340" s="324" t="s">
        <v>889</v>
      </c>
      <c r="K340" s="324" t="s">
        <v>890</v>
      </c>
      <c r="L340" s="324" t="s">
        <v>891</v>
      </c>
      <c r="M340" s="324" t="s">
        <v>892</v>
      </c>
      <c r="N340" s="324" t="s">
        <v>893</v>
      </c>
      <c r="O340" s="324" t="s">
        <v>894</v>
      </c>
      <c r="P340" s="324" t="s">
        <v>899</v>
      </c>
      <c r="Q340" s="324" t="s">
        <v>1131</v>
      </c>
      <c r="R340" s="324" t="s">
        <v>1428</v>
      </c>
      <c r="S340" s="356"/>
      <c r="T340" s="309"/>
      <c r="U340" s="357">
        <f>VLOOKUP(D340,'SUIVI JOURNALIER AVRIL'!CK:CM,3,FALSE)</f>
        <v>0</v>
      </c>
      <c r="V340" s="358" t="e">
        <f>IF(VLOOKUP('vs mars'!D340,'point sur les patentes'!B:E,4,FALSE)="","",VLOOKUP(D340,'point sur les patentes'!B:E,4,FALSE)+VLOOKUP(D340,'point sur les patentes'!B:F,5,FALSE)+VLOOKUP('vs mars'!D340,'point sur les patentes'!B:G,6,FALSE)+VLOOKUP('vs mars'!D340,'point sur les patentes'!B:H,7,FALSE)+VLOOKUP('vs mars'!D340,'point sur les patentes'!B:I,8,FALSE)+VLOOKUP(D340,'point sur les patentes'!B:J,9,FALSE)+VLOOKUP(D340,'point sur les patentes'!B:K,10,FALSE)+VLOOKUP(D340,'point sur les patentes'!B:L,11,FALSE)+VLOOKUP(D340,'point sur les patentes'!B:M,12,FALSE)+VLOOKUP(D340,'point sur les patentes'!B:N,13,FALSE)+VLOOKUP(D340,'point sur les patentes'!B:O,14,FALSE)+VLOOKUP(D340,'point sur les patentes'!B:P,15,FALSE)+VLOOKUP(D340,'point sur les patentes'!B:Q,16,FALSE)+VLOOKUP('vs mars'!D340,'point sur les patentes'!B:Z,25,FALSE))</f>
        <v>#N/A</v>
      </c>
      <c r="W340" s="340">
        <f>VLOOKUP(D340,'SUIVI JOURNALIER AVRIL'!B:J,9,FALSE)</f>
        <v>529478</v>
      </c>
      <c r="X340" s="340">
        <f>VLOOKUP(D340,'SUIVI JOURNALIER AVRIL'!B:P,14,FALSE)+VLOOKUP('vs mars'!D340,'SUIVI JOURNALIER AVRIL'!B:V,20,FALSE)+VLOOKUP('vs mars'!D340,'SUIVI JOURNALIER AVRIL'!B:W,21,FALSE)</f>
        <v>36936</v>
      </c>
      <c r="Y340" s="340">
        <f>VLOOKUP(D340,'SUIVI JOURNALIER AVRIL'!B:CC,80,FALSE)</f>
        <v>454894</v>
      </c>
      <c r="Z340" s="340">
        <f t="shared" si="10"/>
        <v>1021308</v>
      </c>
      <c r="AA340" s="359">
        <f>VLOOKUP(D340,'SUIVI JOURNALIER AVRIL'!B:CD,81,FALSE)</f>
        <v>1021308</v>
      </c>
      <c r="AB340" s="360" t="str">
        <f t="shared" si="11"/>
        <v>ok</v>
      </c>
      <c r="AC340" s="360" t="str">
        <f>VLOOKUP(B340,labo!B:D,3,FALSE)</f>
        <v>ug2</v>
      </c>
      <c r="AD340" s="360" t="s">
        <v>2629</v>
      </c>
      <c r="AF340" s="330">
        <f>VLOOKUP(D340,'SUIVI JOURNALIER AVRIL'!CK:CL,2,FALSE)</f>
        <v>0</v>
      </c>
      <c r="AG340" s="360">
        <v>1</v>
      </c>
    </row>
    <row r="341" spans="1:33" s="360" customFormat="1" ht="13.5" customHeight="1">
      <c r="A341" s="324" t="s">
        <v>1286</v>
      </c>
      <c r="B341" s="325" t="s">
        <v>881</v>
      </c>
      <c r="C341" s="325" t="s">
        <v>2055</v>
      </c>
      <c r="D341" s="325" t="s">
        <v>882</v>
      </c>
      <c r="E341" s="324" t="s">
        <v>446</v>
      </c>
      <c r="F341" s="324" t="s">
        <v>2055</v>
      </c>
      <c r="G341" s="324" t="s">
        <v>887</v>
      </c>
      <c r="H341" s="324" t="s">
        <v>897</v>
      </c>
      <c r="I341" s="324" t="s">
        <v>897</v>
      </c>
      <c r="J341" s="324" t="s">
        <v>889</v>
      </c>
      <c r="K341" s="324" t="s">
        <v>890</v>
      </c>
      <c r="L341" s="324" t="s">
        <v>891</v>
      </c>
      <c r="M341" s="324" t="s">
        <v>892</v>
      </c>
      <c r="N341" s="324" t="s">
        <v>954</v>
      </c>
      <c r="O341" s="324" t="s">
        <v>955</v>
      </c>
      <c r="P341" s="324" t="s">
        <v>955</v>
      </c>
      <c r="Q341" s="324" t="s">
        <v>956</v>
      </c>
      <c r="R341" s="324" t="s">
        <v>956</v>
      </c>
      <c r="S341" s="356"/>
      <c r="T341" s="309"/>
      <c r="U341" s="357">
        <f>VLOOKUP(D341,'SUIVI JOURNALIER AVRIL'!CK:CM,3,FALSE)</f>
        <v>0</v>
      </c>
      <c r="V341" s="358" t="e">
        <f>IF(VLOOKUP('vs mars'!D341,'point sur les patentes'!B:E,4,FALSE)="","",VLOOKUP(D341,'point sur les patentes'!B:E,4,FALSE)+VLOOKUP(D341,'point sur les patentes'!B:F,5,FALSE)+VLOOKUP('vs mars'!D341,'point sur les patentes'!B:G,6,FALSE)+VLOOKUP('vs mars'!D341,'point sur les patentes'!B:H,7,FALSE)+VLOOKUP('vs mars'!D341,'point sur les patentes'!B:I,8,FALSE)+VLOOKUP(D341,'point sur les patentes'!B:J,9,FALSE)+VLOOKUP(D341,'point sur les patentes'!B:K,10,FALSE)+VLOOKUP(D341,'point sur les patentes'!B:L,11,FALSE)+VLOOKUP(D341,'point sur les patentes'!B:M,12,FALSE)+VLOOKUP(D341,'point sur les patentes'!B:N,13,FALSE)+VLOOKUP(D341,'point sur les patentes'!B:O,14,FALSE)+VLOOKUP(D341,'point sur les patentes'!B:P,15,FALSE)+VLOOKUP(D341,'point sur les patentes'!B:Q,16,FALSE)+VLOOKUP('vs mars'!D341,'point sur les patentes'!B:Z,25,FALSE))</f>
        <v>#N/A</v>
      </c>
      <c r="W341" s="340">
        <f>VLOOKUP(D341,'SUIVI JOURNALIER AVRIL'!B:J,9,FALSE)</f>
        <v>0</v>
      </c>
      <c r="X341" s="340">
        <f>VLOOKUP(D341,'SUIVI JOURNALIER AVRIL'!B:P,14,FALSE)+VLOOKUP('vs mars'!D341,'SUIVI JOURNALIER AVRIL'!B:V,20,FALSE)+VLOOKUP('vs mars'!D341,'SUIVI JOURNALIER AVRIL'!B:W,21,FALSE)</f>
        <v>0</v>
      </c>
      <c r="Y341" s="340">
        <f>VLOOKUP(D341,'SUIVI JOURNALIER AVRIL'!B:CC,80,FALSE)</f>
        <v>27535.454545454544</v>
      </c>
      <c r="Z341" s="340">
        <f t="shared" si="10"/>
        <v>27535.454545454544</v>
      </c>
      <c r="AA341" s="359">
        <f>VLOOKUP(D341,'SUIVI JOURNALIER AVRIL'!B:CD,81,FALSE)</f>
        <v>27535.454545454544</v>
      </c>
      <c r="AB341" s="360" t="str">
        <f t="shared" si="11"/>
        <v>ok</v>
      </c>
      <c r="AC341" s="360" t="str">
        <f>VLOOKUP(B341,labo!B:D,3,FALSE)</f>
        <v>ug5</v>
      </c>
      <c r="AD341" s="360" t="s">
        <v>2629</v>
      </c>
      <c r="AF341" s="330">
        <f>VLOOKUP(D341,'SUIVI JOURNALIER AVRIL'!CK:CL,2,FALSE)</f>
        <v>0</v>
      </c>
      <c r="AG341" s="360">
        <v>1</v>
      </c>
    </row>
    <row r="342" spans="1:33" s="360" customFormat="1" ht="13.5" customHeight="1">
      <c r="A342" s="324" t="s">
        <v>2399</v>
      </c>
      <c r="B342" s="325" t="s">
        <v>2398</v>
      </c>
      <c r="C342" s="325" t="s">
        <v>2055</v>
      </c>
      <c r="D342" s="325" t="s">
        <v>2624</v>
      </c>
      <c r="E342" s="324" t="s">
        <v>2499</v>
      </c>
      <c r="F342" s="324" t="s">
        <v>2055</v>
      </c>
      <c r="G342" s="324" t="s">
        <v>887</v>
      </c>
      <c r="H342" s="324" t="s">
        <v>897</v>
      </c>
      <c r="I342" s="324" t="s">
        <v>2625</v>
      </c>
      <c r="J342" s="324" t="s">
        <v>2481</v>
      </c>
      <c r="K342" s="324" t="s">
        <v>2405</v>
      </c>
      <c r="L342" s="324" t="s">
        <v>891</v>
      </c>
      <c r="M342" s="324" t="s">
        <v>892</v>
      </c>
      <c r="N342" s="324" t="s">
        <v>893</v>
      </c>
      <c r="O342" s="324" t="s">
        <v>894</v>
      </c>
      <c r="P342" s="324" t="s">
        <v>2447</v>
      </c>
      <c r="Q342" s="324" t="s">
        <v>924</v>
      </c>
      <c r="R342" s="324" t="s">
        <v>924</v>
      </c>
      <c r="S342" s="356"/>
      <c r="T342" s="309"/>
      <c r="U342" s="357" t="e">
        <f>VLOOKUP(D342,'SUIVI JOURNALIER AVRIL'!CK:CM,3,FALSE)</f>
        <v>#N/A</v>
      </c>
      <c r="V342" s="358" t="e">
        <f>IF(VLOOKUP('vs mars'!D342,'point sur les patentes'!B:E,4,FALSE)="","",VLOOKUP(D342,'point sur les patentes'!B:E,4,FALSE)+VLOOKUP(D342,'point sur les patentes'!B:F,5,FALSE)+VLOOKUP('vs mars'!D342,'point sur les patentes'!B:G,6,FALSE)+VLOOKUP('vs mars'!D342,'point sur les patentes'!B:H,7,FALSE)+VLOOKUP('vs mars'!D342,'point sur les patentes'!B:I,8,FALSE)+VLOOKUP(D342,'point sur les patentes'!B:J,9,FALSE)+VLOOKUP(D342,'point sur les patentes'!B:K,10,FALSE)+VLOOKUP(D342,'point sur les patentes'!B:L,11,FALSE)+VLOOKUP(D342,'point sur les patentes'!B:M,12,FALSE)+VLOOKUP(D342,'point sur les patentes'!B:N,13,FALSE)+VLOOKUP(D342,'point sur les patentes'!B:O,14,FALSE)+VLOOKUP(D342,'point sur les patentes'!B:P,15,FALSE)+VLOOKUP(D342,'point sur les patentes'!B:Q,16,FALSE)+VLOOKUP('vs mars'!D342,'point sur les patentes'!B:Z,25,FALSE))</f>
        <v>#N/A</v>
      </c>
      <c r="W342" s="340" t="e">
        <f>VLOOKUP(D342,'SUIVI JOURNALIER AVRIL'!B:J,9,FALSE)</f>
        <v>#N/A</v>
      </c>
      <c r="X342" s="340" t="e">
        <f>VLOOKUP(D342,'SUIVI JOURNALIER AVRIL'!B:P,14,FALSE)+VLOOKUP('vs mars'!D342,'SUIVI JOURNALIER AVRIL'!B:V,20,FALSE)+VLOOKUP('vs mars'!D342,'SUIVI JOURNALIER AVRIL'!B:W,21,FALSE)</f>
        <v>#N/A</v>
      </c>
      <c r="Y342" s="340" t="e">
        <f>VLOOKUP(D342,'SUIVI JOURNALIER AVRIL'!B:CC,80,FALSE)</f>
        <v>#N/A</v>
      </c>
      <c r="Z342" s="340" t="e">
        <f t="shared" si="10"/>
        <v>#N/A</v>
      </c>
      <c r="AA342" s="359" t="e">
        <f>VLOOKUP(D342,'SUIVI JOURNALIER AVRIL'!B:CD,81,FALSE)</f>
        <v>#N/A</v>
      </c>
      <c r="AB342" s="360" t="e">
        <f t="shared" si="11"/>
        <v>#N/A</v>
      </c>
      <c r="AC342" s="360" t="str">
        <f>VLOOKUP(B342,labo!B:D,3,FALSE)</f>
        <v>ug2</v>
      </c>
      <c r="AD342" s="360" t="s">
        <v>2629</v>
      </c>
      <c r="AF342" s="330" t="e">
        <f>VLOOKUP(D342,'SUIVI JOURNALIER AVRIL'!CK:CL,2,FALSE)</f>
        <v>#N/A</v>
      </c>
      <c r="AG342" s="360">
        <v>1</v>
      </c>
    </row>
    <row r="343" spans="1:33" s="360" customFormat="1" ht="13.5" customHeight="1">
      <c r="A343" s="324" t="s">
        <v>2400</v>
      </c>
      <c r="B343" s="325" t="s">
        <v>305</v>
      </c>
      <c r="C343" s="325" t="s">
        <v>883</v>
      </c>
      <c r="D343" s="325" t="s">
        <v>884</v>
      </c>
      <c r="E343" s="324" t="s">
        <v>455</v>
      </c>
      <c r="F343" s="324" t="s">
        <v>2055</v>
      </c>
      <c r="G343" s="324" t="s">
        <v>887</v>
      </c>
      <c r="H343" s="324" t="s">
        <v>897</v>
      </c>
      <c r="I343" s="324" t="s">
        <v>1548</v>
      </c>
      <c r="J343" s="324" t="s">
        <v>889</v>
      </c>
      <c r="K343" s="324" t="s">
        <v>890</v>
      </c>
      <c r="L343" s="324" t="s">
        <v>891</v>
      </c>
      <c r="M343" s="324" t="s">
        <v>892</v>
      </c>
      <c r="N343" s="324" t="s">
        <v>893</v>
      </c>
      <c r="O343" s="324" t="s">
        <v>894</v>
      </c>
      <c r="P343" s="324" t="s">
        <v>899</v>
      </c>
      <c r="Q343" s="324" t="s">
        <v>1131</v>
      </c>
      <c r="R343" s="324" t="s">
        <v>1429</v>
      </c>
      <c r="S343" s="356"/>
      <c r="T343" s="309"/>
      <c r="U343" s="357" t="e">
        <f>VLOOKUP(D343,'SUIVI JOURNALIER AVRIL'!CK:CM,3,FALSE)</f>
        <v>#N/A</v>
      </c>
      <c r="V343" s="358" t="e">
        <f>IF(VLOOKUP('vs mars'!D343,'point sur les patentes'!B:E,4,FALSE)="","",VLOOKUP(D343,'point sur les patentes'!B:E,4,FALSE)+VLOOKUP(D343,'point sur les patentes'!B:F,5,FALSE)+VLOOKUP('vs mars'!D343,'point sur les patentes'!B:G,6,FALSE)+VLOOKUP('vs mars'!D343,'point sur les patentes'!B:H,7,FALSE)+VLOOKUP('vs mars'!D343,'point sur les patentes'!B:I,8,FALSE)+VLOOKUP(D343,'point sur les patentes'!B:J,9,FALSE)+VLOOKUP(D343,'point sur les patentes'!B:K,10,FALSE)+VLOOKUP(D343,'point sur les patentes'!B:L,11,FALSE)+VLOOKUP(D343,'point sur les patentes'!B:M,12,FALSE)+VLOOKUP(D343,'point sur les patentes'!B:N,13,FALSE)+VLOOKUP(D343,'point sur les patentes'!B:O,14,FALSE)+VLOOKUP(D343,'point sur les patentes'!B:P,15,FALSE)+VLOOKUP(D343,'point sur les patentes'!B:Q,16,FALSE)+VLOOKUP('vs mars'!D343,'point sur les patentes'!B:Z,25,FALSE))</f>
        <v>#N/A</v>
      </c>
      <c r="W343" s="340" t="e">
        <f>VLOOKUP(D343,'SUIVI JOURNALIER AVRIL'!B:J,9,FALSE)</f>
        <v>#N/A</v>
      </c>
      <c r="X343" s="340" t="e">
        <f>VLOOKUP(D343,'SUIVI JOURNALIER AVRIL'!B:P,14,FALSE)+VLOOKUP('vs mars'!D343,'SUIVI JOURNALIER AVRIL'!B:V,20,FALSE)+VLOOKUP('vs mars'!D343,'SUIVI JOURNALIER AVRIL'!B:W,21,FALSE)</f>
        <v>#N/A</v>
      </c>
      <c r="Y343" s="340" t="e">
        <f>VLOOKUP(D343,'SUIVI JOURNALIER AVRIL'!B:CC,80,FALSE)</f>
        <v>#N/A</v>
      </c>
      <c r="Z343" s="340" t="e">
        <f t="shared" si="10"/>
        <v>#N/A</v>
      </c>
      <c r="AA343" s="359" t="e">
        <f>VLOOKUP(D343,'SUIVI JOURNALIER AVRIL'!B:CD,81,FALSE)</f>
        <v>#N/A</v>
      </c>
      <c r="AB343" s="360" t="e">
        <f t="shared" si="11"/>
        <v>#N/A</v>
      </c>
      <c r="AC343" s="360" t="str">
        <f>VLOOKUP(B343,labo!B:D,3,FALSE)</f>
        <v>ug5</v>
      </c>
      <c r="AD343" s="360" t="s">
        <v>2629</v>
      </c>
      <c r="AF343" s="330" t="e">
        <f>VLOOKUP(D343,'SUIVI JOURNALIER AVRIL'!CK:CL,2,FALSE)</f>
        <v>#N/A</v>
      </c>
      <c r="AG343" s="360">
        <v>1</v>
      </c>
    </row>
    <row r="344" spans="1:33" s="360" customFormat="1" ht="13.5" customHeight="1">
      <c r="A344" s="324" t="s">
        <v>2401</v>
      </c>
      <c r="B344" s="325" t="s">
        <v>885</v>
      </c>
      <c r="C344" s="325" t="s">
        <v>886</v>
      </c>
      <c r="D344" s="325" t="s">
        <v>1549</v>
      </c>
      <c r="E344" s="324" t="s">
        <v>432</v>
      </c>
      <c r="F344" s="324" t="s">
        <v>2055</v>
      </c>
      <c r="G344" s="324" t="s">
        <v>887</v>
      </c>
      <c r="H344" s="324" t="s">
        <v>897</v>
      </c>
      <c r="I344" s="324" t="s">
        <v>1430</v>
      </c>
      <c r="J344" s="324" t="s">
        <v>889</v>
      </c>
      <c r="K344" s="324" t="s">
        <v>890</v>
      </c>
      <c r="L344" s="324" t="s">
        <v>891</v>
      </c>
      <c r="M344" s="324" t="s">
        <v>892</v>
      </c>
      <c r="N344" s="324" t="s">
        <v>893</v>
      </c>
      <c r="O344" s="324" t="s">
        <v>894</v>
      </c>
      <c r="P344" s="324" t="s">
        <v>935</v>
      </c>
      <c r="Q344" s="324" t="s">
        <v>1431</v>
      </c>
      <c r="R344" s="324" t="s">
        <v>1431</v>
      </c>
      <c r="S344" s="356"/>
      <c r="T344" s="309"/>
      <c r="U344" s="357" t="e">
        <f>VLOOKUP(D344,'SUIVI JOURNALIER AVRIL'!CK:CM,3,FALSE)</f>
        <v>#N/A</v>
      </c>
      <c r="V344" s="358" t="e">
        <f>IF(VLOOKUP('vs mars'!D344,'point sur les patentes'!B:E,4,FALSE)="","",VLOOKUP(D344,'point sur les patentes'!B:E,4,FALSE)+VLOOKUP(D344,'point sur les patentes'!B:F,5,FALSE)+VLOOKUP('vs mars'!D344,'point sur les patentes'!B:G,6,FALSE)+VLOOKUP('vs mars'!D344,'point sur les patentes'!B:H,7,FALSE)+VLOOKUP('vs mars'!D344,'point sur les patentes'!B:I,8,FALSE)+VLOOKUP(D344,'point sur les patentes'!B:J,9,FALSE)+VLOOKUP(D344,'point sur les patentes'!B:K,10,FALSE)+VLOOKUP(D344,'point sur les patentes'!B:L,11,FALSE)+VLOOKUP(D344,'point sur les patentes'!B:M,12,FALSE)+VLOOKUP(D344,'point sur les patentes'!B:N,13,FALSE)+VLOOKUP(D344,'point sur les patentes'!B:O,14,FALSE)+VLOOKUP(D344,'point sur les patentes'!B:P,15,FALSE)+VLOOKUP(D344,'point sur les patentes'!B:Q,16,FALSE)+VLOOKUP('vs mars'!D344,'point sur les patentes'!B:Z,25,FALSE))</f>
        <v>#N/A</v>
      </c>
      <c r="W344" s="340" t="e">
        <f>VLOOKUP(D344,'SUIVI JOURNALIER AVRIL'!B:J,9,FALSE)</f>
        <v>#N/A</v>
      </c>
      <c r="X344" s="340" t="e">
        <f>VLOOKUP(D344,'SUIVI JOURNALIER AVRIL'!B:P,14,FALSE)+VLOOKUP('vs mars'!D344,'SUIVI JOURNALIER AVRIL'!B:V,20,FALSE)+VLOOKUP('vs mars'!D344,'SUIVI JOURNALIER AVRIL'!B:W,21,FALSE)</f>
        <v>#N/A</v>
      </c>
      <c r="Y344" s="340" t="e">
        <f>VLOOKUP(D344,'SUIVI JOURNALIER AVRIL'!B:CC,80,FALSE)</f>
        <v>#N/A</v>
      </c>
      <c r="Z344" s="340" t="e">
        <f t="shared" si="10"/>
        <v>#N/A</v>
      </c>
      <c r="AA344" s="359" t="e">
        <f>VLOOKUP(D344,'SUIVI JOURNALIER AVRIL'!B:CD,81,FALSE)</f>
        <v>#N/A</v>
      </c>
      <c r="AB344" s="360" t="e">
        <f t="shared" si="11"/>
        <v>#N/A</v>
      </c>
      <c r="AC344" s="360" t="str">
        <f>VLOOKUP(B344,labo!B:D,3,FALSE)</f>
        <v>ug2</v>
      </c>
      <c r="AD344" s="360" t="s">
        <v>2629</v>
      </c>
      <c r="AF344" s="330" t="e">
        <f>VLOOKUP(D344,'SUIVI JOURNALIER AVRIL'!CK:CL,2,FALSE)</f>
        <v>#N/A</v>
      </c>
      <c r="AG344" s="360">
        <v>1</v>
      </c>
    </row>
    <row r="345" spans="1:33" s="360" customFormat="1" ht="13.5" customHeight="1">
      <c r="A345" s="324" t="s">
        <v>2403</v>
      </c>
      <c r="B345" s="325" t="s">
        <v>2402</v>
      </c>
      <c r="C345" s="325" t="s">
        <v>2626</v>
      </c>
      <c r="D345" s="325" t="s">
        <v>2627</v>
      </c>
      <c r="E345" s="324" t="s">
        <v>1562</v>
      </c>
      <c r="F345" s="324" t="s">
        <v>2055</v>
      </c>
      <c r="G345" s="324" t="s">
        <v>887</v>
      </c>
      <c r="H345" s="324" t="s">
        <v>2055</v>
      </c>
      <c r="I345" s="324" t="s">
        <v>2055</v>
      </c>
      <c r="J345" s="324" t="s">
        <v>2055</v>
      </c>
      <c r="K345" s="324" t="s">
        <v>2405</v>
      </c>
      <c r="L345" s="324" t="s">
        <v>891</v>
      </c>
      <c r="M345" s="324" t="s">
        <v>892</v>
      </c>
      <c r="N345" s="324" t="s">
        <v>893</v>
      </c>
      <c r="O345" s="324" t="s">
        <v>894</v>
      </c>
      <c r="P345" s="324" t="s">
        <v>919</v>
      </c>
      <c r="Q345" s="324" t="s">
        <v>2489</v>
      </c>
      <c r="R345" s="324" t="s">
        <v>1021</v>
      </c>
      <c r="S345" s="356"/>
      <c r="T345" s="309"/>
      <c r="U345" s="357" t="e">
        <f>VLOOKUP(D345,'SUIVI JOURNALIER AVRIL'!CK:CM,3,FALSE)</f>
        <v>#N/A</v>
      </c>
      <c r="V345" s="358" t="e">
        <f>IF(VLOOKUP('vs mars'!D345,'point sur les patentes'!B:E,4,FALSE)="","",VLOOKUP(D345,'point sur les patentes'!B:E,4,FALSE)+VLOOKUP(D345,'point sur les patentes'!B:F,5,FALSE)+VLOOKUP('vs mars'!D345,'point sur les patentes'!B:G,6,FALSE)+VLOOKUP('vs mars'!D345,'point sur les patentes'!B:H,7,FALSE)+VLOOKUP('vs mars'!D345,'point sur les patentes'!B:I,8,FALSE)+VLOOKUP(D345,'point sur les patentes'!B:J,9,FALSE)+VLOOKUP(D345,'point sur les patentes'!B:K,10,FALSE)+VLOOKUP(D345,'point sur les patentes'!B:L,11,FALSE)+VLOOKUP(D345,'point sur les patentes'!B:M,12,FALSE)+VLOOKUP(D345,'point sur les patentes'!B:N,13,FALSE)+VLOOKUP(D345,'point sur les patentes'!B:O,14,FALSE)+VLOOKUP(D345,'point sur les patentes'!B:P,15,FALSE)+VLOOKUP(D345,'point sur les patentes'!B:Q,16,FALSE)+VLOOKUP('vs mars'!D345,'point sur les patentes'!B:Z,25,FALSE))</f>
        <v>#N/A</v>
      </c>
      <c r="W345" s="340" t="e">
        <f>VLOOKUP(D345,'SUIVI JOURNALIER AVRIL'!B:J,9,FALSE)</f>
        <v>#N/A</v>
      </c>
      <c r="X345" s="340" t="e">
        <f>VLOOKUP(D345,'SUIVI JOURNALIER AVRIL'!B:P,14,FALSE)+VLOOKUP('vs mars'!D345,'SUIVI JOURNALIER AVRIL'!B:V,20,FALSE)+VLOOKUP('vs mars'!D345,'SUIVI JOURNALIER AVRIL'!B:W,21,FALSE)</f>
        <v>#N/A</v>
      </c>
      <c r="Y345" s="340" t="e">
        <f>VLOOKUP(D345,'SUIVI JOURNALIER AVRIL'!B:CC,80,FALSE)</f>
        <v>#N/A</v>
      </c>
      <c r="Z345" s="340" t="e">
        <f t="shared" si="10"/>
        <v>#N/A</v>
      </c>
      <c r="AA345" s="359" t="e">
        <f>VLOOKUP(D345,'SUIVI JOURNALIER AVRIL'!B:CD,81,FALSE)</f>
        <v>#N/A</v>
      </c>
      <c r="AB345" s="360" t="e">
        <f t="shared" si="11"/>
        <v>#N/A</v>
      </c>
      <c r="AC345" s="360" t="str">
        <f>VLOOKUP(B345,labo!B:D,3,FALSE)</f>
        <v>ug5</v>
      </c>
      <c r="AD345" s="360" t="s">
        <v>2630</v>
      </c>
      <c r="AF345" s="330" t="e">
        <f>VLOOKUP(D345,'SUIVI JOURNALIER AVRIL'!CK:CL,2,FALSE)</f>
        <v>#N/A</v>
      </c>
      <c r="AG345" s="360">
        <v>1</v>
      </c>
    </row>
    <row r="346" spans="1:33" s="360" customFormat="1" ht="13.5" customHeight="1">
      <c r="A346" s="324" t="s">
        <v>2639</v>
      </c>
      <c r="B346" s="325" t="s">
        <v>2304</v>
      </c>
      <c r="C346" s="325" t="s">
        <v>2055</v>
      </c>
      <c r="D346" s="325" t="s">
        <v>2305</v>
      </c>
      <c r="E346" s="324" t="s">
        <v>2628</v>
      </c>
      <c r="F346" s="324" t="s">
        <v>2055</v>
      </c>
      <c r="G346" s="324" t="s">
        <v>926</v>
      </c>
      <c r="H346" s="324" t="s">
        <v>932</v>
      </c>
      <c r="I346" s="324" t="s">
        <v>2055</v>
      </c>
      <c r="J346" s="324" t="s">
        <v>2427</v>
      </c>
      <c r="K346" s="324" t="s">
        <v>2405</v>
      </c>
      <c r="L346" s="324" t="s">
        <v>891</v>
      </c>
      <c r="M346" s="324" t="s">
        <v>892</v>
      </c>
      <c r="N346" s="324" t="s">
        <v>893</v>
      </c>
      <c r="O346" s="324" t="s">
        <v>894</v>
      </c>
      <c r="P346" s="324" t="s">
        <v>919</v>
      </c>
      <c r="Q346" s="324" t="s">
        <v>2055</v>
      </c>
      <c r="R346" s="324" t="s">
        <v>2055</v>
      </c>
      <c r="S346" s="356"/>
      <c r="T346" s="309"/>
      <c r="U346" s="357" t="e">
        <f>VLOOKUP(D346,'SUIVI JOURNALIER AVRIL'!CK:CM,3,FALSE)</f>
        <v>#N/A</v>
      </c>
      <c r="V346" s="358" t="e">
        <f>IF(VLOOKUP('vs mars'!D346,'point sur les patentes'!B:E,4,FALSE)="","",VLOOKUP(D346,'point sur les patentes'!B:E,4,FALSE)+VLOOKUP(D346,'point sur les patentes'!B:F,5,FALSE)+VLOOKUP('vs mars'!D346,'point sur les patentes'!B:G,6,FALSE)+VLOOKUP('vs mars'!D346,'point sur les patentes'!B:H,7,FALSE)+VLOOKUP('vs mars'!D346,'point sur les patentes'!B:I,8,FALSE)+VLOOKUP(D346,'point sur les patentes'!B:J,9,FALSE)+VLOOKUP(D346,'point sur les patentes'!B:K,10,FALSE)+VLOOKUP(D346,'point sur les patentes'!B:L,11,FALSE)+VLOOKUP(D346,'point sur les patentes'!B:M,12,FALSE)+VLOOKUP(D346,'point sur les patentes'!B:N,13,FALSE)+VLOOKUP(D346,'point sur les patentes'!B:O,14,FALSE)+VLOOKUP(D346,'point sur les patentes'!B:P,15,FALSE)+VLOOKUP(D346,'point sur les patentes'!B:Q,16,FALSE)+VLOOKUP('vs mars'!D346,'point sur les patentes'!B:Z,25,FALSE))</f>
        <v>#N/A</v>
      </c>
      <c r="W346" s="340" t="e">
        <f>VLOOKUP(D346,'SUIVI JOURNALIER AVRIL'!B:J,9,FALSE)</f>
        <v>#N/A</v>
      </c>
      <c r="X346" s="340" t="e">
        <f>VLOOKUP(D346,'SUIVI JOURNALIER AVRIL'!B:P,14,FALSE)+VLOOKUP('vs mars'!D346,'SUIVI JOURNALIER AVRIL'!B:V,20,FALSE)+VLOOKUP('vs mars'!D346,'SUIVI JOURNALIER AVRIL'!B:W,21,FALSE)</f>
        <v>#N/A</v>
      </c>
      <c r="Y346" s="340" t="e">
        <f>VLOOKUP(D346,'SUIVI JOURNALIER AVRIL'!B:CC,80,FALSE)</f>
        <v>#N/A</v>
      </c>
      <c r="Z346" s="340" t="e">
        <f t="shared" si="10"/>
        <v>#N/A</v>
      </c>
      <c r="AA346" s="359" t="e">
        <f>VLOOKUP(D346,'SUIVI JOURNALIER AVRIL'!B:CD,81,FALSE)</f>
        <v>#N/A</v>
      </c>
      <c r="AB346" s="360" t="e">
        <f t="shared" si="11"/>
        <v>#N/A</v>
      </c>
      <c r="AC346" s="360" t="str">
        <f>VLOOKUP(B346,labo!B:D,3,FALSE)</f>
        <v>ug4</v>
      </c>
      <c r="AD346" s="360" t="s">
        <v>2630</v>
      </c>
      <c r="AF346" s="330" t="e">
        <f>VLOOKUP(D346,'SUIVI JOURNALIER AVRIL'!CK:CL,2,FALSE)</f>
        <v>#N/A</v>
      </c>
      <c r="AG346" s="360">
        <v>1</v>
      </c>
    </row>
    <row r="347" spans="1:33" ht="13.5" customHeight="1">
      <c r="A347" s="324">
        <v>1</v>
      </c>
      <c r="B347" s="1" t="s">
        <v>2737</v>
      </c>
      <c r="C347" s="325" t="s">
        <v>2055</v>
      </c>
      <c r="D347" s="1" t="s">
        <v>2646</v>
      </c>
      <c r="E347" s="347" t="s">
        <v>2647</v>
      </c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18"/>
      <c r="T347" s="1"/>
      <c r="U347" s="54">
        <f>VLOOKUP(D347,'SUIVI JOURNALIER AVRIL'!CK:CM,3,FALSE)</f>
        <v>0</v>
      </c>
      <c r="V347" s="82" t="e">
        <f>IF(VLOOKUP('vs mars'!D347,'point sur les patentes'!B:E,4,FALSE)="","",VLOOKUP(D347,'point sur les patentes'!B:E,4,FALSE)+VLOOKUP(D347,'point sur les patentes'!B:F,5,FALSE)+VLOOKUP('vs mars'!D347,'point sur les patentes'!B:G,6,FALSE)+VLOOKUP('vs mars'!D347,'point sur les patentes'!B:H,7,FALSE)+VLOOKUP('vs mars'!D347,'point sur les patentes'!B:I,8,FALSE)+VLOOKUP(D347,'point sur les patentes'!B:J,9,FALSE)+VLOOKUP(D347,'point sur les patentes'!B:K,10,FALSE)+VLOOKUP(D347,'point sur les patentes'!B:L,11,FALSE)+VLOOKUP(D347,'point sur les patentes'!B:M,12,FALSE)+VLOOKUP(D347,'point sur les patentes'!B:N,13,FALSE)+VLOOKUP(D347,'point sur les patentes'!B:O,14,FALSE)+VLOOKUP(D347,'point sur les patentes'!B:P,15,FALSE)+VLOOKUP(D347,'point sur les patentes'!B:Q,16,FALSE)+VLOOKUP('vs mars'!D347,'point sur les patentes'!B:Z,25,FALSE))</f>
        <v>#N/A</v>
      </c>
      <c r="W347" s="25">
        <f>VLOOKUP(D347,'SUIVI JOURNALIER AVRIL'!B:J,9,FALSE)</f>
        <v>0</v>
      </c>
      <c r="X347" s="25">
        <f>VLOOKUP(D347,'SUIVI JOURNALIER AVRIL'!B:P,14,FALSE)+VLOOKUP('vs mars'!D347,'SUIVI JOURNALIER AVRIL'!B:V,20,FALSE)+VLOOKUP('vs mars'!D347,'SUIVI JOURNALIER AVRIL'!B:W,21,FALSE)</f>
        <v>0</v>
      </c>
      <c r="Y347" s="25">
        <f>VLOOKUP(D347,'SUIVI JOURNALIER AVRIL'!B:CC,80,FALSE)</f>
        <v>4989</v>
      </c>
      <c r="Z347" s="25">
        <f t="shared" si="10"/>
        <v>4989</v>
      </c>
      <c r="AA347" s="343">
        <f>VLOOKUP(D347,'SUIVI JOURNALIER AVRIL'!B:CD,81,FALSE)</f>
        <v>4989</v>
      </c>
      <c r="AB347" s="21" t="str">
        <f t="shared" si="11"/>
        <v>ok</v>
      </c>
      <c r="AC347" t="str">
        <f>VLOOKUP(B347,labo!B:D,3,FALSE)</f>
        <v>ug2</v>
      </c>
      <c r="AD347" t="s">
        <v>2647</v>
      </c>
      <c r="AE347" s="339"/>
      <c r="AF347">
        <f>VLOOKUP(D347,'SUIVI JOURNALIER AVRIL'!CK:CL,2,FALSE)</f>
        <v>0</v>
      </c>
      <c r="AG347">
        <v>1</v>
      </c>
    </row>
    <row r="348" spans="1:33" ht="13.5" customHeight="1">
      <c r="A348" s="324">
        <v>2</v>
      </c>
      <c r="B348" s="345" t="s">
        <v>2648</v>
      </c>
      <c r="C348" s="325" t="s">
        <v>2055</v>
      </c>
      <c r="D348" s="1" t="s">
        <v>2649</v>
      </c>
      <c r="E348" s="347" t="s">
        <v>2647</v>
      </c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18"/>
      <c r="T348" s="1"/>
      <c r="U348" s="54">
        <f>VLOOKUP(D348,'SUIVI JOURNALIER AVRIL'!CK:CM,3,FALSE)</f>
        <v>0</v>
      </c>
      <c r="V348" s="82" t="e">
        <f>IF(VLOOKUP('vs mars'!D348,'point sur les patentes'!B:E,4,FALSE)="","",VLOOKUP(D348,'point sur les patentes'!B:E,4,FALSE)+VLOOKUP(D348,'point sur les patentes'!B:F,5,FALSE)+VLOOKUP('vs mars'!D348,'point sur les patentes'!B:G,6,FALSE)+VLOOKUP('vs mars'!D348,'point sur les patentes'!B:H,7,FALSE)+VLOOKUP('vs mars'!D348,'point sur les patentes'!B:I,8,FALSE)+VLOOKUP(D348,'point sur les patentes'!B:J,9,FALSE)+VLOOKUP(D348,'point sur les patentes'!B:K,10,FALSE)+VLOOKUP(D348,'point sur les patentes'!B:L,11,FALSE)+VLOOKUP(D348,'point sur les patentes'!B:M,12,FALSE)+VLOOKUP(D348,'point sur les patentes'!B:N,13,FALSE)+VLOOKUP(D348,'point sur les patentes'!B:O,14,FALSE)+VLOOKUP(D348,'point sur les patentes'!B:P,15,FALSE)+VLOOKUP(D348,'point sur les patentes'!B:Q,16,FALSE)+VLOOKUP('vs mars'!D348,'point sur les patentes'!B:Z,25,FALSE))</f>
        <v>#N/A</v>
      </c>
      <c r="W348" s="25">
        <f>VLOOKUP(D348,'SUIVI JOURNALIER AVRIL'!B:J,9,FALSE)</f>
        <v>0</v>
      </c>
      <c r="X348" s="25">
        <f>VLOOKUP(D348,'SUIVI JOURNALIER AVRIL'!B:P,14,FALSE)+VLOOKUP('vs mars'!D348,'SUIVI JOURNALIER AVRIL'!B:V,20,FALSE)+VLOOKUP('vs mars'!D348,'SUIVI JOURNALIER AVRIL'!B:W,21,FALSE)</f>
        <v>0</v>
      </c>
      <c r="Y348" s="25">
        <f>VLOOKUP(D348,'SUIVI JOURNALIER AVRIL'!B:CC,80,FALSE)</f>
        <v>2727</v>
      </c>
      <c r="Z348" s="25">
        <f t="shared" si="10"/>
        <v>2727</v>
      </c>
      <c r="AA348" s="343">
        <f>VLOOKUP(D348,'SUIVI JOURNALIER AVRIL'!B:CD,81,FALSE)</f>
        <v>2727</v>
      </c>
      <c r="AB348" s="21" t="str">
        <f t="shared" si="11"/>
        <v>ok</v>
      </c>
      <c r="AC348" t="str">
        <f>VLOOKUP(B348,labo!B:D,3,FALSE)</f>
        <v>ug3</v>
      </c>
      <c r="AD348" t="s">
        <v>2647</v>
      </c>
      <c r="AE348" s="339"/>
      <c r="AF348">
        <f>VLOOKUP(D348,'SUIVI JOURNALIER AVRIL'!CK:CL,2,FALSE)</f>
        <v>0</v>
      </c>
      <c r="AG348">
        <v>1</v>
      </c>
    </row>
    <row r="349" spans="1:33" ht="13.5" customHeight="1">
      <c r="A349" s="324">
        <v>3</v>
      </c>
      <c r="B349" s="346" t="s">
        <v>2650</v>
      </c>
      <c r="C349" s="325" t="s">
        <v>2055</v>
      </c>
      <c r="D349" s="1" t="s">
        <v>2651</v>
      </c>
      <c r="E349" s="347" t="s">
        <v>2647</v>
      </c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18"/>
      <c r="T349" s="1"/>
      <c r="U349" s="54">
        <f>VLOOKUP(D349,'SUIVI JOURNALIER AVRIL'!CK:CM,3,FALSE)</f>
        <v>0</v>
      </c>
      <c r="V349" s="82" t="e">
        <f>IF(VLOOKUP('vs mars'!D349,'point sur les patentes'!B:E,4,FALSE)="","",VLOOKUP(D349,'point sur les patentes'!B:E,4,FALSE)+VLOOKUP(D349,'point sur les patentes'!B:F,5,FALSE)+VLOOKUP('vs mars'!D349,'point sur les patentes'!B:G,6,FALSE)+VLOOKUP('vs mars'!D349,'point sur les patentes'!B:H,7,FALSE)+VLOOKUP('vs mars'!D349,'point sur les patentes'!B:I,8,FALSE)+VLOOKUP(D349,'point sur les patentes'!B:J,9,FALSE)+VLOOKUP(D349,'point sur les patentes'!B:K,10,FALSE)+VLOOKUP(D349,'point sur les patentes'!B:L,11,FALSE)+VLOOKUP(D349,'point sur les patentes'!B:M,12,FALSE)+VLOOKUP(D349,'point sur les patentes'!B:N,13,FALSE)+VLOOKUP(D349,'point sur les patentes'!B:O,14,FALSE)+VLOOKUP(D349,'point sur les patentes'!B:P,15,FALSE)+VLOOKUP(D349,'point sur les patentes'!B:Q,16,FALSE)+VLOOKUP('vs mars'!D349,'point sur les patentes'!B:Z,25,FALSE))</f>
        <v>#N/A</v>
      </c>
      <c r="W349" s="25">
        <f>VLOOKUP(D349,'SUIVI JOURNALIER AVRIL'!B:J,9,FALSE)</f>
        <v>28196</v>
      </c>
      <c r="X349" s="25">
        <f>VLOOKUP(D349,'SUIVI JOURNALIER AVRIL'!B:P,14,FALSE)+VLOOKUP('vs mars'!D349,'SUIVI JOURNALIER AVRIL'!B:V,20,FALSE)+VLOOKUP('vs mars'!D349,'SUIVI JOURNALIER AVRIL'!B:W,21,FALSE)</f>
        <v>16544</v>
      </c>
      <c r="Y349" s="25">
        <f>VLOOKUP(D349,'SUIVI JOURNALIER AVRIL'!B:CC,80,FALSE)</f>
        <v>0</v>
      </c>
      <c r="Z349" s="25">
        <f t="shared" si="10"/>
        <v>44740</v>
      </c>
      <c r="AA349" s="343">
        <f>VLOOKUP(D349,'SUIVI JOURNALIER AVRIL'!B:CD,81,FALSE)</f>
        <v>44740</v>
      </c>
      <c r="AB349" s="21" t="str">
        <f t="shared" si="11"/>
        <v>ok</v>
      </c>
      <c r="AC349" t="str">
        <f>VLOOKUP(B349,labo!B:D,3,FALSE)</f>
        <v>ug2</v>
      </c>
      <c r="AD349" t="s">
        <v>2647</v>
      </c>
      <c r="AE349" s="339"/>
      <c r="AF349">
        <f>VLOOKUP(D349,'SUIVI JOURNALIER AVRIL'!CK:CL,2,FALSE)</f>
        <v>0</v>
      </c>
      <c r="AG349">
        <v>1</v>
      </c>
    </row>
    <row r="350" spans="1:33" ht="13.5" customHeight="1">
      <c r="A350" s="324"/>
      <c r="B350" s="361"/>
      <c r="C350" s="1"/>
      <c r="D350" s="361"/>
      <c r="E350" s="1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18"/>
      <c r="T350" s="1"/>
      <c r="U350" s="54">
        <f>VLOOKUP(D350,'SUIVI JOURNALIER AVRIL'!CK:CM,3,FALSE)</f>
        <v>0</v>
      </c>
      <c r="V350" s="82" t="e">
        <f>IF(VLOOKUP('vs mars'!D350,'point sur les patentes'!B:E,4,FALSE)="","",VLOOKUP(D350,'point sur les patentes'!B:E,4,FALSE)+VLOOKUP(D350,'point sur les patentes'!B:F,5,FALSE)+VLOOKUP('vs mars'!D350,'point sur les patentes'!B:G,6,FALSE)+VLOOKUP('vs mars'!D350,'point sur les patentes'!B:H,7,FALSE)+VLOOKUP('vs mars'!D350,'point sur les patentes'!B:I,8,FALSE)+VLOOKUP(D350,'point sur les patentes'!B:J,9,FALSE)+VLOOKUP(D350,'point sur les patentes'!B:K,10,FALSE)+VLOOKUP(D350,'point sur les patentes'!B:L,11,FALSE)+VLOOKUP(D350,'point sur les patentes'!B:M,12,FALSE)+VLOOKUP(D350,'point sur les patentes'!B:N,13,FALSE)+VLOOKUP(D350,'point sur les patentes'!B:O,14,FALSE)+VLOOKUP(D350,'point sur les patentes'!B:P,15,FALSE)+VLOOKUP(D350,'point sur les patentes'!B:Q,16,FALSE)+VLOOKUP('vs mars'!D350,'point sur les patentes'!B:Z,25,FALSE))</f>
        <v>#N/A</v>
      </c>
      <c r="W350" s="25" t="e">
        <f>VLOOKUP(D350,'SUIVI JOURNALIER AVRIL'!B:J,9,FALSE)</f>
        <v>#N/A</v>
      </c>
      <c r="X350" s="25" t="e">
        <f>VLOOKUP(D350,'SUIVI JOURNALIER AVRIL'!B:P,14,FALSE)+VLOOKUP('vs mars'!D350,'SUIVI JOURNALIER AVRIL'!B:V,20,FALSE)+VLOOKUP('vs mars'!D350,'SUIVI JOURNALIER AVRIL'!B:W,21,FALSE)</f>
        <v>#N/A</v>
      </c>
      <c r="Y350" s="25" t="e">
        <f>VLOOKUP(D350,'SUIVI JOURNALIER AVRIL'!B:CC,80,FALSE)</f>
        <v>#N/A</v>
      </c>
      <c r="Z350" s="25" t="e">
        <f t="shared" si="10"/>
        <v>#N/A</v>
      </c>
      <c r="AA350" s="343" t="e">
        <f>VLOOKUP(D350,'SUIVI JOURNALIER AVRIL'!B:CD,81,FALSE)</f>
        <v>#N/A</v>
      </c>
      <c r="AB350" s="21" t="e">
        <f t="shared" si="11"/>
        <v>#N/A</v>
      </c>
      <c r="AC350" s="344" t="e">
        <f>VLOOKUP(D350,'SUIVI JOURNALIER AVRIL'!B:C,2,FALSE)</f>
        <v>#N/A</v>
      </c>
      <c r="AE350" s="339"/>
      <c r="AF350">
        <f>VLOOKUP(D350,'SUIVI JOURNALIER AVRIL'!CK:CL,2,FALSE)</f>
        <v>0</v>
      </c>
    </row>
    <row r="351" spans="1:33" ht="13.5" customHeight="1">
      <c r="A351" s="324"/>
      <c r="B351" s="361"/>
      <c r="C351" s="1"/>
      <c r="D351" s="361"/>
      <c r="E351" s="1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18"/>
      <c r="T351" s="1"/>
      <c r="U351" s="54">
        <f>VLOOKUP(D351,'SUIVI JOURNALIER AVRIL'!CK:CM,3,FALSE)</f>
        <v>0</v>
      </c>
      <c r="V351" s="82" t="e">
        <f>IF(VLOOKUP('vs mars'!D351,'point sur les patentes'!B:E,4,FALSE)="","",VLOOKUP(D351,'point sur les patentes'!B:E,4,FALSE)+VLOOKUP(D351,'point sur les patentes'!B:F,5,FALSE)+VLOOKUP('vs mars'!D351,'point sur les patentes'!B:G,6,FALSE)+VLOOKUP('vs mars'!D351,'point sur les patentes'!B:H,7,FALSE)+VLOOKUP('vs mars'!D351,'point sur les patentes'!B:I,8,FALSE)+VLOOKUP(D351,'point sur les patentes'!B:J,9,FALSE)+VLOOKUP(D351,'point sur les patentes'!B:K,10,FALSE)+VLOOKUP(D351,'point sur les patentes'!B:L,11,FALSE)+VLOOKUP(D351,'point sur les patentes'!B:M,12,FALSE)+VLOOKUP(D351,'point sur les patentes'!B:N,13,FALSE)+VLOOKUP(D351,'point sur les patentes'!B:O,14,FALSE)+VLOOKUP(D351,'point sur les patentes'!B:P,15,FALSE)+VLOOKUP(D351,'point sur les patentes'!B:Q,16,FALSE)+VLOOKUP('vs mars'!D351,'point sur les patentes'!B:Z,25,FALSE))</f>
        <v>#N/A</v>
      </c>
      <c r="W351" s="25" t="e">
        <f>VLOOKUP(D351,'SUIVI JOURNALIER AVRIL'!B:J,9,FALSE)</f>
        <v>#N/A</v>
      </c>
      <c r="X351" s="25" t="e">
        <f>VLOOKUP(D351,'SUIVI JOURNALIER AVRIL'!B:P,14,FALSE)+VLOOKUP('vs mars'!D351,'SUIVI JOURNALIER AVRIL'!B:V,20,FALSE)+VLOOKUP('vs mars'!D351,'SUIVI JOURNALIER AVRIL'!B:W,21,FALSE)</f>
        <v>#N/A</v>
      </c>
      <c r="Y351" s="25" t="e">
        <f>VLOOKUP(D351,'SUIVI JOURNALIER AVRIL'!B:CC,80,FALSE)</f>
        <v>#N/A</v>
      </c>
      <c r="Z351" s="25" t="e">
        <f>W351+X351+Y351</f>
        <v>#N/A</v>
      </c>
      <c r="AA351" s="343" t="e">
        <f>VLOOKUP(D351,'SUIVI JOURNALIER AVRIL'!B:CD,81,FALSE)</f>
        <v>#N/A</v>
      </c>
      <c r="AB351" s="21" t="e">
        <f>IF(Z351=AA351,"ok","revoir")</f>
        <v>#N/A</v>
      </c>
      <c r="AC351" s="344" t="e">
        <f>VLOOKUP(D351,'SUIVI JOURNALIER AVRIL'!B:C,2,FALSE)</f>
        <v>#N/A</v>
      </c>
      <c r="AE351" s="339"/>
      <c r="AF351">
        <f>VLOOKUP(D351,'SUIVI JOURNALIER AVRIL'!CK:CL,2,FALSE)</f>
        <v>0</v>
      </c>
    </row>
    <row r="352" spans="1:33" ht="13.5" customHeight="1">
      <c r="A352" s="324"/>
      <c r="B352" s="361"/>
      <c r="C352" s="1"/>
      <c r="D352" s="361"/>
      <c r="E352" s="1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18"/>
      <c r="T352" s="1"/>
      <c r="U352" s="54">
        <f>VLOOKUP(D352,'SUIVI JOURNALIER AVRIL'!CK:CM,3,FALSE)</f>
        <v>0</v>
      </c>
      <c r="V352" s="82" t="e">
        <f>IF(VLOOKUP('vs mars'!D352,'point sur les patentes'!B:E,4,FALSE)="","",VLOOKUP(D352,'point sur les patentes'!B:E,4,FALSE)+VLOOKUP(D352,'point sur les patentes'!B:F,5,FALSE)+VLOOKUP('vs mars'!D352,'point sur les patentes'!B:G,6,FALSE)+VLOOKUP('vs mars'!D352,'point sur les patentes'!B:H,7,FALSE)+VLOOKUP('vs mars'!D352,'point sur les patentes'!B:I,8,FALSE)+VLOOKUP(D352,'point sur les patentes'!B:J,9,FALSE)+VLOOKUP(D352,'point sur les patentes'!B:K,10,FALSE)+VLOOKUP(D352,'point sur les patentes'!B:L,11,FALSE)+VLOOKUP(D352,'point sur les patentes'!B:M,12,FALSE)+VLOOKUP(D352,'point sur les patentes'!B:N,13,FALSE)+VLOOKUP(D352,'point sur les patentes'!B:O,14,FALSE)+VLOOKUP(D352,'point sur les patentes'!B:P,15,FALSE)+VLOOKUP(D352,'point sur les patentes'!B:Q,16,FALSE)+VLOOKUP('vs mars'!D352,'point sur les patentes'!B:Z,25,FALSE))</f>
        <v>#N/A</v>
      </c>
      <c r="W352" s="25" t="e">
        <f>VLOOKUP(D352,'SUIVI JOURNALIER AVRIL'!B:J,9,FALSE)</f>
        <v>#N/A</v>
      </c>
      <c r="X352" s="25" t="e">
        <f>VLOOKUP(D352,'SUIVI JOURNALIER AVRIL'!B:P,14,FALSE)+VLOOKUP('vs mars'!D352,'SUIVI JOURNALIER AVRIL'!B:V,20,FALSE)+VLOOKUP('vs mars'!D352,'SUIVI JOURNALIER AVRIL'!B:W,21,FALSE)</f>
        <v>#N/A</v>
      </c>
      <c r="Y352" s="25" t="e">
        <f>VLOOKUP(D352,'SUIVI JOURNALIER AVRIL'!B:CC,80,FALSE)</f>
        <v>#N/A</v>
      </c>
      <c r="Z352" s="25" t="e">
        <f t="shared" si="10"/>
        <v>#N/A</v>
      </c>
      <c r="AA352" s="343" t="e">
        <f>VLOOKUP(D352,'SUIVI JOURNALIER AVRIL'!B:CD,81,FALSE)</f>
        <v>#N/A</v>
      </c>
      <c r="AB352" s="21" t="e">
        <f t="shared" si="11"/>
        <v>#N/A</v>
      </c>
      <c r="AC352" s="344" t="e">
        <f>VLOOKUP(D352,'SUIVI JOURNALIER AVRIL'!B:C,2,FALSE)</f>
        <v>#N/A</v>
      </c>
      <c r="AE352" s="339"/>
      <c r="AF352">
        <f>VLOOKUP(D352,'SUIVI JOURNALIER AVRIL'!CK:CL,2,FALSE)</f>
        <v>0</v>
      </c>
    </row>
    <row r="353" spans="1:32" ht="13.5" customHeight="1">
      <c r="A353" s="324"/>
      <c r="B353" s="361"/>
      <c r="C353" s="1"/>
      <c r="D353" s="361"/>
      <c r="E353" s="1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18"/>
      <c r="T353" s="1"/>
      <c r="U353" s="54">
        <f>VLOOKUP(D353,'SUIVI JOURNALIER AVRIL'!CK:CM,3,FALSE)</f>
        <v>0</v>
      </c>
      <c r="V353" s="82" t="e">
        <f>IF(VLOOKUP('vs mars'!D353,'point sur les patentes'!B:E,4,FALSE)="","",VLOOKUP(D353,'point sur les patentes'!B:E,4,FALSE)+VLOOKUP(D353,'point sur les patentes'!B:F,5,FALSE)+VLOOKUP('vs mars'!D353,'point sur les patentes'!B:G,6,FALSE)+VLOOKUP('vs mars'!D353,'point sur les patentes'!B:H,7,FALSE)+VLOOKUP('vs mars'!D353,'point sur les patentes'!B:I,8,FALSE)+VLOOKUP(D353,'point sur les patentes'!B:J,9,FALSE)+VLOOKUP(D353,'point sur les patentes'!B:K,10,FALSE)+VLOOKUP(D353,'point sur les patentes'!B:L,11,FALSE)+VLOOKUP(D353,'point sur les patentes'!B:M,12,FALSE)+VLOOKUP(D353,'point sur les patentes'!B:N,13,FALSE)+VLOOKUP(D353,'point sur les patentes'!B:O,14,FALSE)+VLOOKUP(D353,'point sur les patentes'!B:P,15,FALSE)+VLOOKUP(D353,'point sur les patentes'!B:Q,16,FALSE)+VLOOKUP('vs mars'!D353,'point sur les patentes'!B:Z,25,FALSE))</f>
        <v>#N/A</v>
      </c>
      <c r="W353" s="25" t="e">
        <f>VLOOKUP(D353,'SUIVI JOURNALIER AVRIL'!B:J,9,FALSE)</f>
        <v>#N/A</v>
      </c>
      <c r="X353" s="25" t="e">
        <f>VLOOKUP(D353,'SUIVI JOURNALIER AVRIL'!B:P,14,FALSE)+VLOOKUP('vs mars'!D353,'SUIVI JOURNALIER AVRIL'!B:V,20,FALSE)+VLOOKUP('vs mars'!D353,'SUIVI JOURNALIER AVRIL'!B:W,21,FALSE)</f>
        <v>#N/A</v>
      </c>
      <c r="Y353" s="25" t="e">
        <f>VLOOKUP(D353,'SUIVI JOURNALIER AVRIL'!B:CC,80,FALSE)</f>
        <v>#N/A</v>
      </c>
      <c r="Z353" s="25" t="e">
        <f t="shared" ref="Z353:Z388" si="12">W353+X353+Y353</f>
        <v>#N/A</v>
      </c>
      <c r="AA353" s="343" t="e">
        <f>VLOOKUP(D353,'SUIVI JOURNALIER AVRIL'!B:CD,81,FALSE)</f>
        <v>#N/A</v>
      </c>
      <c r="AB353" s="21" t="e">
        <f t="shared" ref="AB353:AB388" si="13">IF(Z353=AA353,"ok","revoir")</f>
        <v>#N/A</v>
      </c>
      <c r="AC353" s="344" t="e">
        <f>VLOOKUP(D353,'SUIVI JOURNALIER AVRIL'!B:C,2,FALSE)</f>
        <v>#N/A</v>
      </c>
      <c r="AE353" s="339"/>
      <c r="AF353">
        <f>VLOOKUP(D353,'SUIVI JOURNALIER AVRIL'!CK:CL,2,FALSE)</f>
        <v>0</v>
      </c>
    </row>
    <row r="354" spans="1:32" ht="13.5" customHeight="1">
      <c r="A354" s="324"/>
      <c r="B354" s="361"/>
      <c r="C354" s="1"/>
      <c r="D354" s="361"/>
      <c r="E354" s="1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18"/>
      <c r="T354" s="1"/>
      <c r="U354" s="54">
        <f>VLOOKUP(D354,'SUIVI JOURNALIER AVRIL'!CK:CM,3,FALSE)</f>
        <v>0</v>
      </c>
      <c r="V354" s="82" t="e">
        <f>IF(VLOOKUP('vs mars'!D354,'point sur les patentes'!B:E,4,FALSE)="","",VLOOKUP(D354,'point sur les patentes'!B:E,4,FALSE)+VLOOKUP(D354,'point sur les patentes'!B:F,5,FALSE)+VLOOKUP('vs mars'!D354,'point sur les patentes'!B:G,6,FALSE)+VLOOKUP('vs mars'!D354,'point sur les patentes'!B:H,7,FALSE)+VLOOKUP('vs mars'!D354,'point sur les patentes'!B:I,8,FALSE)+VLOOKUP(D354,'point sur les patentes'!B:J,9,FALSE)+VLOOKUP(D354,'point sur les patentes'!B:K,10,FALSE)+VLOOKUP(D354,'point sur les patentes'!B:L,11,FALSE)+VLOOKUP(D354,'point sur les patentes'!B:M,12,FALSE)+VLOOKUP(D354,'point sur les patentes'!B:N,13,FALSE)+VLOOKUP(D354,'point sur les patentes'!B:O,14,FALSE)+VLOOKUP(D354,'point sur les patentes'!B:P,15,FALSE)+VLOOKUP(D354,'point sur les patentes'!B:Q,16,FALSE)+VLOOKUP('vs mars'!D354,'point sur les patentes'!B:Z,25,FALSE))</f>
        <v>#N/A</v>
      </c>
      <c r="W354" s="25" t="e">
        <f>VLOOKUP(D354,'SUIVI JOURNALIER AVRIL'!B:J,9,FALSE)</f>
        <v>#N/A</v>
      </c>
      <c r="X354" s="25" t="e">
        <f>VLOOKUP(D354,'SUIVI JOURNALIER AVRIL'!B:P,14,FALSE)+VLOOKUP('vs mars'!D354,'SUIVI JOURNALIER AVRIL'!B:V,20,FALSE)+VLOOKUP('vs mars'!D354,'SUIVI JOURNALIER AVRIL'!B:W,21,FALSE)</f>
        <v>#N/A</v>
      </c>
      <c r="Y354" s="25" t="e">
        <f>VLOOKUP(D354,'SUIVI JOURNALIER AVRIL'!B:CC,80,FALSE)</f>
        <v>#N/A</v>
      </c>
      <c r="Z354" s="25" t="e">
        <f t="shared" si="12"/>
        <v>#N/A</v>
      </c>
      <c r="AA354" s="343" t="e">
        <f>VLOOKUP(D354,'SUIVI JOURNALIER AVRIL'!B:CD,81,FALSE)</f>
        <v>#N/A</v>
      </c>
      <c r="AB354" s="21" t="e">
        <f t="shared" si="13"/>
        <v>#N/A</v>
      </c>
      <c r="AC354" s="344" t="e">
        <f>VLOOKUP(D354,'SUIVI JOURNALIER AVRIL'!B:C,2,FALSE)</f>
        <v>#N/A</v>
      </c>
      <c r="AE354" s="339"/>
      <c r="AF354">
        <f>VLOOKUP(D354,'SUIVI JOURNALIER AVRIL'!CK:CL,2,FALSE)</f>
        <v>0</v>
      </c>
    </row>
    <row r="355" spans="1:32" ht="13.5" customHeight="1">
      <c r="A355" s="324"/>
      <c r="B355" s="361"/>
      <c r="C355" s="1"/>
      <c r="D355" s="361"/>
      <c r="E355" s="1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18"/>
      <c r="T355" s="1"/>
      <c r="U355" s="54">
        <f>VLOOKUP(D355,'SUIVI JOURNALIER AVRIL'!CK:CM,3,FALSE)</f>
        <v>0</v>
      </c>
      <c r="V355" s="82" t="e">
        <f>IF(VLOOKUP('vs mars'!D355,'point sur les patentes'!B:E,4,FALSE)="","",VLOOKUP(D355,'point sur les patentes'!B:E,4,FALSE)+VLOOKUP(D355,'point sur les patentes'!B:F,5,FALSE)+VLOOKUP('vs mars'!D355,'point sur les patentes'!B:G,6,FALSE)+VLOOKUP('vs mars'!D355,'point sur les patentes'!B:H,7,FALSE)+VLOOKUP('vs mars'!D355,'point sur les patentes'!B:I,8,FALSE)+VLOOKUP(D355,'point sur les patentes'!B:J,9,FALSE)+VLOOKUP(D355,'point sur les patentes'!B:K,10,FALSE)+VLOOKUP(D355,'point sur les patentes'!B:L,11,FALSE)+VLOOKUP(D355,'point sur les patentes'!B:M,12,FALSE)+VLOOKUP(D355,'point sur les patentes'!B:N,13,FALSE)+VLOOKUP(D355,'point sur les patentes'!B:O,14,FALSE)+VLOOKUP(D355,'point sur les patentes'!B:P,15,FALSE)+VLOOKUP(D355,'point sur les patentes'!B:Q,16,FALSE)+VLOOKUP('vs mars'!D355,'point sur les patentes'!B:Z,25,FALSE))</f>
        <v>#N/A</v>
      </c>
      <c r="W355" s="25" t="e">
        <f>VLOOKUP(D355,'SUIVI JOURNALIER AVRIL'!B:J,9,FALSE)</f>
        <v>#N/A</v>
      </c>
      <c r="X355" s="25" t="e">
        <f>VLOOKUP(D355,'SUIVI JOURNALIER AVRIL'!B:P,14,FALSE)+VLOOKUP('vs mars'!D355,'SUIVI JOURNALIER AVRIL'!B:V,20,FALSE)+VLOOKUP('vs mars'!D355,'SUIVI JOURNALIER AVRIL'!B:W,21,FALSE)</f>
        <v>#N/A</v>
      </c>
      <c r="Y355" s="25" t="e">
        <f>VLOOKUP(D355,'SUIVI JOURNALIER AVRIL'!B:CC,80,FALSE)</f>
        <v>#N/A</v>
      </c>
      <c r="Z355" s="25" t="e">
        <f t="shared" si="12"/>
        <v>#N/A</v>
      </c>
      <c r="AA355" s="343" t="e">
        <f>VLOOKUP(D355,'SUIVI JOURNALIER AVRIL'!B:CD,81,FALSE)</f>
        <v>#N/A</v>
      </c>
      <c r="AB355" s="21" t="e">
        <f t="shared" si="13"/>
        <v>#N/A</v>
      </c>
      <c r="AC355" s="344" t="e">
        <f>VLOOKUP(D355,'SUIVI JOURNALIER AVRIL'!B:C,2,FALSE)</f>
        <v>#N/A</v>
      </c>
      <c r="AE355" s="339"/>
      <c r="AF355">
        <f>VLOOKUP(D355,'SUIVI JOURNALIER AVRIL'!CK:CL,2,FALSE)</f>
        <v>0</v>
      </c>
    </row>
    <row r="356" spans="1:32" ht="13.5" customHeight="1">
      <c r="A356" s="324"/>
      <c r="B356" s="361"/>
      <c r="C356" s="1"/>
      <c r="D356" s="361"/>
      <c r="E356" s="1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18"/>
      <c r="T356" s="1"/>
      <c r="U356" s="54">
        <f>VLOOKUP(D356,'SUIVI JOURNALIER AVRIL'!CK:CM,3,FALSE)</f>
        <v>0</v>
      </c>
      <c r="V356" s="82" t="e">
        <f>IF(VLOOKUP('vs mars'!D356,'point sur les patentes'!B:E,4,FALSE)="","",VLOOKUP(D356,'point sur les patentes'!B:E,4,FALSE)+VLOOKUP(D356,'point sur les patentes'!B:F,5,FALSE)+VLOOKUP('vs mars'!D356,'point sur les patentes'!B:G,6,FALSE)+VLOOKUP('vs mars'!D356,'point sur les patentes'!B:H,7,FALSE)+VLOOKUP('vs mars'!D356,'point sur les patentes'!B:I,8,FALSE)+VLOOKUP(D356,'point sur les patentes'!B:J,9,FALSE)+VLOOKUP(D356,'point sur les patentes'!B:K,10,FALSE)+VLOOKUP(D356,'point sur les patentes'!B:L,11,FALSE)+VLOOKUP(D356,'point sur les patentes'!B:M,12,FALSE)+VLOOKUP(D356,'point sur les patentes'!B:N,13,FALSE)+VLOOKUP(D356,'point sur les patentes'!B:O,14,FALSE)+VLOOKUP(D356,'point sur les patentes'!B:P,15,FALSE)+VLOOKUP(D356,'point sur les patentes'!B:Q,16,FALSE)+VLOOKUP('vs mars'!D356,'point sur les patentes'!B:Z,25,FALSE))</f>
        <v>#N/A</v>
      </c>
      <c r="W356" s="25" t="e">
        <f>VLOOKUP(D356,'SUIVI JOURNALIER AVRIL'!B:J,9,FALSE)</f>
        <v>#N/A</v>
      </c>
      <c r="X356" s="25" t="e">
        <f>VLOOKUP(D356,'SUIVI JOURNALIER AVRIL'!B:P,14,FALSE)+VLOOKUP('vs mars'!D356,'SUIVI JOURNALIER AVRIL'!B:V,20,FALSE)+VLOOKUP('vs mars'!D356,'SUIVI JOURNALIER AVRIL'!B:W,21,FALSE)</f>
        <v>#N/A</v>
      </c>
      <c r="Y356" s="25" t="e">
        <f>VLOOKUP(D356,'SUIVI JOURNALIER AVRIL'!B:CC,80,FALSE)</f>
        <v>#N/A</v>
      </c>
      <c r="Z356" s="25" t="e">
        <f t="shared" si="12"/>
        <v>#N/A</v>
      </c>
      <c r="AA356" s="343" t="e">
        <f>VLOOKUP(D356,'SUIVI JOURNALIER AVRIL'!B:CD,81,FALSE)</f>
        <v>#N/A</v>
      </c>
      <c r="AB356" s="21" t="e">
        <f t="shared" si="13"/>
        <v>#N/A</v>
      </c>
      <c r="AC356" s="344" t="e">
        <f>VLOOKUP(D356,'SUIVI JOURNALIER AVRIL'!B:C,2,FALSE)</f>
        <v>#N/A</v>
      </c>
      <c r="AE356" s="339"/>
      <c r="AF356">
        <f>VLOOKUP(D356,'SUIVI JOURNALIER AVRIL'!CK:CL,2,FALSE)</f>
        <v>0</v>
      </c>
    </row>
    <row r="357" spans="1:32" ht="13.5" customHeight="1">
      <c r="A357" s="324"/>
      <c r="B357" s="361"/>
      <c r="C357" s="1"/>
      <c r="D357" s="361"/>
      <c r="E357" s="1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18"/>
      <c r="T357" s="1"/>
      <c r="U357" s="54">
        <f>VLOOKUP(D357,'SUIVI JOURNALIER AVRIL'!CK:CM,3,FALSE)</f>
        <v>0</v>
      </c>
      <c r="V357" s="82" t="e">
        <f>IF(VLOOKUP('vs mars'!D357,'point sur les patentes'!B:E,4,FALSE)="","",VLOOKUP(D357,'point sur les patentes'!B:E,4,FALSE)+VLOOKUP(D357,'point sur les patentes'!B:F,5,FALSE)+VLOOKUP('vs mars'!D357,'point sur les patentes'!B:G,6,FALSE)+VLOOKUP('vs mars'!D357,'point sur les patentes'!B:H,7,FALSE)+VLOOKUP('vs mars'!D357,'point sur les patentes'!B:I,8,FALSE)+VLOOKUP(D357,'point sur les patentes'!B:J,9,FALSE)+VLOOKUP(D357,'point sur les patentes'!B:K,10,FALSE)+VLOOKUP(D357,'point sur les patentes'!B:L,11,FALSE)+VLOOKUP(D357,'point sur les patentes'!B:M,12,FALSE)+VLOOKUP(D357,'point sur les patentes'!B:N,13,FALSE)+VLOOKUP(D357,'point sur les patentes'!B:O,14,FALSE)+VLOOKUP(D357,'point sur les patentes'!B:P,15,FALSE)+VLOOKUP(D357,'point sur les patentes'!B:Q,16,FALSE)+VLOOKUP('vs mars'!D357,'point sur les patentes'!B:Z,25,FALSE))</f>
        <v>#N/A</v>
      </c>
      <c r="W357" s="25" t="e">
        <f>VLOOKUP(D357,'SUIVI JOURNALIER AVRIL'!B:J,9,FALSE)</f>
        <v>#N/A</v>
      </c>
      <c r="X357" s="25" t="e">
        <f>VLOOKUP(D357,'SUIVI JOURNALIER AVRIL'!B:P,14,FALSE)+VLOOKUP('vs mars'!D357,'SUIVI JOURNALIER AVRIL'!B:V,20,FALSE)+VLOOKUP('vs mars'!D357,'SUIVI JOURNALIER AVRIL'!B:W,21,FALSE)</f>
        <v>#N/A</v>
      </c>
      <c r="Y357" s="25" t="e">
        <f>VLOOKUP(D357,'SUIVI JOURNALIER AVRIL'!B:CC,80,FALSE)</f>
        <v>#N/A</v>
      </c>
      <c r="Z357" s="25" t="e">
        <f t="shared" si="12"/>
        <v>#N/A</v>
      </c>
      <c r="AA357" s="343" t="e">
        <f>VLOOKUP(D357,'SUIVI JOURNALIER AVRIL'!B:CD,81,FALSE)</f>
        <v>#N/A</v>
      </c>
      <c r="AB357" s="21" t="e">
        <f t="shared" si="13"/>
        <v>#N/A</v>
      </c>
      <c r="AC357" s="344" t="e">
        <f>VLOOKUP(D357,'SUIVI JOURNALIER AVRIL'!B:C,2,FALSE)</f>
        <v>#N/A</v>
      </c>
      <c r="AE357" s="339"/>
      <c r="AF357">
        <f>VLOOKUP(D357,'SUIVI JOURNALIER AVRIL'!CK:CL,2,FALSE)</f>
        <v>0</v>
      </c>
    </row>
    <row r="358" spans="1:32" ht="13.5" customHeight="1">
      <c r="A358" s="324"/>
      <c r="B358" s="361"/>
      <c r="C358" s="1"/>
      <c r="D358" s="361"/>
      <c r="E358" s="1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18"/>
      <c r="T358" s="1"/>
      <c r="U358" s="54">
        <f>VLOOKUP(D358,'SUIVI JOURNALIER AVRIL'!CK:CM,3,FALSE)</f>
        <v>0</v>
      </c>
      <c r="V358" s="82" t="e">
        <f>IF(VLOOKUP('vs mars'!D358,'point sur les patentes'!B:E,4,FALSE)="","",VLOOKUP(D358,'point sur les patentes'!B:E,4,FALSE)+VLOOKUP(D358,'point sur les patentes'!B:F,5,FALSE)+VLOOKUP('vs mars'!D358,'point sur les patentes'!B:G,6,FALSE)+VLOOKUP('vs mars'!D358,'point sur les patentes'!B:H,7,FALSE)+VLOOKUP('vs mars'!D358,'point sur les patentes'!B:I,8,FALSE)+VLOOKUP(D358,'point sur les patentes'!B:J,9,FALSE)+VLOOKUP(D358,'point sur les patentes'!B:K,10,FALSE)+VLOOKUP(D358,'point sur les patentes'!B:L,11,FALSE)+VLOOKUP(D358,'point sur les patentes'!B:M,12,FALSE)+VLOOKUP(D358,'point sur les patentes'!B:N,13,FALSE)+VLOOKUP(D358,'point sur les patentes'!B:O,14,FALSE)+VLOOKUP(D358,'point sur les patentes'!B:P,15,FALSE)+VLOOKUP(D358,'point sur les patentes'!B:Q,16,FALSE)+VLOOKUP('vs mars'!D358,'point sur les patentes'!B:Z,25,FALSE))</f>
        <v>#N/A</v>
      </c>
      <c r="W358" s="25" t="e">
        <f>VLOOKUP(D358,'SUIVI JOURNALIER AVRIL'!B:J,9,FALSE)</f>
        <v>#N/A</v>
      </c>
      <c r="X358" s="25" t="e">
        <f>VLOOKUP(D358,'SUIVI JOURNALIER AVRIL'!B:P,14,FALSE)+VLOOKUP('vs mars'!D358,'SUIVI JOURNALIER AVRIL'!B:V,20,FALSE)+VLOOKUP('vs mars'!D358,'SUIVI JOURNALIER AVRIL'!B:W,21,FALSE)</f>
        <v>#N/A</v>
      </c>
      <c r="Y358" s="25" t="e">
        <f>VLOOKUP(D358,'SUIVI JOURNALIER AVRIL'!B:CC,80,FALSE)</f>
        <v>#N/A</v>
      </c>
      <c r="Z358" s="25" t="e">
        <f t="shared" si="12"/>
        <v>#N/A</v>
      </c>
      <c r="AA358" s="343" t="e">
        <f>VLOOKUP(D358,'SUIVI JOURNALIER AVRIL'!B:CD,81,FALSE)</f>
        <v>#N/A</v>
      </c>
      <c r="AB358" s="21" t="e">
        <f t="shared" si="13"/>
        <v>#N/A</v>
      </c>
      <c r="AC358" s="344" t="e">
        <f>VLOOKUP(D358,'SUIVI JOURNALIER AVRIL'!B:C,2,FALSE)</f>
        <v>#N/A</v>
      </c>
      <c r="AE358" s="339"/>
      <c r="AF358">
        <f>VLOOKUP(D358,'SUIVI JOURNALIER AVRIL'!CK:CL,2,FALSE)</f>
        <v>0</v>
      </c>
    </row>
    <row r="359" spans="1:32" ht="13.5" customHeight="1">
      <c r="A359" s="324"/>
      <c r="B359" s="361"/>
      <c r="C359" s="1"/>
      <c r="D359" s="361"/>
      <c r="E359" s="1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18"/>
      <c r="T359" s="1"/>
      <c r="U359" s="54">
        <f>VLOOKUP(D359,'SUIVI JOURNALIER AVRIL'!CK:CM,3,FALSE)</f>
        <v>0</v>
      </c>
      <c r="V359" s="82" t="e">
        <f>IF(VLOOKUP('vs mars'!D359,'point sur les patentes'!B:E,4,FALSE)="","",VLOOKUP(D359,'point sur les patentes'!B:E,4,FALSE)+VLOOKUP(D359,'point sur les patentes'!B:F,5,FALSE)+VLOOKUP('vs mars'!D359,'point sur les patentes'!B:G,6,FALSE)+VLOOKUP('vs mars'!D359,'point sur les patentes'!B:H,7,FALSE)+VLOOKUP('vs mars'!D359,'point sur les patentes'!B:I,8,FALSE)+VLOOKUP(D359,'point sur les patentes'!B:J,9,FALSE)+VLOOKUP(D359,'point sur les patentes'!B:K,10,FALSE)+VLOOKUP(D359,'point sur les patentes'!B:L,11,FALSE)+VLOOKUP(D359,'point sur les patentes'!B:M,12,FALSE)+VLOOKUP(D359,'point sur les patentes'!B:N,13,FALSE)+VLOOKUP(D359,'point sur les patentes'!B:O,14,FALSE)+VLOOKUP(D359,'point sur les patentes'!B:P,15,FALSE)+VLOOKUP(D359,'point sur les patentes'!B:Q,16,FALSE)+VLOOKUP('vs mars'!D359,'point sur les patentes'!B:Z,25,FALSE))</f>
        <v>#N/A</v>
      </c>
      <c r="W359" s="25" t="e">
        <f>VLOOKUP(D359,'SUIVI JOURNALIER AVRIL'!B:J,9,FALSE)</f>
        <v>#N/A</v>
      </c>
      <c r="X359" s="25" t="e">
        <f>VLOOKUP(D359,'SUIVI JOURNALIER AVRIL'!B:P,14,FALSE)+VLOOKUP('vs mars'!D359,'SUIVI JOURNALIER AVRIL'!B:V,20,FALSE)+VLOOKUP('vs mars'!D359,'SUIVI JOURNALIER AVRIL'!B:W,21,FALSE)</f>
        <v>#N/A</v>
      </c>
      <c r="Y359" s="25" t="e">
        <f>VLOOKUP(D359,'SUIVI JOURNALIER AVRIL'!B:CC,80,FALSE)</f>
        <v>#N/A</v>
      </c>
      <c r="Z359" s="25" t="e">
        <f t="shared" si="12"/>
        <v>#N/A</v>
      </c>
      <c r="AA359" s="343" t="e">
        <f>VLOOKUP(D359,'SUIVI JOURNALIER AVRIL'!B:CD,81,FALSE)</f>
        <v>#N/A</v>
      </c>
      <c r="AB359" s="21" t="e">
        <f t="shared" si="13"/>
        <v>#N/A</v>
      </c>
      <c r="AC359" s="344" t="e">
        <f>VLOOKUP(D359,'SUIVI JOURNALIER AVRIL'!B:C,2,FALSE)</f>
        <v>#N/A</v>
      </c>
      <c r="AE359" s="339"/>
      <c r="AF359">
        <f>VLOOKUP(D359,'SUIVI JOURNALIER AVRIL'!CK:CL,2,FALSE)</f>
        <v>0</v>
      </c>
    </row>
    <row r="360" spans="1:32" ht="13.5" customHeight="1">
      <c r="A360" s="324"/>
      <c r="B360" s="361"/>
      <c r="C360" s="1"/>
      <c r="D360" s="361"/>
      <c r="E360" s="1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18"/>
      <c r="T360" s="1"/>
      <c r="U360" s="54">
        <f>VLOOKUP(D360,'SUIVI JOURNALIER AVRIL'!CK:CM,3,FALSE)</f>
        <v>0</v>
      </c>
      <c r="V360" s="82" t="e">
        <f>IF(VLOOKUP('vs mars'!D360,'point sur les patentes'!B:E,4,FALSE)="","",VLOOKUP(D360,'point sur les patentes'!B:E,4,FALSE)+VLOOKUP(D360,'point sur les patentes'!B:F,5,FALSE)+VLOOKUP('vs mars'!D360,'point sur les patentes'!B:G,6,FALSE)+VLOOKUP('vs mars'!D360,'point sur les patentes'!B:H,7,FALSE)+VLOOKUP('vs mars'!D360,'point sur les patentes'!B:I,8,FALSE)+VLOOKUP(D360,'point sur les patentes'!B:J,9,FALSE)+VLOOKUP(D360,'point sur les patentes'!B:K,10,FALSE)+VLOOKUP(D360,'point sur les patentes'!B:L,11,FALSE)+VLOOKUP(D360,'point sur les patentes'!B:M,12,FALSE)+VLOOKUP(D360,'point sur les patentes'!B:N,13,FALSE)+VLOOKUP(D360,'point sur les patentes'!B:O,14,FALSE)+VLOOKUP(D360,'point sur les patentes'!B:P,15,FALSE)+VLOOKUP(D360,'point sur les patentes'!B:Q,16,FALSE)+VLOOKUP('vs mars'!D360,'point sur les patentes'!B:Z,25,FALSE))</f>
        <v>#N/A</v>
      </c>
      <c r="W360" s="25" t="e">
        <f>VLOOKUP(D360,'SUIVI JOURNALIER AVRIL'!B:J,9,FALSE)</f>
        <v>#N/A</v>
      </c>
      <c r="X360" s="25" t="e">
        <f>VLOOKUP(D360,'SUIVI JOURNALIER AVRIL'!B:P,14,FALSE)+VLOOKUP('vs mars'!D360,'SUIVI JOURNALIER AVRIL'!B:V,20,FALSE)+VLOOKUP('vs mars'!D360,'SUIVI JOURNALIER AVRIL'!B:W,21,FALSE)</f>
        <v>#N/A</v>
      </c>
      <c r="Y360" s="25" t="e">
        <f>VLOOKUP(D360,'SUIVI JOURNALIER AVRIL'!B:CC,80,FALSE)</f>
        <v>#N/A</v>
      </c>
      <c r="Z360" s="25" t="e">
        <f t="shared" si="12"/>
        <v>#N/A</v>
      </c>
      <c r="AA360" s="343" t="e">
        <f>VLOOKUP(D360,'SUIVI JOURNALIER AVRIL'!B:CD,81,FALSE)</f>
        <v>#N/A</v>
      </c>
      <c r="AB360" s="21" t="e">
        <f t="shared" si="13"/>
        <v>#N/A</v>
      </c>
      <c r="AC360" s="344" t="e">
        <f>VLOOKUP(D360,'SUIVI JOURNALIER AVRIL'!B:C,2,FALSE)</f>
        <v>#N/A</v>
      </c>
      <c r="AE360" s="339"/>
      <c r="AF360">
        <f>VLOOKUP(D360,'SUIVI JOURNALIER AVRIL'!CK:CL,2,FALSE)</f>
        <v>0</v>
      </c>
    </row>
    <row r="361" spans="1:32" ht="13.5" customHeight="1">
      <c r="A361" s="324"/>
      <c r="B361" s="361"/>
      <c r="C361" s="1"/>
      <c r="D361" s="361"/>
      <c r="E361" s="1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18"/>
      <c r="T361" s="1"/>
      <c r="U361" s="54">
        <f>VLOOKUP(D361,'SUIVI JOURNALIER AVRIL'!CK:CM,3,FALSE)</f>
        <v>0</v>
      </c>
      <c r="V361" s="82" t="e">
        <f>IF(VLOOKUP('vs mars'!D361,'point sur les patentes'!B:E,4,FALSE)="","",VLOOKUP(D361,'point sur les patentes'!B:E,4,FALSE)+VLOOKUP(D361,'point sur les patentes'!B:F,5,FALSE)+VLOOKUP('vs mars'!D361,'point sur les patentes'!B:G,6,FALSE)+VLOOKUP('vs mars'!D361,'point sur les patentes'!B:H,7,FALSE)+VLOOKUP('vs mars'!D361,'point sur les patentes'!B:I,8,FALSE)+VLOOKUP(D361,'point sur les patentes'!B:J,9,FALSE)+VLOOKUP(D361,'point sur les patentes'!B:K,10,FALSE)+VLOOKUP(D361,'point sur les patentes'!B:L,11,FALSE)+VLOOKUP(D361,'point sur les patentes'!B:M,12,FALSE)+VLOOKUP(D361,'point sur les patentes'!B:N,13,FALSE)+VLOOKUP(D361,'point sur les patentes'!B:O,14,FALSE)+VLOOKUP(D361,'point sur les patentes'!B:P,15,FALSE)+VLOOKUP(D361,'point sur les patentes'!B:Q,16,FALSE)+VLOOKUP('vs mars'!D361,'point sur les patentes'!B:Z,25,FALSE))</f>
        <v>#N/A</v>
      </c>
      <c r="W361" s="25" t="e">
        <f>VLOOKUP(D361,'SUIVI JOURNALIER AVRIL'!B:J,9,FALSE)</f>
        <v>#N/A</v>
      </c>
      <c r="X361" s="25" t="e">
        <f>VLOOKUP(D361,'SUIVI JOURNALIER AVRIL'!B:P,14,FALSE)+VLOOKUP('vs mars'!D361,'SUIVI JOURNALIER AVRIL'!B:V,20,FALSE)+VLOOKUP('vs mars'!D361,'SUIVI JOURNALIER AVRIL'!B:W,21,FALSE)</f>
        <v>#N/A</v>
      </c>
      <c r="Y361" s="25" t="e">
        <f>VLOOKUP(D361,'SUIVI JOURNALIER AVRIL'!B:CC,80,FALSE)</f>
        <v>#N/A</v>
      </c>
      <c r="Z361" s="25" t="e">
        <f t="shared" si="12"/>
        <v>#N/A</v>
      </c>
      <c r="AA361" s="343" t="e">
        <f>VLOOKUP(D361,'SUIVI JOURNALIER AVRIL'!B:CD,81,FALSE)</f>
        <v>#N/A</v>
      </c>
      <c r="AB361" s="21" t="e">
        <f t="shared" si="13"/>
        <v>#N/A</v>
      </c>
      <c r="AC361" s="344" t="e">
        <f>VLOOKUP(D361,'SUIVI JOURNALIER AVRIL'!B:C,2,FALSE)</f>
        <v>#N/A</v>
      </c>
      <c r="AE361" s="339"/>
      <c r="AF361">
        <f>VLOOKUP(D361,'SUIVI JOURNALIER AVRIL'!CK:CL,2,FALSE)</f>
        <v>0</v>
      </c>
    </row>
    <row r="362" spans="1:32" ht="13.5" customHeight="1">
      <c r="A362" s="324"/>
      <c r="B362" s="361"/>
      <c r="C362" s="1"/>
      <c r="D362" s="361"/>
      <c r="E362" s="1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18"/>
      <c r="T362" s="1"/>
      <c r="U362" s="54">
        <f>VLOOKUP(D362,'SUIVI JOURNALIER AVRIL'!CK:CM,3,FALSE)</f>
        <v>0</v>
      </c>
      <c r="V362" s="82" t="e">
        <f>IF(VLOOKUP('vs mars'!D362,'point sur les patentes'!B:E,4,FALSE)="","",VLOOKUP(D362,'point sur les patentes'!B:E,4,FALSE)+VLOOKUP(D362,'point sur les patentes'!B:F,5,FALSE)+VLOOKUP('vs mars'!D362,'point sur les patentes'!B:G,6,FALSE)+VLOOKUP('vs mars'!D362,'point sur les patentes'!B:H,7,FALSE)+VLOOKUP('vs mars'!D362,'point sur les patentes'!B:I,8,FALSE)+VLOOKUP(D362,'point sur les patentes'!B:J,9,FALSE)+VLOOKUP(D362,'point sur les patentes'!B:K,10,FALSE)+VLOOKUP(D362,'point sur les patentes'!B:L,11,FALSE)+VLOOKUP(D362,'point sur les patentes'!B:M,12,FALSE)+VLOOKUP(D362,'point sur les patentes'!B:N,13,FALSE)+VLOOKUP(D362,'point sur les patentes'!B:O,14,FALSE)+VLOOKUP(D362,'point sur les patentes'!B:P,15,FALSE)+VLOOKUP(D362,'point sur les patentes'!B:Q,16,FALSE)+VLOOKUP('vs mars'!D362,'point sur les patentes'!B:Z,25,FALSE))</f>
        <v>#N/A</v>
      </c>
      <c r="W362" s="25" t="e">
        <f>VLOOKUP(D362,'SUIVI JOURNALIER AVRIL'!B:J,9,FALSE)</f>
        <v>#N/A</v>
      </c>
      <c r="X362" s="25" t="e">
        <f>VLOOKUP(D362,'SUIVI JOURNALIER AVRIL'!B:P,14,FALSE)+VLOOKUP('vs mars'!D362,'SUIVI JOURNALIER AVRIL'!B:V,20,FALSE)+VLOOKUP('vs mars'!D362,'SUIVI JOURNALIER AVRIL'!B:W,21,FALSE)</f>
        <v>#N/A</v>
      </c>
      <c r="Y362" s="25" t="e">
        <f>VLOOKUP(D362,'SUIVI JOURNALIER AVRIL'!B:CC,80,FALSE)</f>
        <v>#N/A</v>
      </c>
      <c r="Z362" s="25" t="e">
        <f t="shared" si="12"/>
        <v>#N/A</v>
      </c>
      <c r="AA362" s="343" t="e">
        <f>VLOOKUP(D362,'SUIVI JOURNALIER AVRIL'!B:CD,81,FALSE)</f>
        <v>#N/A</v>
      </c>
      <c r="AB362" s="21" t="e">
        <f t="shared" si="13"/>
        <v>#N/A</v>
      </c>
      <c r="AC362" s="344" t="e">
        <f>VLOOKUP(D362,'SUIVI JOURNALIER AVRIL'!B:C,2,FALSE)</f>
        <v>#N/A</v>
      </c>
      <c r="AE362" s="339"/>
      <c r="AF362">
        <f>VLOOKUP(D362,'SUIVI JOURNALIER AVRIL'!CK:CL,2,FALSE)</f>
        <v>0</v>
      </c>
    </row>
    <row r="363" spans="1:32" ht="13.5" customHeight="1">
      <c r="A363" s="324"/>
      <c r="B363" s="361"/>
      <c r="C363" s="1"/>
      <c r="D363" s="361"/>
      <c r="E363" s="1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18"/>
      <c r="T363" s="1"/>
      <c r="U363" s="54">
        <f>VLOOKUP(D363,'SUIVI JOURNALIER AVRIL'!CK:CM,3,FALSE)</f>
        <v>0</v>
      </c>
      <c r="V363" s="82" t="e">
        <f>IF(VLOOKUP('vs mars'!D363,'point sur les patentes'!B:E,4,FALSE)="","",VLOOKUP(D363,'point sur les patentes'!B:E,4,FALSE)+VLOOKUP(D363,'point sur les patentes'!B:F,5,FALSE)+VLOOKUP('vs mars'!D363,'point sur les patentes'!B:G,6,FALSE)+VLOOKUP('vs mars'!D363,'point sur les patentes'!B:H,7,FALSE)+VLOOKUP('vs mars'!D363,'point sur les patentes'!B:I,8,FALSE)+VLOOKUP(D363,'point sur les patentes'!B:J,9,FALSE)+VLOOKUP(D363,'point sur les patentes'!B:K,10,FALSE)+VLOOKUP(D363,'point sur les patentes'!B:L,11,FALSE)+VLOOKUP(D363,'point sur les patentes'!B:M,12,FALSE)+VLOOKUP(D363,'point sur les patentes'!B:N,13,FALSE)+VLOOKUP(D363,'point sur les patentes'!B:O,14,FALSE)+VLOOKUP(D363,'point sur les patentes'!B:P,15,FALSE)+VLOOKUP(D363,'point sur les patentes'!B:Q,16,FALSE)+VLOOKUP('vs mars'!D363,'point sur les patentes'!B:Z,25,FALSE))</f>
        <v>#N/A</v>
      </c>
      <c r="W363" s="25" t="e">
        <f>VLOOKUP(D363,'SUIVI JOURNALIER AVRIL'!B:J,9,FALSE)</f>
        <v>#N/A</v>
      </c>
      <c r="X363" s="25" t="e">
        <f>VLOOKUP(D363,'SUIVI JOURNALIER AVRIL'!B:P,14,FALSE)+VLOOKUP('vs mars'!D363,'SUIVI JOURNALIER AVRIL'!B:V,20,FALSE)+VLOOKUP('vs mars'!D363,'SUIVI JOURNALIER AVRIL'!B:W,21,FALSE)</f>
        <v>#N/A</v>
      </c>
      <c r="Y363" s="25" t="e">
        <f>VLOOKUP(D363,'SUIVI JOURNALIER AVRIL'!B:CC,80,FALSE)</f>
        <v>#N/A</v>
      </c>
      <c r="Z363" s="25" t="e">
        <f t="shared" si="12"/>
        <v>#N/A</v>
      </c>
      <c r="AA363" s="343" t="e">
        <f>VLOOKUP(D363,'SUIVI JOURNALIER AVRIL'!B:CD,81,FALSE)</f>
        <v>#N/A</v>
      </c>
      <c r="AB363" s="21" t="e">
        <f t="shared" si="13"/>
        <v>#N/A</v>
      </c>
      <c r="AC363" s="344" t="e">
        <f>VLOOKUP(D363,'SUIVI JOURNALIER AVRIL'!B:C,2,FALSE)</f>
        <v>#N/A</v>
      </c>
      <c r="AE363" s="339"/>
      <c r="AF363">
        <f>VLOOKUP(D363,'SUIVI JOURNALIER AVRIL'!CK:CL,2,FALSE)</f>
        <v>0</v>
      </c>
    </row>
    <row r="364" spans="1:32" ht="13.5" customHeight="1">
      <c r="A364" s="324"/>
      <c r="B364" s="361"/>
      <c r="C364" s="1"/>
      <c r="D364" s="361"/>
      <c r="E364" s="1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18"/>
      <c r="T364" s="1"/>
      <c r="U364" s="54">
        <f>VLOOKUP(D364,'SUIVI JOURNALIER AVRIL'!CK:CM,3,FALSE)</f>
        <v>0</v>
      </c>
      <c r="V364" s="82" t="e">
        <f>IF(VLOOKUP('vs mars'!D364,'point sur les patentes'!B:E,4,FALSE)="","",VLOOKUP(D364,'point sur les patentes'!B:E,4,FALSE)+VLOOKUP(D364,'point sur les patentes'!B:F,5,FALSE)+VLOOKUP('vs mars'!D364,'point sur les patentes'!B:G,6,FALSE)+VLOOKUP('vs mars'!D364,'point sur les patentes'!B:H,7,FALSE)+VLOOKUP('vs mars'!D364,'point sur les patentes'!B:I,8,FALSE)+VLOOKUP(D364,'point sur les patentes'!B:J,9,FALSE)+VLOOKUP(D364,'point sur les patentes'!B:K,10,FALSE)+VLOOKUP(D364,'point sur les patentes'!B:L,11,FALSE)+VLOOKUP(D364,'point sur les patentes'!B:M,12,FALSE)+VLOOKUP(D364,'point sur les patentes'!B:N,13,FALSE)+VLOOKUP(D364,'point sur les patentes'!B:O,14,FALSE)+VLOOKUP(D364,'point sur les patentes'!B:P,15,FALSE)+VLOOKUP(D364,'point sur les patentes'!B:Q,16,FALSE)+VLOOKUP('vs mars'!D364,'point sur les patentes'!B:Z,25,FALSE))</f>
        <v>#N/A</v>
      </c>
      <c r="W364" s="25" t="e">
        <f>VLOOKUP(D364,'SUIVI JOURNALIER AVRIL'!B:J,9,FALSE)</f>
        <v>#N/A</v>
      </c>
      <c r="X364" s="25" t="e">
        <f>VLOOKUP(D364,'SUIVI JOURNALIER AVRIL'!B:P,14,FALSE)+VLOOKUP('vs mars'!D364,'SUIVI JOURNALIER AVRIL'!B:V,20,FALSE)+VLOOKUP('vs mars'!D364,'SUIVI JOURNALIER AVRIL'!B:W,21,FALSE)</f>
        <v>#N/A</v>
      </c>
      <c r="Y364" s="25" t="e">
        <f>VLOOKUP(D364,'SUIVI JOURNALIER AVRIL'!B:CC,80,FALSE)</f>
        <v>#N/A</v>
      </c>
      <c r="Z364" s="25" t="e">
        <f t="shared" si="12"/>
        <v>#N/A</v>
      </c>
      <c r="AA364" s="343" t="e">
        <f>VLOOKUP(D364,'SUIVI JOURNALIER AVRIL'!B:CD,81,FALSE)</f>
        <v>#N/A</v>
      </c>
      <c r="AB364" s="21" t="e">
        <f t="shared" si="13"/>
        <v>#N/A</v>
      </c>
      <c r="AC364" s="344" t="e">
        <f>VLOOKUP(D364,'SUIVI JOURNALIER AVRIL'!B:C,2,FALSE)</f>
        <v>#N/A</v>
      </c>
      <c r="AE364" s="339"/>
      <c r="AF364">
        <f>VLOOKUP(D364,'SUIVI JOURNALIER AVRIL'!CK:CL,2,FALSE)</f>
        <v>0</v>
      </c>
    </row>
    <row r="365" spans="1:32" ht="13.5" customHeight="1">
      <c r="A365" s="324"/>
      <c r="B365" s="361"/>
      <c r="C365" s="1"/>
      <c r="D365" s="361"/>
      <c r="E365" s="1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18"/>
      <c r="T365" s="1"/>
      <c r="U365" s="54">
        <f>VLOOKUP(D365,'SUIVI JOURNALIER AVRIL'!CK:CM,3,FALSE)</f>
        <v>0</v>
      </c>
      <c r="V365" s="82" t="e">
        <f>IF(VLOOKUP('vs mars'!D365,'point sur les patentes'!B:E,4,FALSE)="","",VLOOKUP(D365,'point sur les patentes'!B:E,4,FALSE)+VLOOKUP(D365,'point sur les patentes'!B:F,5,FALSE)+VLOOKUP('vs mars'!D365,'point sur les patentes'!B:G,6,FALSE)+VLOOKUP('vs mars'!D365,'point sur les patentes'!B:H,7,FALSE)+VLOOKUP('vs mars'!D365,'point sur les patentes'!B:I,8,FALSE)+VLOOKUP(D365,'point sur les patentes'!B:J,9,FALSE)+VLOOKUP(D365,'point sur les patentes'!B:K,10,FALSE)+VLOOKUP(D365,'point sur les patentes'!B:L,11,FALSE)+VLOOKUP(D365,'point sur les patentes'!B:M,12,FALSE)+VLOOKUP(D365,'point sur les patentes'!B:N,13,FALSE)+VLOOKUP(D365,'point sur les patentes'!B:O,14,FALSE)+VLOOKUP(D365,'point sur les patentes'!B:P,15,FALSE)+VLOOKUP(D365,'point sur les patentes'!B:Q,16,FALSE)+VLOOKUP('vs mars'!D365,'point sur les patentes'!B:Z,25,FALSE))</f>
        <v>#N/A</v>
      </c>
      <c r="W365" s="25" t="e">
        <f>VLOOKUP(D365,'SUIVI JOURNALIER AVRIL'!B:J,9,FALSE)</f>
        <v>#N/A</v>
      </c>
      <c r="X365" s="25" t="e">
        <f>VLOOKUP(D365,'SUIVI JOURNALIER AVRIL'!B:P,14,FALSE)+VLOOKUP('vs mars'!D365,'SUIVI JOURNALIER AVRIL'!B:V,20,FALSE)+VLOOKUP('vs mars'!D365,'SUIVI JOURNALIER AVRIL'!B:W,21,FALSE)</f>
        <v>#N/A</v>
      </c>
      <c r="Y365" s="25" t="e">
        <f>VLOOKUP(D365,'SUIVI JOURNALIER AVRIL'!B:CC,80,FALSE)</f>
        <v>#N/A</v>
      </c>
      <c r="Z365" s="25" t="e">
        <f t="shared" si="12"/>
        <v>#N/A</v>
      </c>
      <c r="AA365" s="343" t="e">
        <f>VLOOKUP(D365,'SUIVI JOURNALIER AVRIL'!B:CD,81,FALSE)</f>
        <v>#N/A</v>
      </c>
      <c r="AB365" s="21" t="e">
        <f t="shared" si="13"/>
        <v>#N/A</v>
      </c>
      <c r="AC365" s="344" t="e">
        <f>VLOOKUP(D365,'SUIVI JOURNALIER AVRIL'!B:C,2,FALSE)</f>
        <v>#N/A</v>
      </c>
      <c r="AE365" s="339"/>
      <c r="AF365">
        <f>VLOOKUP(D365,'SUIVI JOURNALIER AVRIL'!CK:CL,2,FALSE)</f>
        <v>0</v>
      </c>
    </row>
    <row r="366" spans="1:32" ht="13.5" customHeight="1">
      <c r="A366" s="324"/>
      <c r="B366" s="361"/>
      <c r="C366" s="1"/>
      <c r="D366" s="361"/>
      <c r="E366" s="1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18"/>
      <c r="T366" s="1"/>
      <c r="U366" s="54">
        <f>VLOOKUP(D366,'SUIVI JOURNALIER AVRIL'!CK:CM,3,FALSE)</f>
        <v>0</v>
      </c>
      <c r="V366" s="82" t="e">
        <f>IF(VLOOKUP('vs mars'!D366,'point sur les patentes'!B:E,4,FALSE)="","",VLOOKUP(D366,'point sur les patentes'!B:E,4,FALSE)+VLOOKUP(D366,'point sur les patentes'!B:F,5,FALSE)+VLOOKUP('vs mars'!D366,'point sur les patentes'!B:G,6,FALSE)+VLOOKUP('vs mars'!D366,'point sur les patentes'!B:H,7,FALSE)+VLOOKUP('vs mars'!D366,'point sur les patentes'!B:I,8,FALSE)+VLOOKUP(D366,'point sur les patentes'!B:J,9,FALSE)+VLOOKUP(D366,'point sur les patentes'!B:K,10,FALSE)+VLOOKUP(D366,'point sur les patentes'!B:L,11,FALSE)+VLOOKUP(D366,'point sur les patentes'!B:M,12,FALSE)+VLOOKUP(D366,'point sur les patentes'!B:N,13,FALSE)+VLOOKUP(D366,'point sur les patentes'!B:O,14,FALSE)+VLOOKUP(D366,'point sur les patentes'!B:P,15,FALSE)+VLOOKUP(D366,'point sur les patentes'!B:Q,16,FALSE)+VLOOKUP('vs mars'!D366,'point sur les patentes'!B:Z,25,FALSE))</f>
        <v>#N/A</v>
      </c>
      <c r="W366" s="25" t="e">
        <f>VLOOKUP(D366,'SUIVI JOURNALIER AVRIL'!B:J,9,FALSE)</f>
        <v>#N/A</v>
      </c>
      <c r="X366" s="25" t="e">
        <f>VLOOKUP(D366,'SUIVI JOURNALIER AVRIL'!B:P,14,FALSE)+VLOOKUP('vs mars'!D366,'SUIVI JOURNALIER AVRIL'!B:V,20,FALSE)+VLOOKUP('vs mars'!D366,'SUIVI JOURNALIER AVRIL'!B:W,21,FALSE)</f>
        <v>#N/A</v>
      </c>
      <c r="Y366" s="25" t="e">
        <f>VLOOKUP(D366,'SUIVI JOURNALIER AVRIL'!B:CC,80,FALSE)</f>
        <v>#N/A</v>
      </c>
      <c r="Z366" s="25" t="e">
        <f t="shared" si="12"/>
        <v>#N/A</v>
      </c>
      <c r="AA366" s="343" t="e">
        <f>VLOOKUP(D366,'SUIVI JOURNALIER AVRIL'!B:CD,81,FALSE)</f>
        <v>#N/A</v>
      </c>
      <c r="AB366" s="21" t="e">
        <f t="shared" si="13"/>
        <v>#N/A</v>
      </c>
      <c r="AC366" s="344" t="e">
        <f>VLOOKUP(D366,'SUIVI JOURNALIER AVRIL'!B:C,2,FALSE)</f>
        <v>#N/A</v>
      </c>
      <c r="AE366" s="339"/>
      <c r="AF366">
        <f>VLOOKUP(D366,'SUIVI JOURNALIER AVRIL'!CK:CL,2,FALSE)</f>
        <v>0</v>
      </c>
    </row>
    <row r="367" spans="1:32" ht="13.5" customHeight="1">
      <c r="A367" s="324"/>
      <c r="B367" s="361"/>
      <c r="C367" s="1"/>
      <c r="D367" s="361"/>
      <c r="E367" s="1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18"/>
      <c r="T367" s="1"/>
      <c r="U367" s="54">
        <f>VLOOKUP(D367,'SUIVI JOURNALIER AVRIL'!CK:CM,3,FALSE)</f>
        <v>0</v>
      </c>
      <c r="V367" s="82" t="e">
        <f>IF(VLOOKUP('vs mars'!D367,'point sur les patentes'!B:E,4,FALSE)="","",VLOOKUP(D367,'point sur les patentes'!B:E,4,FALSE)+VLOOKUP(D367,'point sur les patentes'!B:F,5,FALSE)+VLOOKUP('vs mars'!D367,'point sur les patentes'!B:G,6,FALSE)+VLOOKUP('vs mars'!D367,'point sur les patentes'!B:H,7,FALSE)+VLOOKUP('vs mars'!D367,'point sur les patentes'!B:I,8,FALSE)+VLOOKUP(D367,'point sur les patentes'!B:J,9,FALSE)+VLOOKUP(D367,'point sur les patentes'!B:K,10,FALSE)+VLOOKUP(D367,'point sur les patentes'!B:L,11,FALSE)+VLOOKUP(D367,'point sur les patentes'!B:M,12,FALSE)+VLOOKUP(D367,'point sur les patentes'!B:N,13,FALSE)+VLOOKUP(D367,'point sur les patentes'!B:O,14,FALSE)+VLOOKUP(D367,'point sur les patentes'!B:P,15,FALSE)+VLOOKUP(D367,'point sur les patentes'!B:Q,16,FALSE)+VLOOKUP('vs mars'!D367,'point sur les patentes'!B:Z,25,FALSE))</f>
        <v>#N/A</v>
      </c>
      <c r="W367" s="25" t="e">
        <f>VLOOKUP(D367,'SUIVI JOURNALIER AVRIL'!B:J,9,FALSE)</f>
        <v>#N/A</v>
      </c>
      <c r="X367" s="25" t="e">
        <f>VLOOKUP(D367,'SUIVI JOURNALIER AVRIL'!B:P,14,FALSE)+VLOOKUP('vs mars'!D367,'SUIVI JOURNALIER AVRIL'!B:V,20,FALSE)+VLOOKUP('vs mars'!D367,'SUIVI JOURNALIER AVRIL'!B:W,21,FALSE)</f>
        <v>#N/A</v>
      </c>
      <c r="Y367" s="25" t="e">
        <f>VLOOKUP(D367,'SUIVI JOURNALIER AVRIL'!B:CC,80,FALSE)</f>
        <v>#N/A</v>
      </c>
      <c r="Z367" s="25" t="e">
        <f t="shared" si="12"/>
        <v>#N/A</v>
      </c>
      <c r="AA367" s="343" t="e">
        <f>VLOOKUP(D367,'SUIVI JOURNALIER AVRIL'!B:CD,81,FALSE)</f>
        <v>#N/A</v>
      </c>
      <c r="AB367" s="21" t="e">
        <f t="shared" si="13"/>
        <v>#N/A</v>
      </c>
      <c r="AC367" s="344" t="e">
        <f>VLOOKUP(D367,'SUIVI JOURNALIER AVRIL'!B:C,2,FALSE)</f>
        <v>#N/A</v>
      </c>
      <c r="AE367" s="339"/>
      <c r="AF367">
        <f>VLOOKUP(D367,'SUIVI JOURNALIER AVRIL'!CK:CL,2,FALSE)</f>
        <v>0</v>
      </c>
    </row>
    <row r="368" spans="1:32" ht="13.5" customHeight="1">
      <c r="A368" s="324"/>
      <c r="B368" s="361"/>
      <c r="C368" s="1"/>
      <c r="D368" s="361"/>
      <c r="E368" s="1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18"/>
      <c r="T368" s="1"/>
      <c r="U368" s="54">
        <f>VLOOKUP(D368,'SUIVI JOURNALIER AVRIL'!CK:CM,3,FALSE)</f>
        <v>0</v>
      </c>
      <c r="V368" s="82" t="e">
        <f>IF(VLOOKUP('vs mars'!D368,'point sur les patentes'!B:E,4,FALSE)="","",VLOOKUP(D368,'point sur les patentes'!B:E,4,FALSE)+VLOOKUP(D368,'point sur les patentes'!B:F,5,FALSE)+VLOOKUP('vs mars'!D368,'point sur les patentes'!B:G,6,FALSE)+VLOOKUP('vs mars'!D368,'point sur les patentes'!B:H,7,FALSE)+VLOOKUP('vs mars'!D368,'point sur les patentes'!B:I,8,FALSE)+VLOOKUP(D368,'point sur les patentes'!B:J,9,FALSE)+VLOOKUP(D368,'point sur les patentes'!B:K,10,FALSE)+VLOOKUP(D368,'point sur les patentes'!B:L,11,FALSE)+VLOOKUP(D368,'point sur les patentes'!B:M,12,FALSE)+VLOOKUP(D368,'point sur les patentes'!B:N,13,FALSE)+VLOOKUP(D368,'point sur les patentes'!B:O,14,FALSE)+VLOOKUP(D368,'point sur les patentes'!B:P,15,FALSE)+VLOOKUP(D368,'point sur les patentes'!B:Q,16,FALSE)+VLOOKUP('vs mars'!D368,'point sur les patentes'!B:Z,25,FALSE))</f>
        <v>#N/A</v>
      </c>
      <c r="W368" s="25" t="e">
        <f>VLOOKUP(D368,'SUIVI JOURNALIER AVRIL'!B:J,9,FALSE)</f>
        <v>#N/A</v>
      </c>
      <c r="X368" s="25" t="e">
        <f>VLOOKUP(D368,'SUIVI JOURNALIER AVRIL'!B:P,14,FALSE)+VLOOKUP('vs mars'!D368,'SUIVI JOURNALIER AVRIL'!B:V,20,FALSE)+VLOOKUP('vs mars'!D368,'SUIVI JOURNALIER AVRIL'!B:W,21,FALSE)</f>
        <v>#N/A</v>
      </c>
      <c r="Y368" s="25" t="e">
        <f>VLOOKUP(D368,'SUIVI JOURNALIER AVRIL'!B:CC,80,FALSE)</f>
        <v>#N/A</v>
      </c>
      <c r="Z368" s="25" t="e">
        <f t="shared" si="12"/>
        <v>#N/A</v>
      </c>
      <c r="AA368" s="343" t="e">
        <f>VLOOKUP(D368,'SUIVI JOURNALIER AVRIL'!B:CD,81,FALSE)</f>
        <v>#N/A</v>
      </c>
      <c r="AB368" s="21" t="e">
        <f t="shared" si="13"/>
        <v>#N/A</v>
      </c>
      <c r="AC368" s="344" t="e">
        <f>VLOOKUP(D368,'SUIVI JOURNALIER AVRIL'!B:C,2,FALSE)</f>
        <v>#N/A</v>
      </c>
      <c r="AE368" s="339"/>
      <c r="AF368">
        <f>VLOOKUP(D368,'SUIVI JOURNALIER AVRIL'!CK:CL,2,FALSE)</f>
        <v>0</v>
      </c>
    </row>
    <row r="369" spans="1:32" ht="13.5" customHeight="1">
      <c r="A369" s="324"/>
      <c r="B369" s="361"/>
      <c r="C369" s="1"/>
      <c r="D369" s="361"/>
      <c r="E369" s="1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18"/>
      <c r="T369" s="1"/>
      <c r="U369" s="54">
        <f>VLOOKUP(D369,'SUIVI JOURNALIER AVRIL'!CK:CM,3,FALSE)</f>
        <v>0</v>
      </c>
      <c r="V369" s="82" t="e">
        <f>IF(VLOOKUP('vs mars'!D369,'point sur les patentes'!B:E,4,FALSE)="","",VLOOKUP(D369,'point sur les patentes'!B:E,4,FALSE)+VLOOKUP(D369,'point sur les patentes'!B:F,5,FALSE)+VLOOKUP('vs mars'!D369,'point sur les patentes'!B:G,6,FALSE)+VLOOKUP('vs mars'!D369,'point sur les patentes'!B:H,7,FALSE)+VLOOKUP('vs mars'!D369,'point sur les patentes'!B:I,8,FALSE)+VLOOKUP(D369,'point sur les patentes'!B:J,9,FALSE)+VLOOKUP(D369,'point sur les patentes'!B:K,10,FALSE)+VLOOKUP(D369,'point sur les patentes'!B:L,11,FALSE)+VLOOKUP(D369,'point sur les patentes'!B:M,12,FALSE)+VLOOKUP(D369,'point sur les patentes'!B:N,13,FALSE)+VLOOKUP(D369,'point sur les patentes'!B:O,14,FALSE)+VLOOKUP(D369,'point sur les patentes'!B:P,15,FALSE)+VLOOKUP(D369,'point sur les patentes'!B:Q,16,FALSE)+VLOOKUP('vs mars'!D369,'point sur les patentes'!B:Z,25,FALSE))</f>
        <v>#N/A</v>
      </c>
      <c r="W369" s="25" t="e">
        <f>VLOOKUP(D369,'SUIVI JOURNALIER AVRIL'!B:J,9,FALSE)</f>
        <v>#N/A</v>
      </c>
      <c r="X369" s="25" t="e">
        <f>VLOOKUP(D369,'SUIVI JOURNALIER AVRIL'!B:P,14,FALSE)+VLOOKUP('vs mars'!D369,'SUIVI JOURNALIER AVRIL'!B:V,20,FALSE)+VLOOKUP('vs mars'!D369,'SUIVI JOURNALIER AVRIL'!B:W,21,FALSE)</f>
        <v>#N/A</v>
      </c>
      <c r="Y369" s="25" t="e">
        <f>VLOOKUP(D369,'SUIVI JOURNALIER AVRIL'!B:CC,80,FALSE)</f>
        <v>#N/A</v>
      </c>
      <c r="Z369" s="25" t="e">
        <f t="shared" si="12"/>
        <v>#N/A</v>
      </c>
      <c r="AA369" s="343" t="e">
        <f>VLOOKUP(D369,'SUIVI JOURNALIER AVRIL'!B:CD,81,FALSE)</f>
        <v>#N/A</v>
      </c>
      <c r="AB369" s="21" t="e">
        <f t="shared" si="13"/>
        <v>#N/A</v>
      </c>
      <c r="AC369" s="344" t="e">
        <f>VLOOKUP(D369,'SUIVI JOURNALIER AVRIL'!B:C,2,FALSE)</f>
        <v>#N/A</v>
      </c>
      <c r="AE369" s="339"/>
      <c r="AF369">
        <f>VLOOKUP(D369,'SUIVI JOURNALIER AVRIL'!CK:CL,2,FALSE)</f>
        <v>0</v>
      </c>
    </row>
    <row r="370" spans="1:32" ht="13.5" customHeight="1">
      <c r="A370" s="324"/>
      <c r="B370" s="361"/>
      <c r="C370" s="1"/>
      <c r="D370" s="361"/>
      <c r="E370" s="1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18"/>
      <c r="T370" s="1"/>
      <c r="U370" s="54">
        <f>VLOOKUP(D370,'SUIVI JOURNALIER AVRIL'!CK:CM,3,FALSE)</f>
        <v>0</v>
      </c>
      <c r="V370" s="82" t="e">
        <f>IF(VLOOKUP('vs mars'!D370,'point sur les patentes'!B:E,4,FALSE)="","",VLOOKUP(D370,'point sur les patentes'!B:E,4,FALSE)+VLOOKUP(D370,'point sur les patentes'!B:F,5,FALSE)+VLOOKUP('vs mars'!D370,'point sur les patentes'!B:G,6,FALSE)+VLOOKUP('vs mars'!D370,'point sur les patentes'!B:H,7,FALSE)+VLOOKUP('vs mars'!D370,'point sur les patentes'!B:I,8,FALSE)+VLOOKUP(D370,'point sur les patentes'!B:J,9,FALSE)+VLOOKUP(D370,'point sur les patentes'!B:K,10,FALSE)+VLOOKUP(D370,'point sur les patentes'!B:L,11,FALSE)+VLOOKUP(D370,'point sur les patentes'!B:M,12,FALSE)+VLOOKUP(D370,'point sur les patentes'!B:N,13,FALSE)+VLOOKUP(D370,'point sur les patentes'!B:O,14,FALSE)+VLOOKUP(D370,'point sur les patentes'!B:P,15,FALSE)+VLOOKUP(D370,'point sur les patentes'!B:Q,16,FALSE)+VLOOKUP('vs mars'!D370,'point sur les patentes'!B:Z,25,FALSE))</f>
        <v>#N/A</v>
      </c>
      <c r="W370" s="25" t="e">
        <f>VLOOKUP(D370,'SUIVI JOURNALIER AVRIL'!B:J,9,FALSE)</f>
        <v>#N/A</v>
      </c>
      <c r="X370" s="25" t="e">
        <f>VLOOKUP(D370,'SUIVI JOURNALIER AVRIL'!B:P,14,FALSE)+VLOOKUP('vs mars'!D370,'SUIVI JOURNALIER AVRIL'!B:V,20,FALSE)+VLOOKUP('vs mars'!D370,'SUIVI JOURNALIER AVRIL'!B:W,21,FALSE)</f>
        <v>#N/A</v>
      </c>
      <c r="Y370" s="25" t="e">
        <f>VLOOKUP(D370,'SUIVI JOURNALIER AVRIL'!B:CC,80,FALSE)</f>
        <v>#N/A</v>
      </c>
      <c r="Z370" s="25" t="e">
        <f t="shared" si="12"/>
        <v>#N/A</v>
      </c>
      <c r="AA370" s="343" t="e">
        <f>VLOOKUP(D370,'SUIVI JOURNALIER AVRIL'!B:CD,81,FALSE)</f>
        <v>#N/A</v>
      </c>
      <c r="AB370" s="21" t="e">
        <f t="shared" si="13"/>
        <v>#N/A</v>
      </c>
      <c r="AC370" s="344" t="e">
        <f>VLOOKUP(D370,'SUIVI JOURNALIER AVRIL'!B:C,2,FALSE)</f>
        <v>#N/A</v>
      </c>
      <c r="AE370" s="339"/>
      <c r="AF370">
        <f>VLOOKUP(D370,'SUIVI JOURNALIER AVRIL'!CK:CL,2,FALSE)</f>
        <v>0</v>
      </c>
    </row>
    <row r="371" spans="1:32" ht="13.5" customHeight="1">
      <c r="A371" s="324"/>
      <c r="B371" s="361"/>
      <c r="C371" s="1"/>
      <c r="D371" s="361"/>
      <c r="E371" s="1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18"/>
      <c r="T371" s="1"/>
      <c r="U371" s="54">
        <f>VLOOKUP(D371,'SUIVI JOURNALIER AVRIL'!CK:CM,3,FALSE)</f>
        <v>0</v>
      </c>
      <c r="V371" s="82" t="e">
        <f>IF(VLOOKUP('vs mars'!D371,'point sur les patentes'!B:E,4,FALSE)="","",VLOOKUP(D371,'point sur les patentes'!B:E,4,FALSE)+VLOOKUP(D371,'point sur les patentes'!B:F,5,FALSE)+VLOOKUP('vs mars'!D371,'point sur les patentes'!B:G,6,FALSE)+VLOOKUP('vs mars'!D371,'point sur les patentes'!B:H,7,FALSE)+VLOOKUP('vs mars'!D371,'point sur les patentes'!B:I,8,FALSE)+VLOOKUP(D371,'point sur les patentes'!B:J,9,FALSE)+VLOOKUP(D371,'point sur les patentes'!B:K,10,FALSE)+VLOOKUP(D371,'point sur les patentes'!B:L,11,FALSE)+VLOOKUP(D371,'point sur les patentes'!B:M,12,FALSE)+VLOOKUP(D371,'point sur les patentes'!B:N,13,FALSE)+VLOOKUP(D371,'point sur les patentes'!B:O,14,FALSE)+VLOOKUP(D371,'point sur les patentes'!B:P,15,FALSE)+VLOOKUP(D371,'point sur les patentes'!B:Q,16,FALSE)+VLOOKUP('vs mars'!D371,'point sur les patentes'!B:Z,25,FALSE))</f>
        <v>#N/A</v>
      </c>
      <c r="W371" s="25" t="e">
        <f>VLOOKUP(D371,'SUIVI JOURNALIER AVRIL'!B:J,9,FALSE)</f>
        <v>#N/A</v>
      </c>
      <c r="X371" s="25" t="e">
        <f>VLOOKUP(D371,'SUIVI JOURNALIER AVRIL'!B:P,14,FALSE)+VLOOKUP('vs mars'!D371,'SUIVI JOURNALIER AVRIL'!B:V,20,FALSE)+VLOOKUP('vs mars'!D371,'SUIVI JOURNALIER AVRIL'!B:W,21,FALSE)</f>
        <v>#N/A</v>
      </c>
      <c r="Y371" s="25" t="e">
        <f>VLOOKUP(D371,'SUIVI JOURNALIER AVRIL'!B:CC,80,FALSE)</f>
        <v>#N/A</v>
      </c>
      <c r="Z371" s="25" t="e">
        <f t="shared" si="12"/>
        <v>#N/A</v>
      </c>
      <c r="AA371" s="343" t="e">
        <f>VLOOKUP(D371,'SUIVI JOURNALIER AVRIL'!B:CD,81,FALSE)</f>
        <v>#N/A</v>
      </c>
      <c r="AB371" s="21" t="e">
        <f t="shared" si="13"/>
        <v>#N/A</v>
      </c>
      <c r="AC371" s="344" t="e">
        <f>VLOOKUP(D371,'SUIVI JOURNALIER AVRIL'!B:C,2,FALSE)</f>
        <v>#N/A</v>
      </c>
      <c r="AE371" s="339"/>
      <c r="AF371">
        <f>VLOOKUP(D371,'SUIVI JOURNALIER AVRIL'!CK:CL,2,FALSE)</f>
        <v>0</v>
      </c>
    </row>
    <row r="372" spans="1:32" ht="13.5" customHeight="1">
      <c r="A372" s="324"/>
      <c r="B372" s="361"/>
      <c r="C372" s="1"/>
      <c r="D372" s="361"/>
      <c r="E372" s="1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18"/>
      <c r="T372" s="1"/>
      <c r="U372" s="54">
        <f>VLOOKUP(D372,'SUIVI JOURNALIER AVRIL'!CK:CM,3,FALSE)</f>
        <v>0</v>
      </c>
      <c r="V372" s="82" t="e">
        <f>IF(VLOOKUP('vs mars'!D372,'point sur les patentes'!B:E,4,FALSE)="","",VLOOKUP(D372,'point sur les patentes'!B:E,4,FALSE)+VLOOKUP(D372,'point sur les patentes'!B:F,5,FALSE)+VLOOKUP('vs mars'!D372,'point sur les patentes'!B:G,6,FALSE)+VLOOKUP('vs mars'!D372,'point sur les patentes'!B:H,7,FALSE)+VLOOKUP('vs mars'!D372,'point sur les patentes'!B:I,8,FALSE)+VLOOKUP(D372,'point sur les patentes'!B:J,9,FALSE)+VLOOKUP(D372,'point sur les patentes'!B:K,10,FALSE)+VLOOKUP(D372,'point sur les patentes'!B:L,11,FALSE)+VLOOKUP(D372,'point sur les patentes'!B:M,12,FALSE)+VLOOKUP(D372,'point sur les patentes'!B:N,13,FALSE)+VLOOKUP(D372,'point sur les patentes'!B:O,14,FALSE)+VLOOKUP(D372,'point sur les patentes'!B:P,15,FALSE)+VLOOKUP(D372,'point sur les patentes'!B:Q,16,FALSE)+VLOOKUP('vs mars'!D372,'point sur les patentes'!B:Z,25,FALSE))</f>
        <v>#N/A</v>
      </c>
      <c r="W372" s="25" t="e">
        <f>VLOOKUP(D372,'SUIVI JOURNALIER AVRIL'!B:J,9,FALSE)</f>
        <v>#N/A</v>
      </c>
      <c r="X372" s="25" t="e">
        <f>VLOOKUP(D372,'SUIVI JOURNALIER AVRIL'!B:P,14,FALSE)+VLOOKUP('vs mars'!D372,'SUIVI JOURNALIER AVRIL'!B:V,20,FALSE)+VLOOKUP('vs mars'!D372,'SUIVI JOURNALIER AVRIL'!B:W,21,FALSE)</f>
        <v>#N/A</v>
      </c>
      <c r="Y372" s="25" t="e">
        <f>VLOOKUP(D372,'SUIVI JOURNALIER AVRIL'!B:CC,80,FALSE)</f>
        <v>#N/A</v>
      </c>
      <c r="Z372" s="25" t="e">
        <f t="shared" si="12"/>
        <v>#N/A</v>
      </c>
      <c r="AA372" s="343" t="e">
        <f>VLOOKUP(D372,'SUIVI JOURNALIER AVRIL'!B:CD,81,FALSE)</f>
        <v>#N/A</v>
      </c>
      <c r="AB372" s="21" t="e">
        <f t="shared" si="13"/>
        <v>#N/A</v>
      </c>
      <c r="AC372" s="344" t="e">
        <f>VLOOKUP(D372,'SUIVI JOURNALIER AVRIL'!B:C,2,FALSE)</f>
        <v>#N/A</v>
      </c>
      <c r="AE372" s="339"/>
      <c r="AF372">
        <f>VLOOKUP(D372,'SUIVI JOURNALIER AVRIL'!CK:CL,2,FALSE)</f>
        <v>0</v>
      </c>
    </row>
    <row r="373" spans="1:32" ht="13.5" customHeight="1">
      <c r="A373" s="324"/>
      <c r="B373" s="361"/>
      <c r="C373" s="1"/>
      <c r="D373" s="361"/>
      <c r="E373" s="1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18"/>
      <c r="T373" s="1"/>
      <c r="U373" s="54">
        <f>VLOOKUP(D373,'SUIVI JOURNALIER AVRIL'!CK:CM,3,FALSE)</f>
        <v>0</v>
      </c>
      <c r="V373" s="82" t="e">
        <f>IF(VLOOKUP('vs mars'!D373,'point sur les patentes'!B:E,4,FALSE)="","",VLOOKUP(D373,'point sur les patentes'!B:E,4,FALSE)+VLOOKUP(D373,'point sur les patentes'!B:F,5,FALSE)+VLOOKUP('vs mars'!D373,'point sur les patentes'!B:G,6,FALSE)+VLOOKUP('vs mars'!D373,'point sur les patentes'!B:H,7,FALSE)+VLOOKUP('vs mars'!D373,'point sur les patentes'!B:I,8,FALSE)+VLOOKUP(D373,'point sur les patentes'!B:J,9,FALSE)+VLOOKUP(D373,'point sur les patentes'!B:K,10,FALSE)+VLOOKUP(D373,'point sur les patentes'!B:L,11,FALSE)+VLOOKUP(D373,'point sur les patentes'!B:M,12,FALSE)+VLOOKUP(D373,'point sur les patentes'!B:N,13,FALSE)+VLOOKUP(D373,'point sur les patentes'!B:O,14,FALSE)+VLOOKUP(D373,'point sur les patentes'!B:P,15,FALSE)+VLOOKUP(D373,'point sur les patentes'!B:Q,16,FALSE)+VLOOKUP('vs mars'!D373,'point sur les patentes'!B:Z,25,FALSE))</f>
        <v>#N/A</v>
      </c>
      <c r="W373" s="25" t="e">
        <f>VLOOKUP(D373,'SUIVI JOURNALIER AVRIL'!B:J,9,FALSE)</f>
        <v>#N/A</v>
      </c>
      <c r="X373" s="25" t="e">
        <f>VLOOKUP(D373,'SUIVI JOURNALIER AVRIL'!B:P,14,FALSE)+VLOOKUP('vs mars'!D373,'SUIVI JOURNALIER AVRIL'!B:V,20,FALSE)+VLOOKUP('vs mars'!D373,'SUIVI JOURNALIER AVRIL'!B:W,21,FALSE)</f>
        <v>#N/A</v>
      </c>
      <c r="Y373" s="25" t="e">
        <f>VLOOKUP(D373,'SUIVI JOURNALIER AVRIL'!B:CC,80,FALSE)</f>
        <v>#N/A</v>
      </c>
      <c r="Z373" s="25" t="e">
        <f t="shared" si="12"/>
        <v>#N/A</v>
      </c>
      <c r="AA373" s="343" t="e">
        <f>VLOOKUP(D373,'SUIVI JOURNALIER AVRIL'!B:CD,81,FALSE)</f>
        <v>#N/A</v>
      </c>
      <c r="AB373" s="21" t="e">
        <f t="shared" si="13"/>
        <v>#N/A</v>
      </c>
      <c r="AC373" s="344" t="e">
        <f>VLOOKUP(D373,'SUIVI JOURNALIER AVRIL'!B:C,2,FALSE)</f>
        <v>#N/A</v>
      </c>
      <c r="AE373" s="339"/>
      <c r="AF373">
        <f>VLOOKUP(D373,'SUIVI JOURNALIER AVRIL'!CK:CL,2,FALSE)</f>
        <v>0</v>
      </c>
    </row>
    <row r="374" spans="1:32" ht="13.5" customHeight="1">
      <c r="A374" s="324"/>
      <c r="B374" s="361"/>
      <c r="C374" s="1"/>
      <c r="D374" s="361"/>
      <c r="E374" s="1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18"/>
      <c r="T374" s="1"/>
      <c r="U374" s="54">
        <f>VLOOKUP(D374,'SUIVI JOURNALIER AVRIL'!CK:CM,3,FALSE)</f>
        <v>0</v>
      </c>
      <c r="V374" s="82" t="e">
        <f>IF(VLOOKUP('vs mars'!D374,'point sur les patentes'!B:E,4,FALSE)="","",VLOOKUP(D374,'point sur les patentes'!B:E,4,FALSE)+VLOOKUP(D374,'point sur les patentes'!B:F,5,FALSE)+VLOOKUP('vs mars'!D374,'point sur les patentes'!B:G,6,FALSE)+VLOOKUP('vs mars'!D374,'point sur les patentes'!B:H,7,FALSE)+VLOOKUP('vs mars'!D374,'point sur les patentes'!B:I,8,FALSE)+VLOOKUP(D374,'point sur les patentes'!B:J,9,FALSE)+VLOOKUP(D374,'point sur les patentes'!B:K,10,FALSE)+VLOOKUP(D374,'point sur les patentes'!B:L,11,FALSE)+VLOOKUP(D374,'point sur les patentes'!B:M,12,FALSE)+VLOOKUP(D374,'point sur les patentes'!B:N,13,FALSE)+VLOOKUP(D374,'point sur les patentes'!B:O,14,FALSE)+VLOOKUP(D374,'point sur les patentes'!B:P,15,FALSE)+VLOOKUP(D374,'point sur les patentes'!B:Q,16,FALSE)+VLOOKUP('vs mars'!D374,'point sur les patentes'!B:Z,25,FALSE))</f>
        <v>#N/A</v>
      </c>
      <c r="W374" s="25" t="e">
        <f>VLOOKUP(D374,'SUIVI JOURNALIER AVRIL'!B:J,9,FALSE)</f>
        <v>#N/A</v>
      </c>
      <c r="X374" s="25" t="e">
        <f>VLOOKUP(D374,'SUIVI JOURNALIER AVRIL'!B:P,14,FALSE)+VLOOKUP('vs mars'!D374,'SUIVI JOURNALIER AVRIL'!B:V,20,FALSE)+VLOOKUP('vs mars'!D374,'SUIVI JOURNALIER AVRIL'!B:W,21,FALSE)</f>
        <v>#N/A</v>
      </c>
      <c r="Y374" s="25" t="e">
        <f>VLOOKUP(D374,'SUIVI JOURNALIER AVRIL'!B:CC,80,FALSE)</f>
        <v>#N/A</v>
      </c>
      <c r="Z374" s="25" t="e">
        <f t="shared" si="12"/>
        <v>#N/A</v>
      </c>
      <c r="AA374" s="343" t="e">
        <f>VLOOKUP(D374,'SUIVI JOURNALIER AVRIL'!B:CD,81,FALSE)</f>
        <v>#N/A</v>
      </c>
      <c r="AB374" s="21" t="e">
        <f t="shared" si="13"/>
        <v>#N/A</v>
      </c>
      <c r="AC374" s="344" t="e">
        <f>VLOOKUP(D374,'SUIVI JOURNALIER AVRIL'!B:C,2,FALSE)</f>
        <v>#N/A</v>
      </c>
      <c r="AE374" s="339"/>
      <c r="AF374">
        <f>VLOOKUP(D374,'SUIVI JOURNALIER AVRIL'!CK:CL,2,FALSE)</f>
        <v>0</v>
      </c>
    </row>
    <row r="375" spans="1:32" ht="13.5" customHeight="1">
      <c r="A375" s="324"/>
      <c r="B375" s="361"/>
      <c r="C375" s="1"/>
      <c r="D375" s="361"/>
      <c r="E375" s="1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18"/>
      <c r="T375" s="1"/>
      <c r="U375" s="54">
        <f>VLOOKUP(D375,'SUIVI JOURNALIER AVRIL'!CK:CM,3,FALSE)</f>
        <v>0</v>
      </c>
      <c r="V375" s="82" t="e">
        <f>IF(VLOOKUP('vs mars'!D375,'point sur les patentes'!B:E,4,FALSE)="","",VLOOKUP(D375,'point sur les patentes'!B:E,4,FALSE)+VLOOKUP(D375,'point sur les patentes'!B:F,5,FALSE)+VLOOKUP('vs mars'!D375,'point sur les patentes'!B:G,6,FALSE)+VLOOKUP('vs mars'!D375,'point sur les patentes'!B:H,7,FALSE)+VLOOKUP('vs mars'!D375,'point sur les patentes'!B:I,8,FALSE)+VLOOKUP(D375,'point sur les patentes'!B:J,9,FALSE)+VLOOKUP(D375,'point sur les patentes'!B:K,10,FALSE)+VLOOKUP(D375,'point sur les patentes'!B:L,11,FALSE)+VLOOKUP(D375,'point sur les patentes'!B:M,12,FALSE)+VLOOKUP(D375,'point sur les patentes'!B:N,13,FALSE)+VLOOKUP(D375,'point sur les patentes'!B:O,14,FALSE)+VLOOKUP(D375,'point sur les patentes'!B:P,15,FALSE)+VLOOKUP(D375,'point sur les patentes'!B:Q,16,FALSE)+VLOOKUP('vs mars'!D375,'point sur les patentes'!B:Z,25,FALSE))</f>
        <v>#N/A</v>
      </c>
      <c r="W375" s="25" t="e">
        <f>VLOOKUP(D375,'SUIVI JOURNALIER AVRIL'!B:J,9,FALSE)</f>
        <v>#N/A</v>
      </c>
      <c r="X375" s="25" t="e">
        <f>VLOOKUP(D375,'SUIVI JOURNALIER AVRIL'!B:P,14,FALSE)+VLOOKUP('vs mars'!D375,'SUIVI JOURNALIER AVRIL'!B:V,20,FALSE)+VLOOKUP('vs mars'!D375,'SUIVI JOURNALIER AVRIL'!B:W,21,FALSE)</f>
        <v>#N/A</v>
      </c>
      <c r="Y375" s="25" t="e">
        <f>VLOOKUP(D375,'SUIVI JOURNALIER AVRIL'!B:CC,80,FALSE)</f>
        <v>#N/A</v>
      </c>
      <c r="Z375" s="25" t="e">
        <f t="shared" si="12"/>
        <v>#N/A</v>
      </c>
      <c r="AA375" s="343" t="e">
        <f>VLOOKUP(D375,'SUIVI JOURNALIER AVRIL'!B:CD,81,FALSE)</f>
        <v>#N/A</v>
      </c>
      <c r="AB375" s="21" t="e">
        <f t="shared" si="13"/>
        <v>#N/A</v>
      </c>
      <c r="AC375" s="344" t="e">
        <f>VLOOKUP(D375,'SUIVI JOURNALIER AVRIL'!B:C,2,FALSE)</f>
        <v>#N/A</v>
      </c>
      <c r="AE375" s="339"/>
      <c r="AF375">
        <f>VLOOKUP(D375,'SUIVI JOURNALIER AVRIL'!CK:CL,2,FALSE)</f>
        <v>0</v>
      </c>
    </row>
    <row r="376" spans="1:32" ht="13.5" customHeight="1">
      <c r="A376" s="324"/>
      <c r="B376" s="361"/>
      <c r="C376" s="1"/>
      <c r="D376" s="361"/>
      <c r="E376" s="1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18"/>
      <c r="T376" s="1"/>
      <c r="U376" s="54">
        <f>VLOOKUP(D376,'SUIVI JOURNALIER AVRIL'!CK:CM,3,FALSE)</f>
        <v>0</v>
      </c>
      <c r="V376" s="82" t="e">
        <f>IF(VLOOKUP('vs mars'!D376,'point sur les patentes'!B:E,4,FALSE)="","",VLOOKUP(D376,'point sur les patentes'!B:E,4,FALSE)+VLOOKUP(D376,'point sur les patentes'!B:F,5,FALSE)+VLOOKUP('vs mars'!D376,'point sur les patentes'!B:G,6,FALSE)+VLOOKUP('vs mars'!D376,'point sur les patentes'!B:H,7,FALSE)+VLOOKUP('vs mars'!D376,'point sur les patentes'!B:I,8,FALSE)+VLOOKUP(D376,'point sur les patentes'!B:J,9,FALSE)+VLOOKUP(D376,'point sur les patentes'!B:K,10,FALSE)+VLOOKUP(D376,'point sur les patentes'!B:L,11,FALSE)+VLOOKUP(D376,'point sur les patentes'!B:M,12,FALSE)+VLOOKUP(D376,'point sur les patentes'!B:N,13,FALSE)+VLOOKUP(D376,'point sur les patentes'!B:O,14,FALSE)+VLOOKUP(D376,'point sur les patentes'!B:P,15,FALSE)+VLOOKUP(D376,'point sur les patentes'!B:Q,16,FALSE)+VLOOKUP('vs mars'!D376,'point sur les patentes'!B:Z,25,FALSE))</f>
        <v>#N/A</v>
      </c>
      <c r="W376" s="25" t="e">
        <f>VLOOKUP(D376,'SUIVI JOURNALIER AVRIL'!B:J,9,FALSE)</f>
        <v>#N/A</v>
      </c>
      <c r="X376" s="25" t="e">
        <f>VLOOKUP(D376,'SUIVI JOURNALIER AVRIL'!B:P,14,FALSE)+VLOOKUP('vs mars'!D376,'SUIVI JOURNALIER AVRIL'!B:V,20,FALSE)+VLOOKUP('vs mars'!D376,'SUIVI JOURNALIER AVRIL'!B:W,21,FALSE)</f>
        <v>#N/A</v>
      </c>
      <c r="Y376" s="25" t="e">
        <f>VLOOKUP(D376,'SUIVI JOURNALIER AVRIL'!B:CC,80,FALSE)</f>
        <v>#N/A</v>
      </c>
      <c r="Z376" s="25" t="e">
        <f t="shared" si="12"/>
        <v>#N/A</v>
      </c>
      <c r="AA376" s="343" t="e">
        <f>VLOOKUP(D376,'SUIVI JOURNALIER AVRIL'!B:CD,81,FALSE)</f>
        <v>#N/A</v>
      </c>
      <c r="AB376" s="21" t="e">
        <f t="shared" si="13"/>
        <v>#N/A</v>
      </c>
      <c r="AC376" s="344" t="e">
        <f>VLOOKUP(D376,'SUIVI JOURNALIER AVRIL'!B:C,2,FALSE)</f>
        <v>#N/A</v>
      </c>
      <c r="AE376" s="339"/>
      <c r="AF376">
        <f>VLOOKUP(D376,'SUIVI JOURNALIER AVRIL'!CK:CL,2,FALSE)</f>
        <v>0</v>
      </c>
    </row>
    <row r="377" spans="1:32" ht="13.5" customHeight="1">
      <c r="A377" s="324"/>
      <c r="B377" s="361"/>
      <c r="C377" s="1"/>
      <c r="D377" s="361"/>
      <c r="E377" s="1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18"/>
      <c r="T377" s="1"/>
      <c r="U377" s="54">
        <f>VLOOKUP(D377,'SUIVI JOURNALIER AVRIL'!CK:CM,3,FALSE)</f>
        <v>0</v>
      </c>
      <c r="V377" s="82" t="e">
        <f>IF(VLOOKUP('vs mars'!D377,'point sur les patentes'!B:E,4,FALSE)="","",VLOOKUP(D377,'point sur les patentes'!B:E,4,FALSE)+VLOOKUP(D377,'point sur les patentes'!B:F,5,FALSE)+VLOOKUP('vs mars'!D377,'point sur les patentes'!B:G,6,FALSE)+VLOOKUP('vs mars'!D377,'point sur les patentes'!B:H,7,FALSE)+VLOOKUP('vs mars'!D377,'point sur les patentes'!B:I,8,FALSE)+VLOOKUP(D377,'point sur les patentes'!B:J,9,FALSE)+VLOOKUP(D377,'point sur les patentes'!B:K,10,FALSE)+VLOOKUP(D377,'point sur les patentes'!B:L,11,FALSE)+VLOOKUP(D377,'point sur les patentes'!B:M,12,FALSE)+VLOOKUP(D377,'point sur les patentes'!B:N,13,FALSE)+VLOOKUP(D377,'point sur les patentes'!B:O,14,FALSE)+VLOOKUP(D377,'point sur les patentes'!B:P,15,FALSE)+VLOOKUP(D377,'point sur les patentes'!B:Q,16,FALSE)+VLOOKUP('vs mars'!D377,'point sur les patentes'!B:Z,25,FALSE))</f>
        <v>#N/A</v>
      </c>
      <c r="W377" s="25" t="e">
        <f>VLOOKUP(D377,'SUIVI JOURNALIER AVRIL'!B:J,9,FALSE)</f>
        <v>#N/A</v>
      </c>
      <c r="X377" s="25" t="e">
        <f>VLOOKUP(D377,'SUIVI JOURNALIER AVRIL'!B:P,14,FALSE)+VLOOKUP('vs mars'!D377,'SUIVI JOURNALIER AVRIL'!B:V,20,FALSE)+VLOOKUP('vs mars'!D377,'SUIVI JOURNALIER AVRIL'!B:W,21,FALSE)</f>
        <v>#N/A</v>
      </c>
      <c r="Y377" s="25" t="e">
        <f>VLOOKUP(D377,'SUIVI JOURNALIER AVRIL'!B:CC,80,FALSE)</f>
        <v>#N/A</v>
      </c>
      <c r="Z377" s="25" t="e">
        <f t="shared" si="12"/>
        <v>#N/A</v>
      </c>
      <c r="AA377" s="343" t="e">
        <f>VLOOKUP(D377,'SUIVI JOURNALIER AVRIL'!B:CD,81,FALSE)</f>
        <v>#N/A</v>
      </c>
      <c r="AB377" s="21" t="e">
        <f t="shared" si="13"/>
        <v>#N/A</v>
      </c>
      <c r="AC377" s="344" t="e">
        <f>VLOOKUP(D377,'SUIVI JOURNALIER AVRIL'!B:C,2,FALSE)</f>
        <v>#N/A</v>
      </c>
      <c r="AE377" s="339"/>
      <c r="AF377">
        <f>VLOOKUP(D377,'SUIVI JOURNALIER AVRIL'!CK:CL,2,FALSE)</f>
        <v>0</v>
      </c>
    </row>
    <row r="378" spans="1:32" ht="13.5" customHeight="1">
      <c r="A378" s="324"/>
      <c r="B378" s="361"/>
      <c r="C378" s="1"/>
      <c r="D378" s="361"/>
      <c r="E378" s="1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18"/>
      <c r="T378" s="1"/>
      <c r="U378" s="54">
        <f>VLOOKUP(D378,'SUIVI JOURNALIER AVRIL'!CK:CM,3,FALSE)</f>
        <v>0</v>
      </c>
      <c r="V378" s="82" t="e">
        <f>IF(VLOOKUP('vs mars'!D378,'point sur les patentes'!B:E,4,FALSE)="","",VLOOKUP(D378,'point sur les patentes'!B:E,4,FALSE)+VLOOKUP(D378,'point sur les patentes'!B:F,5,FALSE)+VLOOKUP('vs mars'!D378,'point sur les patentes'!B:G,6,FALSE)+VLOOKUP('vs mars'!D378,'point sur les patentes'!B:H,7,FALSE)+VLOOKUP('vs mars'!D378,'point sur les patentes'!B:I,8,FALSE)+VLOOKUP(D378,'point sur les patentes'!B:J,9,FALSE)+VLOOKUP(D378,'point sur les patentes'!B:K,10,FALSE)+VLOOKUP(D378,'point sur les patentes'!B:L,11,FALSE)+VLOOKUP(D378,'point sur les patentes'!B:M,12,FALSE)+VLOOKUP(D378,'point sur les patentes'!B:N,13,FALSE)+VLOOKUP(D378,'point sur les patentes'!B:O,14,FALSE)+VLOOKUP(D378,'point sur les patentes'!B:P,15,FALSE)+VLOOKUP(D378,'point sur les patentes'!B:Q,16,FALSE)+VLOOKUP('vs mars'!D378,'point sur les patentes'!B:Z,25,FALSE))</f>
        <v>#N/A</v>
      </c>
      <c r="W378" s="25" t="e">
        <f>VLOOKUP(D378,'SUIVI JOURNALIER AVRIL'!B:J,9,FALSE)</f>
        <v>#N/A</v>
      </c>
      <c r="X378" s="25" t="e">
        <f>VLOOKUP(D378,'SUIVI JOURNALIER AVRIL'!B:P,14,FALSE)+VLOOKUP('vs mars'!D378,'SUIVI JOURNALIER AVRIL'!B:V,20,FALSE)+VLOOKUP('vs mars'!D378,'SUIVI JOURNALIER AVRIL'!B:W,21,FALSE)</f>
        <v>#N/A</v>
      </c>
      <c r="Y378" s="25" t="e">
        <f>VLOOKUP(D378,'SUIVI JOURNALIER AVRIL'!B:CC,80,FALSE)</f>
        <v>#N/A</v>
      </c>
      <c r="Z378" s="25" t="e">
        <f t="shared" si="12"/>
        <v>#N/A</v>
      </c>
      <c r="AA378" s="343" t="e">
        <f>VLOOKUP(D378,'SUIVI JOURNALIER AVRIL'!B:CD,81,FALSE)</f>
        <v>#N/A</v>
      </c>
      <c r="AB378" s="21" t="e">
        <f t="shared" si="13"/>
        <v>#N/A</v>
      </c>
      <c r="AC378" s="344" t="e">
        <f>VLOOKUP(D378,'SUIVI JOURNALIER AVRIL'!B:C,2,FALSE)</f>
        <v>#N/A</v>
      </c>
      <c r="AE378" s="339"/>
      <c r="AF378">
        <f>VLOOKUP(D378,'SUIVI JOURNALIER AVRIL'!CK:CL,2,FALSE)</f>
        <v>0</v>
      </c>
    </row>
    <row r="379" spans="1:32" ht="13.5" customHeight="1">
      <c r="A379" s="324"/>
      <c r="B379" s="361"/>
      <c r="C379" s="1"/>
      <c r="D379" s="361"/>
      <c r="E379" s="1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18"/>
      <c r="T379" s="1"/>
      <c r="U379" s="54">
        <f>VLOOKUP(D379,'SUIVI JOURNALIER AVRIL'!CK:CM,3,FALSE)</f>
        <v>0</v>
      </c>
      <c r="V379" s="82" t="e">
        <f>IF(VLOOKUP('vs mars'!D379,'point sur les patentes'!B:E,4,FALSE)="","",VLOOKUP(D379,'point sur les patentes'!B:E,4,FALSE)+VLOOKUP(D379,'point sur les patentes'!B:F,5,FALSE)+VLOOKUP('vs mars'!D379,'point sur les patentes'!B:G,6,FALSE)+VLOOKUP('vs mars'!D379,'point sur les patentes'!B:H,7,FALSE)+VLOOKUP('vs mars'!D379,'point sur les patentes'!B:I,8,FALSE)+VLOOKUP(D379,'point sur les patentes'!B:J,9,FALSE)+VLOOKUP(D379,'point sur les patentes'!B:K,10,FALSE)+VLOOKUP(D379,'point sur les patentes'!B:L,11,FALSE)+VLOOKUP(D379,'point sur les patentes'!B:M,12,FALSE)+VLOOKUP(D379,'point sur les patentes'!B:N,13,FALSE)+VLOOKUP(D379,'point sur les patentes'!B:O,14,FALSE)+VLOOKUP(D379,'point sur les patentes'!B:P,15,FALSE)+VLOOKUP(D379,'point sur les patentes'!B:Q,16,FALSE)+VLOOKUP('vs mars'!D379,'point sur les patentes'!B:Z,25,FALSE))</f>
        <v>#N/A</v>
      </c>
      <c r="W379" s="25" t="e">
        <f>VLOOKUP(D379,'SUIVI JOURNALIER AVRIL'!B:J,9,FALSE)</f>
        <v>#N/A</v>
      </c>
      <c r="X379" s="25" t="e">
        <f>VLOOKUP(D379,'SUIVI JOURNALIER AVRIL'!B:P,14,FALSE)+VLOOKUP('vs mars'!D379,'SUIVI JOURNALIER AVRIL'!B:V,20,FALSE)+VLOOKUP('vs mars'!D379,'SUIVI JOURNALIER AVRIL'!B:W,21,FALSE)</f>
        <v>#N/A</v>
      </c>
      <c r="Y379" s="25" t="e">
        <f>VLOOKUP(D379,'SUIVI JOURNALIER AVRIL'!B:CC,80,FALSE)</f>
        <v>#N/A</v>
      </c>
      <c r="Z379" s="25" t="e">
        <f t="shared" si="12"/>
        <v>#N/A</v>
      </c>
      <c r="AA379" s="343" t="e">
        <f>VLOOKUP(D379,'SUIVI JOURNALIER AVRIL'!B:CD,81,FALSE)</f>
        <v>#N/A</v>
      </c>
      <c r="AB379" s="21" t="e">
        <f t="shared" si="13"/>
        <v>#N/A</v>
      </c>
      <c r="AC379" s="344" t="e">
        <f>VLOOKUP(D379,'SUIVI JOURNALIER AVRIL'!B:C,2,FALSE)</f>
        <v>#N/A</v>
      </c>
      <c r="AE379" s="339"/>
      <c r="AF379">
        <f>VLOOKUP(D379,'SUIVI JOURNALIER AVRIL'!CK:CL,2,FALSE)</f>
        <v>0</v>
      </c>
    </row>
    <row r="380" spans="1:32" ht="13.5" customHeight="1">
      <c r="A380" s="324"/>
      <c r="B380" s="361"/>
      <c r="C380" s="1"/>
      <c r="D380" s="361"/>
      <c r="E380" s="1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18"/>
      <c r="T380" s="1"/>
      <c r="U380" s="54">
        <f>VLOOKUP(D380,'SUIVI JOURNALIER AVRIL'!CK:CM,3,FALSE)</f>
        <v>0</v>
      </c>
      <c r="V380" s="82" t="e">
        <f>IF(VLOOKUP('vs mars'!D380,'point sur les patentes'!B:E,4,FALSE)="","",VLOOKUP(D380,'point sur les patentes'!B:E,4,FALSE)+VLOOKUP(D380,'point sur les patentes'!B:F,5,FALSE)+VLOOKUP('vs mars'!D380,'point sur les patentes'!B:G,6,FALSE)+VLOOKUP('vs mars'!D380,'point sur les patentes'!B:H,7,FALSE)+VLOOKUP('vs mars'!D380,'point sur les patentes'!B:I,8,FALSE)+VLOOKUP(D380,'point sur les patentes'!B:J,9,FALSE)+VLOOKUP(D380,'point sur les patentes'!B:K,10,FALSE)+VLOOKUP(D380,'point sur les patentes'!B:L,11,FALSE)+VLOOKUP(D380,'point sur les patentes'!B:M,12,FALSE)+VLOOKUP(D380,'point sur les patentes'!B:N,13,FALSE)+VLOOKUP(D380,'point sur les patentes'!B:O,14,FALSE)+VLOOKUP(D380,'point sur les patentes'!B:P,15,FALSE)+VLOOKUP(D380,'point sur les patentes'!B:Q,16,FALSE)+VLOOKUP('vs mars'!D380,'point sur les patentes'!B:Z,25,FALSE))</f>
        <v>#N/A</v>
      </c>
      <c r="W380" s="25" t="e">
        <f>VLOOKUP(D380,'SUIVI JOURNALIER AVRIL'!B:J,9,FALSE)</f>
        <v>#N/A</v>
      </c>
      <c r="X380" s="25" t="e">
        <f>VLOOKUP(D380,'SUIVI JOURNALIER AVRIL'!B:P,14,FALSE)+VLOOKUP('vs mars'!D380,'SUIVI JOURNALIER AVRIL'!B:V,20,FALSE)+VLOOKUP('vs mars'!D380,'SUIVI JOURNALIER AVRIL'!B:W,21,FALSE)</f>
        <v>#N/A</v>
      </c>
      <c r="Y380" s="25" t="e">
        <f>VLOOKUP(D380,'SUIVI JOURNALIER AVRIL'!B:CC,80,FALSE)</f>
        <v>#N/A</v>
      </c>
      <c r="Z380" s="25" t="e">
        <f t="shared" si="12"/>
        <v>#N/A</v>
      </c>
      <c r="AA380" s="343" t="e">
        <f>VLOOKUP(D380,'SUIVI JOURNALIER AVRIL'!B:CD,81,FALSE)</f>
        <v>#N/A</v>
      </c>
      <c r="AB380" s="21" t="e">
        <f t="shared" si="13"/>
        <v>#N/A</v>
      </c>
      <c r="AC380" s="344" t="e">
        <f>VLOOKUP(D380,'SUIVI JOURNALIER AVRIL'!B:C,2,FALSE)</f>
        <v>#N/A</v>
      </c>
      <c r="AE380" s="339"/>
      <c r="AF380">
        <f>VLOOKUP(D380,'SUIVI JOURNALIER AVRIL'!CK:CL,2,FALSE)</f>
        <v>0</v>
      </c>
    </row>
    <row r="381" spans="1:32" ht="13.5" customHeight="1">
      <c r="A381" s="324"/>
      <c r="B381" s="361"/>
      <c r="C381" s="1"/>
      <c r="D381" s="361"/>
      <c r="E381" s="1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18"/>
      <c r="T381" s="1"/>
      <c r="U381" s="54">
        <f>VLOOKUP(D381,'SUIVI JOURNALIER AVRIL'!CK:CM,3,FALSE)</f>
        <v>0</v>
      </c>
      <c r="V381" s="82" t="e">
        <f>IF(VLOOKUP('vs mars'!D381,'point sur les patentes'!B:E,4,FALSE)="","",VLOOKUP(D381,'point sur les patentes'!B:E,4,FALSE)+VLOOKUP(D381,'point sur les patentes'!B:F,5,FALSE)+VLOOKUP('vs mars'!D381,'point sur les patentes'!B:G,6,FALSE)+VLOOKUP('vs mars'!D381,'point sur les patentes'!B:H,7,FALSE)+VLOOKUP('vs mars'!D381,'point sur les patentes'!B:I,8,FALSE)+VLOOKUP(D381,'point sur les patentes'!B:J,9,FALSE)+VLOOKUP(D381,'point sur les patentes'!B:K,10,FALSE)+VLOOKUP(D381,'point sur les patentes'!B:L,11,FALSE)+VLOOKUP(D381,'point sur les patentes'!B:M,12,FALSE)+VLOOKUP(D381,'point sur les patentes'!B:N,13,FALSE)+VLOOKUP(D381,'point sur les patentes'!B:O,14,FALSE)+VLOOKUP(D381,'point sur les patentes'!B:P,15,FALSE)+VLOOKUP(D381,'point sur les patentes'!B:Q,16,FALSE)+VLOOKUP('vs mars'!D381,'point sur les patentes'!B:Z,25,FALSE))</f>
        <v>#N/A</v>
      </c>
      <c r="W381" s="25" t="e">
        <f>VLOOKUP(D381,'SUIVI JOURNALIER AVRIL'!B:J,9,FALSE)</f>
        <v>#N/A</v>
      </c>
      <c r="X381" s="25" t="e">
        <f>VLOOKUP(D381,'SUIVI JOURNALIER AVRIL'!B:P,14,FALSE)+VLOOKUP('vs mars'!D381,'SUIVI JOURNALIER AVRIL'!B:V,20,FALSE)+VLOOKUP('vs mars'!D381,'SUIVI JOURNALIER AVRIL'!B:W,21,FALSE)</f>
        <v>#N/A</v>
      </c>
      <c r="Y381" s="25" t="e">
        <f>VLOOKUP(D381,'SUIVI JOURNALIER AVRIL'!B:CC,80,FALSE)</f>
        <v>#N/A</v>
      </c>
      <c r="Z381" s="25" t="e">
        <f t="shared" si="12"/>
        <v>#N/A</v>
      </c>
      <c r="AA381" s="343" t="e">
        <f>VLOOKUP(D381,'SUIVI JOURNALIER AVRIL'!B:CD,81,FALSE)</f>
        <v>#N/A</v>
      </c>
      <c r="AB381" s="21" t="e">
        <f t="shared" si="13"/>
        <v>#N/A</v>
      </c>
      <c r="AC381" s="344" t="e">
        <f>VLOOKUP(D381,'SUIVI JOURNALIER AVRIL'!B:C,2,FALSE)</f>
        <v>#N/A</v>
      </c>
      <c r="AE381" s="339"/>
      <c r="AF381">
        <f>VLOOKUP(D381,'SUIVI JOURNALIER AVRIL'!CK:CL,2,FALSE)</f>
        <v>0</v>
      </c>
    </row>
    <row r="382" spans="1:32" ht="13.5" customHeight="1">
      <c r="A382" s="324"/>
      <c r="B382" s="361"/>
      <c r="C382" s="1"/>
      <c r="D382" s="361"/>
      <c r="E382" s="1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18"/>
      <c r="T382" s="1"/>
      <c r="U382" s="54">
        <f>VLOOKUP(D382,'SUIVI JOURNALIER AVRIL'!CK:CM,3,FALSE)</f>
        <v>0</v>
      </c>
      <c r="V382" s="82" t="e">
        <f>IF(VLOOKUP('vs mars'!D382,'point sur les patentes'!B:E,4,FALSE)="","",VLOOKUP(D382,'point sur les patentes'!B:E,4,FALSE)+VLOOKUP(D382,'point sur les patentes'!B:F,5,FALSE)+VLOOKUP('vs mars'!D382,'point sur les patentes'!B:G,6,FALSE)+VLOOKUP('vs mars'!D382,'point sur les patentes'!B:H,7,FALSE)+VLOOKUP('vs mars'!D382,'point sur les patentes'!B:I,8,FALSE)+VLOOKUP(D382,'point sur les patentes'!B:J,9,FALSE)+VLOOKUP(D382,'point sur les patentes'!B:K,10,FALSE)+VLOOKUP(D382,'point sur les patentes'!B:L,11,FALSE)+VLOOKUP(D382,'point sur les patentes'!B:M,12,FALSE)+VLOOKUP(D382,'point sur les patentes'!B:N,13,FALSE)+VLOOKUP(D382,'point sur les patentes'!B:O,14,FALSE)+VLOOKUP(D382,'point sur les patentes'!B:P,15,FALSE)+VLOOKUP(D382,'point sur les patentes'!B:Q,16,FALSE)+VLOOKUP('vs mars'!D382,'point sur les patentes'!B:Z,25,FALSE))</f>
        <v>#N/A</v>
      </c>
      <c r="W382" s="25" t="e">
        <f>VLOOKUP(D382,'SUIVI JOURNALIER AVRIL'!B:J,9,FALSE)</f>
        <v>#N/A</v>
      </c>
      <c r="X382" s="25" t="e">
        <f>VLOOKUP(D382,'SUIVI JOURNALIER AVRIL'!B:P,14,FALSE)+VLOOKUP('vs mars'!D382,'SUIVI JOURNALIER AVRIL'!B:V,20,FALSE)+VLOOKUP('vs mars'!D382,'SUIVI JOURNALIER AVRIL'!B:W,21,FALSE)</f>
        <v>#N/A</v>
      </c>
      <c r="Y382" s="25" t="e">
        <f>VLOOKUP(D382,'SUIVI JOURNALIER AVRIL'!B:CC,80,FALSE)</f>
        <v>#N/A</v>
      </c>
      <c r="Z382" s="25" t="e">
        <f t="shared" si="12"/>
        <v>#N/A</v>
      </c>
      <c r="AA382" s="343" t="e">
        <f>VLOOKUP(D382,'SUIVI JOURNALIER AVRIL'!B:CD,81,FALSE)</f>
        <v>#N/A</v>
      </c>
      <c r="AB382" s="21" t="e">
        <f t="shared" si="13"/>
        <v>#N/A</v>
      </c>
      <c r="AC382" s="344" t="e">
        <f>VLOOKUP(D382,'SUIVI JOURNALIER AVRIL'!B:C,2,FALSE)</f>
        <v>#N/A</v>
      </c>
      <c r="AE382" s="339"/>
      <c r="AF382">
        <f>VLOOKUP(D382,'SUIVI JOURNALIER AVRIL'!CK:CL,2,FALSE)</f>
        <v>0</v>
      </c>
    </row>
    <row r="383" spans="1:32" ht="13.5" customHeight="1">
      <c r="A383" s="324"/>
      <c r="B383" s="361"/>
      <c r="C383" s="1"/>
      <c r="D383" s="361"/>
      <c r="E383" s="1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18"/>
      <c r="T383" s="1"/>
      <c r="U383" s="54">
        <f>VLOOKUP(D383,'SUIVI JOURNALIER AVRIL'!CK:CM,3,FALSE)</f>
        <v>0</v>
      </c>
      <c r="V383" s="82" t="e">
        <f>IF(VLOOKUP('vs mars'!D383,'point sur les patentes'!B:E,4,FALSE)="","",VLOOKUP(D383,'point sur les patentes'!B:E,4,FALSE)+VLOOKUP(D383,'point sur les patentes'!B:F,5,FALSE)+VLOOKUP('vs mars'!D383,'point sur les patentes'!B:G,6,FALSE)+VLOOKUP('vs mars'!D383,'point sur les patentes'!B:H,7,FALSE)+VLOOKUP('vs mars'!D383,'point sur les patentes'!B:I,8,FALSE)+VLOOKUP(D383,'point sur les patentes'!B:J,9,FALSE)+VLOOKUP(D383,'point sur les patentes'!B:K,10,FALSE)+VLOOKUP(D383,'point sur les patentes'!B:L,11,FALSE)+VLOOKUP(D383,'point sur les patentes'!B:M,12,FALSE)+VLOOKUP(D383,'point sur les patentes'!B:N,13,FALSE)+VLOOKUP(D383,'point sur les patentes'!B:O,14,FALSE)+VLOOKUP(D383,'point sur les patentes'!B:P,15,FALSE)+VLOOKUP(D383,'point sur les patentes'!B:Q,16,FALSE)+VLOOKUP('vs mars'!D383,'point sur les patentes'!B:Z,25,FALSE))</f>
        <v>#N/A</v>
      </c>
      <c r="W383" s="25" t="e">
        <f>VLOOKUP(D383,'SUIVI JOURNALIER AVRIL'!B:J,9,FALSE)</f>
        <v>#N/A</v>
      </c>
      <c r="X383" s="25" t="e">
        <f>VLOOKUP(D383,'SUIVI JOURNALIER AVRIL'!B:P,14,FALSE)+VLOOKUP('vs mars'!D383,'SUIVI JOURNALIER AVRIL'!B:V,20,FALSE)+VLOOKUP('vs mars'!D383,'SUIVI JOURNALIER AVRIL'!B:W,21,FALSE)</f>
        <v>#N/A</v>
      </c>
      <c r="Y383" s="25" t="e">
        <f>VLOOKUP(D383,'SUIVI JOURNALIER AVRIL'!B:CC,80,FALSE)</f>
        <v>#N/A</v>
      </c>
      <c r="Z383" s="25" t="e">
        <f t="shared" si="12"/>
        <v>#N/A</v>
      </c>
      <c r="AA383" s="343" t="e">
        <f>VLOOKUP(D383,'SUIVI JOURNALIER AVRIL'!B:CD,81,FALSE)</f>
        <v>#N/A</v>
      </c>
      <c r="AB383" s="21" t="e">
        <f t="shared" si="13"/>
        <v>#N/A</v>
      </c>
      <c r="AC383" s="344" t="e">
        <f>VLOOKUP(D383,'SUIVI JOURNALIER AVRIL'!B:C,2,FALSE)</f>
        <v>#N/A</v>
      </c>
      <c r="AE383" s="339"/>
      <c r="AF383">
        <f>VLOOKUP(D383,'SUIVI JOURNALIER AVRIL'!CK:CL,2,FALSE)</f>
        <v>0</v>
      </c>
    </row>
    <row r="384" spans="1:32" ht="13.5" customHeight="1">
      <c r="A384" s="324"/>
      <c r="B384" s="361"/>
      <c r="C384" s="1"/>
      <c r="D384" s="361"/>
      <c r="E384" s="1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18"/>
      <c r="T384" s="1"/>
      <c r="U384" s="54">
        <f>VLOOKUP(D384,'SUIVI JOURNALIER AVRIL'!CK:CM,3,FALSE)</f>
        <v>0</v>
      </c>
      <c r="V384" s="82" t="e">
        <f>IF(VLOOKUP('vs mars'!D384,'point sur les patentes'!B:E,4,FALSE)="","",VLOOKUP(D384,'point sur les patentes'!B:E,4,FALSE)+VLOOKUP(D384,'point sur les patentes'!B:F,5,FALSE)+VLOOKUP('vs mars'!D384,'point sur les patentes'!B:G,6,FALSE)+VLOOKUP('vs mars'!D384,'point sur les patentes'!B:H,7,FALSE)+VLOOKUP('vs mars'!D384,'point sur les patentes'!B:I,8,FALSE)+VLOOKUP(D384,'point sur les patentes'!B:J,9,FALSE)+VLOOKUP(D384,'point sur les patentes'!B:K,10,FALSE)+VLOOKUP(D384,'point sur les patentes'!B:L,11,FALSE)+VLOOKUP(D384,'point sur les patentes'!B:M,12,FALSE)+VLOOKUP(D384,'point sur les patentes'!B:N,13,FALSE)+VLOOKUP(D384,'point sur les patentes'!B:O,14,FALSE)+VLOOKUP(D384,'point sur les patentes'!B:P,15,FALSE)+VLOOKUP(D384,'point sur les patentes'!B:Q,16,FALSE)+VLOOKUP('vs mars'!D384,'point sur les patentes'!B:Z,25,FALSE))</f>
        <v>#N/A</v>
      </c>
      <c r="W384" s="25" t="e">
        <f>VLOOKUP(D384,'SUIVI JOURNALIER AVRIL'!B:J,9,FALSE)</f>
        <v>#N/A</v>
      </c>
      <c r="X384" s="25" t="e">
        <f>VLOOKUP(D384,'SUIVI JOURNALIER AVRIL'!B:P,14,FALSE)+VLOOKUP('vs mars'!D384,'SUIVI JOURNALIER AVRIL'!B:V,20,FALSE)+VLOOKUP('vs mars'!D384,'SUIVI JOURNALIER AVRIL'!B:W,21,FALSE)</f>
        <v>#N/A</v>
      </c>
      <c r="Y384" s="25" t="e">
        <f>VLOOKUP(D384,'SUIVI JOURNALIER AVRIL'!B:CC,80,FALSE)</f>
        <v>#N/A</v>
      </c>
      <c r="Z384" s="25" t="e">
        <f t="shared" si="12"/>
        <v>#N/A</v>
      </c>
      <c r="AA384" s="343" t="e">
        <f>VLOOKUP(D384,'SUIVI JOURNALIER AVRIL'!B:CD,81,FALSE)</f>
        <v>#N/A</v>
      </c>
      <c r="AB384" s="21" t="e">
        <f t="shared" si="13"/>
        <v>#N/A</v>
      </c>
      <c r="AC384" s="344" t="e">
        <f>VLOOKUP(D384,'SUIVI JOURNALIER AVRIL'!B:C,2,FALSE)</f>
        <v>#N/A</v>
      </c>
      <c r="AE384" s="339"/>
      <c r="AF384">
        <f>VLOOKUP(D384,'SUIVI JOURNALIER AVRIL'!CK:CL,2,FALSE)</f>
        <v>0</v>
      </c>
    </row>
    <row r="385" spans="1:32" ht="13.5" customHeight="1">
      <c r="A385" s="324"/>
      <c r="B385" s="361"/>
      <c r="C385" s="1"/>
      <c r="D385" s="361"/>
      <c r="E385" s="1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18"/>
      <c r="T385" s="1"/>
      <c r="U385" s="54">
        <f>VLOOKUP(D385,'SUIVI JOURNALIER AVRIL'!CK:CM,3,FALSE)</f>
        <v>0</v>
      </c>
      <c r="V385" s="82" t="e">
        <f>IF(VLOOKUP('vs mars'!D385,'point sur les patentes'!B:E,4,FALSE)="","",VLOOKUP(D385,'point sur les patentes'!B:E,4,FALSE)+VLOOKUP(D385,'point sur les patentes'!B:F,5,FALSE)+VLOOKUP('vs mars'!D385,'point sur les patentes'!B:G,6,FALSE)+VLOOKUP('vs mars'!D385,'point sur les patentes'!B:H,7,FALSE)+VLOOKUP('vs mars'!D385,'point sur les patentes'!B:I,8,FALSE)+VLOOKUP(D385,'point sur les patentes'!B:J,9,FALSE)+VLOOKUP(D385,'point sur les patentes'!B:K,10,FALSE)+VLOOKUP(D385,'point sur les patentes'!B:L,11,FALSE)+VLOOKUP(D385,'point sur les patentes'!B:M,12,FALSE)+VLOOKUP(D385,'point sur les patentes'!B:N,13,FALSE)+VLOOKUP(D385,'point sur les patentes'!B:O,14,FALSE)+VLOOKUP(D385,'point sur les patentes'!B:P,15,FALSE)+VLOOKUP(D385,'point sur les patentes'!B:Q,16,FALSE)+VLOOKUP('vs mars'!D385,'point sur les patentes'!B:Z,25,FALSE))</f>
        <v>#N/A</v>
      </c>
      <c r="W385" s="25" t="e">
        <f>VLOOKUP(D385,'SUIVI JOURNALIER AVRIL'!B:J,9,FALSE)</f>
        <v>#N/A</v>
      </c>
      <c r="X385" s="25" t="e">
        <f>VLOOKUP(D385,'SUIVI JOURNALIER AVRIL'!B:P,14,FALSE)+VLOOKUP('vs mars'!D385,'SUIVI JOURNALIER AVRIL'!B:V,20,FALSE)+VLOOKUP('vs mars'!D385,'SUIVI JOURNALIER AVRIL'!B:W,21,FALSE)</f>
        <v>#N/A</v>
      </c>
      <c r="Y385" s="25" t="e">
        <f>VLOOKUP(D385,'SUIVI JOURNALIER AVRIL'!B:CC,80,FALSE)</f>
        <v>#N/A</v>
      </c>
      <c r="Z385" s="25" t="e">
        <f t="shared" si="12"/>
        <v>#N/A</v>
      </c>
      <c r="AA385" s="343" t="e">
        <f>VLOOKUP(D385,'SUIVI JOURNALIER AVRIL'!B:CD,81,FALSE)</f>
        <v>#N/A</v>
      </c>
      <c r="AB385" s="21" t="e">
        <f t="shared" si="13"/>
        <v>#N/A</v>
      </c>
      <c r="AC385" s="344" t="e">
        <f>VLOOKUP(D385,'SUIVI JOURNALIER AVRIL'!B:C,2,FALSE)</f>
        <v>#N/A</v>
      </c>
      <c r="AE385" s="339"/>
      <c r="AF385">
        <f>VLOOKUP(D385,'SUIVI JOURNALIER AVRIL'!CK:CL,2,FALSE)</f>
        <v>0</v>
      </c>
    </row>
    <row r="386" spans="1:32" ht="13.5" customHeight="1">
      <c r="A386" s="324"/>
      <c r="B386" s="361"/>
      <c r="C386" s="1"/>
      <c r="D386" s="361"/>
      <c r="E386" s="1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18"/>
      <c r="T386" s="1"/>
      <c r="U386" s="54">
        <f>VLOOKUP(D386,'SUIVI JOURNALIER AVRIL'!CK:CM,3,FALSE)</f>
        <v>0</v>
      </c>
      <c r="V386" s="82" t="e">
        <f>IF(VLOOKUP('vs mars'!D386,'point sur les patentes'!B:E,4,FALSE)="","",VLOOKUP(D386,'point sur les patentes'!B:E,4,FALSE)+VLOOKUP(D386,'point sur les patentes'!B:F,5,FALSE)+VLOOKUP('vs mars'!D386,'point sur les patentes'!B:G,6,FALSE)+VLOOKUP('vs mars'!D386,'point sur les patentes'!B:H,7,FALSE)+VLOOKUP('vs mars'!D386,'point sur les patentes'!B:I,8,FALSE)+VLOOKUP(D386,'point sur les patentes'!B:J,9,FALSE)+VLOOKUP(D386,'point sur les patentes'!B:K,10,FALSE)+VLOOKUP(D386,'point sur les patentes'!B:L,11,FALSE)+VLOOKUP(D386,'point sur les patentes'!B:M,12,FALSE)+VLOOKUP(D386,'point sur les patentes'!B:N,13,FALSE)+VLOOKUP(D386,'point sur les patentes'!B:O,14,FALSE)+VLOOKUP(D386,'point sur les patentes'!B:P,15,FALSE)+VLOOKUP(D386,'point sur les patentes'!B:Q,16,FALSE)+VLOOKUP('vs mars'!D386,'point sur les patentes'!B:Z,25,FALSE))</f>
        <v>#N/A</v>
      </c>
      <c r="W386" s="25" t="e">
        <f>VLOOKUP(D386,'SUIVI JOURNALIER AVRIL'!B:J,9,FALSE)</f>
        <v>#N/A</v>
      </c>
      <c r="X386" s="25" t="e">
        <f>VLOOKUP(D386,'SUIVI JOURNALIER AVRIL'!B:P,14,FALSE)+VLOOKUP('vs mars'!D386,'SUIVI JOURNALIER AVRIL'!B:V,20,FALSE)+VLOOKUP('vs mars'!D386,'SUIVI JOURNALIER AVRIL'!B:W,21,FALSE)</f>
        <v>#N/A</v>
      </c>
      <c r="Y386" s="25" t="e">
        <f>VLOOKUP(D386,'SUIVI JOURNALIER AVRIL'!B:CC,80,FALSE)</f>
        <v>#N/A</v>
      </c>
      <c r="Z386" s="25" t="e">
        <f t="shared" si="12"/>
        <v>#N/A</v>
      </c>
      <c r="AA386" s="343" t="e">
        <f>VLOOKUP(D386,'SUIVI JOURNALIER AVRIL'!B:CD,81,FALSE)</f>
        <v>#N/A</v>
      </c>
      <c r="AB386" s="21" t="e">
        <f t="shared" si="13"/>
        <v>#N/A</v>
      </c>
      <c r="AC386" s="344" t="e">
        <f>VLOOKUP(D386,'SUIVI JOURNALIER AVRIL'!B:C,2,FALSE)</f>
        <v>#N/A</v>
      </c>
      <c r="AE386" s="339"/>
      <c r="AF386">
        <f>VLOOKUP(D386,'SUIVI JOURNALIER AVRIL'!CK:CL,2,FALSE)</f>
        <v>0</v>
      </c>
    </row>
    <row r="387" spans="1:32" ht="13.5" customHeight="1">
      <c r="A387" s="324"/>
      <c r="B387" s="361"/>
      <c r="C387" s="1"/>
      <c r="D387" s="361"/>
      <c r="E387" s="1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18"/>
      <c r="T387" s="1"/>
      <c r="U387" s="54">
        <f>VLOOKUP(D387,'SUIVI JOURNALIER AVRIL'!CK:CM,3,FALSE)</f>
        <v>0</v>
      </c>
      <c r="V387" s="82" t="e">
        <f>IF(VLOOKUP('vs mars'!D387,'point sur les patentes'!B:E,4,FALSE)="","",VLOOKUP(D387,'point sur les patentes'!B:E,4,FALSE)+VLOOKUP(D387,'point sur les patentes'!B:F,5,FALSE)+VLOOKUP('vs mars'!D387,'point sur les patentes'!B:G,6,FALSE)+VLOOKUP('vs mars'!D387,'point sur les patentes'!B:H,7,FALSE)+VLOOKUP('vs mars'!D387,'point sur les patentes'!B:I,8,FALSE)+VLOOKUP(D387,'point sur les patentes'!B:J,9,FALSE)+VLOOKUP(D387,'point sur les patentes'!B:K,10,FALSE)+VLOOKUP(D387,'point sur les patentes'!B:L,11,FALSE)+VLOOKUP(D387,'point sur les patentes'!B:M,12,FALSE)+VLOOKUP(D387,'point sur les patentes'!B:N,13,FALSE)+VLOOKUP(D387,'point sur les patentes'!B:O,14,FALSE)+VLOOKUP(D387,'point sur les patentes'!B:P,15,FALSE)+VLOOKUP(D387,'point sur les patentes'!B:Q,16,FALSE)+VLOOKUP('vs mars'!D387,'point sur les patentes'!B:Z,25,FALSE))</f>
        <v>#N/A</v>
      </c>
      <c r="W387" s="25" t="e">
        <f>VLOOKUP(D387,'SUIVI JOURNALIER AVRIL'!B:J,9,FALSE)</f>
        <v>#N/A</v>
      </c>
      <c r="X387" s="25" t="e">
        <f>VLOOKUP(D387,'SUIVI JOURNALIER AVRIL'!B:P,14,FALSE)+VLOOKUP('vs mars'!D387,'SUIVI JOURNALIER AVRIL'!B:V,20,FALSE)+VLOOKUP('vs mars'!D387,'SUIVI JOURNALIER AVRIL'!B:W,21,FALSE)</f>
        <v>#N/A</v>
      </c>
      <c r="Y387" s="25" t="e">
        <f>VLOOKUP(D387,'SUIVI JOURNALIER AVRIL'!B:CC,80,FALSE)</f>
        <v>#N/A</v>
      </c>
      <c r="Z387" s="25" t="e">
        <f t="shared" si="12"/>
        <v>#N/A</v>
      </c>
      <c r="AA387" s="343" t="e">
        <f>VLOOKUP(D387,'SUIVI JOURNALIER AVRIL'!B:CD,81,FALSE)</f>
        <v>#N/A</v>
      </c>
      <c r="AB387" s="21" t="e">
        <f t="shared" si="13"/>
        <v>#N/A</v>
      </c>
      <c r="AC387" s="344" t="e">
        <f>VLOOKUP(D387,'SUIVI JOURNALIER AVRIL'!B:C,2,FALSE)</f>
        <v>#N/A</v>
      </c>
      <c r="AE387" s="339"/>
      <c r="AF387">
        <f>VLOOKUP(D387,'SUIVI JOURNALIER AVRIL'!CK:CL,2,FALSE)</f>
        <v>0</v>
      </c>
    </row>
    <row r="388" spans="1:32" ht="13.5" customHeight="1">
      <c r="A388" s="324"/>
      <c r="B388" s="361"/>
      <c r="C388" s="1"/>
      <c r="D388" s="361"/>
      <c r="E388" s="1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18"/>
      <c r="T388" s="1"/>
      <c r="U388" s="54">
        <f>VLOOKUP(D388,'SUIVI JOURNALIER AVRIL'!CK:CM,3,FALSE)</f>
        <v>0</v>
      </c>
      <c r="V388" s="82" t="e">
        <f>IF(VLOOKUP('vs mars'!D388,'point sur les patentes'!B:E,4,FALSE)="","",VLOOKUP(D388,'point sur les patentes'!B:E,4,FALSE)+VLOOKUP(D388,'point sur les patentes'!B:F,5,FALSE)+VLOOKUP('vs mars'!D388,'point sur les patentes'!B:G,6,FALSE)+VLOOKUP('vs mars'!D388,'point sur les patentes'!B:H,7,FALSE)+VLOOKUP('vs mars'!D388,'point sur les patentes'!B:I,8,FALSE)+VLOOKUP(D388,'point sur les patentes'!B:J,9,FALSE)+VLOOKUP(D388,'point sur les patentes'!B:K,10,FALSE)+VLOOKUP(D388,'point sur les patentes'!B:L,11,FALSE)+VLOOKUP(D388,'point sur les patentes'!B:M,12,FALSE)+VLOOKUP(D388,'point sur les patentes'!B:N,13,FALSE)+VLOOKUP(D388,'point sur les patentes'!B:O,14,FALSE)+VLOOKUP(D388,'point sur les patentes'!B:P,15,FALSE)+VLOOKUP(D388,'point sur les patentes'!B:Q,16,FALSE)+VLOOKUP('vs mars'!D388,'point sur les patentes'!B:Z,25,FALSE))</f>
        <v>#N/A</v>
      </c>
      <c r="W388" s="25" t="e">
        <f>VLOOKUP(D388,'SUIVI JOURNALIER AVRIL'!B:J,9,FALSE)</f>
        <v>#N/A</v>
      </c>
      <c r="X388" s="25" t="e">
        <f>VLOOKUP(D388,'SUIVI JOURNALIER AVRIL'!B:P,14,FALSE)+VLOOKUP('vs mars'!D388,'SUIVI JOURNALIER AVRIL'!B:V,20,FALSE)+VLOOKUP('vs mars'!D388,'SUIVI JOURNALIER AVRIL'!B:W,21,FALSE)</f>
        <v>#N/A</v>
      </c>
      <c r="Y388" s="25" t="e">
        <f>VLOOKUP(D388,'SUIVI JOURNALIER AVRIL'!B:CC,80,FALSE)</f>
        <v>#N/A</v>
      </c>
      <c r="Z388" s="25" t="e">
        <f t="shared" si="12"/>
        <v>#N/A</v>
      </c>
      <c r="AA388" s="343" t="e">
        <f>VLOOKUP(D388,'SUIVI JOURNALIER AVRIL'!B:CD,81,FALSE)</f>
        <v>#N/A</v>
      </c>
      <c r="AB388" s="21" t="e">
        <f t="shared" si="13"/>
        <v>#N/A</v>
      </c>
      <c r="AC388" s="344" t="e">
        <f>VLOOKUP(D388,'SUIVI JOURNALIER AVRIL'!B:C,2,FALSE)</f>
        <v>#N/A</v>
      </c>
      <c r="AE388" s="339"/>
      <c r="AF388">
        <f>VLOOKUP(D388,'SUIVI JOURNALIER AVRIL'!CK:CL,2,FALSE)</f>
        <v>0</v>
      </c>
    </row>
    <row r="389" spans="1:32" ht="13.5" customHeight="1">
      <c r="A389" s="1"/>
      <c r="B389" s="361"/>
      <c r="C389" s="1"/>
      <c r="D389" s="361"/>
      <c r="E389" s="1"/>
      <c r="F389" s="1"/>
      <c r="G389" s="1"/>
      <c r="H389" s="43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318"/>
      <c r="T389" s="1"/>
      <c r="U389" s="54"/>
      <c r="V389" s="58"/>
      <c r="W389" s="1"/>
      <c r="X389" s="1"/>
      <c r="Y389" s="1"/>
      <c r="Z389" s="1"/>
    </row>
    <row r="390" spans="1:32" ht="13.5" customHeight="1">
      <c r="A390" s="1"/>
      <c r="B390" s="361"/>
      <c r="C390" s="1"/>
      <c r="D390" s="361"/>
      <c r="E390" s="1"/>
      <c r="F390" s="1"/>
      <c r="G390" s="1"/>
      <c r="H390" s="43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318"/>
      <c r="T390" s="1"/>
      <c r="U390" s="54"/>
      <c r="V390" s="58"/>
      <c r="W390" s="1"/>
      <c r="X390" s="1"/>
      <c r="Y390" s="1"/>
      <c r="Z390" s="1"/>
    </row>
    <row r="391" spans="1:32" ht="13.5" customHeight="1">
      <c r="A391" s="1"/>
      <c r="B391" s="361"/>
      <c r="C391" s="1"/>
      <c r="D391" s="361"/>
      <c r="E391" s="1"/>
      <c r="F391" s="1"/>
      <c r="G391" s="1"/>
      <c r="H391" s="43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318"/>
      <c r="T391" s="1"/>
      <c r="U391" s="54"/>
      <c r="V391" s="58"/>
      <c r="W391" s="1"/>
      <c r="X391" s="1"/>
      <c r="Y391" s="1"/>
      <c r="Z391" s="1"/>
    </row>
    <row r="392" spans="1:32" ht="13.5" customHeight="1">
      <c r="A392" s="1"/>
      <c r="B392" s="361"/>
      <c r="C392" s="1"/>
      <c r="D392" s="361"/>
      <c r="E392" s="1"/>
      <c r="F392" s="1"/>
      <c r="G392" s="1"/>
      <c r="H392" s="43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318"/>
      <c r="T392" s="1"/>
      <c r="U392" s="54"/>
      <c r="V392" s="58"/>
      <c r="W392" s="1"/>
      <c r="X392" s="1"/>
      <c r="Y392" s="1"/>
      <c r="Z392" s="1"/>
    </row>
    <row r="393" spans="1:32" ht="13.5" customHeight="1">
      <c r="A393" s="1"/>
      <c r="B393" s="361"/>
      <c r="C393" s="1"/>
      <c r="D393" s="361"/>
      <c r="E393" s="1"/>
      <c r="F393" s="1"/>
      <c r="G393" s="1"/>
      <c r="H393" s="43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318"/>
      <c r="T393" s="1"/>
      <c r="U393" s="54"/>
      <c r="V393" s="58"/>
      <c r="W393" s="1"/>
      <c r="X393" s="1"/>
      <c r="Y393" s="1"/>
      <c r="Z393" s="1"/>
    </row>
    <row r="394" spans="1:32" ht="13.5" customHeight="1">
      <c r="A394" s="1"/>
      <c r="B394" s="361"/>
      <c r="C394" s="1"/>
      <c r="D394" s="361"/>
      <c r="E394" s="1"/>
      <c r="F394" s="1"/>
      <c r="G394" s="1"/>
      <c r="H394" s="43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318"/>
      <c r="T394" s="1"/>
      <c r="U394" s="54"/>
      <c r="V394" s="58"/>
      <c r="W394" s="1"/>
      <c r="X394" s="1"/>
      <c r="Y394" s="1"/>
      <c r="Z394" s="1"/>
    </row>
    <row r="395" spans="1:32" ht="13.5" customHeight="1">
      <c r="A395" s="1"/>
      <c r="B395" s="361"/>
      <c r="C395" s="1"/>
      <c r="D395" s="361"/>
      <c r="E395" s="1"/>
      <c r="F395" s="1"/>
      <c r="G395" s="1"/>
      <c r="H395" s="43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318"/>
      <c r="T395" s="1"/>
      <c r="U395" s="54"/>
      <c r="V395" s="58"/>
      <c r="W395" s="1"/>
      <c r="X395" s="1"/>
      <c r="Y395" s="1"/>
      <c r="Z395" s="1"/>
    </row>
    <row r="396" spans="1:32" ht="13.5" customHeight="1">
      <c r="A396" s="1"/>
      <c r="B396" s="361"/>
      <c r="C396" s="1"/>
      <c r="D396" s="361"/>
      <c r="E396" s="1"/>
      <c r="F396" s="1"/>
      <c r="G396" s="1"/>
      <c r="H396" s="43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318"/>
      <c r="T396" s="1"/>
      <c r="U396" s="54"/>
      <c r="V396" s="58"/>
      <c r="W396" s="1"/>
      <c r="X396" s="1"/>
      <c r="Y396" s="1"/>
      <c r="Z396" s="1"/>
    </row>
    <row r="397" spans="1:32" ht="13.5" customHeight="1">
      <c r="A397" s="1"/>
      <c r="B397" s="361"/>
      <c r="C397" s="1"/>
      <c r="D397" s="361"/>
      <c r="E397" s="1"/>
      <c r="F397" s="1"/>
      <c r="G397" s="1"/>
      <c r="H397" s="43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318"/>
      <c r="T397" s="1"/>
      <c r="U397" s="54"/>
      <c r="V397" s="58"/>
      <c r="W397" s="1"/>
      <c r="X397" s="1"/>
      <c r="Y397" s="1"/>
      <c r="Z397" s="1"/>
    </row>
    <row r="398" spans="1:32" ht="13.5" customHeight="1">
      <c r="A398" s="1"/>
      <c r="B398" s="361"/>
      <c r="C398" s="1"/>
      <c r="D398" s="361"/>
      <c r="E398" s="1"/>
      <c r="F398" s="1"/>
      <c r="G398" s="1"/>
      <c r="H398" s="43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318"/>
      <c r="T398" s="1"/>
      <c r="U398" s="54"/>
      <c r="V398" s="58"/>
      <c r="W398" s="1"/>
      <c r="X398" s="1"/>
      <c r="Y398" s="1"/>
      <c r="Z398" s="1"/>
    </row>
    <row r="399" spans="1:32" ht="13.5" customHeight="1">
      <c r="A399" s="1"/>
      <c r="B399" s="361"/>
      <c r="C399" s="1"/>
      <c r="D399" s="361"/>
      <c r="E399" s="1"/>
      <c r="F399" s="1"/>
      <c r="G399" s="1"/>
      <c r="H399" s="43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318"/>
      <c r="T399" s="1"/>
      <c r="U399" s="54"/>
      <c r="V399" s="58"/>
      <c r="W399" s="1"/>
      <c r="X399" s="1"/>
      <c r="Y399" s="1"/>
      <c r="Z399" s="1"/>
    </row>
    <row r="400" spans="1:32" ht="13.5" customHeight="1">
      <c r="A400" s="1"/>
      <c r="B400" s="361"/>
      <c r="C400" s="1"/>
      <c r="D400" s="361"/>
      <c r="E400" s="1"/>
      <c r="F400" s="1"/>
      <c r="G400" s="1"/>
      <c r="H400" s="43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318"/>
      <c r="T400" s="1"/>
      <c r="U400" s="54"/>
      <c r="V400" s="58"/>
      <c r="W400" s="1"/>
      <c r="X400" s="1"/>
      <c r="Y400" s="1"/>
      <c r="Z400" s="1"/>
    </row>
    <row r="401" spans="1:26" ht="13.5" customHeight="1">
      <c r="A401" s="1"/>
      <c r="B401" s="361"/>
      <c r="C401" s="1"/>
      <c r="D401" s="361"/>
      <c r="E401" s="1"/>
      <c r="F401" s="1"/>
      <c r="G401" s="1"/>
      <c r="H401" s="43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318"/>
      <c r="T401" s="1"/>
      <c r="U401" s="54"/>
      <c r="V401" s="58"/>
      <c r="W401" s="1"/>
      <c r="X401" s="1"/>
      <c r="Y401" s="1"/>
      <c r="Z401" s="1"/>
    </row>
    <row r="402" spans="1:26" ht="13.5" customHeight="1">
      <c r="A402" s="1"/>
      <c r="B402" s="361"/>
      <c r="C402" s="1"/>
      <c r="D402" s="361"/>
      <c r="E402" s="1"/>
      <c r="F402" s="1"/>
      <c r="G402" s="1"/>
      <c r="H402" s="43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318"/>
      <c r="T402" s="1"/>
      <c r="U402" s="54"/>
      <c r="V402" s="58"/>
      <c r="W402" s="1"/>
      <c r="X402" s="1"/>
      <c r="Y402" s="1"/>
      <c r="Z402" s="1"/>
    </row>
    <row r="403" spans="1:26" ht="13.5" customHeight="1">
      <c r="A403" s="1"/>
      <c r="B403" s="361"/>
      <c r="C403" s="1"/>
      <c r="D403" s="361"/>
      <c r="E403" s="1"/>
      <c r="F403" s="1"/>
      <c r="G403" s="1"/>
      <c r="H403" s="43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318"/>
      <c r="T403" s="1"/>
      <c r="U403" s="54"/>
      <c r="V403" s="58"/>
      <c r="W403" s="1"/>
      <c r="X403" s="1"/>
      <c r="Y403" s="1"/>
      <c r="Z403" s="1"/>
    </row>
    <row r="404" spans="1:26" ht="13.5" customHeight="1">
      <c r="A404" s="1"/>
      <c r="B404" s="361"/>
      <c r="C404" s="1"/>
      <c r="D404" s="361"/>
      <c r="E404" s="1"/>
      <c r="F404" s="1"/>
      <c r="G404" s="1"/>
      <c r="H404" s="43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318"/>
      <c r="T404" s="1"/>
      <c r="U404" s="54"/>
      <c r="V404" s="58"/>
      <c r="W404" s="1"/>
      <c r="X404" s="1"/>
      <c r="Y404" s="1"/>
      <c r="Z404" s="1"/>
    </row>
    <row r="405" spans="1:26" ht="13.5" customHeight="1">
      <c r="A405" s="1"/>
      <c r="B405" s="361"/>
      <c r="C405" s="1"/>
      <c r="D405" s="361"/>
      <c r="E405" s="1"/>
      <c r="F405" s="1"/>
      <c r="G405" s="1"/>
      <c r="H405" s="43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318"/>
      <c r="T405" s="1"/>
      <c r="U405" s="54"/>
      <c r="V405" s="58"/>
      <c r="W405" s="1"/>
      <c r="X405" s="1"/>
      <c r="Y405" s="1"/>
      <c r="Z405" s="1"/>
    </row>
    <row r="406" spans="1:26" ht="13.5" customHeight="1">
      <c r="A406" s="1"/>
      <c r="B406" s="361"/>
      <c r="C406" s="1"/>
      <c r="D406" s="361"/>
      <c r="E406" s="1"/>
      <c r="F406" s="1"/>
      <c r="G406" s="1"/>
      <c r="H406" s="43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318"/>
      <c r="T406" s="1"/>
      <c r="U406" s="54"/>
      <c r="V406" s="58"/>
      <c r="W406" s="1"/>
      <c r="X406" s="1"/>
      <c r="Y406" s="1"/>
      <c r="Z406" s="1"/>
    </row>
    <row r="407" spans="1:26" ht="13.5" customHeight="1">
      <c r="A407" s="1"/>
      <c r="B407" s="361"/>
      <c r="C407" s="1"/>
      <c r="D407" s="361"/>
      <c r="E407" s="1"/>
      <c r="F407" s="1"/>
      <c r="G407" s="1"/>
      <c r="H407" s="43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318"/>
      <c r="T407" s="1"/>
      <c r="U407" s="54"/>
      <c r="V407" s="58"/>
      <c r="W407" s="1"/>
      <c r="X407" s="1"/>
      <c r="Y407" s="1"/>
      <c r="Z407" s="1"/>
    </row>
    <row r="408" spans="1:26" ht="13.5" customHeight="1">
      <c r="A408" s="1"/>
      <c r="B408" s="361"/>
      <c r="C408" s="1"/>
      <c r="D408" s="361"/>
      <c r="E408" s="1"/>
      <c r="F408" s="1"/>
      <c r="G408" s="1"/>
      <c r="H408" s="43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318"/>
      <c r="T408" s="1"/>
      <c r="U408" s="54"/>
      <c r="V408" s="58"/>
      <c r="W408" s="1"/>
      <c r="X408" s="1"/>
      <c r="Y408" s="1"/>
      <c r="Z408" s="1"/>
    </row>
    <row r="409" spans="1:26" ht="13.5" customHeight="1">
      <c r="A409" s="1"/>
      <c r="B409" s="361"/>
      <c r="C409" s="1"/>
      <c r="D409" s="361"/>
      <c r="E409" s="1"/>
      <c r="F409" s="1"/>
      <c r="G409" s="1"/>
      <c r="H409" s="43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318"/>
      <c r="T409" s="1"/>
      <c r="U409" s="54"/>
      <c r="V409" s="58"/>
      <c r="W409" s="1"/>
      <c r="X409" s="1"/>
      <c r="Y409" s="1"/>
      <c r="Z409" s="1"/>
    </row>
    <row r="410" spans="1:26" ht="13.5" customHeight="1">
      <c r="A410" s="1"/>
      <c r="B410" s="361"/>
      <c r="C410" s="1"/>
      <c r="D410" s="361"/>
      <c r="E410" s="1"/>
      <c r="F410" s="1"/>
      <c r="G410" s="1"/>
      <c r="H410" s="43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318"/>
      <c r="T410" s="1"/>
      <c r="U410" s="54"/>
      <c r="V410" s="58"/>
      <c r="W410" s="1"/>
      <c r="X410" s="1"/>
      <c r="Y410" s="1"/>
      <c r="Z410" s="1"/>
    </row>
    <row r="411" spans="1:26" ht="13.5" customHeight="1">
      <c r="A411" s="1"/>
      <c r="B411" s="361"/>
      <c r="C411" s="1"/>
      <c r="D411" s="361"/>
      <c r="E411" s="1"/>
      <c r="F411" s="1"/>
      <c r="G411" s="1"/>
      <c r="H411" s="43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318"/>
      <c r="T411" s="1"/>
      <c r="U411" s="54"/>
      <c r="V411" s="58"/>
      <c r="W411" s="1"/>
      <c r="X411" s="1"/>
      <c r="Y411" s="1"/>
      <c r="Z411" s="1"/>
    </row>
    <row r="412" spans="1:26" ht="13.5" customHeight="1">
      <c r="A412" s="1"/>
      <c r="B412" s="361"/>
      <c r="C412" s="1"/>
      <c r="D412" s="361"/>
      <c r="E412" s="1"/>
      <c r="F412" s="1"/>
      <c r="G412" s="1"/>
      <c r="H412" s="43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318"/>
      <c r="T412" s="1"/>
      <c r="U412" s="54"/>
      <c r="V412" s="58"/>
      <c r="W412" s="1"/>
      <c r="X412" s="1"/>
      <c r="Y412" s="1"/>
      <c r="Z412" s="1"/>
    </row>
    <row r="413" spans="1:26" ht="13.5" customHeight="1">
      <c r="A413" s="1"/>
      <c r="B413" s="361"/>
      <c r="C413" s="1"/>
      <c r="D413" s="361"/>
      <c r="E413" s="1"/>
      <c r="F413" s="1"/>
      <c r="G413" s="1"/>
      <c r="H413" s="43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318"/>
      <c r="T413" s="1"/>
      <c r="U413" s="54"/>
      <c r="V413" s="58"/>
      <c r="W413" s="1"/>
      <c r="X413" s="1"/>
      <c r="Y413" s="1"/>
      <c r="Z413" s="1"/>
    </row>
    <row r="414" spans="1:26" ht="13.5" customHeight="1">
      <c r="A414" s="1"/>
      <c r="B414" s="361"/>
      <c r="C414" s="1"/>
      <c r="D414" s="361"/>
      <c r="E414" s="1"/>
      <c r="F414" s="1"/>
      <c r="G414" s="1"/>
      <c r="H414" s="43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318"/>
      <c r="T414" s="1"/>
      <c r="U414" s="54"/>
      <c r="V414" s="58"/>
      <c r="W414" s="1"/>
      <c r="X414" s="1"/>
      <c r="Y414" s="1"/>
      <c r="Z414" s="1"/>
    </row>
    <row r="415" spans="1:26" ht="13.5" customHeight="1">
      <c r="A415" s="1"/>
      <c r="B415" s="361"/>
      <c r="C415" s="1"/>
      <c r="D415" s="361"/>
      <c r="E415" s="1"/>
      <c r="F415" s="1"/>
      <c r="G415" s="1"/>
      <c r="H415" s="43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318"/>
      <c r="T415" s="1"/>
      <c r="U415" s="54"/>
      <c r="V415" s="58"/>
      <c r="W415" s="1"/>
      <c r="X415" s="1"/>
      <c r="Y415" s="1"/>
      <c r="Z415" s="1"/>
    </row>
    <row r="416" spans="1:26" ht="13.5" customHeight="1">
      <c r="A416" s="1"/>
      <c r="B416" s="361"/>
      <c r="C416" s="1"/>
      <c r="D416" s="361"/>
      <c r="E416" s="1"/>
      <c r="F416" s="1"/>
      <c r="G416" s="1"/>
      <c r="H416" s="43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318"/>
      <c r="T416" s="1"/>
      <c r="U416" s="54"/>
      <c r="V416" s="58"/>
      <c r="W416" s="1"/>
      <c r="X416" s="1"/>
      <c r="Y416" s="1"/>
      <c r="Z416" s="1"/>
    </row>
    <row r="417" spans="1:26" ht="13.5" customHeight="1">
      <c r="A417" s="1"/>
      <c r="B417" s="361"/>
      <c r="C417" s="1"/>
      <c r="D417" s="361"/>
      <c r="E417" s="1"/>
      <c r="F417" s="1"/>
      <c r="G417" s="1"/>
      <c r="H417" s="43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318"/>
      <c r="T417" s="1"/>
      <c r="U417" s="54"/>
      <c r="V417" s="58"/>
      <c r="W417" s="1"/>
      <c r="X417" s="1"/>
      <c r="Y417" s="1"/>
      <c r="Z417" s="1"/>
    </row>
    <row r="418" spans="1:26" ht="13.5" customHeight="1">
      <c r="A418" s="1"/>
      <c r="B418" s="361"/>
      <c r="C418" s="1"/>
      <c r="D418" s="361"/>
      <c r="E418" s="1"/>
      <c r="F418" s="1"/>
      <c r="G418" s="1"/>
      <c r="H418" s="43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318"/>
      <c r="T418" s="1"/>
      <c r="U418" s="54"/>
      <c r="V418" s="58"/>
      <c r="W418" s="1"/>
      <c r="X418" s="1"/>
      <c r="Y418" s="1"/>
      <c r="Z418" s="1"/>
    </row>
    <row r="419" spans="1:26" ht="13.5" customHeight="1">
      <c r="A419" s="1"/>
      <c r="B419" s="361"/>
      <c r="C419" s="1"/>
      <c r="D419" s="361"/>
      <c r="E419" s="1"/>
      <c r="F419" s="1"/>
      <c r="G419" s="1"/>
      <c r="H419" s="43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318"/>
      <c r="T419" s="1"/>
      <c r="U419" s="54"/>
      <c r="V419" s="58"/>
      <c r="W419" s="1"/>
      <c r="X419" s="1"/>
      <c r="Y419" s="1"/>
      <c r="Z419" s="1"/>
    </row>
    <row r="420" spans="1:26" ht="13.5" customHeight="1">
      <c r="A420" s="1"/>
      <c r="B420" s="361"/>
      <c r="C420" s="1"/>
      <c r="D420" s="361"/>
      <c r="E420" s="1"/>
      <c r="F420" s="1"/>
      <c r="G420" s="1"/>
      <c r="H420" s="43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318"/>
      <c r="T420" s="1"/>
      <c r="U420" s="54"/>
      <c r="V420" s="58"/>
      <c r="W420" s="1"/>
      <c r="X420" s="1"/>
      <c r="Y420" s="1"/>
      <c r="Z420" s="1"/>
    </row>
    <row r="421" spans="1:26" ht="13.5" customHeight="1">
      <c r="A421" s="1"/>
      <c r="B421" s="361"/>
      <c r="C421" s="1"/>
      <c r="D421" s="361"/>
      <c r="E421" s="1"/>
      <c r="F421" s="1"/>
      <c r="G421" s="1"/>
      <c r="H421" s="43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318"/>
      <c r="T421" s="1"/>
      <c r="U421" s="54"/>
      <c r="V421" s="58"/>
      <c r="W421" s="1"/>
      <c r="X421" s="1"/>
      <c r="Y421" s="1"/>
      <c r="Z421" s="1"/>
    </row>
    <row r="422" spans="1:26" ht="13.5" customHeight="1">
      <c r="X422" s="431" t="s">
        <v>2730</v>
      </c>
      <c r="Y422" s="432">
        <f>SUMIF($AF$2:$AF$388,X422,$Z$2:$Z$388)</f>
        <v>0</v>
      </c>
    </row>
    <row r="423" spans="1:26" ht="13.5" customHeight="1">
      <c r="X423" s="327" t="s">
        <v>2294</v>
      </c>
      <c r="Y423" s="326">
        <f>SUMIF($AF$2:$AF$388,X423,$Z$2:$Z$388)</f>
        <v>0</v>
      </c>
    </row>
    <row r="424" spans="1:26" ht="13.5" customHeight="1">
      <c r="X424" s="327" t="s">
        <v>2729</v>
      </c>
      <c r="Y424" s="326">
        <f>SUMIF($AF$2:$AF$388,X424,$Z$2:$Z$388)</f>
        <v>0</v>
      </c>
      <c r="Z424" s="338" t="s">
        <v>2228</v>
      </c>
    </row>
    <row r="425" spans="1:26" ht="13.5" customHeight="1" thickBot="1">
      <c r="W425" s="29">
        <f>+Y426-X425</f>
        <v>199817706.34090906</v>
      </c>
      <c r="X425" s="738">
        <f>Y422+Y423+Y424</f>
        <v>0</v>
      </c>
      <c r="Y425" s="739"/>
      <c r="Z425" s="337" t="str">
        <f>IF(X425=Y426,"ok","à revoir")</f>
        <v>à revoir</v>
      </c>
    </row>
    <row r="426" spans="1:26" ht="13.5" customHeight="1">
      <c r="W426" s="29"/>
      <c r="Y426" s="341">
        <f>'SUIVI JOURNALIER AVRIL'!CD344</f>
        <v>199817706.34090906</v>
      </c>
    </row>
    <row r="428" spans="1:26" ht="13.5" customHeight="1">
      <c r="W428" s="331" t="s">
        <v>2730</v>
      </c>
      <c r="X428" s="331" t="s">
        <v>2643</v>
      </c>
      <c r="Y428">
        <f>SUMIF($AF$2:$AF$349,W428,$AG$2:$AG$349)</f>
        <v>0</v>
      </c>
      <c r="Z428" s="364">
        <f>Y428/$Y$431</f>
        <v>0</v>
      </c>
    </row>
    <row r="429" spans="1:26" ht="13.5" customHeight="1">
      <c r="W429" s="330" t="s">
        <v>2297</v>
      </c>
      <c r="X429" s="333" t="s">
        <v>2642</v>
      </c>
      <c r="Y429">
        <f>SUMIF($AF$2:$AF$349,W429,$AG$2:$AG$349)</f>
        <v>0</v>
      </c>
      <c r="Z429" s="364">
        <f>Y429/$Y$431</f>
        <v>0</v>
      </c>
    </row>
    <row r="430" spans="1:26" ht="13.5" customHeight="1">
      <c r="W430" t="s">
        <v>2640</v>
      </c>
      <c r="X430" s="332" t="s">
        <v>2641</v>
      </c>
      <c r="Y430">
        <f>348-Y428-Y429</f>
        <v>348</v>
      </c>
      <c r="Z430" s="364">
        <f>Y430/$Y$431</f>
        <v>1</v>
      </c>
    </row>
    <row r="431" spans="1:26" ht="13.5" customHeight="1">
      <c r="X431" s="277" t="s">
        <v>2644</v>
      </c>
      <c r="Y431" s="334">
        <f>Y428+Y429+Y430</f>
        <v>348</v>
      </c>
      <c r="Z431" s="335">
        <f>Z428+Z429+Z430</f>
        <v>1</v>
      </c>
    </row>
  </sheetData>
  <autoFilter ref="A1:AF408">
    <filterColumn colId="1"/>
    <filterColumn colId="30"/>
  </autoFilter>
  <mergeCells count="1">
    <mergeCell ref="X425:Y42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Feuil4"/>
  <dimension ref="A1:CE289"/>
  <sheetViews>
    <sheetView workbookViewId="0">
      <pane xSplit="1" topLeftCell="N1" activePane="topRight" state="frozen"/>
      <selection pane="topRight" activeCell="A15" sqref="A15"/>
    </sheetView>
  </sheetViews>
  <sheetFormatPr baseColWidth="10" defaultRowHeight="15"/>
  <cols>
    <col min="1" max="1" width="60.5703125" bestFit="1" customWidth="1"/>
    <col min="2" max="2" width="11.28515625" style="80" customWidth="1"/>
    <col min="3" max="3" width="11.28515625" customWidth="1"/>
    <col min="4" max="6" width="12.85546875" customWidth="1"/>
    <col min="7" max="8" width="11.28515625" customWidth="1"/>
    <col min="9" max="9" width="17.140625" style="29" customWidth="1"/>
    <col min="10" max="20" width="17.140625" customWidth="1"/>
    <col min="21" max="22" width="14.7109375" customWidth="1"/>
    <col min="23" max="23" width="11.7109375" bestFit="1" customWidth="1"/>
    <col min="24" max="24" width="11.5703125" bestFit="1" customWidth="1"/>
    <col min="25" max="25" width="11.5703125" customWidth="1"/>
    <col min="26" max="26" width="11.5703125" bestFit="1" customWidth="1"/>
    <col min="27" max="27" width="11.5703125" customWidth="1"/>
    <col min="28" max="28" width="12.85546875" customWidth="1"/>
    <col min="29" max="29" width="12.42578125" customWidth="1"/>
    <col min="30" max="30" width="14" customWidth="1"/>
    <col min="31" max="32" width="12.7109375" bestFit="1" customWidth="1"/>
    <col min="33" max="33" width="12.5703125" customWidth="1"/>
    <col min="34" max="38" width="11.5703125" bestFit="1" customWidth="1"/>
    <col min="39" max="39" width="13" customWidth="1"/>
    <col min="40" max="40" width="12.7109375" bestFit="1" customWidth="1"/>
    <col min="41" max="41" width="11.5703125" customWidth="1"/>
    <col min="42" max="42" width="13.7109375" bestFit="1" customWidth="1"/>
    <col min="43" max="43" width="12.7109375" bestFit="1" customWidth="1"/>
    <col min="44" max="44" width="11.7109375" bestFit="1" customWidth="1"/>
    <col min="45" max="45" width="12.7109375" bestFit="1" customWidth="1"/>
    <col min="46" max="46" width="11.5703125" customWidth="1"/>
    <col min="47" max="52" width="11.5703125" bestFit="1" customWidth="1"/>
    <col min="53" max="53" width="11.5703125" customWidth="1"/>
    <col min="54" max="55" width="11.5703125" bestFit="1" customWidth="1"/>
    <col min="56" max="56" width="11.5703125" customWidth="1"/>
    <col min="57" max="59" width="11.5703125" bestFit="1" customWidth="1"/>
    <col min="60" max="61" width="11.5703125" customWidth="1"/>
    <col min="62" max="63" width="11.5703125" bestFit="1" customWidth="1"/>
    <col min="64" max="64" width="11.5703125" customWidth="1"/>
    <col min="65" max="65" width="11.5703125" bestFit="1" customWidth="1"/>
    <col min="66" max="67" width="11.5703125" customWidth="1"/>
    <col min="68" max="70" width="11.5703125" bestFit="1" customWidth="1"/>
    <col min="71" max="71" width="11.5703125" customWidth="1"/>
    <col min="72" max="74" width="11.5703125" bestFit="1" customWidth="1"/>
    <col min="75" max="75" width="11.7109375" bestFit="1" customWidth="1"/>
    <col min="76" max="76" width="13.42578125" customWidth="1"/>
    <col min="77" max="77" width="12.7109375" bestFit="1" customWidth="1"/>
    <col min="78" max="80" width="13.5703125" bestFit="1" customWidth="1"/>
    <col min="81" max="81" width="11.42578125" style="416"/>
    <col min="82" max="82" width="27" bestFit="1" customWidth="1"/>
  </cols>
  <sheetData>
    <row r="1" spans="1:83" ht="15.75" thickBot="1">
      <c r="A1" s="445" t="s">
        <v>128</v>
      </c>
      <c r="B1" s="2" t="s">
        <v>187</v>
      </c>
      <c r="C1" s="2" t="s">
        <v>188</v>
      </c>
      <c r="D1" s="2" t="s">
        <v>189</v>
      </c>
      <c r="E1" s="2" t="s">
        <v>176</v>
      </c>
      <c r="F1" s="2" t="s">
        <v>221</v>
      </c>
      <c r="G1" s="2" t="s">
        <v>190</v>
      </c>
      <c r="H1" s="2" t="s">
        <v>191</v>
      </c>
      <c r="I1" s="81" t="s">
        <v>137</v>
      </c>
      <c r="J1" s="2" t="s">
        <v>130</v>
      </c>
      <c r="K1" s="2" t="s">
        <v>176</v>
      </c>
      <c r="L1" s="2" t="s">
        <v>138</v>
      </c>
      <c r="M1" s="2" t="s">
        <v>139</v>
      </c>
      <c r="N1" s="2" t="s">
        <v>140</v>
      </c>
      <c r="O1" s="2" t="s">
        <v>141</v>
      </c>
      <c r="P1" s="2" t="s">
        <v>130</v>
      </c>
      <c r="Q1" s="2" t="s">
        <v>176</v>
      </c>
      <c r="R1" s="2" t="s">
        <v>142</v>
      </c>
      <c r="S1" s="2" t="s">
        <v>143</v>
      </c>
      <c r="T1" s="2" t="s">
        <v>144</v>
      </c>
      <c r="U1" s="2" t="s">
        <v>182</v>
      </c>
      <c r="V1" s="2" t="s">
        <v>181</v>
      </c>
      <c r="W1" s="2" t="s">
        <v>129</v>
      </c>
      <c r="X1" s="2" t="s">
        <v>179</v>
      </c>
      <c r="Y1" s="2" t="s">
        <v>180</v>
      </c>
      <c r="Z1" s="2" t="s">
        <v>135</v>
      </c>
      <c r="AA1" s="2" t="s">
        <v>176</v>
      </c>
      <c r="AB1" s="2" t="s">
        <v>131</v>
      </c>
      <c r="AC1" s="2" t="s">
        <v>132</v>
      </c>
      <c r="AD1" s="2" t="s">
        <v>133</v>
      </c>
      <c r="AE1" s="2" t="s">
        <v>134</v>
      </c>
      <c r="AF1" s="2" t="s">
        <v>136</v>
      </c>
      <c r="AG1" s="2" t="s">
        <v>145</v>
      </c>
      <c r="AH1" s="2" t="s">
        <v>146</v>
      </c>
      <c r="AI1" s="2" t="s">
        <v>147</v>
      </c>
      <c r="AJ1" s="2" t="s">
        <v>148</v>
      </c>
      <c r="AK1" s="2" t="s">
        <v>149</v>
      </c>
      <c r="AL1" s="2" t="s">
        <v>150</v>
      </c>
      <c r="AM1" s="2" t="s">
        <v>151</v>
      </c>
      <c r="AN1" s="2" t="s">
        <v>152</v>
      </c>
      <c r="AO1" s="2" t="s">
        <v>176</v>
      </c>
      <c r="AP1" s="2" t="s">
        <v>153</v>
      </c>
      <c r="AQ1" s="2" t="s">
        <v>154</v>
      </c>
      <c r="AR1" s="2" t="s">
        <v>155</v>
      </c>
      <c r="AS1" s="2" t="s">
        <v>156</v>
      </c>
      <c r="AT1" s="2" t="s">
        <v>183</v>
      </c>
      <c r="AU1" s="2" t="s">
        <v>157</v>
      </c>
      <c r="AV1" s="2" t="s">
        <v>158</v>
      </c>
      <c r="AW1" s="2" t="s">
        <v>159</v>
      </c>
      <c r="AX1" s="2" t="s">
        <v>160</v>
      </c>
      <c r="AY1" s="2" t="s">
        <v>161</v>
      </c>
      <c r="AZ1" s="2" t="s">
        <v>176</v>
      </c>
      <c r="BA1" s="2" t="s">
        <v>229</v>
      </c>
      <c r="BB1" s="2" t="s">
        <v>162</v>
      </c>
      <c r="BC1" s="2" t="s">
        <v>163</v>
      </c>
      <c r="BD1" s="2" t="s">
        <v>266</v>
      </c>
      <c r="BE1" s="2" t="s">
        <v>164</v>
      </c>
      <c r="BF1" s="2" t="s">
        <v>165</v>
      </c>
      <c r="BG1" s="2" t="s">
        <v>166</v>
      </c>
      <c r="BH1" s="2" t="s">
        <v>213</v>
      </c>
      <c r="BI1" s="2" t="s">
        <v>176</v>
      </c>
      <c r="BJ1" s="2" t="s">
        <v>167</v>
      </c>
      <c r="BK1" s="2" t="s">
        <v>168</v>
      </c>
      <c r="BL1" s="2" t="s">
        <v>176</v>
      </c>
      <c r="BM1" s="2" t="s">
        <v>169</v>
      </c>
      <c r="BN1" s="2" t="s">
        <v>176</v>
      </c>
      <c r="BO1" s="2" t="s">
        <v>267</v>
      </c>
      <c r="BP1" s="2" t="s">
        <v>170</v>
      </c>
      <c r="BQ1" s="2" t="s">
        <v>171</v>
      </c>
      <c r="BR1" s="2" t="s">
        <v>172</v>
      </c>
      <c r="BS1" s="2" t="s">
        <v>268</v>
      </c>
      <c r="BT1" s="2" t="s">
        <v>173</v>
      </c>
      <c r="BU1" s="2" t="s">
        <v>174</v>
      </c>
      <c r="BV1" s="2" t="s">
        <v>175</v>
      </c>
      <c r="BW1" s="2" t="s">
        <v>177</v>
      </c>
      <c r="BX1" s="2" t="s">
        <v>178</v>
      </c>
      <c r="BY1" s="39" t="s">
        <v>404</v>
      </c>
      <c r="BZ1" s="487" t="s">
        <v>1551</v>
      </c>
    </row>
    <row r="2" spans="1:83">
      <c r="A2" s="657" t="s">
        <v>3016</v>
      </c>
      <c r="B2" s="8" t="s">
        <v>1439</v>
      </c>
      <c r="C2" s="8"/>
      <c r="D2" s="1"/>
      <c r="E2" s="8"/>
      <c r="F2" s="8"/>
      <c r="G2" s="1"/>
      <c r="H2" s="8"/>
      <c r="I2" s="119"/>
      <c r="J2" s="4"/>
      <c r="K2" s="4">
        <f t="shared" ref="K2:K3" si="0">0.01*(I2+J2)</f>
        <v>0</v>
      </c>
      <c r="L2" s="4">
        <f t="shared" ref="L2:L3" si="1">0.062*(I2+J2)</f>
        <v>0</v>
      </c>
      <c r="M2" s="4"/>
      <c r="N2" s="4">
        <f t="shared" ref="N2:N3" si="2">0.028*(I2+J2)</f>
        <v>0</v>
      </c>
      <c r="O2" s="4">
        <v>34928</v>
      </c>
      <c r="P2" s="4"/>
      <c r="Q2" s="4">
        <f t="shared" ref="Q2:Q3" si="3">0.01*(O2+P2)</f>
        <v>349.28000000000003</v>
      </c>
      <c r="R2" s="4">
        <f t="shared" ref="R2:R3" si="4">0.062*(O2+P2)</f>
        <v>2165.5360000000001</v>
      </c>
      <c r="S2" s="4"/>
      <c r="T2" s="4">
        <f t="shared" ref="T2:T3" si="5">0.028*(O2+P2)</f>
        <v>977.98400000000004</v>
      </c>
      <c r="U2" s="4"/>
      <c r="V2" s="4"/>
      <c r="W2" s="4">
        <f>2727141-1800000</f>
        <v>927141</v>
      </c>
      <c r="X2" s="4"/>
      <c r="Y2" s="4"/>
      <c r="Z2" s="4"/>
      <c r="AA2" s="4">
        <v>27272</v>
      </c>
      <c r="AB2" s="4">
        <f>169082.742+1</f>
        <v>169083.742</v>
      </c>
      <c r="AC2" s="4"/>
      <c r="AD2" s="4">
        <v>76359.948000000004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3">
        <f t="shared" ref="BX2:BX36" si="6">SUM(D2:BW2)</f>
        <v>1238277.4900000002</v>
      </c>
      <c r="BY2" s="22">
        <f t="shared" ref="BY2:BY36" si="7">D2+G2+H2+I2+J2+O2+P2+U2+V2+W2+X2+Y2+Z2+AE2+AF2+AG2+AH2+AI2+AM2+AN2+AR2+AS2+AT2+AU2+AV2+AW2</f>
        <v>962069</v>
      </c>
      <c r="BZ2" t="s">
        <v>1551</v>
      </c>
      <c r="CA2" t="s">
        <v>2229</v>
      </c>
      <c r="CB2" t="s">
        <v>2228</v>
      </c>
      <c r="CC2" s="417" t="str">
        <f>IF(B2="ug1","INDUSTRIES",IF(B2="ug2","COMMERCE GENERAL",IF(B2="ug3","BANQUES, ASSURANCES, NTIC, CTD",IF(B2="ug4","FORETS, EAUX, MINES, PETROLES",IF(B2="ug5","SERVICES","")))))</f>
        <v>INDUSTRIES</v>
      </c>
      <c r="CD2" s="76" t="s">
        <v>2010</v>
      </c>
      <c r="CE2" s="531">
        <f>250000-283000</f>
        <v>-33000</v>
      </c>
    </row>
    <row r="3" spans="1:83">
      <c r="A3" s="657" t="s">
        <v>3017</v>
      </c>
      <c r="B3" s="8" t="s">
        <v>1437</v>
      </c>
      <c r="C3" s="8"/>
      <c r="D3" s="1"/>
      <c r="E3" s="8"/>
      <c r="F3" s="8"/>
      <c r="G3" s="1"/>
      <c r="H3" s="8"/>
      <c r="I3" s="119"/>
      <c r="J3" s="4"/>
      <c r="K3" s="4">
        <f t="shared" si="0"/>
        <v>0</v>
      </c>
      <c r="L3" s="4">
        <f t="shared" si="1"/>
        <v>0</v>
      </c>
      <c r="M3" s="4"/>
      <c r="N3" s="4">
        <f t="shared" si="2"/>
        <v>0</v>
      </c>
      <c r="O3" s="4"/>
      <c r="P3" s="4"/>
      <c r="Q3" s="4">
        <f t="shared" si="3"/>
        <v>0</v>
      </c>
      <c r="R3" s="4">
        <f t="shared" si="4"/>
        <v>0</v>
      </c>
      <c r="S3" s="4"/>
      <c r="T3" s="4">
        <f t="shared" si="5"/>
        <v>0</v>
      </c>
      <c r="U3" s="4"/>
      <c r="V3" s="4"/>
      <c r="W3" s="4">
        <v>500000</v>
      </c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3">
        <f t="shared" si="6"/>
        <v>500000</v>
      </c>
      <c r="BY3" s="22">
        <f t="shared" si="7"/>
        <v>500000</v>
      </c>
      <c r="BZ3" t="s">
        <v>1551</v>
      </c>
      <c r="CA3" t="s">
        <v>2228</v>
      </c>
      <c r="CB3" t="s">
        <v>2229</v>
      </c>
      <c r="CC3" s="417" t="str">
        <f t="shared" ref="CC3:CC66" si="8">IF(B3="ug1","INDUSTRIES",IF(B3="ug2","COMMERCE GENERAL",IF(B3="ug3","BANQUES, ASSURANCES, NTIC, CTD",IF(B3="ug4","FORETS, EAUX, MINES, PETROLES",IF(B3="ug5","SERVICES","")))))</f>
        <v>COMMERCE GENERAL</v>
      </c>
      <c r="CD3" s="76" t="s">
        <v>432</v>
      </c>
    </row>
    <row r="4" spans="1:83">
      <c r="A4" s="657" t="s">
        <v>3018</v>
      </c>
      <c r="B4" s="8" t="s">
        <v>1436</v>
      </c>
      <c r="C4" s="8"/>
      <c r="D4" s="1"/>
      <c r="E4" s="8"/>
      <c r="F4" s="8"/>
      <c r="G4" s="1"/>
      <c r="H4" s="8"/>
      <c r="I4" s="119">
        <v>3000000</v>
      </c>
      <c r="J4" s="4"/>
      <c r="K4" s="4"/>
      <c r="L4" s="4"/>
      <c r="M4" s="4"/>
      <c r="N4" s="4"/>
      <c r="O4" s="4"/>
      <c r="P4" s="4"/>
      <c r="Q4" s="4">
        <f t="shared" ref="Q4:Q36" si="9">0.01*(O4+P4)</f>
        <v>0</v>
      </c>
      <c r="R4" s="4">
        <f t="shared" ref="R4:R36" si="10">0.062*(O4+P4)</f>
        <v>0</v>
      </c>
      <c r="S4" s="4"/>
      <c r="T4" s="4">
        <f t="shared" ref="T4:T36" si="11">0.028*(O4+P4)</f>
        <v>0</v>
      </c>
      <c r="U4" s="4"/>
      <c r="V4" s="4"/>
      <c r="W4" s="4"/>
      <c r="X4" s="4"/>
      <c r="Y4" s="4"/>
      <c r="Z4" s="4"/>
      <c r="AA4" s="4">
        <f t="shared" ref="AA4:AA36" si="12">0.01*(U4+V4+W4+X4+Y4)</f>
        <v>0</v>
      </c>
      <c r="AB4" s="4">
        <f t="shared" ref="AB4:AB36" si="13">0.062*(V4+U4+W4+X4+Y4)</f>
        <v>0</v>
      </c>
      <c r="AC4" s="4"/>
      <c r="AD4" s="4">
        <f t="shared" ref="AD4:AD36" si="14">0.028*(V4+W4+X4+Y4+U4)</f>
        <v>0</v>
      </c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3">
        <f t="shared" si="6"/>
        <v>3000000</v>
      </c>
      <c r="BY4" s="22">
        <f t="shared" si="7"/>
        <v>3000000</v>
      </c>
      <c r="BZ4" t="s">
        <v>1551</v>
      </c>
      <c r="CA4" t="s">
        <v>2229</v>
      </c>
      <c r="CC4" s="417" t="str">
        <f t="shared" ref="CC4" si="15">IF(B4="ug1","INDUSTRIES",IF(B4="ug2","COMMERCE GENERAL",IF(B4="ug3","BANQUES, ASSURANCES, NTIC, CTD",IF(B4="ug4","FORETS, EAUX, MINES, PETROLES",IF(B4="ug5","SERVICES","")))))</f>
        <v>FORETS, EAUX, MINES, PETROLES</v>
      </c>
    </row>
    <row r="5" spans="1:83">
      <c r="A5" s="658" t="s">
        <v>3019</v>
      </c>
      <c r="B5" s="8" t="s">
        <v>1438</v>
      </c>
      <c r="C5" s="8"/>
      <c r="D5" s="1"/>
      <c r="E5" s="8"/>
      <c r="F5" s="8"/>
      <c r="G5" s="1"/>
      <c r="H5" s="8"/>
      <c r="I5" s="119">
        <v>500000</v>
      </c>
      <c r="J5" s="4"/>
      <c r="K5" s="4"/>
      <c r="L5" s="4"/>
      <c r="M5" s="4"/>
      <c r="N5" s="4"/>
      <c r="O5" s="4"/>
      <c r="P5" s="4"/>
      <c r="Q5" s="4">
        <f t="shared" si="9"/>
        <v>0</v>
      </c>
      <c r="R5" s="4">
        <f t="shared" si="10"/>
        <v>0</v>
      </c>
      <c r="S5" s="4"/>
      <c r="T5" s="4">
        <f t="shared" si="11"/>
        <v>0</v>
      </c>
      <c r="U5" s="4"/>
      <c r="V5" s="4"/>
      <c r="W5" s="4"/>
      <c r="X5" s="4"/>
      <c r="Y5" s="4"/>
      <c r="Z5" s="4"/>
      <c r="AA5" s="4">
        <f t="shared" si="12"/>
        <v>0</v>
      </c>
      <c r="AB5" s="4">
        <f t="shared" si="13"/>
        <v>0</v>
      </c>
      <c r="AC5" s="4"/>
      <c r="AD5" s="4">
        <f t="shared" si="14"/>
        <v>0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3">
        <f t="shared" si="6"/>
        <v>500000</v>
      </c>
      <c r="BY5" s="22">
        <f t="shared" si="7"/>
        <v>500000</v>
      </c>
      <c r="BZ5" t="s">
        <v>1551</v>
      </c>
      <c r="CA5" t="s">
        <v>2229</v>
      </c>
      <c r="CC5" s="417" t="str">
        <f t="shared" si="8"/>
        <v>BANQUES, ASSURANCES, NTIC, CTD</v>
      </c>
      <c r="CD5" s="76" t="s">
        <v>2671</v>
      </c>
    </row>
    <row r="6" spans="1:83">
      <c r="A6" s="657" t="s">
        <v>3025</v>
      </c>
      <c r="B6" s="8" t="s">
        <v>1436</v>
      </c>
      <c r="C6" s="8"/>
      <c r="D6" s="1"/>
      <c r="E6" s="8"/>
      <c r="F6" s="8"/>
      <c r="G6" s="1"/>
      <c r="H6" s="8"/>
      <c r="I6" s="119">
        <v>8231097.2999999998</v>
      </c>
      <c r="J6" s="4"/>
      <c r="K6" s="4">
        <v>176890.27</v>
      </c>
      <c r="L6" s="4">
        <v>1096719.6739999999</v>
      </c>
      <c r="M6" s="4"/>
      <c r="N6" s="4">
        <v>495292.75599999999</v>
      </c>
      <c r="O6" s="4"/>
      <c r="P6" s="4"/>
      <c r="Q6" s="4">
        <f t="shared" si="9"/>
        <v>0</v>
      </c>
      <c r="R6" s="4">
        <f t="shared" si="10"/>
        <v>0</v>
      </c>
      <c r="S6" s="4"/>
      <c r="T6" s="4">
        <f t="shared" si="11"/>
        <v>0</v>
      </c>
      <c r="U6" s="4"/>
      <c r="V6" s="4"/>
      <c r="W6" s="4"/>
      <c r="X6" s="4"/>
      <c r="Y6" s="4"/>
      <c r="Z6" s="4"/>
      <c r="AA6" s="4">
        <f t="shared" si="12"/>
        <v>0</v>
      </c>
      <c r="AB6" s="4">
        <f t="shared" si="13"/>
        <v>0</v>
      </c>
      <c r="AC6" s="4"/>
      <c r="AD6" s="4">
        <f t="shared" si="14"/>
        <v>0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3">
        <f t="shared" si="6"/>
        <v>10000000</v>
      </c>
      <c r="BY6" s="22">
        <f t="shared" si="7"/>
        <v>8231097.2999999998</v>
      </c>
      <c r="BZ6" t="s">
        <v>1551</v>
      </c>
      <c r="CA6" t="s">
        <v>2229</v>
      </c>
      <c r="CC6" s="417" t="str">
        <f t="shared" ref="CC6:CC21" si="16">IF(B6="ug1","INDUSTRIES",IF(B6="ug2","COMMERCE GENERAL",IF(B6="ug3","BANQUES, ASSURANCES, NTIC, CTD",IF(B6="ug4","FORETS, EAUX, MINES, PETROLES",IF(B6="ug5","SERVICES","")))))</f>
        <v>FORETS, EAUX, MINES, PETROLES</v>
      </c>
    </row>
    <row r="7" spans="1:83">
      <c r="A7" s="657" t="s">
        <v>3024</v>
      </c>
      <c r="B7" s="8" t="s">
        <v>1436</v>
      </c>
      <c r="C7" s="8"/>
      <c r="D7" s="1"/>
      <c r="E7" s="8"/>
      <c r="F7" s="8"/>
      <c r="G7" s="1"/>
      <c r="H7" s="8"/>
      <c r="I7" s="119"/>
      <c r="J7" s="4"/>
      <c r="K7" s="4">
        <f t="shared" ref="K7:K36" si="17">0.01*(I7+J7)</f>
        <v>0</v>
      </c>
      <c r="L7" s="4">
        <f t="shared" ref="L7:L36" si="18">0.062*(I7+J7)</f>
        <v>0</v>
      </c>
      <c r="M7" s="4"/>
      <c r="N7" s="4">
        <f t="shared" ref="N7:N36" si="19">0.028*(I7+J7)</f>
        <v>0</v>
      </c>
      <c r="O7" s="4">
        <f>8706140</f>
        <v>8706140</v>
      </c>
      <c r="P7" s="4"/>
      <c r="Q7" s="4">
        <v>87061.400000000009</v>
      </c>
      <c r="R7" s="4">
        <v>539780.68000000005</v>
      </c>
      <c r="S7" s="4"/>
      <c r="T7" s="4">
        <v>243771.92</v>
      </c>
      <c r="U7" s="4"/>
      <c r="V7" s="4">
        <v>423246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3">
        <f t="shared" si="6"/>
        <v>10000000</v>
      </c>
      <c r="BY7" s="22">
        <f t="shared" si="7"/>
        <v>9129386</v>
      </c>
      <c r="BZ7" t="s">
        <v>1551</v>
      </c>
      <c r="CA7" t="s">
        <v>2228</v>
      </c>
      <c r="CB7" s="659" t="s">
        <v>3020</v>
      </c>
      <c r="CC7" s="417" t="str">
        <f t="shared" si="16"/>
        <v>FORETS, EAUX, MINES, PETROLES</v>
      </c>
    </row>
    <row r="8" spans="1:83">
      <c r="A8" s="658" t="s">
        <v>3023</v>
      </c>
      <c r="B8" s="8" t="s">
        <v>1436</v>
      </c>
      <c r="C8" s="8"/>
      <c r="D8" s="1"/>
      <c r="E8" s="8"/>
      <c r="F8" s="8"/>
      <c r="G8" s="1"/>
      <c r="H8" s="8"/>
      <c r="I8" s="119">
        <v>3000000</v>
      </c>
      <c r="J8" s="4"/>
      <c r="K8" s="4"/>
      <c r="L8" s="4"/>
      <c r="M8" s="4"/>
      <c r="N8" s="4"/>
      <c r="O8" s="4"/>
      <c r="P8" s="4"/>
      <c r="Q8" s="4">
        <f t="shared" si="9"/>
        <v>0</v>
      </c>
      <c r="R8" s="4">
        <f t="shared" si="10"/>
        <v>0</v>
      </c>
      <c r="S8" s="4"/>
      <c r="T8" s="4">
        <f t="shared" si="11"/>
        <v>0</v>
      </c>
      <c r="U8" s="4"/>
      <c r="V8" s="4"/>
      <c r="W8" s="4"/>
      <c r="X8" s="4"/>
      <c r="Y8" s="4"/>
      <c r="Z8" s="4"/>
      <c r="AA8" s="4">
        <f t="shared" si="12"/>
        <v>0</v>
      </c>
      <c r="AB8" s="4">
        <f t="shared" si="13"/>
        <v>0</v>
      </c>
      <c r="AC8" s="4"/>
      <c r="AD8" s="4">
        <f t="shared" si="14"/>
        <v>0</v>
      </c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3">
        <f t="shared" si="6"/>
        <v>3000000</v>
      </c>
      <c r="BY8" s="22">
        <f t="shared" si="7"/>
        <v>3000000</v>
      </c>
      <c r="BZ8" t="s">
        <v>1551</v>
      </c>
      <c r="CA8" t="s">
        <v>2229</v>
      </c>
      <c r="CC8" s="417" t="str">
        <f t="shared" si="16"/>
        <v>FORETS, EAUX, MINES, PETROLES</v>
      </c>
    </row>
    <row r="9" spans="1:83">
      <c r="A9" s="657" t="s">
        <v>3022</v>
      </c>
      <c r="B9" s="8" t="s">
        <v>408</v>
      </c>
      <c r="C9" s="8"/>
      <c r="D9" s="1"/>
      <c r="E9" s="8"/>
      <c r="F9" s="8"/>
      <c r="G9" s="1"/>
      <c r="H9" s="8"/>
      <c r="I9" s="119">
        <f>8076425-5000000/1.1</f>
        <v>3530970.4545454551</v>
      </c>
      <c r="J9" s="4"/>
      <c r="K9" s="4">
        <f t="shared" si="17"/>
        <v>35309.704545454551</v>
      </c>
      <c r="L9" s="4">
        <f t="shared" si="18"/>
        <v>218920.16818181821</v>
      </c>
      <c r="M9" s="4"/>
      <c r="N9" s="4">
        <f t="shared" si="19"/>
        <v>98867.172727272744</v>
      </c>
      <c r="O9" s="4">
        <v>711154</v>
      </c>
      <c r="P9" s="4"/>
      <c r="Q9" s="4">
        <f t="shared" si="9"/>
        <v>7111.54</v>
      </c>
      <c r="R9" s="4">
        <f>0.062*(O9+P9)</f>
        <v>44091.548000000003</v>
      </c>
      <c r="S9" s="4"/>
      <c r="T9" s="4">
        <f t="shared" si="11"/>
        <v>19912.312000000002</v>
      </c>
      <c r="U9" s="4"/>
      <c r="V9" s="4"/>
      <c r="W9" s="4"/>
      <c r="X9" s="4"/>
      <c r="Y9" s="4"/>
      <c r="Z9" s="4"/>
      <c r="AA9" s="4">
        <f t="shared" si="12"/>
        <v>0</v>
      </c>
      <c r="AB9" s="4">
        <f t="shared" si="13"/>
        <v>0</v>
      </c>
      <c r="AC9" s="4"/>
      <c r="AD9" s="4">
        <f t="shared" si="14"/>
        <v>0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3">
        <f t="shared" si="6"/>
        <v>4666336.9000000013</v>
      </c>
      <c r="BY9" s="22">
        <f t="shared" si="7"/>
        <v>4242124.4545454551</v>
      </c>
      <c r="BZ9" t="s">
        <v>1551</v>
      </c>
      <c r="CA9" t="s">
        <v>2229</v>
      </c>
      <c r="CC9" s="417" t="str">
        <f t="shared" si="16"/>
        <v>SERVICES</v>
      </c>
    </row>
    <row r="10" spans="1:83">
      <c r="A10" s="657" t="s">
        <v>3021</v>
      </c>
      <c r="B10" s="8" t="s">
        <v>1437</v>
      </c>
      <c r="C10" s="8"/>
      <c r="D10" s="1"/>
      <c r="E10" s="8"/>
      <c r="F10" s="8"/>
      <c r="G10" s="1"/>
      <c r="H10" s="8"/>
      <c r="I10" s="119"/>
      <c r="J10" s="4"/>
      <c r="K10" s="4">
        <f t="shared" si="17"/>
        <v>0</v>
      </c>
      <c r="L10" s="4">
        <f t="shared" si="18"/>
        <v>0</v>
      </c>
      <c r="M10" s="4"/>
      <c r="N10" s="4">
        <f t="shared" si="19"/>
        <v>0</v>
      </c>
      <c r="O10" s="4"/>
      <c r="P10" s="4"/>
      <c r="Q10" s="4">
        <f t="shared" si="9"/>
        <v>0</v>
      </c>
      <c r="R10" s="4">
        <f t="shared" si="10"/>
        <v>0</v>
      </c>
      <c r="S10" s="4"/>
      <c r="T10" s="4">
        <f t="shared" si="11"/>
        <v>0</v>
      </c>
      <c r="U10" s="4"/>
      <c r="V10" s="4"/>
      <c r="W10" s="4"/>
      <c r="X10" s="4"/>
      <c r="Y10" s="4"/>
      <c r="Z10" s="4"/>
      <c r="AA10" s="4">
        <f t="shared" si="12"/>
        <v>0</v>
      </c>
      <c r="AB10" s="4">
        <f t="shared" si="13"/>
        <v>0</v>
      </c>
      <c r="AC10" s="4"/>
      <c r="AD10" s="4">
        <f t="shared" si="14"/>
        <v>0</v>
      </c>
      <c r="AE10" s="4">
        <v>1500000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3">
        <f t="shared" si="6"/>
        <v>1500000</v>
      </c>
      <c r="BY10" s="22">
        <f t="shared" si="7"/>
        <v>1500000</v>
      </c>
      <c r="BZ10" t="s">
        <v>1551</v>
      </c>
      <c r="CA10" t="s">
        <v>2229</v>
      </c>
      <c r="CC10" s="417" t="str">
        <f t="shared" si="16"/>
        <v>COMMERCE GENERAL</v>
      </c>
    </row>
    <row r="11" spans="1:83">
      <c r="A11" s="657" t="s">
        <v>3026</v>
      </c>
      <c r="B11" s="8" t="s">
        <v>1436</v>
      </c>
      <c r="C11" s="8"/>
      <c r="D11" s="1"/>
      <c r="E11" s="8"/>
      <c r="F11" s="8"/>
      <c r="G11" s="1"/>
      <c r="H11" s="8"/>
      <c r="I11" s="119">
        <f>2410560/1.1</f>
        <v>2191418.1818181816</v>
      </c>
      <c r="J11" s="4"/>
      <c r="K11" s="4">
        <f t="shared" ref="K11" si="20">0.01*(I11+J11)</f>
        <v>21914.181818181816</v>
      </c>
      <c r="L11" s="4">
        <f t="shared" ref="L11" si="21">0.062*(I11+J11)</f>
        <v>135867.92727272725</v>
      </c>
      <c r="M11" s="4"/>
      <c r="N11" s="4">
        <f t="shared" ref="N11" si="22">0.028*(I11+J11)</f>
        <v>61359.709090909084</v>
      </c>
      <c r="O11" s="4"/>
      <c r="P11" s="4"/>
      <c r="Q11" s="4">
        <f t="shared" si="9"/>
        <v>0</v>
      </c>
      <c r="R11" s="4">
        <f t="shared" si="10"/>
        <v>0</v>
      </c>
      <c r="S11" s="4"/>
      <c r="T11" s="4">
        <f t="shared" si="11"/>
        <v>0</v>
      </c>
      <c r="U11" s="4"/>
      <c r="V11" s="4"/>
      <c r="W11" s="4"/>
      <c r="X11" s="4"/>
      <c r="Y11" s="4"/>
      <c r="Z11" s="4"/>
      <c r="AA11" s="4">
        <f t="shared" si="12"/>
        <v>0</v>
      </c>
      <c r="AB11" s="4">
        <f t="shared" si="13"/>
        <v>0</v>
      </c>
      <c r="AC11" s="4"/>
      <c r="AD11" s="4">
        <f t="shared" si="14"/>
        <v>0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3">
        <f t="shared" si="6"/>
        <v>2410559.9999999995</v>
      </c>
      <c r="BY11" s="22">
        <f t="shared" si="7"/>
        <v>2191418.1818181816</v>
      </c>
      <c r="BZ11" t="s">
        <v>1551</v>
      </c>
      <c r="CA11" t="s">
        <v>2229</v>
      </c>
      <c r="CC11" s="417" t="str">
        <f t="shared" si="16"/>
        <v>FORETS, EAUX, MINES, PETROLES</v>
      </c>
    </row>
    <row r="12" spans="1:83">
      <c r="A12" s="657" t="s">
        <v>3027</v>
      </c>
      <c r="B12" s="8" t="s">
        <v>1437</v>
      </c>
      <c r="C12" s="8"/>
      <c r="D12" s="1"/>
      <c r="E12" s="8"/>
      <c r="F12" s="8"/>
      <c r="G12" s="1"/>
      <c r="H12" s="8"/>
      <c r="I12" s="119"/>
      <c r="J12" s="4"/>
      <c r="K12" s="4">
        <f t="shared" si="17"/>
        <v>0</v>
      </c>
      <c r="L12" s="4">
        <f t="shared" si="18"/>
        <v>0</v>
      </c>
      <c r="M12" s="4"/>
      <c r="N12" s="4">
        <f t="shared" si="19"/>
        <v>0</v>
      </c>
      <c r="O12" s="4"/>
      <c r="P12" s="4"/>
      <c r="Q12" s="4">
        <f t="shared" si="9"/>
        <v>0</v>
      </c>
      <c r="R12" s="4">
        <f t="shared" si="10"/>
        <v>0</v>
      </c>
      <c r="S12" s="4"/>
      <c r="T12" s="4">
        <f t="shared" si="11"/>
        <v>0</v>
      </c>
      <c r="U12" s="4"/>
      <c r="V12" s="4"/>
      <c r="W12" s="4">
        <v>500000</v>
      </c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3">
        <f t="shared" si="6"/>
        <v>500000</v>
      </c>
      <c r="BY12" s="22">
        <f t="shared" si="7"/>
        <v>500000</v>
      </c>
      <c r="BZ12" t="s">
        <v>1551</v>
      </c>
      <c r="CA12" t="s">
        <v>2228</v>
      </c>
      <c r="CC12" s="417" t="str">
        <f t="shared" si="16"/>
        <v>COMMERCE GENERAL</v>
      </c>
    </row>
    <row r="13" spans="1:83">
      <c r="A13" s="657" t="s">
        <v>3028</v>
      </c>
      <c r="B13" s="8" t="s">
        <v>1437</v>
      </c>
      <c r="C13" s="8"/>
      <c r="D13" s="1"/>
      <c r="E13" s="8"/>
      <c r="F13" s="8"/>
      <c r="G13" s="1"/>
      <c r="H13" s="8"/>
      <c r="I13" s="119">
        <v>4000000</v>
      </c>
      <c r="J13" s="4"/>
      <c r="K13" s="4"/>
      <c r="L13" s="4"/>
      <c r="M13" s="4"/>
      <c r="N13" s="4"/>
      <c r="O13" s="4"/>
      <c r="P13" s="4"/>
      <c r="Q13" s="4">
        <f t="shared" si="9"/>
        <v>0</v>
      </c>
      <c r="R13" s="4">
        <f t="shared" si="10"/>
        <v>0</v>
      </c>
      <c r="S13" s="4"/>
      <c r="T13" s="4">
        <f t="shared" si="11"/>
        <v>0</v>
      </c>
      <c r="U13" s="4"/>
      <c r="V13" s="4"/>
      <c r="W13" s="4"/>
      <c r="X13" s="4"/>
      <c r="Y13" s="4"/>
      <c r="Z13" s="4"/>
      <c r="AA13" s="4">
        <f t="shared" si="12"/>
        <v>0</v>
      </c>
      <c r="AB13" s="4">
        <f t="shared" si="13"/>
        <v>0</v>
      </c>
      <c r="AC13" s="4"/>
      <c r="AD13" s="4">
        <f t="shared" si="14"/>
        <v>0</v>
      </c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3">
        <f t="shared" si="6"/>
        <v>4000000</v>
      </c>
      <c r="BY13" s="22">
        <f t="shared" si="7"/>
        <v>4000000</v>
      </c>
      <c r="BZ13" t="s">
        <v>1551</v>
      </c>
      <c r="CA13" t="s">
        <v>2228</v>
      </c>
      <c r="CC13" s="417" t="str">
        <f t="shared" si="16"/>
        <v>COMMERCE GENERAL</v>
      </c>
    </row>
    <row r="14" spans="1:83">
      <c r="A14" s="658" t="s">
        <v>3029</v>
      </c>
      <c r="B14" s="8" t="s">
        <v>1437</v>
      </c>
      <c r="C14" s="8"/>
      <c r="D14" s="1"/>
      <c r="E14" s="8"/>
      <c r="F14" s="8"/>
      <c r="G14" s="1"/>
      <c r="H14" s="8"/>
      <c r="I14" s="119"/>
      <c r="J14" s="4"/>
      <c r="K14" s="4">
        <f t="shared" si="17"/>
        <v>0</v>
      </c>
      <c r="L14" s="4">
        <f t="shared" si="18"/>
        <v>0</v>
      </c>
      <c r="M14" s="4"/>
      <c r="N14" s="4">
        <f t="shared" si="19"/>
        <v>0</v>
      </c>
      <c r="O14" s="4">
        <v>1000000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>
        <f t="shared" si="12"/>
        <v>0</v>
      </c>
      <c r="AB14" s="4">
        <f t="shared" si="13"/>
        <v>0</v>
      </c>
      <c r="AC14" s="4"/>
      <c r="AD14" s="4">
        <f t="shared" si="14"/>
        <v>0</v>
      </c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3">
        <f t="shared" si="6"/>
        <v>1000000</v>
      </c>
      <c r="BY14" s="22">
        <f t="shared" si="7"/>
        <v>1000000</v>
      </c>
      <c r="BZ14" t="s">
        <v>1551</v>
      </c>
      <c r="CA14" t="s">
        <v>2229</v>
      </c>
      <c r="CC14" s="417" t="str">
        <f t="shared" si="16"/>
        <v>COMMERCE GENERAL</v>
      </c>
    </row>
    <row r="15" spans="1:83">
      <c r="A15" s="657" t="s">
        <v>3036</v>
      </c>
      <c r="B15" s="8" t="s">
        <v>1437</v>
      </c>
      <c r="C15" s="8"/>
      <c r="D15" s="1"/>
      <c r="E15" s="8"/>
      <c r="F15" s="8"/>
      <c r="G15" s="1"/>
      <c r="H15" s="8"/>
      <c r="I15" s="119">
        <v>2500000</v>
      </c>
      <c r="J15" s="4"/>
      <c r="K15" s="4"/>
      <c r="L15" s="4"/>
      <c r="M15" s="4"/>
      <c r="N15" s="4"/>
      <c r="O15" s="4">
        <v>500000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>
        <f t="shared" si="12"/>
        <v>0</v>
      </c>
      <c r="AB15" s="4">
        <f t="shared" si="13"/>
        <v>0</v>
      </c>
      <c r="AC15" s="4"/>
      <c r="AD15" s="4">
        <f t="shared" si="14"/>
        <v>0</v>
      </c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3">
        <f t="shared" si="6"/>
        <v>3000000</v>
      </c>
      <c r="BY15" s="22">
        <f t="shared" si="7"/>
        <v>3000000</v>
      </c>
      <c r="BZ15" t="s">
        <v>1551</v>
      </c>
      <c r="CA15" t="s">
        <v>2228</v>
      </c>
      <c r="CC15" s="417" t="str">
        <f t="shared" si="16"/>
        <v>COMMERCE GENERAL</v>
      </c>
    </row>
    <row r="16" spans="1:83">
      <c r="A16" s="657" t="s">
        <v>3037</v>
      </c>
      <c r="B16" s="8" t="s">
        <v>408</v>
      </c>
      <c r="C16" s="8"/>
      <c r="D16" s="1"/>
      <c r="E16" s="8"/>
      <c r="F16" s="8"/>
      <c r="G16" s="1"/>
      <c r="H16" s="8"/>
      <c r="I16" s="119"/>
      <c r="J16" s="4"/>
      <c r="K16" s="4">
        <f t="shared" si="17"/>
        <v>0</v>
      </c>
      <c r="L16" s="4">
        <f t="shared" si="18"/>
        <v>0</v>
      </c>
      <c r="M16" s="4"/>
      <c r="N16" s="4">
        <f t="shared" si="19"/>
        <v>0</v>
      </c>
      <c r="O16" s="4"/>
      <c r="P16" s="4"/>
      <c r="Q16" s="4">
        <f t="shared" si="9"/>
        <v>0</v>
      </c>
      <c r="R16" s="4">
        <f t="shared" si="10"/>
        <v>0</v>
      </c>
      <c r="S16" s="4"/>
      <c r="T16" s="4">
        <f t="shared" si="11"/>
        <v>0</v>
      </c>
      <c r="U16" s="4"/>
      <c r="V16" s="4"/>
      <c r="W16" s="4"/>
      <c r="X16" s="4"/>
      <c r="Y16" s="4"/>
      <c r="Z16" s="4"/>
      <c r="AA16" s="4">
        <f t="shared" si="12"/>
        <v>0</v>
      </c>
      <c r="AB16" s="4">
        <f t="shared" si="13"/>
        <v>0</v>
      </c>
      <c r="AC16" s="4"/>
      <c r="AD16" s="4">
        <f t="shared" si="14"/>
        <v>0</v>
      </c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>
        <v>1145302</v>
      </c>
      <c r="BX16" s="3">
        <f t="shared" si="6"/>
        <v>1145302</v>
      </c>
      <c r="BY16" s="22">
        <f t="shared" si="7"/>
        <v>0</v>
      </c>
      <c r="BZ16" t="s">
        <v>1551</v>
      </c>
      <c r="CA16" t="s">
        <v>2229</v>
      </c>
      <c r="CC16" s="417" t="str">
        <f t="shared" si="16"/>
        <v>SERVICES</v>
      </c>
    </row>
    <row r="17" spans="1:81">
      <c r="A17" s="657" t="s">
        <v>3039</v>
      </c>
      <c r="B17" s="8" t="s">
        <v>408</v>
      </c>
      <c r="C17" s="8"/>
      <c r="D17" s="1"/>
      <c r="E17" s="8"/>
      <c r="F17" s="8"/>
      <c r="G17" s="1"/>
      <c r="H17" s="8"/>
      <c r="I17" s="119">
        <f>8805*2</f>
        <v>17610</v>
      </c>
      <c r="J17" s="4"/>
      <c r="K17" s="4">
        <f t="shared" si="17"/>
        <v>176.1</v>
      </c>
      <c r="L17" s="4">
        <f t="shared" si="18"/>
        <v>1091.82</v>
      </c>
      <c r="M17" s="4"/>
      <c r="N17" s="4">
        <f t="shared" si="19"/>
        <v>493.08</v>
      </c>
      <c r="O17" s="4">
        <f>1006*2</f>
        <v>2012</v>
      </c>
      <c r="P17" s="4"/>
      <c r="Q17" s="4">
        <f t="shared" si="9"/>
        <v>20.12</v>
      </c>
      <c r="R17" s="4">
        <f t="shared" si="10"/>
        <v>124.744</v>
      </c>
      <c r="S17" s="4"/>
      <c r="T17" s="4">
        <f t="shared" si="11"/>
        <v>56.335999999999999</v>
      </c>
      <c r="U17" s="4"/>
      <c r="V17" s="4"/>
      <c r="W17" s="4"/>
      <c r="X17" s="4"/>
      <c r="Y17" s="4"/>
      <c r="Z17" s="4"/>
      <c r="AA17" s="4">
        <f t="shared" si="12"/>
        <v>0</v>
      </c>
      <c r="AB17" s="4">
        <f t="shared" si="13"/>
        <v>0</v>
      </c>
      <c r="AC17" s="4"/>
      <c r="AD17" s="4">
        <f t="shared" si="14"/>
        <v>0</v>
      </c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>
        <v>52764.6</v>
      </c>
      <c r="BE17" s="4">
        <v>42197.4</v>
      </c>
      <c r="BF17" s="4">
        <v>10555.3</v>
      </c>
      <c r="BG17" s="4">
        <v>1582.6999999999998</v>
      </c>
      <c r="BH17" s="4"/>
      <c r="BI17" s="4">
        <v>14150</v>
      </c>
      <c r="BJ17" s="4"/>
      <c r="BK17" s="4"/>
      <c r="BL17" s="4"/>
      <c r="BM17" s="4">
        <v>18225</v>
      </c>
      <c r="BN17" s="4">
        <v>2025</v>
      </c>
      <c r="BO17" s="4"/>
      <c r="BP17" s="4"/>
      <c r="BQ17" s="4"/>
      <c r="BR17" s="4"/>
      <c r="BS17" s="4"/>
      <c r="BT17" s="4"/>
      <c r="BU17" s="4"/>
      <c r="BV17" s="4"/>
      <c r="BW17" s="4">
        <f>14150+2123+2*(1079+162)</f>
        <v>18755</v>
      </c>
      <c r="BX17" s="3">
        <f t="shared" si="6"/>
        <v>181839.19999999998</v>
      </c>
      <c r="BY17" s="22">
        <f t="shared" si="7"/>
        <v>19622</v>
      </c>
      <c r="BZ17" t="s">
        <v>1551</v>
      </c>
      <c r="CA17" t="s">
        <v>2229</v>
      </c>
      <c r="CC17" s="417" t="str">
        <f t="shared" si="16"/>
        <v>SERVICES</v>
      </c>
    </row>
    <row r="18" spans="1:81">
      <c r="A18" s="658" t="s">
        <v>3038</v>
      </c>
      <c r="B18" s="8" t="s">
        <v>1438</v>
      </c>
      <c r="C18" s="8"/>
      <c r="D18" s="1"/>
      <c r="E18" s="8"/>
      <c r="F18" s="8"/>
      <c r="G18" s="1"/>
      <c r="H18" s="8"/>
      <c r="I18" s="119">
        <v>250000</v>
      </c>
      <c r="J18" s="4"/>
      <c r="K18" s="4"/>
      <c r="L18" s="4"/>
      <c r="M18" s="4"/>
      <c r="N18" s="4"/>
      <c r="O18" s="4"/>
      <c r="P18" s="4"/>
      <c r="Q18" s="4">
        <f t="shared" si="9"/>
        <v>0</v>
      </c>
      <c r="R18" s="4">
        <f t="shared" si="10"/>
        <v>0</v>
      </c>
      <c r="S18" s="4"/>
      <c r="T18" s="4">
        <f t="shared" si="11"/>
        <v>0</v>
      </c>
      <c r="U18" s="4"/>
      <c r="V18" s="4"/>
      <c r="W18" s="4"/>
      <c r="X18" s="4"/>
      <c r="Y18" s="4"/>
      <c r="Z18" s="4"/>
      <c r="AA18" s="4">
        <f t="shared" si="12"/>
        <v>0</v>
      </c>
      <c r="AB18" s="4">
        <f t="shared" si="13"/>
        <v>0</v>
      </c>
      <c r="AC18" s="4"/>
      <c r="AD18" s="4">
        <f t="shared" si="14"/>
        <v>0</v>
      </c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3">
        <f t="shared" si="6"/>
        <v>250000</v>
      </c>
      <c r="BY18" s="22">
        <f t="shared" si="7"/>
        <v>250000</v>
      </c>
      <c r="BZ18" t="s">
        <v>1551</v>
      </c>
      <c r="CA18" t="s">
        <v>2229</v>
      </c>
      <c r="CC18" s="417" t="str">
        <f t="shared" si="16"/>
        <v>BANQUES, ASSURANCES, NTIC, CTD</v>
      </c>
    </row>
    <row r="19" spans="1:81">
      <c r="A19" s="657" t="s">
        <v>3040</v>
      </c>
      <c r="B19" s="8" t="s">
        <v>408</v>
      </c>
      <c r="C19" s="8"/>
      <c r="D19" s="1"/>
      <c r="E19" s="8"/>
      <c r="F19" s="8"/>
      <c r="G19" s="1"/>
      <c r="H19" s="8"/>
      <c r="I19" s="119"/>
      <c r="J19" s="4"/>
      <c r="K19" s="4">
        <f t="shared" si="17"/>
        <v>0</v>
      </c>
      <c r="L19" s="4">
        <f t="shared" si="18"/>
        <v>0</v>
      </c>
      <c r="M19" s="4"/>
      <c r="N19" s="4">
        <f t="shared" si="19"/>
        <v>0</v>
      </c>
      <c r="O19" s="4"/>
      <c r="P19" s="4"/>
      <c r="Q19" s="4">
        <f t="shared" si="9"/>
        <v>0</v>
      </c>
      <c r="R19" s="4">
        <f t="shared" si="10"/>
        <v>0</v>
      </c>
      <c r="S19" s="4"/>
      <c r="T19" s="4">
        <f t="shared" si="11"/>
        <v>0</v>
      </c>
      <c r="U19" s="4"/>
      <c r="V19" s="4"/>
      <c r="W19" s="4"/>
      <c r="X19" s="4"/>
      <c r="Y19" s="4"/>
      <c r="Z19" s="4"/>
      <c r="AA19" s="4">
        <f t="shared" si="12"/>
        <v>0</v>
      </c>
      <c r="AB19" s="4">
        <f t="shared" si="13"/>
        <v>0</v>
      </c>
      <c r="AC19" s="4"/>
      <c r="AD19" s="4">
        <f t="shared" si="14"/>
        <v>0</v>
      </c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>
        <f>400+10200+22800</f>
        <v>33400</v>
      </c>
      <c r="BB19" s="4">
        <v>15200</v>
      </c>
      <c r="BC19" s="4">
        <v>13400</v>
      </c>
      <c r="BD19" s="4"/>
      <c r="BE19" s="4"/>
      <c r="BF19" s="4"/>
      <c r="BG19" s="4"/>
      <c r="BH19" s="4"/>
      <c r="BI19" s="4"/>
      <c r="BJ19" s="4"/>
      <c r="BK19" s="4"/>
      <c r="BL19" s="4"/>
      <c r="BM19" s="4">
        <f>6750*0.9</f>
        <v>6075</v>
      </c>
      <c r="BN19" s="4">
        <f>BM19/9</f>
        <v>675</v>
      </c>
      <c r="BO19" s="4"/>
      <c r="BP19" s="4"/>
      <c r="BQ19" s="4"/>
      <c r="BR19" s="4"/>
      <c r="BS19" s="4"/>
      <c r="BT19" s="4"/>
      <c r="BU19" s="4"/>
      <c r="BV19" s="4"/>
      <c r="BW19" s="4">
        <f>7213+1082+3378-8797</f>
        <v>2876</v>
      </c>
      <c r="BX19" s="3">
        <f t="shared" si="6"/>
        <v>71626</v>
      </c>
      <c r="BY19" s="22">
        <f t="shared" si="7"/>
        <v>0</v>
      </c>
      <c r="BZ19" t="s">
        <v>1551</v>
      </c>
      <c r="CA19" t="s">
        <v>2229</v>
      </c>
      <c r="CC19" s="417" t="str">
        <f t="shared" si="16"/>
        <v>SERVICES</v>
      </c>
    </row>
    <row r="20" spans="1:81">
      <c r="A20" s="657" t="s">
        <v>3041</v>
      </c>
      <c r="B20" s="8" t="s">
        <v>408</v>
      </c>
      <c r="C20" s="8"/>
      <c r="D20" s="1"/>
      <c r="E20" s="8"/>
      <c r="F20" s="8"/>
      <c r="G20" s="1"/>
      <c r="H20" s="8"/>
      <c r="I20" s="119"/>
      <c r="J20" s="4"/>
      <c r="K20" s="4">
        <f t="shared" si="17"/>
        <v>0</v>
      </c>
      <c r="L20" s="4">
        <f t="shared" si="18"/>
        <v>0</v>
      </c>
      <c r="M20" s="4"/>
      <c r="N20" s="4">
        <f t="shared" si="19"/>
        <v>0</v>
      </c>
      <c r="O20" s="4"/>
      <c r="P20" s="4"/>
      <c r="Q20" s="4">
        <f t="shared" si="9"/>
        <v>0</v>
      </c>
      <c r="R20" s="4">
        <f t="shared" si="10"/>
        <v>0</v>
      </c>
      <c r="S20" s="4"/>
      <c r="T20" s="4">
        <f t="shared" si="11"/>
        <v>0</v>
      </c>
      <c r="U20" s="4"/>
      <c r="V20" s="4"/>
      <c r="W20" s="4">
        <v>1536</v>
      </c>
      <c r="X20" s="4"/>
      <c r="Y20" s="4"/>
      <c r="Z20" s="4"/>
      <c r="AA20" s="4">
        <f t="shared" si="12"/>
        <v>15.36</v>
      </c>
      <c r="AB20" s="4">
        <f t="shared" si="13"/>
        <v>95.231999999999999</v>
      </c>
      <c r="AC20" s="4"/>
      <c r="AD20" s="4">
        <f t="shared" si="14"/>
        <v>43.008000000000003</v>
      </c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>
        <f>17400+11600</f>
        <v>29000</v>
      </c>
      <c r="BB20" s="4"/>
      <c r="BC20" s="4">
        <v>1500</v>
      </c>
      <c r="BD20" s="4"/>
      <c r="BE20" s="4"/>
      <c r="BF20" s="4"/>
      <c r="BG20" s="4"/>
      <c r="BH20" s="4"/>
      <c r="BI20" s="4"/>
      <c r="BJ20" s="4"/>
      <c r="BK20" s="4"/>
      <c r="BL20" s="4"/>
      <c r="BM20" s="4">
        <f>750*0.9</f>
        <v>675</v>
      </c>
      <c r="BN20" s="4">
        <f>BM20/9</f>
        <v>75</v>
      </c>
      <c r="BO20" s="4"/>
      <c r="BP20" s="4"/>
      <c r="BQ20" s="4"/>
      <c r="BR20" s="4"/>
      <c r="BS20" s="4"/>
      <c r="BT20" s="4"/>
      <c r="BU20" s="4"/>
      <c r="BV20" s="4"/>
      <c r="BW20" s="4">
        <f>36728-32940</f>
        <v>3788</v>
      </c>
      <c r="BX20" s="3">
        <f t="shared" si="6"/>
        <v>36727.599999999999</v>
      </c>
      <c r="BY20" s="22">
        <f t="shared" si="7"/>
        <v>1536</v>
      </c>
      <c r="BZ20" t="s">
        <v>1551</v>
      </c>
      <c r="CA20" t="s">
        <v>2229</v>
      </c>
      <c r="CC20" s="417" t="str">
        <f t="shared" si="16"/>
        <v>SERVICES</v>
      </c>
    </row>
    <row r="21" spans="1:81">
      <c r="A21" s="658" t="s">
        <v>3042</v>
      </c>
      <c r="B21" s="8" t="s">
        <v>408</v>
      </c>
      <c r="C21" s="8"/>
      <c r="D21" s="1"/>
      <c r="E21" s="8"/>
      <c r="F21" s="8"/>
      <c r="G21" s="1"/>
      <c r="H21" s="8"/>
      <c r="I21" s="119"/>
      <c r="J21" s="4"/>
      <c r="K21" s="4">
        <f t="shared" si="17"/>
        <v>0</v>
      </c>
      <c r="L21" s="4">
        <f t="shared" si="18"/>
        <v>0</v>
      </c>
      <c r="M21" s="4"/>
      <c r="N21" s="4">
        <f t="shared" si="19"/>
        <v>0</v>
      </c>
      <c r="O21" s="4"/>
      <c r="P21" s="4"/>
      <c r="Q21" s="4">
        <f t="shared" si="9"/>
        <v>0</v>
      </c>
      <c r="R21" s="4">
        <f t="shared" si="10"/>
        <v>0</v>
      </c>
      <c r="S21" s="4"/>
      <c r="T21" s="4">
        <f t="shared" si="11"/>
        <v>0</v>
      </c>
      <c r="U21" s="4"/>
      <c r="V21" s="4"/>
      <c r="W21" s="4"/>
      <c r="X21" s="4"/>
      <c r="Y21" s="4"/>
      <c r="Z21" s="4"/>
      <c r="AA21" s="4">
        <f t="shared" si="12"/>
        <v>0</v>
      </c>
      <c r="AB21" s="4">
        <f t="shared" si="13"/>
        <v>0</v>
      </c>
      <c r="AC21" s="4"/>
      <c r="AD21" s="4">
        <f t="shared" si="14"/>
        <v>0</v>
      </c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>
        <v>1986</v>
      </c>
      <c r="BX21" s="3">
        <f t="shared" si="6"/>
        <v>1986</v>
      </c>
      <c r="BY21" s="22">
        <f t="shared" si="7"/>
        <v>0</v>
      </c>
      <c r="BZ21" t="s">
        <v>1551</v>
      </c>
      <c r="CA21" t="s">
        <v>2229</v>
      </c>
      <c r="CC21" s="417" t="str">
        <f t="shared" si="16"/>
        <v>SERVICES</v>
      </c>
    </row>
    <row r="22" spans="1:81">
      <c r="A22" s="657" t="s">
        <v>3017</v>
      </c>
      <c r="B22" s="8" t="s">
        <v>1437</v>
      </c>
      <c r="C22" s="8"/>
      <c r="D22" s="1"/>
      <c r="E22" s="8"/>
      <c r="F22" s="8"/>
      <c r="G22" s="1"/>
      <c r="H22" s="8"/>
      <c r="I22" s="119"/>
      <c r="J22" s="4"/>
      <c r="K22" s="4">
        <f t="shared" si="17"/>
        <v>0</v>
      </c>
      <c r="L22" s="4">
        <f t="shared" si="18"/>
        <v>0</v>
      </c>
      <c r="M22" s="4"/>
      <c r="N22" s="4">
        <f t="shared" si="19"/>
        <v>0</v>
      </c>
      <c r="O22" s="4"/>
      <c r="P22" s="4"/>
      <c r="Q22" s="4">
        <f t="shared" si="9"/>
        <v>0</v>
      </c>
      <c r="R22" s="4">
        <f t="shared" si="10"/>
        <v>0</v>
      </c>
      <c r="S22" s="4"/>
      <c r="T22" s="4">
        <f t="shared" si="11"/>
        <v>0</v>
      </c>
      <c r="U22" s="4"/>
      <c r="V22" s="4"/>
      <c r="W22" s="4">
        <v>500000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3">
        <f t="shared" si="6"/>
        <v>500000</v>
      </c>
      <c r="BY22" s="22">
        <f t="shared" si="7"/>
        <v>500000</v>
      </c>
      <c r="BZ22" s="6" t="s">
        <v>1551</v>
      </c>
      <c r="CA22" t="s">
        <v>2228</v>
      </c>
      <c r="CC22" s="417" t="str">
        <f t="shared" si="8"/>
        <v>COMMERCE GENERAL</v>
      </c>
    </row>
    <row r="23" spans="1:81">
      <c r="A23" s="658" t="s">
        <v>3044</v>
      </c>
      <c r="B23" s="8" t="s">
        <v>1438</v>
      </c>
      <c r="C23" s="8"/>
      <c r="D23" s="1"/>
      <c r="E23" s="8"/>
      <c r="F23" s="8"/>
      <c r="G23" s="1"/>
      <c r="H23" s="8"/>
      <c r="I23" s="119">
        <v>1000000</v>
      </c>
      <c r="J23" s="4"/>
      <c r="K23" s="4"/>
      <c r="L23" s="4"/>
      <c r="M23" s="4"/>
      <c r="N23" s="4"/>
      <c r="O23" s="4"/>
      <c r="P23" s="4"/>
      <c r="Q23" s="4">
        <f t="shared" si="9"/>
        <v>0</v>
      </c>
      <c r="R23" s="4">
        <f t="shared" si="10"/>
        <v>0</v>
      </c>
      <c r="S23" s="4"/>
      <c r="T23" s="4">
        <f t="shared" si="11"/>
        <v>0</v>
      </c>
      <c r="U23" s="4"/>
      <c r="V23" s="4"/>
      <c r="W23" s="4"/>
      <c r="X23" s="4"/>
      <c r="Y23" s="4"/>
      <c r="Z23" s="4"/>
      <c r="AA23" s="4">
        <f t="shared" si="12"/>
        <v>0</v>
      </c>
      <c r="AB23" s="4">
        <f t="shared" si="13"/>
        <v>0</v>
      </c>
      <c r="AC23" s="4"/>
      <c r="AD23" s="4">
        <f t="shared" si="14"/>
        <v>0</v>
      </c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">
        <f t="shared" si="6"/>
        <v>1000000</v>
      </c>
      <c r="BY23" s="22">
        <f t="shared" si="7"/>
        <v>1000000</v>
      </c>
      <c r="BZ23" t="s">
        <v>1551</v>
      </c>
      <c r="CA23" t="s">
        <v>2229</v>
      </c>
      <c r="CC23" s="417" t="str">
        <f t="shared" si="8"/>
        <v>BANQUES, ASSURANCES, NTIC, CTD</v>
      </c>
    </row>
    <row r="24" spans="1:81">
      <c r="A24" s="658" t="s">
        <v>3093</v>
      </c>
      <c r="B24" s="8" t="s">
        <v>1437</v>
      </c>
      <c r="C24" s="8"/>
      <c r="D24" s="1"/>
      <c r="E24" s="8"/>
      <c r="F24" s="8"/>
      <c r="G24" s="1"/>
      <c r="H24" s="8"/>
      <c r="I24" s="119"/>
      <c r="J24" s="4"/>
      <c r="K24" s="4">
        <f t="shared" si="17"/>
        <v>0</v>
      </c>
      <c r="L24" s="4">
        <f t="shared" si="18"/>
        <v>0</v>
      </c>
      <c r="M24" s="4"/>
      <c r="N24" s="4">
        <f t="shared" si="19"/>
        <v>0</v>
      </c>
      <c r="O24" s="4"/>
      <c r="P24" s="4"/>
      <c r="Q24" s="4">
        <f t="shared" si="9"/>
        <v>0</v>
      </c>
      <c r="R24" s="4">
        <f t="shared" si="10"/>
        <v>0</v>
      </c>
      <c r="S24" s="4"/>
      <c r="T24" s="4">
        <f t="shared" si="11"/>
        <v>0</v>
      </c>
      <c r="U24" s="4"/>
      <c r="V24" s="4"/>
      <c r="W24" s="25">
        <f>443339</f>
        <v>443339</v>
      </c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>
        <v>52764.6</v>
      </c>
      <c r="BE24" s="4">
        <v>42197.4</v>
      </c>
      <c r="BF24" s="4">
        <v>10555.3</v>
      </c>
      <c r="BG24" s="4">
        <v>1582.6999999999998</v>
      </c>
      <c r="BH24" s="4"/>
      <c r="BI24" s="4">
        <v>14150</v>
      </c>
      <c r="BJ24" s="4"/>
      <c r="BK24" s="4"/>
      <c r="BL24" s="4"/>
      <c r="BM24" s="4">
        <v>18225</v>
      </c>
      <c r="BN24" s="4">
        <v>2025</v>
      </c>
      <c r="BO24" s="4"/>
      <c r="BP24" s="4"/>
      <c r="BQ24" s="4"/>
      <c r="BR24" s="4"/>
      <c r="BS24" s="4"/>
      <c r="BT24" s="4"/>
      <c r="BU24" s="4"/>
      <c r="BV24" s="4"/>
      <c r="BW24" s="4"/>
      <c r="BX24" s="3">
        <f t="shared" si="6"/>
        <v>584839</v>
      </c>
      <c r="BY24" s="22">
        <f t="shared" si="7"/>
        <v>443339</v>
      </c>
      <c r="BZ24" t="s">
        <v>1551</v>
      </c>
      <c r="CA24" t="s">
        <v>2228</v>
      </c>
      <c r="CC24" s="417" t="str">
        <f t="shared" si="8"/>
        <v>COMMERCE GENERAL</v>
      </c>
    </row>
    <row r="25" spans="1:81">
      <c r="A25" s="658" t="s">
        <v>3118</v>
      </c>
      <c r="B25" s="8" t="s">
        <v>408</v>
      </c>
      <c r="C25" s="8"/>
      <c r="D25" s="1"/>
      <c r="E25" s="8"/>
      <c r="F25" s="8"/>
      <c r="G25" s="1"/>
      <c r="H25" s="8"/>
      <c r="I25" s="119">
        <v>105000</v>
      </c>
      <c r="J25" s="4"/>
      <c r="K25" s="4">
        <f t="shared" si="17"/>
        <v>1050</v>
      </c>
      <c r="L25" s="4">
        <f t="shared" si="18"/>
        <v>6510</v>
      </c>
      <c r="M25" s="4"/>
      <c r="N25" s="4">
        <f t="shared" si="19"/>
        <v>2940</v>
      </c>
      <c r="O25" s="4"/>
      <c r="P25" s="4"/>
      <c r="Q25" s="4">
        <f t="shared" si="9"/>
        <v>0</v>
      </c>
      <c r="R25" s="4">
        <f t="shared" si="10"/>
        <v>0</v>
      </c>
      <c r="S25" s="4"/>
      <c r="T25" s="4">
        <f t="shared" si="11"/>
        <v>0</v>
      </c>
      <c r="U25" s="4"/>
      <c r="V25" s="4">
        <v>12000</v>
      </c>
      <c r="W25" s="4"/>
      <c r="X25" s="4"/>
      <c r="Y25" s="4"/>
      <c r="Z25" s="4"/>
      <c r="AA25" s="4">
        <f t="shared" si="12"/>
        <v>120</v>
      </c>
      <c r="AB25" s="4">
        <f t="shared" si="13"/>
        <v>744</v>
      </c>
      <c r="AC25" s="4"/>
      <c r="AD25" s="4">
        <f t="shared" si="14"/>
        <v>336</v>
      </c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">
        <f t="shared" si="6"/>
        <v>128700</v>
      </c>
      <c r="BY25" s="22">
        <f t="shared" si="7"/>
        <v>117000</v>
      </c>
      <c r="BZ25" t="s">
        <v>1551</v>
      </c>
      <c r="CA25" t="s">
        <v>2229</v>
      </c>
      <c r="CC25" s="417" t="str">
        <f t="shared" si="8"/>
        <v>SERVICES</v>
      </c>
    </row>
    <row r="26" spans="1:81">
      <c r="A26" s="658" t="s">
        <v>3123</v>
      </c>
      <c r="B26" s="8" t="s">
        <v>1438</v>
      </c>
      <c r="C26" s="8"/>
      <c r="D26" s="1"/>
      <c r="E26" s="8"/>
      <c r="F26" s="8"/>
      <c r="G26" s="1"/>
      <c r="H26" s="8"/>
      <c r="I26" s="119"/>
      <c r="J26" s="4"/>
      <c r="K26" s="4">
        <f t="shared" si="17"/>
        <v>0</v>
      </c>
      <c r="L26" s="4">
        <f t="shared" si="18"/>
        <v>0</v>
      </c>
      <c r="M26" s="4"/>
      <c r="N26" s="4">
        <f t="shared" si="19"/>
        <v>0</v>
      </c>
      <c r="O26" s="4">
        <f>2227222/1.1</f>
        <v>2024747.2727272725</v>
      </c>
      <c r="P26" s="4"/>
      <c r="Q26" s="4">
        <f t="shared" si="9"/>
        <v>20247.472727272725</v>
      </c>
      <c r="R26" s="4">
        <f t="shared" si="10"/>
        <v>125534.33090909089</v>
      </c>
      <c r="S26" s="4"/>
      <c r="T26" s="4">
        <f t="shared" si="11"/>
        <v>56692.92363636363</v>
      </c>
      <c r="U26" s="4"/>
      <c r="V26" s="4"/>
      <c r="W26" s="4"/>
      <c r="X26" s="4"/>
      <c r="Y26" s="4"/>
      <c r="Z26" s="4"/>
      <c r="AA26" s="4">
        <f t="shared" si="12"/>
        <v>0</v>
      </c>
      <c r="AB26" s="4">
        <f t="shared" si="13"/>
        <v>0</v>
      </c>
      <c r="AC26" s="4"/>
      <c r="AD26" s="4">
        <f t="shared" si="14"/>
        <v>0</v>
      </c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">
        <f t="shared" si="6"/>
        <v>2227222</v>
      </c>
      <c r="BY26" s="22">
        <f t="shared" si="7"/>
        <v>2024747.2727272725</v>
      </c>
      <c r="BZ26" t="s">
        <v>1551</v>
      </c>
      <c r="CA26" t="s">
        <v>2228</v>
      </c>
      <c r="CC26" s="417" t="str">
        <f t="shared" si="8"/>
        <v>BANQUES, ASSURANCES, NTIC, CTD</v>
      </c>
    </row>
    <row r="27" spans="1:81">
      <c r="A27" s="716" t="s">
        <v>3127</v>
      </c>
      <c r="B27" s="8" t="s">
        <v>1437</v>
      </c>
      <c r="C27" s="8"/>
      <c r="D27" s="1"/>
      <c r="E27" s="8"/>
      <c r="F27" s="8"/>
      <c r="G27" s="1"/>
      <c r="H27" s="8"/>
      <c r="I27" s="119"/>
      <c r="J27" s="4"/>
      <c r="K27" s="4">
        <f t="shared" si="17"/>
        <v>0</v>
      </c>
      <c r="L27" s="4">
        <f t="shared" si="18"/>
        <v>0</v>
      </c>
      <c r="M27" s="4"/>
      <c r="N27" s="4">
        <f t="shared" si="19"/>
        <v>0</v>
      </c>
      <c r="O27" s="4"/>
      <c r="P27" s="4"/>
      <c r="Q27" s="4">
        <f t="shared" si="9"/>
        <v>0</v>
      </c>
      <c r="R27" s="4">
        <f t="shared" si="10"/>
        <v>0</v>
      </c>
      <c r="S27" s="4"/>
      <c r="T27" s="4">
        <f t="shared" si="11"/>
        <v>0</v>
      </c>
      <c r="U27" s="4"/>
      <c r="V27" s="4"/>
      <c r="W27" s="4"/>
      <c r="X27" s="4"/>
      <c r="Y27" s="4"/>
      <c r="Z27" s="4"/>
      <c r="AA27" s="4">
        <f t="shared" si="12"/>
        <v>0</v>
      </c>
      <c r="AB27" s="4">
        <f t="shared" si="13"/>
        <v>0</v>
      </c>
      <c r="AC27" s="4"/>
      <c r="AD27" s="4">
        <f t="shared" si="14"/>
        <v>0</v>
      </c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717">
        <v>9079</v>
      </c>
      <c r="BX27" s="3">
        <f t="shared" si="6"/>
        <v>9079</v>
      </c>
      <c r="BY27" s="22">
        <f t="shared" si="7"/>
        <v>0</v>
      </c>
      <c r="BZ27" t="s">
        <v>1551</v>
      </c>
      <c r="CA27" t="s">
        <v>2229</v>
      </c>
      <c r="CC27" s="417" t="str">
        <f t="shared" si="8"/>
        <v>COMMERCE GENERAL</v>
      </c>
    </row>
    <row r="28" spans="1:81">
      <c r="A28" s="716" t="s">
        <v>3128</v>
      </c>
      <c r="B28" s="8" t="s">
        <v>408</v>
      </c>
      <c r="C28" s="8"/>
      <c r="D28" s="1"/>
      <c r="E28" s="8"/>
      <c r="F28" s="8"/>
      <c r="G28" s="1"/>
      <c r="H28" s="8"/>
      <c r="I28" s="119"/>
      <c r="J28" s="4"/>
      <c r="K28" s="4">
        <f t="shared" si="17"/>
        <v>0</v>
      </c>
      <c r="L28" s="4">
        <f t="shared" si="18"/>
        <v>0</v>
      </c>
      <c r="M28" s="4"/>
      <c r="N28" s="4">
        <f t="shared" si="19"/>
        <v>0</v>
      </c>
      <c r="O28" s="4"/>
      <c r="P28" s="4"/>
      <c r="Q28" s="4">
        <f t="shared" si="9"/>
        <v>0</v>
      </c>
      <c r="R28" s="4">
        <f t="shared" si="10"/>
        <v>0</v>
      </c>
      <c r="S28" s="4"/>
      <c r="T28" s="4">
        <f t="shared" si="11"/>
        <v>0</v>
      </c>
      <c r="U28" s="4"/>
      <c r="V28" s="4"/>
      <c r="W28" s="4"/>
      <c r="X28" s="4"/>
      <c r="Y28" s="4"/>
      <c r="Z28" s="4"/>
      <c r="AA28" s="4">
        <f t="shared" si="12"/>
        <v>0</v>
      </c>
      <c r="AB28" s="4">
        <f t="shared" si="13"/>
        <v>0</v>
      </c>
      <c r="AC28" s="4"/>
      <c r="AD28" s="4">
        <f t="shared" si="14"/>
        <v>0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717">
        <v>2230</v>
      </c>
      <c r="BX28" s="3">
        <f t="shared" si="6"/>
        <v>2230</v>
      </c>
      <c r="BY28" s="22">
        <f t="shared" si="7"/>
        <v>0</v>
      </c>
      <c r="BZ28" t="s">
        <v>1551</v>
      </c>
      <c r="CA28" t="s">
        <v>2229</v>
      </c>
      <c r="CC28" s="417" t="str">
        <f t="shared" si="8"/>
        <v>SERVICES</v>
      </c>
    </row>
    <row r="29" spans="1:81">
      <c r="A29" s="1" t="s">
        <v>3130</v>
      </c>
      <c r="B29" s="8" t="s">
        <v>1438</v>
      </c>
      <c r="C29" s="8"/>
      <c r="D29" s="1"/>
      <c r="E29" s="8"/>
      <c r="F29" s="8"/>
      <c r="G29" s="1"/>
      <c r="H29" s="8"/>
      <c r="I29" s="119">
        <f>8036454/1.1</f>
        <v>7305867.2727272725</v>
      </c>
      <c r="J29" s="4"/>
      <c r="K29" s="4">
        <f t="shared" si="17"/>
        <v>73058.672727272729</v>
      </c>
      <c r="L29" s="4">
        <f t="shared" si="18"/>
        <v>452963.77090909088</v>
      </c>
      <c r="M29" s="4"/>
      <c r="N29" s="4">
        <f t="shared" si="19"/>
        <v>204564.28363636363</v>
      </c>
      <c r="O29" s="4"/>
      <c r="P29" s="4"/>
      <c r="Q29" s="4">
        <f t="shared" si="9"/>
        <v>0</v>
      </c>
      <c r="R29" s="4">
        <f t="shared" si="10"/>
        <v>0</v>
      </c>
      <c r="S29" s="4"/>
      <c r="T29" s="4">
        <f t="shared" si="11"/>
        <v>0</v>
      </c>
      <c r="U29" s="4"/>
      <c r="V29" s="4"/>
      <c r="W29" s="4"/>
      <c r="X29" s="4"/>
      <c r="Y29" s="4"/>
      <c r="Z29" s="4"/>
      <c r="AA29" s="4">
        <f t="shared" si="12"/>
        <v>0</v>
      </c>
      <c r="AB29" s="4">
        <f t="shared" si="13"/>
        <v>0</v>
      </c>
      <c r="AC29" s="4"/>
      <c r="AD29" s="4">
        <f t="shared" si="14"/>
        <v>0</v>
      </c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3">
        <f t="shared" si="6"/>
        <v>8036453.9999999991</v>
      </c>
      <c r="BY29" s="22">
        <f t="shared" si="7"/>
        <v>7305867.2727272725</v>
      </c>
      <c r="BZ29" t="s">
        <v>1551</v>
      </c>
      <c r="CA29" t="s">
        <v>2229</v>
      </c>
      <c r="CC29" s="417" t="str">
        <f t="shared" si="8"/>
        <v>BANQUES, ASSURANCES, NTIC, CTD</v>
      </c>
    </row>
    <row r="30" spans="1:81">
      <c r="A30" s="1"/>
      <c r="B30" s="8"/>
      <c r="C30" s="8"/>
      <c r="D30" s="1"/>
      <c r="E30" s="8"/>
      <c r="F30" s="8"/>
      <c r="G30" s="1"/>
      <c r="H30" s="8"/>
      <c r="I30" s="119"/>
      <c r="J30" s="4"/>
      <c r="K30" s="4">
        <f t="shared" si="17"/>
        <v>0</v>
      </c>
      <c r="L30" s="4">
        <f t="shared" si="18"/>
        <v>0</v>
      </c>
      <c r="M30" s="4"/>
      <c r="N30" s="4">
        <f t="shared" si="19"/>
        <v>0</v>
      </c>
      <c r="O30" s="4"/>
      <c r="P30" s="4"/>
      <c r="Q30" s="4">
        <f t="shared" si="9"/>
        <v>0</v>
      </c>
      <c r="R30" s="4">
        <f t="shared" si="10"/>
        <v>0</v>
      </c>
      <c r="S30" s="4"/>
      <c r="T30" s="4">
        <f t="shared" si="11"/>
        <v>0</v>
      </c>
      <c r="U30" s="4"/>
      <c r="V30" s="4"/>
      <c r="W30" s="4"/>
      <c r="X30" s="4"/>
      <c r="Y30" s="4"/>
      <c r="Z30" s="4"/>
      <c r="AA30" s="4">
        <f t="shared" si="12"/>
        <v>0</v>
      </c>
      <c r="AB30" s="4">
        <f t="shared" si="13"/>
        <v>0</v>
      </c>
      <c r="AC30" s="4"/>
      <c r="AD30" s="4">
        <f t="shared" si="14"/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3">
        <f t="shared" si="6"/>
        <v>0</v>
      </c>
      <c r="BY30" s="22">
        <f t="shared" si="7"/>
        <v>0</v>
      </c>
      <c r="CC30" s="417" t="str">
        <f t="shared" si="8"/>
        <v/>
      </c>
    </row>
    <row r="31" spans="1:81">
      <c r="A31" s="1"/>
      <c r="B31" s="8"/>
      <c r="C31" s="8"/>
      <c r="D31" s="1"/>
      <c r="E31" s="8"/>
      <c r="F31" s="8"/>
      <c r="G31" s="1"/>
      <c r="H31" s="8"/>
      <c r="I31" s="119"/>
      <c r="J31" s="4"/>
      <c r="K31" s="4">
        <f t="shared" si="17"/>
        <v>0</v>
      </c>
      <c r="L31" s="4">
        <f t="shared" si="18"/>
        <v>0</v>
      </c>
      <c r="M31" s="4"/>
      <c r="N31" s="4">
        <f t="shared" si="19"/>
        <v>0</v>
      </c>
      <c r="O31" s="4"/>
      <c r="P31" s="4"/>
      <c r="Q31" s="4">
        <f t="shared" si="9"/>
        <v>0</v>
      </c>
      <c r="R31" s="4">
        <f t="shared" si="10"/>
        <v>0</v>
      </c>
      <c r="S31" s="4"/>
      <c r="T31" s="4">
        <f t="shared" si="11"/>
        <v>0</v>
      </c>
      <c r="U31" s="4"/>
      <c r="V31" s="4"/>
      <c r="W31" s="4"/>
      <c r="X31" s="4"/>
      <c r="Y31" s="4"/>
      <c r="Z31" s="4"/>
      <c r="AA31" s="4">
        <f t="shared" si="12"/>
        <v>0</v>
      </c>
      <c r="AB31" s="4">
        <f t="shared" si="13"/>
        <v>0</v>
      </c>
      <c r="AC31" s="4"/>
      <c r="AD31" s="4">
        <f t="shared" si="14"/>
        <v>0</v>
      </c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3">
        <f t="shared" si="6"/>
        <v>0</v>
      </c>
      <c r="BY31" s="22">
        <f t="shared" si="7"/>
        <v>0</v>
      </c>
      <c r="CC31" s="417" t="str">
        <f t="shared" si="8"/>
        <v/>
      </c>
    </row>
    <row r="32" spans="1:81">
      <c r="A32" s="1"/>
      <c r="B32" s="8"/>
      <c r="C32" s="8"/>
      <c r="D32" s="1"/>
      <c r="E32" s="8"/>
      <c r="F32" s="8"/>
      <c r="G32" s="1"/>
      <c r="H32" s="8"/>
      <c r="I32" s="119"/>
      <c r="J32" s="4"/>
      <c r="K32" s="4">
        <f t="shared" si="17"/>
        <v>0</v>
      </c>
      <c r="L32" s="4">
        <f t="shared" si="18"/>
        <v>0</v>
      </c>
      <c r="M32" s="4"/>
      <c r="N32" s="4">
        <f t="shared" si="19"/>
        <v>0</v>
      </c>
      <c r="O32" s="4"/>
      <c r="P32" s="4"/>
      <c r="Q32" s="4">
        <f t="shared" si="9"/>
        <v>0</v>
      </c>
      <c r="R32" s="4">
        <f t="shared" si="10"/>
        <v>0</v>
      </c>
      <c r="S32" s="4"/>
      <c r="T32" s="4">
        <f t="shared" si="11"/>
        <v>0</v>
      </c>
      <c r="U32" s="4"/>
      <c r="V32" s="4"/>
      <c r="W32" s="4"/>
      <c r="X32" s="4"/>
      <c r="Y32" s="4"/>
      <c r="Z32" s="4"/>
      <c r="AA32" s="4">
        <f t="shared" si="12"/>
        <v>0</v>
      </c>
      <c r="AB32" s="4">
        <f t="shared" si="13"/>
        <v>0</v>
      </c>
      <c r="AC32" s="4"/>
      <c r="AD32" s="4">
        <f t="shared" si="14"/>
        <v>0</v>
      </c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3">
        <f t="shared" si="6"/>
        <v>0</v>
      </c>
      <c r="BY32" s="22">
        <f t="shared" si="7"/>
        <v>0</v>
      </c>
      <c r="CC32" s="417" t="str">
        <f t="shared" si="8"/>
        <v/>
      </c>
    </row>
    <row r="33" spans="1:81">
      <c r="A33" s="1"/>
      <c r="B33" s="8"/>
      <c r="C33" s="8"/>
      <c r="D33" s="1"/>
      <c r="E33" s="8"/>
      <c r="F33" s="8"/>
      <c r="G33" s="1"/>
      <c r="H33" s="8"/>
      <c r="I33" s="119"/>
      <c r="J33" s="4"/>
      <c r="K33" s="4">
        <f t="shared" si="17"/>
        <v>0</v>
      </c>
      <c r="L33" s="4">
        <f t="shared" si="18"/>
        <v>0</v>
      </c>
      <c r="M33" s="4"/>
      <c r="N33" s="4">
        <f t="shared" si="19"/>
        <v>0</v>
      </c>
      <c r="O33" s="4"/>
      <c r="P33" s="4"/>
      <c r="Q33" s="4">
        <f t="shared" si="9"/>
        <v>0</v>
      </c>
      <c r="R33" s="4">
        <f t="shared" si="10"/>
        <v>0</v>
      </c>
      <c r="S33" s="4"/>
      <c r="T33" s="4">
        <f t="shared" si="11"/>
        <v>0</v>
      </c>
      <c r="U33" s="4"/>
      <c r="V33" s="4"/>
      <c r="W33" s="4"/>
      <c r="X33" s="4"/>
      <c r="Y33" s="4"/>
      <c r="Z33" s="4"/>
      <c r="AA33" s="4">
        <f t="shared" si="12"/>
        <v>0</v>
      </c>
      <c r="AB33" s="4">
        <f t="shared" si="13"/>
        <v>0</v>
      </c>
      <c r="AC33" s="4"/>
      <c r="AD33" s="4">
        <f t="shared" si="14"/>
        <v>0</v>
      </c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3">
        <f t="shared" si="6"/>
        <v>0</v>
      </c>
      <c r="BY33" s="22">
        <f t="shared" si="7"/>
        <v>0</v>
      </c>
      <c r="CC33" s="417" t="str">
        <f t="shared" si="8"/>
        <v/>
      </c>
    </row>
    <row r="34" spans="1:81">
      <c r="A34" s="1"/>
      <c r="B34" s="8"/>
      <c r="C34" s="8"/>
      <c r="D34" s="1"/>
      <c r="E34" s="8"/>
      <c r="F34" s="8"/>
      <c r="G34" s="1"/>
      <c r="H34" s="8"/>
      <c r="I34" s="119"/>
      <c r="J34" s="4"/>
      <c r="K34" s="4">
        <f t="shared" si="17"/>
        <v>0</v>
      </c>
      <c r="L34" s="4">
        <f t="shared" si="18"/>
        <v>0</v>
      </c>
      <c r="M34" s="4"/>
      <c r="N34" s="4">
        <f t="shared" si="19"/>
        <v>0</v>
      </c>
      <c r="O34" s="4"/>
      <c r="P34" s="4"/>
      <c r="Q34" s="4">
        <f t="shared" si="9"/>
        <v>0</v>
      </c>
      <c r="R34" s="4">
        <f t="shared" si="10"/>
        <v>0</v>
      </c>
      <c r="S34" s="4"/>
      <c r="T34" s="4">
        <f t="shared" si="11"/>
        <v>0</v>
      </c>
      <c r="U34" s="4"/>
      <c r="V34" s="4"/>
      <c r="W34" s="4"/>
      <c r="X34" s="4"/>
      <c r="Y34" s="4"/>
      <c r="Z34" s="4"/>
      <c r="AA34" s="4">
        <f t="shared" si="12"/>
        <v>0</v>
      </c>
      <c r="AB34" s="4">
        <f t="shared" si="13"/>
        <v>0</v>
      </c>
      <c r="AC34" s="4"/>
      <c r="AD34" s="4">
        <f t="shared" si="14"/>
        <v>0</v>
      </c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3">
        <f t="shared" si="6"/>
        <v>0</v>
      </c>
      <c r="BY34" s="22">
        <f t="shared" si="7"/>
        <v>0</v>
      </c>
      <c r="CC34" s="417" t="str">
        <f t="shared" si="8"/>
        <v/>
      </c>
    </row>
    <row r="35" spans="1:81">
      <c r="A35" s="1"/>
      <c r="B35" s="8"/>
      <c r="C35" s="8"/>
      <c r="D35" s="1"/>
      <c r="E35" s="8"/>
      <c r="F35" s="8"/>
      <c r="G35" s="1"/>
      <c r="H35" s="8"/>
      <c r="I35" s="119"/>
      <c r="J35" s="4"/>
      <c r="K35" s="4">
        <f t="shared" si="17"/>
        <v>0</v>
      </c>
      <c r="L35" s="4">
        <f t="shared" si="18"/>
        <v>0</v>
      </c>
      <c r="M35" s="4"/>
      <c r="N35" s="4">
        <f t="shared" si="19"/>
        <v>0</v>
      </c>
      <c r="O35" s="4"/>
      <c r="P35" s="4"/>
      <c r="Q35" s="4">
        <f t="shared" si="9"/>
        <v>0</v>
      </c>
      <c r="R35" s="4">
        <f t="shared" si="10"/>
        <v>0</v>
      </c>
      <c r="S35" s="4"/>
      <c r="T35" s="4">
        <f t="shared" si="11"/>
        <v>0</v>
      </c>
      <c r="U35" s="4"/>
      <c r="V35" s="4"/>
      <c r="W35" s="4"/>
      <c r="X35" s="4"/>
      <c r="Y35" s="4"/>
      <c r="Z35" s="4"/>
      <c r="AA35" s="4">
        <f t="shared" si="12"/>
        <v>0</v>
      </c>
      <c r="AB35" s="4">
        <f t="shared" si="13"/>
        <v>0</v>
      </c>
      <c r="AC35" s="4"/>
      <c r="AD35" s="4">
        <f t="shared" si="14"/>
        <v>0</v>
      </c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3">
        <f t="shared" si="6"/>
        <v>0</v>
      </c>
      <c r="BY35" s="22">
        <f t="shared" si="7"/>
        <v>0</v>
      </c>
      <c r="CC35" s="417" t="str">
        <f t="shared" si="8"/>
        <v/>
      </c>
    </row>
    <row r="36" spans="1:81">
      <c r="A36" s="1"/>
      <c r="B36" s="8"/>
      <c r="C36" s="8"/>
      <c r="D36" s="1"/>
      <c r="E36" s="8"/>
      <c r="F36" s="8"/>
      <c r="G36" s="1"/>
      <c r="H36" s="8"/>
      <c r="I36" s="119"/>
      <c r="J36" s="4"/>
      <c r="K36" s="4">
        <f t="shared" si="17"/>
        <v>0</v>
      </c>
      <c r="L36" s="4">
        <f t="shared" si="18"/>
        <v>0</v>
      </c>
      <c r="M36" s="4"/>
      <c r="N36" s="4">
        <f t="shared" si="19"/>
        <v>0</v>
      </c>
      <c r="O36" s="4"/>
      <c r="P36" s="4"/>
      <c r="Q36" s="4">
        <f t="shared" si="9"/>
        <v>0</v>
      </c>
      <c r="R36" s="4">
        <f t="shared" si="10"/>
        <v>0</v>
      </c>
      <c r="S36" s="4"/>
      <c r="T36" s="4">
        <f t="shared" si="11"/>
        <v>0</v>
      </c>
      <c r="U36" s="4"/>
      <c r="V36" s="4"/>
      <c r="W36" s="4"/>
      <c r="X36" s="4"/>
      <c r="Y36" s="4"/>
      <c r="Z36" s="4"/>
      <c r="AA36" s="4">
        <f t="shared" si="12"/>
        <v>0</v>
      </c>
      <c r="AB36" s="4">
        <f t="shared" si="13"/>
        <v>0</v>
      </c>
      <c r="AC36" s="4"/>
      <c r="AD36" s="4">
        <f t="shared" si="14"/>
        <v>0</v>
      </c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3">
        <f t="shared" si="6"/>
        <v>0</v>
      </c>
      <c r="BY36" s="22">
        <f t="shared" si="7"/>
        <v>0</v>
      </c>
      <c r="CC36" s="417" t="str">
        <f t="shared" si="8"/>
        <v/>
      </c>
    </row>
    <row r="37" spans="1:81">
      <c r="A37" s="1"/>
      <c r="B37" s="8"/>
      <c r="C37" s="8"/>
      <c r="D37" s="1"/>
      <c r="E37" s="8"/>
      <c r="F37" s="8"/>
      <c r="G37" s="1"/>
      <c r="H37" s="8"/>
      <c r="I37" s="119"/>
      <c r="J37" s="4"/>
      <c r="K37" s="4">
        <f t="shared" ref="K37:K39" si="23">0.01*(I37+J37)</f>
        <v>0</v>
      </c>
      <c r="L37" s="4">
        <f t="shared" ref="L37:L39" si="24">0.062*(I37+J37)</f>
        <v>0</v>
      </c>
      <c r="M37" s="4"/>
      <c r="N37" s="4">
        <f t="shared" ref="N37:N39" si="25">0.028*(I37+J37)</f>
        <v>0</v>
      </c>
      <c r="O37" s="4"/>
      <c r="P37" s="4"/>
      <c r="Q37" s="4">
        <f t="shared" ref="Q37:Q39" si="26">0.01*(O37+P37)</f>
        <v>0</v>
      </c>
      <c r="R37" s="4">
        <f t="shared" ref="R37:R39" si="27">0.062*(O37+P37)</f>
        <v>0</v>
      </c>
      <c r="S37" s="4"/>
      <c r="T37" s="4">
        <f t="shared" ref="T37:T39" si="28">0.028*(O37+P37)</f>
        <v>0</v>
      </c>
      <c r="U37" s="4"/>
      <c r="V37" s="4"/>
      <c r="W37" s="4"/>
      <c r="X37" s="4"/>
      <c r="Y37" s="4"/>
      <c r="Z37" s="4"/>
      <c r="AA37" s="4">
        <f t="shared" ref="AA37:AA39" si="29">0.01*(U37+V37+W37+X37+Y37)</f>
        <v>0</v>
      </c>
      <c r="AB37" s="4">
        <f t="shared" ref="AB37:AB39" si="30">0.062*(V37+U37+W37+X37+Y37)</f>
        <v>0</v>
      </c>
      <c r="AC37" s="4"/>
      <c r="AD37" s="4">
        <f t="shared" ref="AD37:AD39" si="31">0.028*(V37+W37+X37+Y37+U37)</f>
        <v>0</v>
      </c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3">
        <f t="shared" ref="BX37:BX39" si="32">SUM(D37:BW37)</f>
        <v>0</v>
      </c>
      <c r="BY37" s="22">
        <f t="shared" ref="BY37:BY39" si="33">D37+G37+H37+I37+J37+O37+P37+U37+V37+W37+X37+Y37+Z37+AE37+AF37+AG37+AH37+AI37+AM37+AN37+AR37+AS37+AT37+AU37+AV37+AW37</f>
        <v>0</v>
      </c>
      <c r="CC37" s="417" t="str">
        <f t="shared" si="8"/>
        <v/>
      </c>
    </row>
    <row r="38" spans="1:81">
      <c r="A38" s="1"/>
      <c r="B38" s="8"/>
      <c r="C38" s="8"/>
      <c r="D38" s="1"/>
      <c r="E38" s="8"/>
      <c r="F38" s="8"/>
      <c r="G38" s="1"/>
      <c r="H38" s="8"/>
      <c r="I38" s="119"/>
      <c r="J38" s="4"/>
      <c r="K38" s="4">
        <f t="shared" si="23"/>
        <v>0</v>
      </c>
      <c r="L38" s="4">
        <f t="shared" si="24"/>
        <v>0</v>
      </c>
      <c r="M38" s="4"/>
      <c r="N38" s="4">
        <f t="shared" si="25"/>
        <v>0</v>
      </c>
      <c r="O38" s="4"/>
      <c r="P38" s="4"/>
      <c r="Q38" s="4">
        <f t="shared" si="26"/>
        <v>0</v>
      </c>
      <c r="R38" s="4">
        <f t="shared" si="27"/>
        <v>0</v>
      </c>
      <c r="S38" s="4"/>
      <c r="T38" s="4">
        <f t="shared" si="28"/>
        <v>0</v>
      </c>
      <c r="U38" s="4"/>
      <c r="V38" s="4"/>
      <c r="W38" s="4"/>
      <c r="X38" s="4"/>
      <c r="Y38" s="4"/>
      <c r="Z38" s="4"/>
      <c r="AA38" s="4">
        <f t="shared" si="29"/>
        <v>0</v>
      </c>
      <c r="AB38" s="4">
        <f t="shared" si="30"/>
        <v>0</v>
      </c>
      <c r="AC38" s="4"/>
      <c r="AD38" s="4">
        <f t="shared" si="31"/>
        <v>0</v>
      </c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3">
        <f t="shared" si="32"/>
        <v>0</v>
      </c>
      <c r="BY38" s="22">
        <f t="shared" si="33"/>
        <v>0</v>
      </c>
      <c r="CC38" s="417" t="str">
        <f t="shared" si="8"/>
        <v/>
      </c>
    </row>
    <row r="39" spans="1:81">
      <c r="A39" s="1"/>
      <c r="B39" s="8"/>
      <c r="C39" s="8"/>
      <c r="D39" s="1"/>
      <c r="E39" s="8"/>
      <c r="F39" s="8"/>
      <c r="G39" s="1"/>
      <c r="H39" s="8"/>
      <c r="I39" s="119"/>
      <c r="J39" s="4"/>
      <c r="K39" s="4">
        <f t="shared" si="23"/>
        <v>0</v>
      </c>
      <c r="L39" s="4">
        <f t="shared" si="24"/>
        <v>0</v>
      </c>
      <c r="M39" s="4"/>
      <c r="N39" s="4">
        <f t="shared" si="25"/>
        <v>0</v>
      </c>
      <c r="O39" s="4"/>
      <c r="P39" s="4"/>
      <c r="Q39" s="4">
        <f t="shared" si="26"/>
        <v>0</v>
      </c>
      <c r="R39" s="4">
        <f t="shared" si="27"/>
        <v>0</v>
      </c>
      <c r="S39" s="4"/>
      <c r="T39" s="4">
        <f t="shared" si="28"/>
        <v>0</v>
      </c>
      <c r="U39" s="4"/>
      <c r="V39" s="4"/>
      <c r="W39" s="4"/>
      <c r="X39" s="4"/>
      <c r="Y39" s="4"/>
      <c r="Z39" s="4"/>
      <c r="AA39" s="4">
        <f t="shared" si="29"/>
        <v>0</v>
      </c>
      <c r="AB39" s="4">
        <f t="shared" si="30"/>
        <v>0</v>
      </c>
      <c r="AC39" s="4"/>
      <c r="AD39" s="4">
        <f t="shared" si="31"/>
        <v>0</v>
      </c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3">
        <f t="shared" si="32"/>
        <v>0</v>
      </c>
      <c r="BY39" s="22">
        <f t="shared" si="33"/>
        <v>0</v>
      </c>
      <c r="CC39" s="417" t="str">
        <f t="shared" si="8"/>
        <v/>
      </c>
    </row>
    <row r="40" spans="1:81">
      <c r="A40" s="1"/>
      <c r="B40" s="8"/>
      <c r="C40" s="8"/>
      <c r="D40" s="1"/>
      <c r="E40" s="8"/>
      <c r="F40" s="8"/>
      <c r="G40" s="1"/>
      <c r="H40" s="8"/>
      <c r="I40" s="119"/>
      <c r="J40" s="4"/>
      <c r="K40" s="4">
        <f t="shared" ref="K40:K65" si="34">0.01*(I40+J40)</f>
        <v>0</v>
      </c>
      <c r="L40" s="4">
        <f t="shared" ref="L40:L65" si="35">0.062*(I40+J40)</f>
        <v>0</v>
      </c>
      <c r="M40" s="4"/>
      <c r="N40" s="4">
        <f t="shared" ref="N40:N65" si="36">0.028*(I40+J40)</f>
        <v>0</v>
      </c>
      <c r="O40" s="4"/>
      <c r="P40" s="4"/>
      <c r="Q40" s="4">
        <f t="shared" ref="Q40:Q65" si="37">0.01*(O40+P40)</f>
        <v>0</v>
      </c>
      <c r="R40" s="4">
        <f t="shared" ref="R40:R65" si="38">0.062*(O40+P40)</f>
        <v>0</v>
      </c>
      <c r="S40" s="4"/>
      <c r="T40" s="4">
        <f t="shared" ref="T40:T65" si="39">0.028*(O40+P40)</f>
        <v>0</v>
      </c>
      <c r="U40" s="4"/>
      <c r="V40" s="4"/>
      <c r="W40" s="4"/>
      <c r="X40" s="4"/>
      <c r="Y40" s="4"/>
      <c r="Z40" s="4"/>
      <c r="AA40" s="4">
        <f t="shared" ref="AA40:AA65" si="40">0.01*(U40+V40+W40+X40+Y40)</f>
        <v>0</v>
      </c>
      <c r="AB40" s="4">
        <f t="shared" ref="AB40:AB65" si="41">0.062*(V40+U40+W40+X40+Y40)</f>
        <v>0</v>
      </c>
      <c r="AC40" s="4"/>
      <c r="AD40" s="4">
        <f t="shared" ref="AD40:AD65" si="42">0.028*(V40+W40+X40+Y40+U40)</f>
        <v>0</v>
      </c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3">
        <f t="shared" ref="BX40:BX77" si="43">SUM(D40:BW40)</f>
        <v>0</v>
      </c>
      <c r="BY40" s="22">
        <f t="shared" ref="BY40:BY77" si="44">D40+G40+H40+I40+J40+O40+P40+U40+V40+W40+X40+Y40+Z40+AE40+AF40+AG40+AH40+AI40+AM40+AN40+AR40+AS40+AT40+AU40+AV40+AW40</f>
        <v>0</v>
      </c>
      <c r="CC40" s="417" t="str">
        <f t="shared" si="8"/>
        <v/>
      </c>
    </row>
    <row r="41" spans="1:81">
      <c r="A41" s="1"/>
      <c r="B41" s="8"/>
      <c r="C41" s="8"/>
      <c r="D41" s="1"/>
      <c r="E41" s="8"/>
      <c r="F41" s="8"/>
      <c r="G41" s="1"/>
      <c r="H41" s="8"/>
      <c r="I41" s="119"/>
      <c r="J41" s="4"/>
      <c r="K41" s="4">
        <f t="shared" si="34"/>
        <v>0</v>
      </c>
      <c r="L41" s="4">
        <f t="shared" si="35"/>
        <v>0</v>
      </c>
      <c r="M41" s="4"/>
      <c r="N41" s="4">
        <f t="shared" si="36"/>
        <v>0</v>
      </c>
      <c r="O41" s="4"/>
      <c r="P41" s="4"/>
      <c r="Q41" s="4">
        <f t="shared" si="37"/>
        <v>0</v>
      </c>
      <c r="R41" s="4">
        <f t="shared" si="38"/>
        <v>0</v>
      </c>
      <c r="S41" s="4"/>
      <c r="T41" s="4">
        <f t="shared" si="39"/>
        <v>0</v>
      </c>
      <c r="U41" s="4"/>
      <c r="V41" s="4"/>
      <c r="W41" s="4"/>
      <c r="X41" s="4"/>
      <c r="Y41" s="4"/>
      <c r="Z41" s="4"/>
      <c r="AA41" s="4">
        <f t="shared" si="40"/>
        <v>0</v>
      </c>
      <c r="AB41" s="4">
        <f t="shared" si="41"/>
        <v>0</v>
      </c>
      <c r="AC41" s="4"/>
      <c r="AD41" s="4">
        <f t="shared" si="42"/>
        <v>0</v>
      </c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3">
        <f t="shared" si="43"/>
        <v>0</v>
      </c>
      <c r="BY41" s="22">
        <f t="shared" si="44"/>
        <v>0</v>
      </c>
      <c r="CC41" s="417" t="str">
        <f t="shared" si="8"/>
        <v/>
      </c>
    </row>
    <row r="42" spans="1:81">
      <c r="A42" s="1"/>
      <c r="B42" s="8"/>
      <c r="C42" s="8"/>
      <c r="D42" s="1"/>
      <c r="E42" s="8"/>
      <c r="F42" s="8"/>
      <c r="G42" s="1"/>
      <c r="H42" s="8"/>
      <c r="I42" s="119"/>
      <c r="J42" s="4"/>
      <c r="K42" s="4">
        <f t="shared" si="34"/>
        <v>0</v>
      </c>
      <c r="L42" s="4">
        <f t="shared" si="35"/>
        <v>0</v>
      </c>
      <c r="M42" s="4"/>
      <c r="N42" s="4">
        <f t="shared" si="36"/>
        <v>0</v>
      </c>
      <c r="O42" s="4"/>
      <c r="P42" s="4"/>
      <c r="Q42" s="4">
        <f t="shared" si="37"/>
        <v>0</v>
      </c>
      <c r="R42" s="4">
        <f t="shared" si="38"/>
        <v>0</v>
      </c>
      <c r="S42" s="4"/>
      <c r="T42" s="4">
        <f t="shared" si="39"/>
        <v>0</v>
      </c>
      <c r="U42" s="4"/>
      <c r="V42" s="4"/>
      <c r="W42" s="4"/>
      <c r="X42" s="4"/>
      <c r="Y42" s="4"/>
      <c r="Z42" s="4"/>
      <c r="AA42" s="4">
        <f t="shared" si="40"/>
        <v>0</v>
      </c>
      <c r="AB42" s="4">
        <f t="shared" si="41"/>
        <v>0</v>
      </c>
      <c r="AC42" s="4"/>
      <c r="AD42" s="4">
        <f t="shared" si="42"/>
        <v>0</v>
      </c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3">
        <f t="shared" si="43"/>
        <v>0</v>
      </c>
      <c r="BY42" s="22">
        <f t="shared" si="44"/>
        <v>0</v>
      </c>
      <c r="CC42" s="417" t="str">
        <f t="shared" si="8"/>
        <v/>
      </c>
    </row>
    <row r="43" spans="1:81">
      <c r="A43" s="1"/>
      <c r="B43" s="8"/>
      <c r="C43" s="8"/>
      <c r="D43" s="1"/>
      <c r="E43" s="8"/>
      <c r="F43" s="8"/>
      <c r="G43" s="1"/>
      <c r="H43" s="8"/>
      <c r="I43" s="119"/>
      <c r="J43" s="4"/>
      <c r="K43" s="4">
        <f t="shared" si="34"/>
        <v>0</v>
      </c>
      <c r="L43" s="4">
        <f t="shared" si="35"/>
        <v>0</v>
      </c>
      <c r="M43" s="4"/>
      <c r="N43" s="4">
        <f t="shared" si="36"/>
        <v>0</v>
      </c>
      <c r="O43" s="4"/>
      <c r="P43" s="4"/>
      <c r="Q43" s="4">
        <f t="shared" si="37"/>
        <v>0</v>
      </c>
      <c r="R43" s="4">
        <f t="shared" si="38"/>
        <v>0</v>
      </c>
      <c r="S43" s="4"/>
      <c r="T43" s="4">
        <f t="shared" si="39"/>
        <v>0</v>
      </c>
      <c r="U43" s="4"/>
      <c r="V43" s="4"/>
      <c r="W43" s="4"/>
      <c r="X43" s="4"/>
      <c r="Y43" s="4"/>
      <c r="Z43" s="4"/>
      <c r="AA43" s="4">
        <f t="shared" si="40"/>
        <v>0</v>
      </c>
      <c r="AB43" s="4">
        <f t="shared" si="41"/>
        <v>0</v>
      </c>
      <c r="AC43" s="4"/>
      <c r="AD43" s="4">
        <f t="shared" si="42"/>
        <v>0</v>
      </c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3">
        <f t="shared" si="43"/>
        <v>0</v>
      </c>
      <c r="BY43" s="22">
        <f t="shared" si="44"/>
        <v>0</v>
      </c>
      <c r="CC43" s="417" t="str">
        <f t="shared" si="8"/>
        <v/>
      </c>
    </row>
    <row r="44" spans="1:81">
      <c r="A44" s="1"/>
      <c r="B44" s="8"/>
      <c r="C44" s="8"/>
      <c r="D44" s="1"/>
      <c r="E44" s="8"/>
      <c r="F44" s="8"/>
      <c r="G44" s="1"/>
      <c r="H44" s="8"/>
      <c r="I44" s="119"/>
      <c r="J44" s="4"/>
      <c r="K44" s="4">
        <f t="shared" si="34"/>
        <v>0</v>
      </c>
      <c r="L44" s="4">
        <f t="shared" si="35"/>
        <v>0</v>
      </c>
      <c r="M44" s="4"/>
      <c r="N44" s="4">
        <f t="shared" si="36"/>
        <v>0</v>
      </c>
      <c r="O44" s="4"/>
      <c r="P44" s="4"/>
      <c r="Q44" s="4">
        <f t="shared" si="37"/>
        <v>0</v>
      </c>
      <c r="R44" s="4">
        <f t="shared" si="38"/>
        <v>0</v>
      </c>
      <c r="S44" s="4"/>
      <c r="T44" s="4">
        <f t="shared" si="39"/>
        <v>0</v>
      </c>
      <c r="U44" s="4"/>
      <c r="V44" s="4"/>
      <c r="W44" s="4"/>
      <c r="X44" s="4"/>
      <c r="Y44" s="4"/>
      <c r="Z44" s="4"/>
      <c r="AA44" s="4">
        <f t="shared" si="40"/>
        <v>0</v>
      </c>
      <c r="AB44" s="4">
        <f t="shared" si="41"/>
        <v>0</v>
      </c>
      <c r="AC44" s="4"/>
      <c r="AD44" s="4">
        <f t="shared" si="42"/>
        <v>0</v>
      </c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3">
        <f t="shared" si="43"/>
        <v>0</v>
      </c>
      <c r="BY44" s="22">
        <f t="shared" si="44"/>
        <v>0</v>
      </c>
      <c r="CC44" s="417" t="str">
        <f t="shared" si="8"/>
        <v/>
      </c>
    </row>
    <row r="45" spans="1:81">
      <c r="A45" s="1"/>
      <c r="B45" s="8"/>
      <c r="C45" s="8"/>
      <c r="D45" s="1"/>
      <c r="E45" s="8"/>
      <c r="F45" s="8"/>
      <c r="G45" s="1"/>
      <c r="H45" s="8"/>
      <c r="I45" s="119"/>
      <c r="J45" s="4"/>
      <c r="K45" s="4">
        <f t="shared" si="34"/>
        <v>0</v>
      </c>
      <c r="L45" s="4">
        <f t="shared" si="35"/>
        <v>0</v>
      </c>
      <c r="M45" s="4"/>
      <c r="N45" s="4">
        <f t="shared" si="36"/>
        <v>0</v>
      </c>
      <c r="O45" s="4"/>
      <c r="P45" s="4"/>
      <c r="Q45" s="4">
        <f t="shared" si="37"/>
        <v>0</v>
      </c>
      <c r="R45" s="4">
        <f t="shared" si="38"/>
        <v>0</v>
      </c>
      <c r="S45" s="4"/>
      <c r="T45" s="4">
        <f t="shared" si="39"/>
        <v>0</v>
      </c>
      <c r="U45" s="4"/>
      <c r="V45" s="4"/>
      <c r="W45" s="4"/>
      <c r="X45" s="4"/>
      <c r="Y45" s="4"/>
      <c r="Z45" s="4"/>
      <c r="AA45" s="4">
        <f t="shared" si="40"/>
        <v>0</v>
      </c>
      <c r="AB45" s="4">
        <f t="shared" si="41"/>
        <v>0</v>
      </c>
      <c r="AC45" s="4"/>
      <c r="AD45" s="4">
        <f t="shared" si="42"/>
        <v>0</v>
      </c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3">
        <f t="shared" si="43"/>
        <v>0</v>
      </c>
      <c r="BY45" s="22">
        <f t="shared" si="44"/>
        <v>0</v>
      </c>
      <c r="CC45" s="417" t="str">
        <f t="shared" si="8"/>
        <v/>
      </c>
    </row>
    <row r="46" spans="1:81">
      <c r="A46" s="1"/>
      <c r="B46" s="8"/>
      <c r="C46" s="8"/>
      <c r="D46" s="1"/>
      <c r="E46" s="8"/>
      <c r="F46" s="8"/>
      <c r="G46" s="1"/>
      <c r="H46" s="8"/>
      <c r="I46" s="119"/>
      <c r="J46" s="4"/>
      <c r="K46" s="4">
        <f t="shared" si="34"/>
        <v>0</v>
      </c>
      <c r="L46" s="4">
        <f t="shared" si="35"/>
        <v>0</v>
      </c>
      <c r="M46" s="4"/>
      <c r="N46" s="4">
        <f t="shared" si="36"/>
        <v>0</v>
      </c>
      <c r="O46" s="4"/>
      <c r="P46" s="4"/>
      <c r="Q46" s="4">
        <f t="shared" si="37"/>
        <v>0</v>
      </c>
      <c r="R46" s="4">
        <f t="shared" si="38"/>
        <v>0</v>
      </c>
      <c r="S46" s="4"/>
      <c r="T46" s="4">
        <f t="shared" si="39"/>
        <v>0</v>
      </c>
      <c r="U46" s="4"/>
      <c r="V46" s="4"/>
      <c r="W46" s="4"/>
      <c r="X46" s="4"/>
      <c r="Y46" s="4"/>
      <c r="Z46" s="4"/>
      <c r="AA46" s="4">
        <f t="shared" si="40"/>
        <v>0</v>
      </c>
      <c r="AB46" s="4">
        <f t="shared" si="41"/>
        <v>0</v>
      </c>
      <c r="AC46" s="4"/>
      <c r="AD46" s="4">
        <f t="shared" si="42"/>
        <v>0</v>
      </c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3">
        <f t="shared" si="43"/>
        <v>0</v>
      </c>
      <c r="BY46" s="22">
        <f t="shared" si="44"/>
        <v>0</v>
      </c>
      <c r="CC46" s="417" t="str">
        <f t="shared" si="8"/>
        <v/>
      </c>
    </row>
    <row r="47" spans="1:81">
      <c r="A47" s="1"/>
      <c r="B47" s="8"/>
      <c r="C47" s="8"/>
      <c r="D47" s="1"/>
      <c r="E47" s="8"/>
      <c r="F47" s="8"/>
      <c r="G47" s="1"/>
      <c r="H47" s="8"/>
      <c r="I47" s="119"/>
      <c r="J47" s="4"/>
      <c r="K47" s="4">
        <f t="shared" si="34"/>
        <v>0</v>
      </c>
      <c r="L47" s="4">
        <f t="shared" si="35"/>
        <v>0</v>
      </c>
      <c r="M47" s="4"/>
      <c r="N47" s="4">
        <f t="shared" si="36"/>
        <v>0</v>
      </c>
      <c r="O47" s="4"/>
      <c r="P47" s="4"/>
      <c r="Q47" s="4">
        <f t="shared" si="37"/>
        <v>0</v>
      </c>
      <c r="R47" s="4">
        <f t="shared" si="38"/>
        <v>0</v>
      </c>
      <c r="S47" s="4"/>
      <c r="T47" s="4">
        <f t="shared" si="39"/>
        <v>0</v>
      </c>
      <c r="U47" s="4"/>
      <c r="V47" s="4"/>
      <c r="W47" s="4"/>
      <c r="X47" s="4"/>
      <c r="Y47" s="4"/>
      <c r="Z47" s="4"/>
      <c r="AA47" s="4">
        <f t="shared" si="40"/>
        <v>0</v>
      </c>
      <c r="AB47" s="4">
        <f t="shared" si="41"/>
        <v>0</v>
      </c>
      <c r="AC47" s="4"/>
      <c r="AD47" s="4">
        <f t="shared" si="42"/>
        <v>0</v>
      </c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3">
        <f t="shared" si="43"/>
        <v>0</v>
      </c>
      <c r="BY47" s="22">
        <f t="shared" si="44"/>
        <v>0</v>
      </c>
      <c r="CC47" s="417" t="str">
        <f t="shared" si="8"/>
        <v/>
      </c>
    </row>
    <row r="48" spans="1:81">
      <c r="A48" s="1"/>
      <c r="B48" s="8"/>
      <c r="C48" s="8"/>
      <c r="D48" s="1"/>
      <c r="E48" s="8"/>
      <c r="F48" s="8"/>
      <c r="G48" s="1"/>
      <c r="H48" s="8"/>
      <c r="I48" s="119"/>
      <c r="J48" s="4"/>
      <c r="K48" s="4">
        <f t="shared" si="34"/>
        <v>0</v>
      </c>
      <c r="L48" s="4">
        <f t="shared" si="35"/>
        <v>0</v>
      </c>
      <c r="M48" s="4"/>
      <c r="N48" s="4">
        <f t="shared" si="36"/>
        <v>0</v>
      </c>
      <c r="O48" s="4"/>
      <c r="P48" s="4"/>
      <c r="Q48" s="4">
        <f t="shared" si="37"/>
        <v>0</v>
      </c>
      <c r="R48" s="4">
        <f t="shared" si="38"/>
        <v>0</v>
      </c>
      <c r="S48" s="4"/>
      <c r="T48" s="4">
        <f t="shared" si="39"/>
        <v>0</v>
      </c>
      <c r="U48" s="4"/>
      <c r="V48" s="4"/>
      <c r="W48" s="4"/>
      <c r="X48" s="4"/>
      <c r="Y48" s="4"/>
      <c r="Z48" s="4"/>
      <c r="AA48" s="4">
        <f t="shared" si="40"/>
        <v>0</v>
      </c>
      <c r="AB48" s="4">
        <f t="shared" si="41"/>
        <v>0</v>
      </c>
      <c r="AC48" s="4"/>
      <c r="AD48" s="4">
        <f t="shared" si="42"/>
        <v>0</v>
      </c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3">
        <f t="shared" si="43"/>
        <v>0</v>
      </c>
      <c r="BY48" s="22">
        <f t="shared" si="44"/>
        <v>0</v>
      </c>
      <c r="CC48" s="417" t="str">
        <f t="shared" si="8"/>
        <v/>
      </c>
    </row>
    <row r="49" spans="1:81">
      <c r="A49" s="1"/>
      <c r="B49" s="8"/>
      <c r="C49" s="8"/>
      <c r="D49" s="1"/>
      <c r="E49" s="8"/>
      <c r="F49" s="8"/>
      <c r="G49" s="1"/>
      <c r="H49" s="8"/>
      <c r="I49" s="119"/>
      <c r="J49" s="4"/>
      <c r="K49" s="4">
        <f t="shared" si="34"/>
        <v>0</v>
      </c>
      <c r="L49" s="4">
        <f t="shared" si="35"/>
        <v>0</v>
      </c>
      <c r="M49" s="4"/>
      <c r="N49" s="4">
        <f t="shared" si="36"/>
        <v>0</v>
      </c>
      <c r="O49" s="4"/>
      <c r="P49" s="4"/>
      <c r="Q49" s="4">
        <f t="shared" si="37"/>
        <v>0</v>
      </c>
      <c r="R49" s="4">
        <f t="shared" si="38"/>
        <v>0</v>
      </c>
      <c r="S49" s="4"/>
      <c r="T49" s="4">
        <f t="shared" si="39"/>
        <v>0</v>
      </c>
      <c r="U49" s="4"/>
      <c r="V49" s="4"/>
      <c r="W49" s="4"/>
      <c r="X49" s="4"/>
      <c r="Y49" s="4"/>
      <c r="Z49" s="4"/>
      <c r="AA49" s="4">
        <f t="shared" si="40"/>
        <v>0</v>
      </c>
      <c r="AB49" s="4">
        <f t="shared" si="41"/>
        <v>0</v>
      </c>
      <c r="AC49" s="4"/>
      <c r="AD49" s="4">
        <f t="shared" si="42"/>
        <v>0</v>
      </c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3">
        <f t="shared" si="43"/>
        <v>0</v>
      </c>
      <c r="BY49" s="22">
        <f t="shared" si="44"/>
        <v>0</v>
      </c>
      <c r="CC49" s="417" t="str">
        <f t="shared" si="8"/>
        <v/>
      </c>
    </row>
    <row r="50" spans="1:81">
      <c r="A50" s="1"/>
      <c r="B50" s="8"/>
      <c r="C50" s="8"/>
      <c r="D50" s="1"/>
      <c r="E50" s="8"/>
      <c r="F50" s="8"/>
      <c r="G50" s="1"/>
      <c r="H50" s="8"/>
      <c r="I50" s="119"/>
      <c r="J50" s="4"/>
      <c r="K50" s="4">
        <f t="shared" si="34"/>
        <v>0</v>
      </c>
      <c r="L50" s="4">
        <f t="shared" si="35"/>
        <v>0</v>
      </c>
      <c r="M50" s="4"/>
      <c r="N50" s="4">
        <f t="shared" si="36"/>
        <v>0</v>
      </c>
      <c r="O50" s="4"/>
      <c r="P50" s="4"/>
      <c r="Q50" s="4">
        <f t="shared" si="37"/>
        <v>0</v>
      </c>
      <c r="R50" s="4">
        <f t="shared" si="38"/>
        <v>0</v>
      </c>
      <c r="S50" s="4"/>
      <c r="T50" s="4">
        <f t="shared" si="39"/>
        <v>0</v>
      </c>
      <c r="U50" s="4"/>
      <c r="V50" s="4"/>
      <c r="W50" s="4"/>
      <c r="X50" s="4"/>
      <c r="Y50" s="4"/>
      <c r="Z50" s="4"/>
      <c r="AA50" s="4">
        <f t="shared" si="40"/>
        <v>0</v>
      </c>
      <c r="AB50" s="4">
        <f t="shared" si="41"/>
        <v>0</v>
      </c>
      <c r="AC50" s="4"/>
      <c r="AD50" s="4">
        <f t="shared" si="42"/>
        <v>0</v>
      </c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3">
        <f t="shared" si="43"/>
        <v>0</v>
      </c>
      <c r="BY50" s="22">
        <f t="shared" si="44"/>
        <v>0</v>
      </c>
      <c r="CC50" s="417" t="str">
        <f t="shared" si="8"/>
        <v/>
      </c>
    </row>
    <row r="51" spans="1:81">
      <c r="A51" s="1"/>
      <c r="B51" s="8"/>
      <c r="C51" s="8"/>
      <c r="D51" s="1"/>
      <c r="E51" s="8"/>
      <c r="F51" s="8"/>
      <c r="G51" s="1"/>
      <c r="H51" s="8"/>
      <c r="I51" s="119"/>
      <c r="J51" s="4"/>
      <c r="K51" s="4">
        <f t="shared" si="34"/>
        <v>0</v>
      </c>
      <c r="L51" s="4">
        <f t="shared" si="35"/>
        <v>0</v>
      </c>
      <c r="M51" s="4"/>
      <c r="N51" s="4">
        <f t="shared" si="36"/>
        <v>0</v>
      </c>
      <c r="O51" s="4"/>
      <c r="P51" s="4"/>
      <c r="Q51" s="4">
        <f t="shared" si="37"/>
        <v>0</v>
      </c>
      <c r="R51" s="4">
        <f t="shared" si="38"/>
        <v>0</v>
      </c>
      <c r="S51" s="4"/>
      <c r="T51" s="4">
        <f t="shared" si="39"/>
        <v>0</v>
      </c>
      <c r="U51" s="4"/>
      <c r="V51" s="4"/>
      <c r="W51" s="4"/>
      <c r="X51" s="4"/>
      <c r="Y51" s="4"/>
      <c r="Z51" s="4"/>
      <c r="AA51" s="4">
        <f t="shared" si="40"/>
        <v>0</v>
      </c>
      <c r="AB51" s="4">
        <f t="shared" si="41"/>
        <v>0</v>
      </c>
      <c r="AC51" s="4"/>
      <c r="AD51" s="4">
        <f t="shared" si="42"/>
        <v>0</v>
      </c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3">
        <f t="shared" si="43"/>
        <v>0</v>
      </c>
      <c r="BY51" s="22">
        <f t="shared" si="44"/>
        <v>0</v>
      </c>
      <c r="CC51" s="417" t="str">
        <f t="shared" si="8"/>
        <v/>
      </c>
    </row>
    <row r="52" spans="1:81">
      <c r="A52" s="1"/>
      <c r="B52" s="8"/>
      <c r="C52" s="8"/>
      <c r="D52" s="1"/>
      <c r="E52" s="8"/>
      <c r="F52" s="8"/>
      <c r="G52" s="1"/>
      <c r="H52" s="8"/>
      <c r="I52" s="119"/>
      <c r="J52" s="4"/>
      <c r="K52" s="4">
        <f t="shared" si="34"/>
        <v>0</v>
      </c>
      <c r="L52" s="4">
        <f t="shared" si="35"/>
        <v>0</v>
      </c>
      <c r="M52" s="4"/>
      <c r="N52" s="4">
        <f t="shared" si="36"/>
        <v>0</v>
      </c>
      <c r="O52" s="4"/>
      <c r="P52" s="4"/>
      <c r="Q52" s="4">
        <f t="shared" si="37"/>
        <v>0</v>
      </c>
      <c r="R52" s="4">
        <f t="shared" si="38"/>
        <v>0</v>
      </c>
      <c r="S52" s="4"/>
      <c r="T52" s="4">
        <f t="shared" si="39"/>
        <v>0</v>
      </c>
      <c r="U52" s="4"/>
      <c r="V52" s="4"/>
      <c r="W52" s="4"/>
      <c r="X52" s="4"/>
      <c r="Y52" s="4"/>
      <c r="Z52" s="4"/>
      <c r="AA52" s="4">
        <f t="shared" si="40"/>
        <v>0</v>
      </c>
      <c r="AB52" s="4">
        <f t="shared" si="41"/>
        <v>0</v>
      </c>
      <c r="AC52" s="4"/>
      <c r="AD52" s="4">
        <f t="shared" si="42"/>
        <v>0</v>
      </c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3">
        <f t="shared" si="43"/>
        <v>0</v>
      </c>
      <c r="BY52" s="22">
        <f t="shared" si="44"/>
        <v>0</v>
      </c>
      <c r="CC52" s="417" t="str">
        <f t="shared" si="8"/>
        <v/>
      </c>
    </row>
    <row r="53" spans="1:81">
      <c r="A53" s="1"/>
      <c r="B53" s="8"/>
      <c r="C53" s="8"/>
      <c r="D53" s="1"/>
      <c r="E53" s="8"/>
      <c r="F53" s="8"/>
      <c r="G53" s="1"/>
      <c r="H53" s="8"/>
      <c r="I53" s="119"/>
      <c r="J53" s="4"/>
      <c r="K53" s="4">
        <f t="shared" si="34"/>
        <v>0</v>
      </c>
      <c r="L53" s="4">
        <f t="shared" si="35"/>
        <v>0</v>
      </c>
      <c r="M53" s="4"/>
      <c r="N53" s="4">
        <f t="shared" si="36"/>
        <v>0</v>
      </c>
      <c r="O53" s="4"/>
      <c r="P53" s="4"/>
      <c r="Q53" s="4">
        <f t="shared" si="37"/>
        <v>0</v>
      </c>
      <c r="R53" s="4">
        <f t="shared" si="38"/>
        <v>0</v>
      </c>
      <c r="S53" s="4"/>
      <c r="T53" s="4">
        <f t="shared" si="39"/>
        <v>0</v>
      </c>
      <c r="U53" s="4"/>
      <c r="V53" s="4"/>
      <c r="W53" s="4"/>
      <c r="X53" s="4"/>
      <c r="Y53" s="4"/>
      <c r="Z53" s="4"/>
      <c r="AA53" s="4">
        <f t="shared" si="40"/>
        <v>0</v>
      </c>
      <c r="AB53" s="4">
        <f t="shared" si="41"/>
        <v>0</v>
      </c>
      <c r="AC53" s="4"/>
      <c r="AD53" s="4">
        <f t="shared" si="42"/>
        <v>0</v>
      </c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3">
        <f t="shared" si="43"/>
        <v>0</v>
      </c>
      <c r="BY53" s="22">
        <f t="shared" si="44"/>
        <v>0</v>
      </c>
      <c r="CC53" s="417" t="str">
        <f t="shared" si="8"/>
        <v/>
      </c>
    </row>
    <row r="54" spans="1:81">
      <c r="A54" s="1"/>
      <c r="B54" s="8"/>
      <c r="C54" s="8"/>
      <c r="D54" s="1"/>
      <c r="E54" s="8"/>
      <c r="F54" s="8"/>
      <c r="G54" s="1"/>
      <c r="H54" s="8"/>
      <c r="I54" s="119"/>
      <c r="J54" s="4"/>
      <c r="K54" s="4">
        <f t="shared" si="34"/>
        <v>0</v>
      </c>
      <c r="L54" s="4">
        <f t="shared" si="35"/>
        <v>0</v>
      </c>
      <c r="M54" s="4"/>
      <c r="N54" s="4">
        <f t="shared" si="36"/>
        <v>0</v>
      </c>
      <c r="O54" s="4"/>
      <c r="P54" s="4"/>
      <c r="Q54" s="4">
        <f t="shared" si="37"/>
        <v>0</v>
      </c>
      <c r="R54" s="4">
        <f t="shared" si="38"/>
        <v>0</v>
      </c>
      <c r="S54" s="4"/>
      <c r="T54" s="4">
        <f t="shared" si="39"/>
        <v>0</v>
      </c>
      <c r="U54" s="4"/>
      <c r="V54" s="4"/>
      <c r="W54" s="4"/>
      <c r="X54" s="4"/>
      <c r="Y54" s="4"/>
      <c r="Z54" s="4"/>
      <c r="AA54" s="4">
        <f t="shared" si="40"/>
        <v>0</v>
      </c>
      <c r="AB54" s="4">
        <f t="shared" si="41"/>
        <v>0</v>
      </c>
      <c r="AC54" s="4"/>
      <c r="AD54" s="4">
        <f t="shared" si="42"/>
        <v>0</v>
      </c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3">
        <f t="shared" si="43"/>
        <v>0</v>
      </c>
      <c r="BY54" s="22">
        <f t="shared" si="44"/>
        <v>0</v>
      </c>
      <c r="CC54" s="417" t="str">
        <f t="shared" si="8"/>
        <v/>
      </c>
    </row>
    <row r="55" spans="1:81">
      <c r="A55" s="1"/>
      <c r="B55" s="8"/>
      <c r="C55" s="8"/>
      <c r="D55" s="1"/>
      <c r="E55" s="8"/>
      <c r="F55" s="8"/>
      <c r="G55" s="1"/>
      <c r="H55" s="8"/>
      <c r="I55" s="119"/>
      <c r="J55" s="4"/>
      <c r="K55" s="4">
        <f t="shared" si="34"/>
        <v>0</v>
      </c>
      <c r="L55" s="4">
        <f t="shared" si="35"/>
        <v>0</v>
      </c>
      <c r="M55" s="4"/>
      <c r="N55" s="4">
        <f t="shared" si="36"/>
        <v>0</v>
      </c>
      <c r="O55" s="4"/>
      <c r="P55" s="4"/>
      <c r="Q55" s="4">
        <f t="shared" si="37"/>
        <v>0</v>
      </c>
      <c r="R55" s="4">
        <f t="shared" si="38"/>
        <v>0</v>
      </c>
      <c r="S55" s="4"/>
      <c r="T55" s="4">
        <f t="shared" si="39"/>
        <v>0</v>
      </c>
      <c r="U55" s="4"/>
      <c r="V55" s="4"/>
      <c r="W55" s="4"/>
      <c r="X55" s="4"/>
      <c r="Y55" s="4"/>
      <c r="Z55" s="4"/>
      <c r="AA55" s="4">
        <f t="shared" si="40"/>
        <v>0</v>
      </c>
      <c r="AB55" s="4">
        <f t="shared" si="41"/>
        <v>0</v>
      </c>
      <c r="AC55" s="4"/>
      <c r="AD55" s="4">
        <f t="shared" si="42"/>
        <v>0</v>
      </c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3">
        <f t="shared" si="43"/>
        <v>0</v>
      </c>
      <c r="BY55" s="22">
        <f t="shared" si="44"/>
        <v>0</v>
      </c>
      <c r="CC55" s="417" t="str">
        <f t="shared" si="8"/>
        <v/>
      </c>
    </row>
    <row r="56" spans="1:81">
      <c r="A56" s="1"/>
      <c r="B56" s="8"/>
      <c r="C56" s="8"/>
      <c r="D56" s="1"/>
      <c r="E56" s="8"/>
      <c r="F56" s="8"/>
      <c r="G56" s="1"/>
      <c r="H56" s="8"/>
      <c r="I56" s="119"/>
      <c r="J56" s="4"/>
      <c r="K56" s="4">
        <f t="shared" si="34"/>
        <v>0</v>
      </c>
      <c r="L56" s="4">
        <f t="shared" si="35"/>
        <v>0</v>
      </c>
      <c r="M56" s="4"/>
      <c r="N56" s="4">
        <f t="shared" si="36"/>
        <v>0</v>
      </c>
      <c r="O56" s="4"/>
      <c r="P56" s="4"/>
      <c r="Q56" s="4">
        <f t="shared" si="37"/>
        <v>0</v>
      </c>
      <c r="R56" s="4">
        <f t="shared" si="38"/>
        <v>0</v>
      </c>
      <c r="S56" s="4"/>
      <c r="T56" s="4">
        <f t="shared" si="39"/>
        <v>0</v>
      </c>
      <c r="U56" s="4"/>
      <c r="V56" s="4"/>
      <c r="W56" s="4"/>
      <c r="X56" s="4"/>
      <c r="Y56" s="4"/>
      <c r="Z56" s="4"/>
      <c r="AA56" s="4">
        <f t="shared" si="40"/>
        <v>0</v>
      </c>
      <c r="AB56" s="4">
        <f t="shared" si="41"/>
        <v>0</v>
      </c>
      <c r="AC56" s="4"/>
      <c r="AD56" s="4">
        <f t="shared" si="42"/>
        <v>0</v>
      </c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3">
        <f t="shared" si="43"/>
        <v>0</v>
      </c>
      <c r="BY56" s="22">
        <f t="shared" si="44"/>
        <v>0</v>
      </c>
      <c r="CC56" s="417" t="str">
        <f t="shared" si="8"/>
        <v/>
      </c>
    </row>
    <row r="57" spans="1:81">
      <c r="A57" s="1"/>
      <c r="B57" s="8"/>
      <c r="C57" s="8"/>
      <c r="D57" s="1"/>
      <c r="E57" s="8"/>
      <c r="F57" s="8"/>
      <c r="G57" s="1"/>
      <c r="H57" s="8"/>
      <c r="I57" s="119"/>
      <c r="J57" s="4"/>
      <c r="K57" s="4">
        <f t="shared" si="34"/>
        <v>0</v>
      </c>
      <c r="L57" s="4">
        <f t="shared" si="35"/>
        <v>0</v>
      </c>
      <c r="M57" s="4"/>
      <c r="N57" s="4">
        <f t="shared" si="36"/>
        <v>0</v>
      </c>
      <c r="O57" s="4"/>
      <c r="P57" s="4"/>
      <c r="Q57" s="4">
        <f t="shared" si="37"/>
        <v>0</v>
      </c>
      <c r="R57" s="4">
        <f t="shared" si="38"/>
        <v>0</v>
      </c>
      <c r="S57" s="4"/>
      <c r="T57" s="4">
        <f t="shared" si="39"/>
        <v>0</v>
      </c>
      <c r="U57" s="4"/>
      <c r="V57" s="4"/>
      <c r="W57" s="4"/>
      <c r="X57" s="4"/>
      <c r="Y57" s="4"/>
      <c r="Z57" s="4"/>
      <c r="AA57" s="4">
        <f t="shared" si="40"/>
        <v>0</v>
      </c>
      <c r="AB57" s="4">
        <f t="shared" si="41"/>
        <v>0</v>
      </c>
      <c r="AC57" s="4"/>
      <c r="AD57" s="4">
        <f t="shared" si="42"/>
        <v>0</v>
      </c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3">
        <f t="shared" si="43"/>
        <v>0</v>
      </c>
      <c r="BY57" s="22">
        <f t="shared" si="44"/>
        <v>0</v>
      </c>
      <c r="CC57" s="417" t="str">
        <f t="shared" si="8"/>
        <v/>
      </c>
    </row>
    <row r="58" spans="1:81">
      <c r="A58" s="1"/>
      <c r="B58" s="8"/>
      <c r="C58" s="8"/>
      <c r="D58" s="1"/>
      <c r="E58" s="8"/>
      <c r="F58" s="8"/>
      <c r="G58" s="1"/>
      <c r="H58" s="8"/>
      <c r="I58" s="119"/>
      <c r="J58" s="4"/>
      <c r="K58" s="4">
        <f t="shared" si="34"/>
        <v>0</v>
      </c>
      <c r="L58" s="4">
        <f t="shared" si="35"/>
        <v>0</v>
      </c>
      <c r="M58" s="4"/>
      <c r="N58" s="4">
        <f t="shared" si="36"/>
        <v>0</v>
      </c>
      <c r="O58" s="4"/>
      <c r="P58" s="4"/>
      <c r="Q58" s="4">
        <f t="shared" si="37"/>
        <v>0</v>
      </c>
      <c r="R58" s="4">
        <f t="shared" si="38"/>
        <v>0</v>
      </c>
      <c r="S58" s="4"/>
      <c r="T58" s="4">
        <f t="shared" si="39"/>
        <v>0</v>
      </c>
      <c r="U58" s="4"/>
      <c r="V58" s="4"/>
      <c r="W58" s="4"/>
      <c r="X58" s="4"/>
      <c r="Y58" s="4"/>
      <c r="Z58" s="4"/>
      <c r="AA58" s="4">
        <f t="shared" si="40"/>
        <v>0</v>
      </c>
      <c r="AB58" s="4">
        <f t="shared" si="41"/>
        <v>0</v>
      </c>
      <c r="AC58" s="4"/>
      <c r="AD58" s="4">
        <f t="shared" si="42"/>
        <v>0</v>
      </c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3">
        <f t="shared" si="43"/>
        <v>0</v>
      </c>
      <c r="BY58" s="22">
        <f t="shared" si="44"/>
        <v>0</v>
      </c>
      <c r="CC58" s="417" t="str">
        <f t="shared" si="8"/>
        <v/>
      </c>
    </row>
    <row r="59" spans="1:81">
      <c r="A59" s="1"/>
      <c r="B59" s="8"/>
      <c r="C59" s="8"/>
      <c r="D59" s="1"/>
      <c r="E59" s="8"/>
      <c r="F59" s="8"/>
      <c r="G59" s="1"/>
      <c r="H59" s="8"/>
      <c r="I59" s="119"/>
      <c r="J59" s="4"/>
      <c r="K59" s="4">
        <f t="shared" si="34"/>
        <v>0</v>
      </c>
      <c r="L59" s="4">
        <f t="shared" si="35"/>
        <v>0</v>
      </c>
      <c r="M59" s="4"/>
      <c r="N59" s="4">
        <f t="shared" si="36"/>
        <v>0</v>
      </c>
      <c r="O59" s="4"/>
      <c r="P59" s="4"/>
      <c r="Q59" s="4">
        <f t="shared" si="37"/>
        <v>0</v>
      </c>
      <c r="R59" s="4">
        <f t="shared" si="38"/>
        <v>0</v>
      </c>
      <c r="S59" s="4"/>
      <c r="T59" s="4">
        <f t="shared" si="39"/>
        <v>0</v>
      </c>
      <c r="U59" s="4"/>
      <c r="V59" s="4"/>
      <c r="W59" s="4"/>
      <c r="X59" s="4"/>
      <c r="Y59" s="4"/>
      <c r="Z59" s="4"/>
      <c r="AA59" s="4">
        <f t="shared" si="40"/>
        <v>0</v>
      </c>
      <c r="AB59" s="4">
        <f t="shared" si="41"/>
        <v>0</v>
      </c>
      <c r="AC59" s="4"/>
      <c r="AD59" s="4">
        <f t="shared" si="42"/>
        <v>0</v>
      </c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3">
        <f t="shared" si="43"/>
        <v>0</v>
      </c>
      <c r="BY59" s="22">
        <f t="shared" si="44"/>
        <v>0</v>
      </c>
      <c r="CC59" s="417" t="str">
        <f t="shared" si="8"/>
        <v/>
      </c>
    </row>
    <row r="60" spans="1:81">
      <c r="A60" s="1"/>
      <c r="B60" s="8"/>
      <c r="C60" s="8"/>
      <c r="D60" s="1"/>
      <c r="E60" s="8"/>
      <c r="F60" s="8"/>
      <c r="G60" s="1"/>
      <c r="H60" s="8"/>
      <c r="I60" s="119"/>
      <c r="J60" s="4"/>
      <c r="K60" s="4">
        <f t="shared" si="34"/>
        <v>0</v>
      </c>
      <c r="L60" s="4">
        <f t="shared" si="35"/>
        <v>0</v>
      </c>
      <c r="M60" s="4"/>
      <c r="N60" s="4">
        <f t="shared" si="36"/>
        <v>0</v>
      </c>
      <c r="O60" s="4"/>
      <c r="P60" s="4"/>
      <c r="Q60" s="4">
        <f t="shared" si="37"/>
        <v>0</v>
      </c>
      <c r="R60" s="4">
        <f t="shared" si="38"/>
        <v>0</v>
      </c>
      <c r="S60" s="4"/>
      <c r="T60" s="4">
        <f t="shared" si="39"/>
        <v>0</v>
      </c>
      <c r="U60" s="4"/>
      <c r="V60" s="4"/>
      <c r="W60" s="4"/>
      <c r="X60" s="4"/>
      <c r="Y60" s="4"/>
      <c r="Z60" s="4"/>
      <c r="AA60" s="4">
        <f t="shared" si="40"/>
        <v>0</v>
      </c>
      <c r="AB60" s="4">
        <f t="shared" si="41"/>
        <v>0</v>
      </c>
      <c r="AC60" s="4"/>
      <c r="AD60" s="4">
        <f t="shared" si="42"/>
        <v>0</v>
      </c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3">
        <f t="shared" si="43"/>
        <v>0</v>
      </c>
      <c r="BY60" s="22">
        <f t="shared" si="44"/>
        <v>0</v>
      </c>
      <c r="CC60" s="417" t="str">
        <f t="shared" si="8"/>
        <v/>
      </c>
    </row>
    <row r="61" spans="1:81">
      <c r="A61" s="1"/>
      <c r="B61" s="8"/>
      <c r="C61" s="8"/>
      <c r="D61" s="1"/>
      <c r="E61" s="8"/>
      <c r="F61" s="8"/>
      <c r="G61" s="1"/>
      <c r="H61" s="8"/>
      <c r="I61" s="119"/>
      <c r="J61" s="4"/>
      <c r="K61" s="4">
        <f t="shared" si="34"/>
        <v>0</v>
      </c>
      <c r="L61" s="4">
        <f t="shared" si="35"/>
        <v>0</v>
      </c>
      <c r="M61" s="4"/>
      <c r="N61" s="4">
        <f t="shared" si="36"/>
        <v>0</v>
      </c>
      <c r="O61" s="4"/>
      <c r="P61" s="4"/>
      <c r="Q61" s="4">
        <f t="shared" si="37"/>
        <v>0</v>
      </c>
      <c r="R61" s="4">
        <f t="shared" si="38"/>
        <v>0</v>
      </c>
      <c r="S61" s="4"/>
      <c r="T61" s="4">
        <f t="shared" si="39"/>
        <v>0</v>
      </c>
      <c r="U61" s="4"/>
      <c r="V61" s="4"/>
      <c r="W61" s="4"/>
      <c r="X61" s="4"/>
      <c r="Y61" s="4"/>
      <c r="Z61" s="4"/>
      <c r="AA61" s="4">
        <f t="shared" si="40"/>
        <v>0</v>
      </c>
      <c r="AB61" s="4">
        <f t="shared" si="41"/>
        <v>0</v>
      </c>
      <c r="AC61" s="4"/>
      <c r="AD61" s="4">
        <f t="shared" si="42"/>
        <v>0</v>
      </c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3">
        <f t="shared" si="43"/>
        <v>0</v>
      </c>
      <c r="BY61" s="22">
        <f t="shared" si="44"/>
        <v>0</v>
      </c>
      <c r="CC61" s="417" t="str">
        <f t="shared" si="8"/>
        <v/>
      </c>
    </row>
    <row r="62" spans="1:81">
      <c r="A62" s="1"/>
      <c r="B62" s="8"/>
      <c r="C62" s="8"/>
      <c r="D62" s="1"/>
      <c r="E62" s="8"/>
      <c r="F62" s="8"/>
      <c r="G62" s="1"/>
      <c r="H62" s="8"/>
      <c r="I62" s="119"/>
      <c r="J62" s="4"/>
      <c r="K62" s="4">
        <f t="shared" si="34"/>
        <v>0</v>
      </c>
      <c r="L62" s="4">
        <f t="shared" si="35"/>
        <v>0</v>
      </c>
      <c r="M62" s="4"/>
      <c r="N62" s="4">
        <f t="shared" si="36"/>
        <v>0</v>
      </c>
      <c r="O62" s="4"/>
      <c r="P62" s="4"/>
      <c r="Q62" s="4">
        <f t="shared" si="37"/>
        <v>0</v>
      </c>
      <c r="R62" s="4">
        <f t="shared" si="38"/>
        <v>0</v>
      </c>
      <c r="S62" s="4"/>
      <c r="T62" s="4">
        <f t="shared" si="39"/>
        <v>0</v>
      </c>
      <c r="U62" s="4"/>
      <c r="V62" s="4"/>
      <c r="W62" s="4"/>
      <c r="X62" s="4"/>
      <c r="Y62" s="4"/>
      <c r="Z62" s="4"/>
      <c r="AA62" s="4">
        <f t="shared" si="40"/>
        <v>0</v>
      </c>
      <c r="AB62" s="4">
        <f t="shared" si="41"/>
        <v>0</v>
      </c>
      <c r="AC62" s="4"/>
      <c r="AD62" s="4">
        <f t="shared" si="42"/>
        <v>0</v>
      </c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3">
        <f t="shared" si="43"/>
        <v>0</v>
      </c>
      <c r="BY62" s="22">
        <f t="shared" si="44"/>
        <v>0</v>
      </c>
      <c r="CC62" s="417" t="str">
        <f t="shared" si="8"/>
        <v/>
      </c>
    </row>
    <row r="63" spans="1:81">
      <c r="A63" s="1"/>
      <c r="B63" s="8"/>
      <c r="C63" s="8"/>
      <c r="D63" s="1"/>
      <c r="E63" s="8"/>
      <c r="F63" s="8"/>
      <c r="G63" s="1"/>
      <c r="H63" s="8"/>
      <c r="I63" s="119"/>
      <c r="J63" s="4"/>
      <c r="K63" s="4">
        <f t="shared" si="34"/>
        <v>0</v>
      </c>
      <c r="L63" s="4">
        <f t="shared" si="35"/>
        <v>0</v>
      </c>
      <c r="M63" s="4"/>
      <c r="N63" s="4">
        <f t="shared" si="36"/>
        <v>0</v>
      </c>
      <c r="O63" s="4"/>
      <c r="P63" s="4"/>
      <c r="Q63" s="4">
        <f t="shared" si="37"/>
        <v>0</v>
      </c>
      <c r="R63" s="4">
        <f t="shared" si="38"/>
        <v>0</v>
      </c>
      <c r="S63" s="4"/>
      <c r="T63" s="4">
        <f t="shared" si="39"/>
        <v>0</v>
      </c>
      <c r="U63" s="4"/>
      <c r="V63" s="4"/>
      <c r="W63" s="4"/>
      <c r="X63" s="4"/>
      <c r="Y63" s="4"/>
      <c r="Z63" s="4"/>
      <c r="AA63" s="4">
        <f t="shared" si="40"/>
        <v>0</v>
      </c>
      <c r="AB63" s="4">
        <f t="shared" si="41"/>
        <v>0</v>
      </c>
      <c r="AC63" s="4"/>
      <c r="AD63" s="4">
        <f t="shared" si="42"/>
        <v>0</v>
      </c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3">
        <f t="shared" si="43"/>
        <v>0</v>
      </c>
      <c r="BY63" s="22">
        <f t="shared" si="44"/>
        <v>0</v>
      </c>
      <c r="CC63" s="417" t="str">
        <f t="shared" si="8"/>
        <v/>
      </c>
    </row>
    <row r="64" spans="1:81">
      <c r="A64" s="1"/>
      <c r="B64" s="8"/>
      <c r="C64" s="8"/>
      <c r="D64" s="1"/>
      <c r="E64" s="8"/>
      <c r="F64" s="8"/>
      <c r="G64" s="1"/>
      <c r="H64" s="8"/>
      <c r="I64" s="119"/>
      <c r="J64" s="4"/>
      <c r="K64" s="4">
        <f t="shared" si="34"/>
        <v>0</v>
      </c>
      <c r="L64" s="4">
        <f t="shared" si="35"/>
        <v>0</v>
      </c>
      <c r="M64" s="4"/>
      <c r="N64" s="4">
        <f t="shared" si="36"/>
        <v>0</v>
      </c>
      <c r="O64" s="4"/>
      <c r="P64" s="4"/>
      <c r="Q64" s="4">
        <f t="shared" si="37"/>
        <v>0</v>
      </c>
      <c r="R64" s="4">
        <f t="shared" si="38"/>
        <v>0</v>
      </c>
      <c r="S64" s="4"/>
      <c r="T64" s="4">
        <f t="shared" si="39"/>
        <v>0</v>
      </c>
      <c r="U64" s="4"/>
      <c r="V64" s="4"/>
      <c r="W64" s="4"/>
      <c r="X64" s="4"/>
      <c r="Y64" s="4"/>
      <c r="Z64" s="4"/>
      <c r="AA64" s="4">
        <f t="shared" si="40"/>
        <v>0</v>
      </c>
      <c r="AB64" s="4">
        <f t="shared" si="41"/>
        <v>0</v>
      </c>
      <c r="AC64" s="4"/>
      <c r="AD64" s="4">
        <f t="shared" si="42"/>
        <v>0</v>
      </c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3">
        <f t="shared" si="43"/>
        <v>0</v>
      </c>
      <c r="BY64" s="22">
        <f t="shared" si="44"/>
        <v>0</v>
      </c>
      <c r="CC64" s="417" t="str">
        <f t="shared" si="8"/>
        <v/>
      </c>
    </row>
    <row r="65" spans="1:81">
      <c r="A65" s="1"/>
      <c r="B65" s="8"/>
      <c r="C65" s="8"/>
      <c r="D65" s="1"/>
      <c r="E65" s="8"/>
      <c r="F65" s="8"/>
      <c r="G65" s="1"/>
      <c r="H65" s="8"/>
      <c r="I65" s="119"/>
      <c r="J65" s="4"/>
      <c r="K65" s="4">
        <f t="shared" si="34"/>
        <v>0</v>
      </c>
      <c r="L65" s="4">
        <f t="shared" si="35"/>
        <v>0</v>
      </c>
      <c r="M65" s="4"/>
      <c r="N65" s="4">
        <f t="shared" si="36"/>
        <v>0</v>
      </c>
      <c r="O65" s="4"/>
      <c r="P65" s="4"/>
      <c r="Q65" s="4">
        <f t="shared" si="37"/>
        <v>0</v>
      </c>
      <c r="R65" s="4">
        <f t="shared" si="38"/>
        <v>0</v>
      </c>
      <c r="S65" s="4"/>
      <c r="T65" s="4">
        <f t="shared" si="39"/>
        <v>0</v>
      </c>
      <c r="U65" s="4"/>
      <c r="V65" s="4"/>
      <c r="W65" s="4"/>
      <c r="X65" s="4"/>
      <c r="Y65" s="4"/>
      <c r="Z65" s="4"/>
      <c r="AA65" s="4">
        <f t="shared" si="40"/>
        <v>0</v>
      </c>
      <c r="AB65" s="4">
        <f t="shared" si="41"/>
        <v>0</v>
      </c>
      <c r="AC65" s="4"/>
      <c r="AD65" s="4">
        <f t="shared" si="42"/>
        <v>0</v>
      </c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3">
        <f t="shared" si="43"/>
        <v>0</v>
      </c>
      <c r="BY65" s="22">
        <f t="shared" si="44"/>
        <v>0</v>
      </c>
      <c r="CC65" s="417" t="str">
        <f t="shared" si="8"/>
        <v/>
      </c>
    </row>
    <row r="66" spans="1:81">
      <c r="A66" s="1"/>
      <c r="B66" s="8"/>
      <c r="C66" s="8"/>
      <c r="D66" s="1"/>
      <c r="E66" s="8"/>
      <c r="F66" s="8"/>
      <c r="G66" s="1"/>
      <c r="H66" s="8"/>
      <c r="I66" s="119"/>
      <c r="J66" s="4"/>
      <c r="K66" s="4">
        <f t="shared" ref="K66:K129" si="45">0.01*(I66+J66)</f>
        <v>0</v>
      </c>
      <c r="L66" s="4">
        <f t="shared" ref="L66:L129" si="46">0.062*(I66+J66)</f>
        <v>0</v>
      </c>
      <c r="M66" s="4"/>
      <c r="N66" s="4">
        <f t="shared" ref="N66:N129" si="47">0.028*(I66+J66)</f>
        <v>0</v>
      </c>
      <c r="O66" s="4"/>
      <c r="P66" s="4"/>
      <c r="Q66" s="4">
        <f t="shared" ref="Q66:Q129" si="48">0.01*(O66+P66)</f>
        <v>0</v>
      </c>
      <c r="R66" s="4">
        <f t="shared" ref="R66:R129" si="49">0.062*(O66+P66)</f>
        <v>0</v>
      </c>
      <c r="S66" s="4"/>
      <c r="T66" s="4">
        <f t="shared" ref="T66:T129" si="50">0.028*(O66+P66)</f>
        <v>0</v>
      </c>
      <c r="U66" s="4"/>
      <c r="V66" s="4"/>
      <c r="W66" s="4"/>
      <c r="X66" s="4"/>
      <c r="Y66" s="4"/>
      <c r="Z66" s="4"/>
      <c r="AA66" s="4">
        <f t="shared" ref="AA66:AA129" si="51">0.01*(U66+V66+W66+X66+Y66)</f>
        <v>0</v>
      </c>
      <c r="AB66" s="4">
        <f t="shared" ref="AB66:AB129" si="52">0.062*(V66+U66+W66+X66+Y66)</f>
        <v>0</v>
      </c>
      <c r="AC66" s="4"/>
      <c r="AD66" s="4">
        <f t="shared" ref="AD66:AD129" si="53">0.028*(V66+W66+X66+Y66+U66)</f>
        <v>0</v>
      </c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3">
        <f t="shared" si="43"/>
        <v>0</v>
      </c>
      <c r="BY66" s="22">
        <f t="shared" si="44"/>
        <v>0</v>
      </c>
      <c r="CC66" s="417" t="str">
        <f t="shared" si="8"/>
        <v/>
      </c>
    </row>
    <row r="67" spans="1:81">
      <c r="A67" s="1"/>
      <c r="B67" s="8"/>
      <c r="C67" s="8"/>
      <c r="D67" s="1"/>
      <c r="E67" s="8"/>
      <c r="F67" s="8"/>
      <c r="G67" s="1"/>
      <c r="H67" s="8"/>
      <c r="I67" s="119"/>
      <c r="J67" s="4"/>
      <c r="K67" s="4">
        <f t="shared" si="45"/>
        <v>0</v>
      </c>
      <c r="L67" s="4">
        <f t="shared" si="46"/>
        <v>0</v>
      </c>
      <c r="M67" s="4"/>
      <c r="N67" s="4">
        <f t="shared" si="47"/>
        <v>0</v>
      </c>
      <c r="O67" s="4"/>
      <c r="P67" s="4"/>
      <c r="Q67" s="4">
        <f t="shared" si="48"/>
        <v>0</v>
      </c>
      <c r="R67" s="4">
        <f t="shared" si="49"/>
        <v>0</v>
      </c>
      <c r="S67" s="4"/>
      <c r="T67" s="4">
        <f t="shared" si="50"/>
        <v>0</v>
      </c>
      <c r="U67" s="4"/>
      <c r="V67" s="4"/>
      <c r="W67" s="4"/>
      <c r="X67" s="4"/>
      <c r="Y67" s="4"/>
      <c r="Z67" s="4"/>
      <c r="AA67" s="4">
        <f t="shared" si="51"/>
        <v>0</v>
      </c>
      <c r="AB67" s="4">
        <f t="shared" si="52"/>
        <v>0</v>
      </c>
      <c r="AC67" s="4"/>
      <c r="AD67" s="4">
        <f t="shared" si="53"/>
        <v>0</v>
      </c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3">
        <f t="shared" si="43"/>
        <v>0</v>
      </c>
      <c r="BY67" s="22">
        <f t="shared" si="44"/>
        <v>0</v>
      </c>
      <c r="CC67" s="417" t="str">
        <f t="shared" ref="CC67:CC130" si="54">IF(B67="ug1","INDUSTRIES",IF(B67="ug2","COMMERCE GENERAL",IF(B67="ug3","BANQUES, ASSURANCES, NTIC, CTD",IF(B67="ug4","FORETS, EAUX, MINES, PETROLES",IF(B67="ug5","SERVICES","")))))</f>
        <v/>
      </c>
    </row>
    <row r="68" spans="1:81">
      <c r="A68" s="1"/>
      <c r="B68" s="8"/>
      <c r="C68" s="8"/>
      <c r="D68" s="1"/>
      <c r="E68" s="8"/>
      <c r="F68" s="8"/>
      <c r="G68" s="1"/>
      <c r="H68" s="8"/>
      <c r="I68" s="119"/>
      <c r="J68" s="4"/>
      <c r="K68" s="4">
        <f t="shared" si="45"/>
        <v>0</v>
      </c>
      <c r="L68" s="4">
        <f t="shared" si="46"/>
        <v>0</v>
      </c>
      <c r="M68" s="4"/>
      <c r="N68" s="4">
        <f t="shared" si="47"/>
        <v>0</v>
      </c>
      <c r="O68" s="4"/>
      <c r="P68" s="4"/>
      <c r="Q68" s="4">
        <f t="shared" si="48"/>
        <v>0</v>
      </c>
      <c r="R68" s="4">
        <f t="shared" si="49"/>
        <v>0</v>
      </c>
      <c r="S68" s="4"/>
      <c r="T68" s="4">
        <f t="shared" si="50"/>
        <v>0</v>
      </c>
      <c r="U68" s="4"/>
      <c r="V68" s="4"/>
      <c r="W68" s="4"/>
      <c r="X68" s="4"/>
      <c r="Y68" s="4"/>
      <c r="Z68" s="4"/>
      <c r="AA68" s="4">
        <f t="shared" si="51"/>
        <v>0</v>
      </c>
      <c r="AB68" s="4">
        <f t="shared" si="52"/>
        <v>0</v>
      </c>
      <c r="AC68" s="4"/>
      <c r="AD68" s="4">
        <f t="shared" si="53"/>
        <v>0</v>
      </c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3">
        <f t="shared" si="43"/>
        <v>0</v>
      </c>
      <c r="BY68" s="22">
        <f t="shared" si="44"/>
        <v>0</v>
      </c>
      <c r="CC68" s="417" t="str">
        <f t="shared" si="54"/>
        <v/>
      </c>
    </row>
    <row r="69" spans="1:81">
      <c r="A69" s="1"/>
      <c r="B69" s="8"/>
      <c r="C69" s="8"/>
      <c r="D69" s="1"/>
      <c r="E69" s="8"/>
      <c r="F69" s="8"/>
      <c r="G69" s="1"/>
      <c r="H69" s="8"/>
      <c r="I69" s="119"/>
      <c r="J69" s="4"/>
      <c r="K69" s="4">
        <f t="shared" si="45"/>
        <v>0</v>
      </c>
      <c r="L69" s="4">
        <f t="shared" si="46"/>
        <v>0</v>
      </c>
      <c r="M69" s="4"/>
      <c r="N69" s="4">
        <f t="shared" si="47"/>
        <v>0</v>
      </c>
      <c r="O69" s="4"/>
      <c r="P69" s="4"/>
      <c r="Q69" s="4">
        <f t="shared" si="48"/>
        <v>0</v>
      </c>
      <c r="R69" s="4">
        <f t="shared" si="49"/>
        <v>0</v>
      </c>
      <c r="S69" s="4"/>
      <c r="T69" s="4">
        <f t="shared" si="50"/>
        <v>0</v>
      </c>
      <c r="U69" s="4"/>
      <c r="V69" s="4"/>
      <c r="W69" s="4"/>
      <c r="X69" s="4"/>
      <c r="Y69" s="4"/>
      <c r="Z69" s="4"/>
      <c r="AA69" s="4">
        <f t="shared" si="51"/>
        <v>0</v>
      </c>
      <c r="AB69" s="4">
        <f t="shared" si="52"/>
        <v>0</v>
      </c>
      <c r="AC69" s="4"/>
      <c r="AD69" s="4">
        <f t="shared" si="53"/>
        <v>0</v>
      </c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3">
        <f t="shared" si="43"/>
        <v>0</v>
      </c>
      <c r="BY69" s="22">
        <f t="shared" si="44"/>
        <v>0</v>
      </c>
      <c r="CC69" s="417" t="str">
        <f t="shared" si="54"/>
        <v/>
      </c>
    </row>
    <row r="70" spans="1:81">
      <c r="A70" s="1"/>
      <c r="B70" s="8"/>
      <c r="C70" s="8"/>
      <c r="D70" s="1"/>
      <c r="E70" s="8"/>
      <c r="F70" s="8"/>
      <c r="G70" s="1"/>
      <c r="H70" s="8"/>
      <c r="I70" s="119"/>
      <c r="J70" s="4"/>
      <c r="K70" s="4">
        <f t="shared" si="45"/>
        <v>0</v>
      </c>
      <c r="L70" s="4">
        <f t="shared" si="46"/>
        <v>0</v>
      </c>
      <c r="M70" s="4"/>
      <c r="N70" s="4">
        <f t="shared" si="47"/>
        <v>0</v>
      </c>
      <c r="O70" s="4"/>
      <c r="P70" s="4"/>
      <c r="Q70" s="4">
        <f t="shared" si="48"/>
        <v>0</v>
      </c>
      <c r="R70" s="4">
        <f t="shared" si="49"/>
        <v>0</v>
      </c>
      <c r="S70" s="4"/>
      <c r="T70" s="4">
        <f t="shared" si="50"/>
        <v>0</v>
      </c>
      <c r="U70" s="4"/>
      <c r="V70" s="4"/>
      <c r="W70" s="4"/>
      <c r="X70" s="4"/>
      <c r="Y70" s="4"/>
      <c r="Z70" s="4"/>
      <c r="AA70" s="4">
        <f t="shared" si="51"/>
        <v>0</v>
      </c>
      <c r="AB70" s="4">
        <f t="shared" si="52"/>
        <v>0</v>
      </c>
      <c r="AC70" s="4"/>
      <c r="AD70" s="4">
        <f t="shared" si="53"/>
        <v>0</v>
      </c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3">
        <f t="shared" si="43"/>
        <v>0</v>
      </c>
      <c r="BY70" s="22">
        <f t="shared" si="44"/>
        <v>0</v>
      </c>
      <c r="CC70" s="417" t="str">
        <f t="shared" si="54"/>
        <v/>
      </c>
    </row>
    <row r="71" spans="1:81">
      <c r="A71" s="1"/>
      <c r="B71" s="8"/>
      <c r="C71" s="8"/>
      <c r="D71" s="1"/>
      <c r="E71" s="8"/>
      <c r="F71" s="8"/>
      <c r="G71" s="1"/>
      <c r="H71" s="8"/>
      <c r="I71" s="119"/>
      <c r="J71" s="4"/>
      <c r="K71" s="4">
        <f t="shared" si="45"/>
        <v>0</v>
      </c>
      <c r="L71" s="4">
        <f t="shared" si="46"/>
        <v>0</v>
      </c>
      <c r="M71" s="4"/>
      <c r="N71" s="4">
        <f t="shared" si="47"/>
        <v>0</v>
      </c>
      <c r="O71" s="4"/>
      <c r="P71" s="4"/>
      <c r="Q71" s="4">
        <f t="shared" si="48"/>
        <v>0</v>
      </c>
      <c r="R71" s="4">
        <f t="shared" si="49"/>
        <v>0</v>
      </c>
      <c r="S71" s="4"/>
      <c r="T71" s="4">
        <f t="shared" si="50"/>
        <v>0</v>
      </c>
      <c r="U71" s="4"/>
      <c r="V71" s="4"/>
      <c r="W71" s="4"/>
      <c r="X71" s="4"/>
      <c r="Y71" s="4"/>
      <c r="Z71" s="4"/>
      <c r="AA71" s="4">
        <f t="shared" si="51"/>
        <v>0</v>
      </c>
      <c r="AB71" s="4">
        <f t="shared" si="52"/>
        <v>0</v>
      </c>
      <c r="AC71" s="4"/>
      <c r="AD71" s="4">
        <f t="shared" si="53"/>
        <v>0</v>
      </c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3">
        <f t="shared" si="43"/>
        <v>0</v>
      </c>
      <c r="BY71" s="22">
        <f t="shared" si="44"/>
        <v>0</v>
      </c>
      <c r="CC71" s="417" t="str">
        <f t="shared" si="54"/>
        <v/>
      </c>
    </row>
    <row r="72" spans="1:81">
      <c r="A72" s="1"/>
      <c r="B72" s="8"/>
      <c r="C72" s="8"/>
      <c r="D72" s="1"/>
      <c r="E72" s="8"/>
      <c r="F72" s="8"/>
      <c r="G72" s="1"/>
      <c r="H72" s="8"/>
      <c r="I72" s="119"/>
      <c r="J72" s="4"/>
      <c r="K72" s="4">
        <f t="shared" si="45"/>
        <v>0</v>
      </c>
      <c r="L72" s="4">
        <f t="shared" si="46"/>
        <v>0</v>
      </c>
      <c r="M72" s="4"/>
      <c r="N72" s="4">
        <f t="shared" si="47"/>
        <v>0</v>
      </c>
      <c r="O72" s="4"/>
      <c r="P72" s="4"/>
      <c r="Q72" s="4">
        <f t="shared" si="48"/>
        <v>0</v>
      </c>
      <c r="R72" s="4">
        <f t="shared" si="49"/>
        <v>0</v>
      </c>
      <c r="S72" s="4"/>
      <c r="T72" s="4">
        <f t="shared" si="50"/>
        <v>0</v>
      </c>
      <c r="U72" s="4"/>
      <c r="V72" s="4"/>
      <c r="W72" s="4"/>
      <c r="X72" s="4"/>
      <c r="Y72" s="4"/>
      <c r="Z72" s="4"/>
      <c r="AA72" s="4">
        <f t="shared" si="51"/>
        <v>0</v>
      </c>
      <c r="AB72" s="4">
        <f t="shared" si="52"/>
        <v>0</v>
      </c>
      <c r="AC72" s="4"/>
      <c r="AD72" s="4">
        <f t="shared" si="53"/>
        <v>0</v>
      </c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3">
        <f t="shared" si="43"/>
        <v>0</v>
      </c>
      <c r="BY72" s="22">
        <f t="shared" si="44"/>
        <v>0</v>
      </c>
      <c r="CC72" s="417" t="str">
        <f t="shared" si="54"/>
        <v/>
      </c>
    </row>
    <row r="73" spans="1:81">
      <c r="A73" s="1"/>
      <c r="B73" s="8"/>
      <c r="C73" s="8"/>
      <c r="D73" s="1"/>
      <c r="E73" s="8"/>
      <c r="F73" s="8"/>
      <c r="G73" s="1"/>
      <c r="H73" s="8"/>
      <c r="I73" s="119"/>
      <c r="J73" s="4"/>
      <c r="K73" s="4">
        <f t="shared" si="45"/>
        <v>0</v>
      </c>
      <c r="L73" s="4">
        <f t="shared" si="46"/>
        <v>0</v>
      </c>
      <c r="M73" s="4"/>
      <c r="N73" s="4">
        <f t="shared" si="47"/>
        <v>0</v>
      </c>
      <c r="O73" s="4"/>
      <c r="P73" s="4"/>
      <c r="Q73" s="4">
        <f t="shared" si="48"/>
        <v>0</v>
      </c>
      <c r="R73" s="4">
        <f t="shared" si="49"/>
        <v>0</v>
      </c>
      <c r="S73" s="4"/>
      <c r="T73" s="4">
        <f t="shared" si="50"/>
        <v>0</v>
      </c>
      <c r="U73" s="4"/>
      <c r="V73" s="4"/>
      <c r="W73" s="4"/>
      <c r="X73" s="4"/>
      <c r="Y73" s="4"/>
      <c r="Z73" s="4"/>
      <c r="AA73" s="4">
        <f t="shared" si="51"/>
        <v>0</v>
      </c>
      <c r="AB73" s="4">
        <f t="shared" si="52"/>
        <v>0</v>
      </c>
      <c r="AC73" s="4"/>
      <c r="AD73" s="4">
        <f t="shared" si="53"/>
        <v>0</v>
      </c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3">
        <f t="shared" si="43"/>
        <v>0</v>
      </c>
      <c r="BY73" s="22">
        <f t="shared" si="44"/>
        <v>0</v>
      </c>
      <c r="CC73" s="417" t="str">
        <f t="shared" si="54"/>
        <v/>
      </c>
    </row>
    <row r="74" spans="1:81">
      <c r="A74" s="1"/>
      <c r="B74" s="8"/>
      <c r="C74" s="8"/>
      <c r="D74" s="1"/>
      <c r="E74" s="8"/>
      <c r="F74" s="8"/>
      <c r="G74" s="1"/>
      <c r="H74" s="8"/>
      <c r="I74" s="119"/>
      <c r="J74" s="4"/>
      <c r="K74" s="4">
        <f t="shared" si="45"/>
        <v>0</v>
      </c>
      <c r="L74" s="4">
        <f t="shared" si="46"/>
        <v>0</v>
      </c>
      <c r="M74" s="4"/>
      <c r="N74" s="4">
        <f t="shared" si="47"/>
        <v>0</v>
      </c>
      <c r="O74" s="4"/>
      <c r="P74" s="4"/>
      <c r="Q74" s="4">
        <f t="shared" si="48"/>
        <v>0</v>
      </c>
      <c r="R74" s="4">
        <f t="shared" si="49"/>
        <v>0</v>
      </c>
      <c r="S74" s="4"/>
      <c r="T74" s="4">
        <f t="shared" si="50"/>
        <v>0</v>
      </c>
      <c r="U74" s="4"/>
      <c r="V74" s="4"/>
      <c r="W74" s="4"/>
      <c r="X74" s="4"/>
      <c r="Y74" s="4"/>
      <c r="Z74" s="4"/>
      <c r="AA74" s="4">
        <f t="shared" si="51"/>
        <v>0</v>
      </c>
      <c r="AB74" s="4">
        <f t="shared" si="52"/>
        <v>0</v>
      </c>
      <c r="AC74" s="4"/>
      <c r="AD74" s="4">
        <f t="shared" si="53"/>
        <v>0</v>
      </c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3">
        <f t="shared" si="43"/>
        <v>0</v>
      </c>
      <c r="BY74" s="22">
        <f t="shared" si="44"/>
        <v>0</v>
      </c>
      <c r="CC74" s="417" t="str">
        <f t="shared" si="54"/>
        <v/>
      </c>
    </row>
    <row r="75" spans="1:81">
      <c r="A75" s="1"/>
      <c r="B75" s="8"/>
      <c r="C75" s="8"/>
      <c r="D75" s="1"/>
      <c r="E75" s="8"/>
      <c r="F75" s="8"/>
      <c r="G75" s="1"/>
      <c r="H75" s="8"/>
      <c r="I75" s="119"/>
      <c r="J75" s="4"/>
      <c r="K75" s="4">
        <f t="shared" si="45"/>
        <v>0</v>
      </c>
      <c r="L75" s="4">
        <f t="shared" si="46"/>
        <v>0</v>
      </c>
      <c r="M75" s="4"/>
      <c r="N75" s="4">
        <f t="shared" si="47"/>
        <v>0</v>
      </c>
      <c r="O75" s="4"/>
      <c r="P75" s="4"/>
      <c r="Q75" s="4">
        <f t="shared" si="48"/>
        <v>0</v>
      </c>
      <c r="R75" s="4">
        <f t="shared" si="49"/>
        <v>0</v>
      </c>
      <c r="S75" s="4"/>
      <c r="T75" s="4">
        <f t="shared" si="50"/>
        <v>0</v>
      </c>
      <c r="U75" s="4"/>
      <c r="V75" s="4"/>
      <c r="W75" s="4"/>
      <c r="X75" s="4"/>
      <c r="Y75" s="4"/>
      <c r="Z75" s="4"/>
      <c r="AA75" s="4">
        <f t="shared" si="51"/>
        <v>0</v>
      </c>
      <c r="AB75" s="4">
        <f t="shared" si="52"/>
        <v>0</v>
      </c>
      <c r="AC75" s="4"/>
      <c r="AD75" s="4">
        <f t="shared" si="53"/>
        <v>0</v>
      </c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3">
        <f t="shared" si="43"/>
        <v>0</v>
      </c>
      <c r="BY75" s="22">
        <f t="shared" si="44"/>
        <v>0</v>
      </c>
      <c r="CC75" s="417" t="str">
        <f t="shared" si="54"/>
        <v/>
      </c>
    </row>
    <row r="76" spans="1:81">
      <c r="A76" s="1"/>
      <c r="B76" s="8"/>
      <c r="C76" s="8"/>
      <c r="D76" s="1"/>
      <c r="E76" s="8"/>
      <c r="F76" s="8"/>
      <c r="G76" s="1"/>
      <c r="H76" s="8"/>
      <c r="I76" s="119"/>
      <c r="J76" s="4"/>
      <c r="K76" s="4">
        <f t="shared" si="45"/>
        <v>0</v>
      </c>
      <c r="L76" s="4">
        <f t="shared" si="46"/>
        <v>0</v>
      </c>
      <c r="M76" s="4"/>
      <c r="N76" s="4">
        <f t="shared" si="47"/>
        <v>0</v>
      </c>
      <c r="O76" s="4"/>
      <c r="P76" s="4"/>
      <c r="Q76" s="4">
        <f t="shared" si="48"/>
        <v>0</v>
      </c>
      <c r="R76" s="4">
        <f t="shared" si="49"/>
        <v>0</v>
      </c>
      <c r="S76" s="4"/>
      <c r="T76" s="4">
        <f t="shared" si="50"/>
        <v>0</v>
      </c>
      <c r="U76" s="4"/>
      <c r="V76" s="4"/>
      <c r="W76" s="4"/>
      <c r="X76" s="4"/>
      <c r="Y76" s="4"/>
      <c r="Z76" s="4"/>
      <c r="AA76" s="4">
        <f t="shared" si="51"/>
        <v>0</v>
      </c>
      <c r="AB76" s="4">
        <f t="shared" si="52"/>
        <v>0</v>
      </c>
      <c r="AC76" s="4"/>
      <c r="AD76" s="4">
        <f t="shared" si="53"/>
        <v>0</v>
      </c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3">
        <f t="shared" si="43"/>
        <v>0</v>
      </c>
      <c r="BY76" s="22">
        <f t="shared" si="44"/>
        <v>0</v>
      </c>
      <c r="CC76" s="417" t="str">
        <f t="shared" si="54"/>
        <v/>
      </c>
    </row>
    <row r="77" spans="1:81">
      <c r="A77" s="1"/>
      <c r="B77" s="8"/>
      <c r="C77" s="8"/>
      <c r="D77" s="1"/>
      <c r="E77" s="8"/>
      <c r="F77" s="8"/>
      <c r="G77" s="1"/>
      <c r="H77" s="8"/>
      <c r="I77" s="119"/>
      <c r="J77" s="4"/>
      <c r="K77" s="4">
        <f t="shared" si="45"/>
        <v>0</v>
      </c>
      <c r="L77" s="4">
        <f t="shared" si="46"/>
        <v>0</v>
      </c>
      <c r="M77" s="4"/>
      <c r="N77" s="4">
        <f t="shared" si="47"/>
        <v>0</v>
      </c>
      <c r="O77" s="4"/>
      <c r="P77" s="4"/>
      <c r="Q77" s="4">
        <f t="shared" si="48"/>
        <v>0</v>
      </c>
      <c r="R77" s="4">
        <f t="shared" si="49"/>
        <v>0</v>
      </c>
      <c r="S77" s="4"/>
      <c r="T77" s="4">
        <f t="shared" si="50"/>
        <v>0</v>
      </c>
      <c r="U77" s="4"/>
      <c r="V77" s="4"/>
      <c r="W77" s="4"/>
      <c r="X77" s="4"/>
      <c r="Y77" s="4"/>
      <c r="Z77" s="4"/>
      <c r="AA77" s="4">
        <f t="shared" si="51"/>
        <v>0</v>
      </c>
      <c r="AB77" s="4">
        <f t="shared" si="52"/>
        <v>0</v>
      </c>
      <c r="AC77" s="4"/>
      <c r="AD77" s="4">
        <f t="shared" si="53"/>
        <v>0</v>
      </c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3">
        <f t="shared" si="43"/>
        <v>0</v>
      </c>
      <c r="BY77" s="22">
        <f t="shared" si="44"/>
        <v>0</v>
      </c>
      <c r="CC77" s="417" t="str">
        <f t="shared" si="54"/>
        <v/>
      </c>
    </row>
    <row r="78" spans="1:81">
      <c r="A78" s="1"/>
      <c r="B78" s="8"/>
      <c r="C78" s="8"/>
      <c r="D78" s="1"/>
      <c r="E78" s="8"/>
      <c r="F78" s="8"/>
      <c r="G78" s="1"/>
      <c r="H78" s="8"/>
      <c r="I78" s="119"/>
      <c r="J78" s="4"/>
      <c r="K78" s="4">
        <f t="shared" si="45"/>
        <v>0</v>
      </c>
      <c r="L78" s="4">
        <f t="shared" si="46"/>
        <v>0</v>
      </c>
      <c r="M78" s="4"/>
      <c r="N78" s="4">
        <f t="shared" si="47"/>
        <v>0</v>
      </c>
      <c r="O78" s="4"/>
      <c r="P78" s="4"/>
      <c r="Q78" s="4">
        <f t="shared" si="48"/>
        <v>0</v>
      </c>
      <c r="R78" s="4">
        <f t="shared" si="49"/>
        <v>0</v>
      </c>
      <c r="S78" s="4"/>
      <c r="T78" s="4">
        <f t="shared" si="50"/>
        <v>0</v>
      </c>
      <c r="U78" s="4"/>
      <c r="V78" s="4"/>
      <c r="W78" s="4"/>
      <c r="X78" s="4"/>
      <c r="Y78" s="4"/>
      <c r="Z78" s="4"/>
      <c r="AA78" s="4">
        <f t="shared" si="51"/>
        <v>0</v>
      </c>
      <c r="AB78" s="4">
        <f t="shared" si="52"/>
        <v>0</v>
      </c>
      <c r="AC78" s="4"/>
      <c r="AD78" s="4">
        <f t="shared" si="53"/>
        <v>0</v>
      </c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3">
        <f t="shared" ref="BX78:BX141" si="55">SUM(D78:BW78)</f>
        <v>0</v>
      </c>
      <c r="BY78" s="22">
        <f t="shared" ref="BY78:BY141" si="56">D78+G78+H78+I78+J78+O78+P78+U78+V78+W78+X78+Y78+Z78+AE78+AF78+AG78+AH78+AI78+AM78+AN78+AR78+AS78+AT78+AU78+AV78+AW78</f>
        <v>0</v>
      </c>
      <c r="CC78" s="417" t="str">
        <f t="shared" si="54"/>
        <v/>
      </c>
    </row>
    <row r="79" spans="1:81">
      <c r="A79" s="1"/>
      <c r="B79" s="8"/>
      <c r="C79" s="8"/>
      <c r="D79" s="1"/>
      <c r="E79" s="8"/>
      <c r="F79" s="8"/>
      <c r="G79" s="1"/>
      <c r="H79" s="8"/>
      <c r="I79" s="119"/>
      <c r="J79" s="4"/>
      <c r="K79" s="4">
        <f t="shared" si="45"/>
        <v>0</v>
      </c>
      <c r="L79" s="4">
        <f t="shared" si="46"/>
        <v>0</v>
      </c>
      <c r="M79" s="4"/>
      <c r="N79" s="4">
        <f t="shared" si="47"/>
        <v>0</v>
      </c>
      <c r="O79" s="4"/>
      <c r="P79" s="4"/>
      <c r="Q79" s="4">
        <f t="shared" si="48"/>
        <v>0</v>
      </c>
      <c r="R79" s="4">
        <f t="shared" si="49"/>
        <v>0</v>
      </c>
      <c r="S79" s="4"/>
      <c r="T79" s="4">
        <f t="shared" si="50"/>
        <v>0</v>
      </c>
      <c r="U79" s="4"/>
      <c r="V79" s="4"/>
      <c r="W79" s="4"/>
      <c r="X79" s="4"/>
      <c r="Y79" s="4"/>
      <c r="Z79" s="4"/>
      <c r="AA79" s="4">
        <f t="shared" si="51"/>
        <v>0</v>
      </c>
      <c r="AB79" s="4">
        <f t="shared" si="52"/>
        <v>0</v>
      </c>
      <c r="AC79" s="4"/>
      <c r="AD79" s="4">
        <f t="shared" si="53"/>
        <v>0</v>
      </c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3">
        <f t="shared" si="55"/>
        <v>0</v>
      </c>
      <c r="BY79" s="22">
        <f t="shared" si="56"/>
        <v>0</v>
      </c>
      <c r="CC79" s="417" t="str">
        <f t="shared" si="54"/>
        <v/>
      </c>
    </row>
    <row r="80" spans="1:81">
      <c r="A80" s="1"/>
      <c r="B80" s="8"/>
      <c r="C80" s="8"/>
      <c r="D80" s="1"/>
      <c r="E80" s="8"/>
      <c r="F80" s="8"/>
      <c r="G80" s="1"/>
      <c r="H80" s="8"/>
      <c r="I80" s="119"/>
      <c r="J80" s="4"/>
      <c r="K80" s="4">
        <f t="shared" si="45"/>
        <v>0</v>
      </c>
      <c r="L80" s="4">
        <f t="shared" si="46"/>
        <v>0</v>
      </c>
      <c r="M80" s="4"/>
      <c r="N80" s="4">
        <f t="shared" si="47"/>
        <v>0</v>
      </c>
      <c r="O80" s="4"/>
      <c r="P80" s="4"/>
      <c r="Q80" s="4">
        <f t="shared" si="48"/>
        <v>0</v>
      </c>
      <c r="R80" s="4">
        <f t="shared" si="49"/>
        <v>0</v>
      </c>
      <c r="S80" s="4"/>
      <c r="T80" s="4">
        <f t="shared" si="50"/>
        <v>0</v>
      </c>
      <c r="U80" s="4"/>
      <c r="V80" s="4"/>
      <c r="W80" s="4"/>
      <c r="X80" s="4"/>
      <c r="Y80" s="4"/>
      <c r="Z80" s="4"/>
      <c r="AA80" s="4">
        <f t="shared" si="51"/>
        <v>0</v>
      </c>
      <c r="AB80" s="4">
        <f t="shared" si="52"/>
        <v>0</v>
      </c>
      <c r="AC80" s="4"/>
      <c r="AD80" s="4">
        <f t="shared" si="53"/>
        <v>0</v>
      </c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3">
        <f t="shared" si="55"/>
        <v>0</v>
      </c>
      <c r="BY80" s="22">
        <f t="shared" si="56"/>
        <v>0</v>
      </c>
      <c r="CC80" s="417" t="str">
        <f t="shared" si="54"/>
        <v/>
      </c>
    </row>
    <row r="81" spans="1:81">
      <c r="A81" s="1"/>
      <c r="B81" s="8"/>
      <c r="C81" s="8"/>
      <c r="D81" s="1"/>
      <c r="E81" s="8"/>
      <c r="F81" s="8"/>
      <c r="G81" s="1"/>
      <c r="H81" s="8"/>
      <c r="I81" s="119"/>
      <c r="J81" s="4"/>
      <c r="K81" s="4">
        <f t="shared" si="45"/>
        <v>0</v>
      </c>
      <c r="L81" s="4">
        <f t="shared" si="46"/>
        <v>0</v>
      </c>
      <c r="M81" s="4"/>
      <c r="N81" s="4">
        <f t="shared" si="47"/>
        <v>0</v>
      </c>
      <c r="O81" s="4"/>
      <c r="P81" s="4"/>
      <c r="Q81" s="4">
        <f t="shared" si="48"/>
        <v>0</v>
      </c>
      <c r="R81" s="4">
        <f t="shared" si="49"/>
        <v>0</v>
      </c>
      <c r="S81" s="4"/>
      <c r="T81" s="4">
        <f t="shared" si="50"/>
        <v>0</v>
      </c>
      <c r="U81" s="4"/>
      <c r="V81" s="4"/>
      <c r="W81" s="4"/>
      <c r="X81" s="4"/>
      <c r="Y81" s="4"/>
      <c r="Z81" s="4"/>
      <c r="AA81" s="4">
        <f t="shared" si="51"/>
        <v>0</v>
      </c>
      <c r="AB81" s="4">
        <f t="shared" si="52"/>
        <v>0</v>
      </c>
      <c r="AC81" s="4"/>
      <c r="AD81" s="4">
        <f t="shared" si="53"/>
        <v>0</v>
      </c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3">
        <f t="shared" si="55"/>
        <v>0</v>
      </c>
      <c r="BY81" s="22">
        <f t="shared" si="56"/>
        <v>0</v>
      </c>
      <c r="CC81" s="417" t="str">
        <f t="shared" si="54"/>
        <v/>
      </c>
    </row>
    <row r="82" spans="1:81">
      <c r="A82" s="1"/>
      <c r="B82" s="8"/>
      <c r="C82" s="8"/>
      <c r="D82" s="1"/>
      <c r="E82" s="8"/>
      <c r="F82" s="8"/>
      <c r="G82" s="1"/>
      <c r="H82" s="8"/>
      <c r="I82" s="119"/>
      <c r="J82" s="4"/>
      <c r="K82" s="4">
        <f t="shared" si="45"/>
        <v>0</v>
      </c>
      <c r="L82" s="4">
        <f t="shared" si="46"/>
        <v>0</v>
      </c>
      <c r="M82" s="4"/>
      <c r="N82" s="4">
        <f t="shared" si="47"/>
        <v>0</v>
      </c>
      <c r="O82" s="4"/>
      <c r="P82" s="4"/>
      <c r="Q82" s="4">
        <f t="shared" si="48"/>
        <v>0</v>
      </c>
      <c r="R82" s="4">
        <f t="shared" si="49"/>
        <v>0</v>
      </c>
      <c r="S82" s="4"/>
      <c r="T82" s="4">
        <f t="shared" si="50"/>
        <v>0</v>
      </c>
      <c r="U82" s="4"/>
      <c r="V82" s="4"/>
      <c r="W82" s="4"/>
      <c r="X82" s="4"/>
      <c r="Y82" s="4"/>
      <c r="Z82" s="4"/>
      <c r="AA82" s="4">
        <f t="shared" si="51"/>
        <v>0</v>
      </c>
      <c r="AB82" s="4">
        <f t="shared" si="52"/>
        <v>0</v>
      </c>
      <c r="AC82" s="4"/>
      <c r="AD82" s="4">
        <f t="shared" si="53"/>
        <v>0</v>
      </c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3">
        <f t="shared" si="55"/>
        <v>0</v>
      </c>
      <c r="BY82" s="22">
        <f t="shared" si="56"/>
        <v>0</v>
      </c>
      <c r="CC82" s="417" t="str">
        <f t="shared" si="54"/>
        <v/>
      </c>
    </row>
    <row r="83" spans="1:81">
      <c r="A83" s="1"/>
      <c r="B83" s="8"/>
      <c r="C83" s="8"/>
      <c r="D83" s="1"/>
      <c r="E83" s="8"/>
      <c r="F83" s="8"/>
      <c r="G83" s="1"/>
      <c r="H83" s="8"/>
      <c r="I83" s="119"/>
      <c r="J83" s="4"/>
      <c r="K83" s="4">
        <f t="shared" si="45"/>
        <v>0</v>
      </c>
      <c r="L83" s="4">
        <f t="shared" si="46"/>
        <v>0</v>
      </c>
      <c r="M83" s="4"/>
      <c r="N83" s="4">
        <f t="shared" si="47"/>
        <v>0</v>
      </c>
      <c r="O83" s="4"/>
      <c r="P83" s="4"/>
      <c r="Q83" s="4">
        <f t="shared" si="48"/>
        <v>0</v>
      </c>
      <c r="R83" s="4">
        <f t="shared" si="49"/>
        <v>0</v>
      </c>
      <c r="S83" s="4"/>
      <c r="T83" s="4">
        <f t="shared" si="50"/>
        <v>0</v>
      </c>
      <c r="U83" s="4"/>
      <c r="V83" s="4"/>
      <c r="W83" s="4"/>
      <c r="X83" s="4"/>
      <c r="Y83" s="4"/>
      <c r="Z83" s="4"/>
      <c r="AA83" s="4">
        <f t="shared" si="51"/>
        <v>0</v>
      </c>
      <c r="AB83" s="4">
        <f t="shared" si="52"/>
        <v>0</v>
      </c>
      <c r="AC83" s="4"/>
      <c r="AD83" s="4">
        <f t="shared" si="53"/>
        <v>0</v>
      </c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3">
        <f t="shared" si="55"/>
        <v>0</v>
      </c>
      <c r="BY83" s="22">
        <f t="shared" si="56"/>
        <v>0</v>
      </c>
      <c r="CC83" s="417" t="str">
        <f t="shared" si="54"/>
        <v/>
      </c>
    </row>
    <row r="84" spans="1:81">
      <c r="A84" s="1"/>
      <c r="B84" s="8"/>
      <c r="C84" s="8"/>
      <c r="D84" s="1"/>
      <c r="E84" s="8"/>
      <c r="F84" s="8"/>
      <c r="G84" s="1"/>
      <c r="H84" s="8"/>
      <c r="I84" s="119"/>
      <c r="J84" s="4"/>
      <c r="K84" s="4">
        <f t="shared" si="45"/>
        <v>0</v>
      </c>
      <c r="L84" s="4">
        <f t="shared" si="46"/>
        <v>0</v>
      </c>
      <c r="M84" s="4"/>
      <c r="N84" s="4">
        <f t="shared" si="47"/>
        <v>0</v>
      </c>
      <c r="O84" s="4"/>
      <c r="P84" s="4"/>
      <c r="Q84" s="4">
        <f t="shared" si="48"/>
        <v>0</v>
      </c>
      <c r="R84" s="4">
        <f t="shared" si="49"/>
        <v>0</v>
      </c>
      <c r="S84" s="4"/>
      <c r="T84" s="4">
        <f t="shared" si="50"/>
        <v>0</v>
      </c>
      <c r="U84" s="4"/>
      <c r="V84" s="4"/>
      <c r="W84" s="4"/>
      <c r="X84" s="4"/>
      <c r="Y84" s="4"/>
      <c r="Z84" s="4"/>
      <c r="AA84" s="4">
        <f t="shared" si="51"/>
        <v>0</v>
      </c>
      <c r="AB84" s="4">
        <f t="shared" si="52"/>
        <v>0</v>
      </c>
      <c r="AC84" s="4"/>
      <c r="AD84" s="4">
        <f t="shared" si="53"/>
        <v>0</v>
      </c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3">
        <f t="shared" si="55"/>
        <v>0</v>
      </c>
      <c r="BY84" s="22">
        <f t="shared" si="56"/>
        <v>0</v>
      </c>
      <c r="CC84" s="417" t="str">
        <f t="shared" si="54"/>
        <v/>
      </c>
    </row>
    <row r="85" spans="1:81">
      <c r="A85" s="1"/>
      <c r="B85" s="8"/>
      <c r="C85" s="8"/>
      <c r="D85" s="1"/>
      <c r="E85" s="8"/>
      <c r="F85" s="8"/>
      <c r="G85" s="1"/>
      <c r="H85" s="8"/>
      <c r="I85" s="119"/>
      <c r="J85" s="4"/>
      <c r="K85" s="4">
        <f t="shared" si="45"/>
        <v>0</v>
      </c>
      <c r="L85" s="4">
        <f t="shared" si="46"/>
        <v>0</v>
      </c>
      <c r="M85" s="4"/>
      <c r="N85" s="4">
        <f t="shared" si="47"/>
        <v>0</v>
      </c>
      <c r="O85" s="4"/>
      <c r="P85" s="4"/>
      <c r="Q85" s="4">
        <f t="shared" si="48"/>
        <v>0</v>
      </c>
      <c r="R85" s="4">
        <f t="shared" si="49"/>
        <v>0</v>
      </c>
      <c r="S85" s="4"/>
      <c r="T85" s="4">
        <f t="shared" si="50"/>
        <v>0</v>
      </c>
      <c r="U85" s="4"/>
      <c r="V85" s="4"/>
      <c r="W85" s="4"/>
      <c r="X85" s="4"/>
      <c r="Y85" s="4"/>
      <c r="Z85" s="4"/>
      <c r="AA85" s="4">
        <f t="shared" si="51"/>
        <v>0</v>
      </c>
      <c r="AB85" s="4">
        <f t="shared" si="52"/>
        <v>0</v>
      </c>
      <c r="AC85" s="4"/>
      <c r="AD85" s="4">
        <f t="shared" si="53"/>
        <v>0</v>
      </c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3">
        <f t="shared" si="55"/>
        <v>0</v>
      </c>
      <c r="BY85" s="22">
        <f t="shared" si="56"/>
        <v>0</v>
      </c>
      <c r="CC85" s="417" t="str">
        <f t="shared" si="54"/>
        <v/>
      </c>
    </row>
    <row r="86" spans="1:81">
      <c r="A86" s="1"/>
      <c r="B86" s="8"/>
      <c r="C86" s="8"/>
      <c r="D86" s="1"/>
      <c r="E86" s="8"/>
      <c r="F86" s="8"/>
      <c r="G86" s="1"/>
      <c r="H86" s="8"/>
      <c r="I86" s="119"/>
      <c r="J86" s="4"/>
      <c r="K86" s="4">
        <f t="shared" si="45"/>
        <v>0</v>
      </c>
      <c r="L86" s="4">
        <f t="shared" si="46"/>
        <v>0</v>
      </c>
      <c r="M86" s="4"/>
      <c r="N86" s="4">
        <f t="shared" si="47"/>
        <v>0</v>
      </c>
      <c r="O86" s="4"/>
      <c r="P86" s="4"/>
      <c r="Q86" s="4">
        <f t="shared" si="48"/>
        <v>0</v>
      </c>
      <c r="R86" s="4">
        <f t="shared" si="49"/>
        <v>0</v>
      </c>
      <c r="S86" s="4"/>
      <c r="T86" s="4">
        <f t="shared" si="50"/>
        <v>0</v>
      </c>
      <c r="U86" s="4"/>
      <c r="V86" s="4"/>
      <c r="W86" s="4"/>
      <c r="X86" s="4"/>
      <c r="Y86" s="4"/>
      <c r="Z86" s="4"/>
      <c r="AA86" s="4">
        <f t="shared" si="51"/>
        <v>0</v>
      </c>
      <c r="AB86" s="4">
        <f t="shared" si="52"/>
        <v>0</v>
      </c>
      <c r="AC86" s="4"/>
      <c r="AD86" s="4">
        <f t="shared" si="53"/>
        <v>0</v>
      </c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3">
        <f t="shared" si="55"/>
        <v>0</v>
      </c>
      <c r="BY86" s="22">
        <f t="shared" si="56"/>
        <v>0</v>
      </c>
      <c r="CC86" s="417" t="str">
        <f t="shared" si="54"/>
        <v/>
      </c>
    </row>
    <row r="87" spans="1:81">
      <c r="A87" s="1"/>
      <c r="B87" s="8"/>
      <c r="C87" s="8"/>
      <c r="D87" s="1"/>
      <c r="E87" s="8"/>
      <c r="F87" s="8"/>
      <c r="G87" s="1"/>
      <c r="H87" s="8"/>
      <c r="I87" s="119"/>
      <c r="J87" s="4"/>
      <c r="K87" s="4">
        <f t="shared" si="45"/>
        <v>0</v>
      </c>
      <c r="L87" s="4">
        <f t="shared" si="46"/>
        <v>0</v>
      </c>
      <c r="M87" s="4"/>
      <c r="N87" s="4">
        <f t="shared" si="47"/>
        <v>0</v>
      </c>
      <c r="O87" s="4"/>
      <c r="P87" s="4"/>
      <c r="Q87" s="4">
        <f t="shared" si="48"/>
        <v>0</v>
      </c>
      <c r="R87" s="4">
        <f t="shared" si="49"/>
        <v>0</v>
      </c>
      <c r="S87" s="4"/>
      <c r="T87" s="4">
        <f t="shared" si="50"/>
        <v>0</v>
      </c>
      <c r="U87" s="4"/>
      <c r="V87" s="4"/>
      <c r="W87" s="4"/>
      <c r="X87" s="4"/>
      <c r="Y87" s="4"/>
      <c r="Z87" s="4"/>
      <c r="AA87" s="4">
        <f t="shared" si="51"/>
        <v>0</v>
      </c>
      <c r="AB87" s="4">
        <f t="shared" si="52"/>
        <v>0</v>
      </c>
      <c r="AC87" s="4"/>
      <c r="AD87" s="4">
        <f t="shared" si="53"/>
        <v>0</v>
      </c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3">
        <f t="shared" si="55"/>
        <v>0</v>
      </c>
      <c r="BY87" s="22">
        <f t="shared" si="56"/>
        <v>0</v>
      </c>
      <c r="CC87" s="417" t="str">
        <f t="shared" si="54"/>
        <v/>
      </c>
    </row>
    <row r="88" spans="1:81">
      <c r="A88" s="1"/>
      <c r="B88" s="8"/>
      <c r="C88" s="8"/>
      <c r="D88" s="1"/>
      <c r="E88" s="8"/>
      <c r="F88" s="8"/>
      <c r="G88" s="1"/>
      <c r="H88" s="8"/>
      <c r="I88" s="119"/>
      <c r="J88" s="4"/>
      <c r="K88" s="4">
        <f t="shared" si="45"/>
        <v>0</v>
      </c>
      <c r="L88" s="4">
        <f t="shared" si="46"/>
        <v>0</v>
      </c>
      <c r="M88" s="4"/>
      <c r="N88" s="4">
        <f t="shared" si="47"/>
        <v>0</v>
      </c>
      <c r="O88" s="4"/>
      <c r="P88" s="4"/>
      <c r="Q88" s="4">
        <f t="shared" si="48"/>
        <v>0</v>
      </c>
      <c r="R88" s="4">
        <f t="shared" si="49"/>
        <v>0</v>
      </c>
      <c r="S88" s="4"/>
      <c r="T88" s="4">
        <f t="shared" si="50"/>
        <v>0</v>
      </c>
      <c r="U88" s="4"/>
      <c r="V88" s="4"/>
      <c r="W88" s="4"/>
      <c r="X88" s="4"/>
      <c r="Y88" s="4"/>
      <c r="Z88" s="4"/>
      <c r="AA88" s="4">
        <f t="shared" si="51"/>
        <v>0</v>
      </c>
      <c r="AB88" s="4">
        <f t="shared" si="52"/>
        <v>0</v>
      </c>
      <c r="AC88" s="4"/>
      <c r="AD88" s="4">
        <f t="shared" si="53"/>
        <v>0</v>
      </c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3">
        <f t="shared" si="55"/>
        <v>0</v>
      </c>
      <c r="BY88" s="22">
        <f t="shared" si="56"/>
        <v>0</v>
      </c>
      <c r="CC88" s="417" t="str">
        <f t="shared" si="54"/>
        <v/>
      </c>
    </row>
    <row r="89" spans="1:81">
      <c r="A89" s="1"/>
      <c r="B89" s="8"/>
      <c r="C89" s="8"/>
      <c r="D89" s="1"/>
      <c r="E89" s="8"/>
      <c r="F89" s="8"/>
      <c r="G89" s="1"/>
      <c r="H89" s="8"/>
      <c r="I89" s="119"/>
      <c r="J89" s="4"/>
      <c r="K89" s="4">
        <f t="shared" si="45"/>
        <v>0</v>
      </c>
      <c r="L89" s="4">
        <f t="shared" si="46"/>
        <v>0</v>
      </c>
      <c r="M89" s="4"/>
      <c r="N89" s="4">
        <f t="shared" si="47"/>
        <v>0</v>
      </c>
      <c r="O89" s="4"/>
      <c r="P89" s="4"/>
      <c r="Q89" s="4">
        <f t="shared" si="48"/>
        <v>0</v>
      </c>
      <c r="R89" s="4">
        <f t="shared" si="49"/>
        <v>0</v>
      </c>
      <c r="S89" s="4"/>
      <c r="T89" s="4">
        <f t="shared" si="50"/>
        <v>0</v>
      </c>
      <c r="U89" s="4"/>
      <c r="V89" s="4"/>
      <c r="W89" s="4"/>
      <c r="X89" s="4"/>
      <c r="Y89" s="4"/>
      <c r="Z89" s="4"/>
      <c r="AA89" s="4">
        <f t="shared" si="51"/>
        <v>0</v>
      </c>
      <c r="AB89" s="4">
        <f t="shared" si="52"/>
        <v>0</v>
      </c>
      <c r="AC89" s="4"/>
      <c r="AD89" s="4">
        <f t="shared" si="53"/>
        <v>0</v>
      </c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3">
        <f t="shared" si="55"/>
        <v>0</v>
      </c>
      <c r="BY89" s="22">
        <f t="shared" si="56"/>
        <v>0</v>
      </c>
      <c r="CC89" s="417" t="str">
        <f t="shared" si="54"/>
        <v/>
      </c>
    </row>
    <row r="90" spans="1:81">
      <c r="A90" s="1"/>
      <c r="B90" s="8"/>
      <c r="C90" s="8"/>
      <c r="D90" s="1"/>
      <c r="E90" s="8"/>
      <c r="F90" s="8"/>
      <c r="G90" s="1"/>
      <c r="H90" s="8"/>
      <c r="I90" s="119"/>
      <c r="J90" s="4"/>
      <c r="K90" s="4">
        <f t="shared" si="45"/>
        <v>0</v>
      </c>
      <c r="L90" s="4">
        <f t="shared" si="46"/>
        <v>0</v>
      </c>
      <c r="M90" s="4"/>
      <c r="N90" s="4">
        <f t="shared" si="47"/>
        <v>0</v>
      </c>
      <c r="O90" s="4"/>
      <c r="P90" s="4"/>
      <c r="Q90" s="4">
        <f t="shared" si="48"/>
        <v>0</v>
      </c>
      <c r="R90" s="4">
        <f t="shared" si="49"/>
        <v>0</v>
      </c>
      <c r="S90" s="4"/>
      <c r="T90" s="4">
        <f t="shared" si="50"/>
        <v>0</v>
      </c>
      <c r="U90" s="4"/>
      <c r="V90" s="4"/>
      <c r="W90" s="4"/>
      <c r="X90" s="4"/>
      <c r="Y90" s="4"/>
      <c r="Z90" s="4"/>
      <c r="AA90" s="4">
        <f t="shared" si="51"/>
        <v>0</v>
      </c>
      <c r="AB90" s="4">
        <f t="shared" si="52"/>
        <v>0</v>
      </c>
      <c r="AC90" s="4"/>
      <c r="AD90" s="4">
        <f t="shared" si="53"/>
        <v>0</v>
      </c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3">
        <f t="shared" si="55"/>
        <v>0</v>
      </c>
      <c r="BY90" s="22">
        <f t="shared" si="56"/>
        <v>0</v>
      </c>
      <c r="CC90" s="417" t="str">
        <f t="shared" si="54"/>
        <v/>
      </c>
    </row>
    <row r="91" spans="1:81">
      <c r="A91" s="1"/>
      <c r="B91" s="8"/>
      <c r="C91" s="8"/>
      <c r="D91" s="1"/>
      <c r="E91" s="8"/>
      <c r="F91" s="8"/>
      <c r="G91" s="1"/>
      <c r="H91" s="8"/>
      <c r="I91" s="119"/>
      <c r="J91" s="4"/>
      <c r="K91" s="4">
        <f t="shared" si="45"/>
        <v>0</v>
      </c>
      <c r="L91" s="4">
        <f t="shared" si="46"/>
        <v>0</v>
      </c>
      <c r="M91" s="4"/>
      <c r="N91" s="4">
        <f t="shared" si="47"/>
        <v>0</v>
      </c>
      <c r="O91" s="4"/>
      <c r="P91" s="4"/>
      <c r="Q91" s="4">
        <f t="shared" si="48"/>
        <v>0</v>
      </c>
      <c r="R91" s="4">
        <f t="shared" si="49"/>
        <v>0</v>
      </c>
      <c r="S91" s="4"/>
      <c r="T91" s="4">
        <f t="shared" si="50"/>
        <v>0</v>
      </c>
      <c r="U91" s="4"/>
      <c r="V91" s="4"/>
      <c r="W91" s="4"/>
      <c r="X91" s="4"/>
      <c r="Y91" s="4"/>
      <c r="Z91" s="4"/>
      <c r="AA91" s="4">
        <f t="shared" si="51"/>
        <v>0</v>
      </c>
      <c r="AB91" s="4">
        <f t="shared" si="52"/>
        <v>0</v>
      </c>
      <c r="AC91" s="4"/>
      <c r="AD91" s="4">
        <f t="shared" si="53"/>
        <v>0</v>
      </c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3">
        <f t="shared" si="55"/>
        <v>0</v>
      </c>
      <c r="BY91" s="22">
        <f t="shared" si="56"/>
        <v>0</v>
      </c>
      <c r="CC91" s="417" t="str">
        <f t="shared" si="54"/>
        <v/>
      </c>
    </row>
    <row r="92" spans="1:81">
      <c r="A92" s="1"/>
      <c r="B92" s="8"/>
      <c r="C92" s="8"/>
      <c r="D92" s="1"/>
      <c r="E92" s="8"/>
      <c r="F92" s="8"/>
      <c r="G92" s="1"/>
      <c r="H92" s="8"/>
      <c r="I92" s="119"/>
      <c r="J92" s="4"/>
      <c r="K92" s="4">
        <f t="shared" si="45"/>
        <v>0</v>
      </c>
      <c r="L92" s="4">
        <f t="shared" si="46"/>
        <v>0</v>
      </c>
      <c r="M92" s="4"/>
      <c r="N92" s="4">
        <f t="shared" si="47"/>
        <v>0</v>
      </c>
      <c r="O92" s="4"/>
      <c r="P92" s="4"/>
      <c r="Q92" s="4">
        <f t="shared" si="48"/>
        <v>0</v>
      </c>
      <c r="R92" s="4">
        <f t="shared" si="49"/>
        <v>0</v>
      </c>
      <c r="S92" s="4"/>
      <c r="T92" s="4">
        <f t="shared" si="50"/>
        <v>0</v>
      </c>
      <c r="U92" s="4"/>
      <c r="V92" s="4"/>
      <c r="W92" s="4"/>
      <c r="X92" s="4"/>
      <c r="Y92" s="4"/>
      <c r="Z92" s="4"/>
      <c r="AA92" s="4">
        <f t="shared" si="51"/>
        <v>0</v>
      </c>
      <c r="AB92" s="4">
        <f t="shared" si="52"/>
        <v>0</v>
      </c>
      <c r="AC92" s="4"/>
      <c r="AD92" s="4">
        <f t="shared" si="53"/>
        <v>0</v>
      </c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3">
        <f t="shared" si="55"/>
        <v>0</v>
      </c>
      <c r="BY92" s="22">
        <f t="shared" si="56"/>
        <v>0</v>
      </c>
      <c r="CC92" s="417" t="str">
        <f t="shared" si="54"/>
        <v/>
      </c>
    </row>
    <row r="93" spans="1:81">
      <c r="A93" s="1"/>
      <c r="B93" s="8"/>
      <c r="C93" s="8"/>
      <c r="D93" s="1"/>
      <c r="E93" s="8"/>
      <c r="F93" s="8"/>
      <c r="G93" s="1"/>
      <c r="H93" s="8"/>
      <c r="I93" s="119"/>
      <c r="J93" s="4"/>
      <c r="K93" s="4">
        <f t="shared" si="45"/>
        <v>0</v>
      </c>
      <c r="L93" s="4">
        <f t="shared" si="46"/>
        <v>0</v>
      </c>
      <c r="M93" s="4"/>
      <c r="N93" s="4">
        <f t="shared" si="47"/>
        <v>0</v>
      </c>
      <c r="O93" s="4"/>
      <c r="P93" s="4"/>
      <c r="Q93" s="4">
        <f t="shared" si="48"/>
        <v>0</v>
      </c>
      <c r="R93" s="4">
        <f t="shared" si="49"/>
        <v>0</v>
      </c>
      <c r="S93" s="4"/>
      <c r="T93" s="4">
        <f t="shared" si="50"/>
        <v>0</v>
      </c>
      <c r="U93" s="4"/>
      <c r="V93" s="4"/>
      <c r="W93" s="4"/>
      <c r="X93" s="4"/>
      <c r="Y93" s="4"/>
      <c r="Z93" s="4"/>
      <c r="AA93" s="4">
        <f t="shared" si="51"/>
        <v>0</v>
      </c>
      <c r="AB93" s="4">
        <f t="shared" si="52"/>
        <v>0</v>
      </c>
      <c r="AC93" s="4"/>
      <c r="AD93" s="4">
        <f t="shared" si="53"/>
        <v>0</v>
      </c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3">
        <f t="shared" si="55"/>
        <v>0</v>
      </c>
      <c r="BY93" s="22">
        <f t="shared" si="56"/>
        <v>0</v>
      </c>
      <c r="CC93" s="417" t="str">
        <f t="shared" si="54"/>
        <v/>
      </c>
    </row>
    <row r="94" spans="1:81">
      <c r="A94" s="1"/>
      <c r="B94" s="8"/>
      <c r="C94" s="8"/>
      <c r="D94" s="1"/>
      <c r="E94" s="8"/>
      <c r="F94" s="8"/>
      <c r="G94" s="1"/>
      <c r="H94" s="8"/>
      <c r="I94" s="119"/>
      <c r="J94" s="4"/>
      <c r="K94" s="4">
        <f t="shared" si="45"/>
        <v>0</v>
      </c>
      <c r="L94" s="4">
        <f t="shared" si="46"/>
        <v>0</v>
      </c>
      <c r="M94" s="4"/>
      <c r="N94" s="4">
        <f t="shared" si="47"/>
        <v>0</v>
      </c>
      <c r="O94" s="4"/>
      <c r="P94" s="4"/>
      <c r="Q94" s="4">
        <f t="shared" si="48"/>
        <v>0</v>
      </c>
      <c r="R94" s="4">
        <f t="shared" si="49"/>
        <v>0</v>
      </c>
      <c r="S94" s="4"/>
      <c r="T94" s="4">
        <f t="shared" si="50"/>
        <v>0</v>
      </c>
      <c r="U94" s="4"/>
      <c r="V94" s="4"/>
      <c r="W94" s="4"/>
      <c r="X94" s="4"/>
      <c r="Y94" s="4"/>
      <c r="Z94" s="4"/>
      <c r="AA94" s="4">
        <f t="shared" si="51"/>
        <v>0</v>
      </c>
      <c r="AB94" s="4">
        <f t="shared" si="52"/>
        <v>0</v>
      </c>
      <c r="AC94" s="4"/>
      <c r="AD94" s="4">
        <f t="shared" si="53"/>
        <v>0</v>
      </c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3">
        <f t="shared" si="55"/>
        <v>0</v>
      </c>
      <c r="BY94" s="22">
        <f t="shared" si="56"/>
        <v>0</v>
      </c>
      <c r="CC94" s="417" t="str">
        <f t="shared" si="54"/>
        <v/>
      </c>
    </row>
    <row r="95" spans="1:81">
      <c r="A95" s="1"/>
      <c r="B95" s="8"/>
      <c r="C95" s="8"/>
      <c r="D95" s="1"/>
      <c r="E95" s="8"/>
      <c r="F95" s="8"/>
      <c r="G95" s="1"/>
      <c r="H95" s="8"/>
      <c r="I95" s="119"/>
      <c r="J95" s="4"/>
      <c r="K95" s="4">
        <f t="shared" si="45"/>
        <v>0</v>
      </c>
      <c r="L95" s="4">
        <f t="shared" si="46"/>
        <v>0</v>
      </c>
      <c r="M95" s="4"/>
      <c r="N95" s="4">
        <f t="shared" si="47"/>
        <v>0</v>
      </c>
      <c r="O95" s="4"/>
      <c r="P95" s="4"/>
      <c r="Q95" s="4">
        <f t="shared" si="48"/>
        <v>0</v>
      </c>
      <c r="R95" s="4">
        <f t="shared" si="49"/>
        <v>0</v>
      </c>
      <c r="S95" s="4"/>
      <c r="T95" s="4">
        <f t="shared" si="50"/>
        <v>0</v>
      </c>
      <c r="U95" s="4"/>
      <c r="V95" s="4"/>
      <c r="W95" s="4"/>
      <c r="X95" s="4"/>
      <c r="Y95" s="4"/>
      <c r="Z95" s="4"/>
      <c r="AA95" s="4">
        <f t="shared" si="51"/>
        <v>0</v>
      </c>
      <c r="AB95" s="4">
        <f t="shared" si="52"/>
        <v>0</v>
      </c>
      <c r="AC95" s="4"/>
      <c r="AD95" s="4">
        <f t="shared" si="53"/>
        <v>0</v>
      </c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3">
        <f t="shared" si="55"/>
        <v>0</v>
      </c>
      <c r="BY95" s="22">
        <f t="shared" si="56"/>
        <v>0</v>
      </c>
      <c r="CC95" s="417" t="str">
        <f t="shared" si="54"/>
        <v/>
      </c>
    </row>
    <row r="96" spans="1:81">
      <c r="A96" s="1"/>
      <c r="B96" s="8"/>
      <c r="C96" s="8"/>
      <c r="D96" s="1"/>
      <c r="E96" s="8"/>
      <c r="F96" s="8"/>
      <c r="G96" s="1"/>
      <c r="H96" s="8"/>
      <c r="I96" s="119"/>
      <c r="J96" s="4"/>
      <c r="K96" s="4">
        <f t="shared" si="45"/>
        <v>0</v>
      </c>
      <c r="L96" s="4">
        <f t="shared" si="46"/>
        <v>0</v>
      </c>
      <c r="M96" s="4"/>
      <c r="N96" s="4">
        <f t="shared" si="47"/>
        <v>0</v>
      </c>
      <c r="O96" s="4"/>
      <c r="P96" s="4"/>
      <c r="Q96" s="4">
        <f t="shared" si="48"/>
        <v>0</v>
      </c>
      <c r="R96" s="4">
        <f t="shared" si="49"/>
        <v>0</v>
      </c>
      <c r="S96" s="4"/>
      <c r="T96" s="4">
        <f t="shared" si="50"/>
        <v>0</v>
      </c>
      <c r="U96" s="4"/>
      <c r="V96" s="4"/>
      <c r="W96" s="4"/>
      <c r="X96" s="4"/>
      <c r="Y96" s="4"/>
      <c r="Z96" s="4"/>
      <c r="AA96" s="4">
        <f t="shared" si="51"/>
        <v>0</v>
      </c>
      <c r="AB96" s="4">
        <f t="shared" si="52"/>
        <v>0</v>
      </c>
      <c r="AC96" s="4"/>
      <c r="AD96" s="4">
        <f t="shared" si="53"/>
        <v>0</v>
      </c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3">
        <f t="shared" si="55"/>
        <v>0</v>
      </c>
      <c r="BY96" s="22">
        <f t="shared" si="56"/>
        <v>0</v>
      </c>
      <c r="CC96" s="417" t="str">
        <f t="shared" si="54"/>
        <v/>
      </c>
    </row>
    <row r="97" spans="1:81">
      <c r="A97" s="1"/>
      <c r="B97" s="8"/>
      <c r="C97" s="8"/>
      <c r="D97" s="1"/>
      <c r="E97" s="8"/>
      <c r="F97" s="8"/>
      <c r="G97" s="1"/>
      <c r="H97" s="8"/>
      <c r="I97" s="119"/>
      <c r="J97" s="4"/>
      <c r="K97" s="4">
        <f t="shared" si="45"/>
        <v>0</v>
      </c>
      <c r="L97" s="4">
        <f t="shared" si="46"/>
        <v>0</v>
      </c>
      <c r="M97" s="4"/>
      <c r="N97" s="4">
        <f t="shared" si="47"/>
        <v>0</v>
      </c>
      <c r="O97" s="4"/>
      <c r="P97" s="4"/>
      <c r="Q97" s="4">
        <f t="shared" si="48"/>
        <v>0</v>
      </c>
      <c r="R97" s="4">
        <f t="shared" si="49"/>
        <v>0</v>
      </c>
      <c r="S97" s="4"/>
      <c r="T97" s="4">
        <f t="shared" si="50"/>
        <v>0</v>
      </c>
      <c r="U97" s="4"/>
      <c r="V97" s="4"/>
      <c r="W97" s="4"/>
      <c r="X97" s="4"/>
      <c r="Y97" s="4"/>
      <c r="Z97" s="4"/>
      <c r="AA97" s="4">
        <f t="shared" si="51"/>
        <v>0</v>
      </c>
      <c r="AB97" s="4">
        <f t="shared" si="52"/>
        <v>0</v>
      </c>
      <c r="AC97" s="4"/>
      <c r="AD97" s="4">
        <f t="shared" si="53"/>
        <v>0</v>
      </c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3">
        <f t="shared" si="55"/>
        <v>0</v>
      </c>
      <c r="BY97" s="22">
        <f t="shared" si="56"/>
        <v>0</v>
      </c>
      <c r="CC97" s="417" t="str">
        <f t="shared" si="54"/>
        <v/>
      </c>
    </row>
    <row r="98" spans="1:81">
      <c r="A98" s="1"/>
      <c r="B98" s="8"/>
      <c r="C98" s="8"/>
      <c r="D98" s="1"/>
      <c r="E98" s="8"/>
      <c r="F98" s="8"/>
      <c r="G98" s="1"/>
      <c r="H98" s="8"/>
      <c r="I98" s="119"/>
      <c r="J98" s="4"/>
      <c r="K98" s="4">
        <f t="shared" si="45"/>
        <v>0</v>
      </c>
      <c r="L98" s="4">
        <f t="shared" si="46"/>
        <v>0</v>
      </c>
      <c r="M98" s="4"/>
      <c r="N98" s="4">
        <f t="shared" si="47"/>
        <v>0</v>
      </c>
      <c r="O98" s="4"/>
      <c r="P98" s="4"/>
      <c r="Q98" s="4">
        <f t="shared" si="48"/>
        <v>0</v>
      </c>
      <c r="R98" s="4">
        <f t="shared" si="49"/>
        <v>0</v>
      </c>
      <c r="S98" s="4"/>
      <c r="T98" s="4">
        <f t="shared" si="50"/>
        <v>0</v>
      </c>
      <c r="U98" s="4"/>
      <c r="V98" s="4"/>
      <c r="W98" s="4"/>
      <c r="X98" s="4"/>
      <c r="Y98" s="4"/>
      <c r="Z98" s="4"/>
      <c r="AA98" s="4">
        <f t="shared" si="51"/>
        <v>0</v>
      </c>
      <c r="AB98" s="4">
        <f t="shared" si="52"/>
        <v>0</v>
      </c>
      <c r="AC98" s="4"/>
      <c r="AD98" s="4">
        <f t="shared" si="53"/>
        <v>0</v>
      </c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3">
        <f t="shared" si="55"/>
        <v>0</v>
      </c>
      <c r="BY98" s="22">
        <f t="shared" si="56"/>
        <v>0</v>
      </c>
      <c r="CC98" s="417" t="str">
        <f t="shared" si="54"/>
        <v/>
      </c>
    </row>
    <row r="99" spans="1:81">
      <c r="A99" s="1"/>
      <c r="B99" s="8"/>
      <c r="C99" s="8"/>
      <c r="D99" s="1"/>
      <c r="E99" s="8"/>
      <c r="F99" s="8"/>
      <c r="G99" s="1"/>
      <c r="H99" s="8"/>
      <c r="I99" s="119"/>
      <c r="J99" s="4"/>
      <c r="K99" s="4">
        <f t="shared" si="45"/>
        <v>0</v>
      </c>
      <c r="L99" s="4">
        <f t="shared" si="46"/>
        <v>0</v>
      </c>
      <c r="M99" s="4"/>
      <c r="N99" s="4">
        <f t="shared" si="47"/>
        <v>0</v>
      </c>
      <c r="O99" s="4"/>
      <c r="P99" s="4"/>
      <c r="Q99" s="4">
        <f t="shared" si="48"/>
        <v>0</v>
      </c>
      <c r="R99" s="4">
        <f t="shared" si="49"/>
        <v>0</v>
      </c>
      <c r="S99" s="4"/>
      <c r="T99" s="4">
        <f t="shared" si="50"/>
        <v>0</v>
      </c>
      <c r="U99" s="4"/>
      <c r="V99" s="4"/>
      <c r="W99" s="4"/>
      <c r="X99" s="4"/>
      <c r="Y99" s="4"/>
      <c r="Z99" s="4"/>
      <c r="AA99" s="4">
        <f t="shared" si="51"/>
        <v>0</v>
      </c>
      <c r="AB99" s="4">
        <f t="shared" si="52"/>
        <v>0</v>
      </c>
      <c r="AC99" s="4"/>
      <c r="AD99" s="4">
        <f t="shared" si="53"/>
        <v>0</v>
      </c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3">
        <f t="shared" si="55"/>
        <v>0</v>
      </c>
      <c r="BY99" s="22">
        <f t="shared" si="56"/>
        <v>0</v>
      </c>
      <c r="CC99" s="417" t="str">
        <f t="shared" si="54"/>
        <v/>
      </c>
    </row>
    <row r="100" spans="1:81">
      <c r="A100" s="1"/>
      <c r="B100" s="8"/>
      <c r="C100" s="8"/>
      <c r="D100" s="1"/>
      <c r="E100" s="8"/>
      <c r="F100" s="8"/>
      <c r="G100" s="1"/>
      <c r="H100" s="8"/>
      <c r="I100" s="119"/>
      <c r="J100" s="4"/>
      <c r="K100" s="4">
        <f t="shared" si="45"/>
        <v>0</v>
      </c>
      <c r="L100" s="4">
        <f t="shared" si="46"/>
        <v>0</v>
      </c>
      <c r="M100" s="4"/>
      <c r="N100" s="4">
        <f t="shared" si="47"/>
        <v>0</v>
      </c>
      <c r="O100" s="4"/>
      <c r="P100" s="4"/>
      <c r="Q100" s="4">
        <f t="shared" si="48"/>
        <v>0</v>
      </c>
      <c r="R100" s="4">
        <f t="shared" si="49"/>
        <v>0</v>
      </c>
      <c r="S100" s="4"/>
      <c r="T100" s="4">
        <f t="shared" si="50"/>
        <v>0</v>
      </c>
      <c r="U100" s="4"/>
      <c r="V100" s="4"/>
      <c r="W100" s="4"/>
      <c r="X100" s="4"/>
      <c r="Y100" s="4"/>
      <c r="Z100" s="4"/>
      <c r="AA100" s="4">
        <f t="shared" si="51"/>
        <v>0</v>
      </c>
      <c r="AB100" s="4">
        <f t="shared" si="52"/>
        <v>0</v>
      </c>
      <c r="AC100" s="4"/>
      <c r="AD100" s="4">
        <f t="shared" si="53"/>
        <v>0</v>
      </c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3">
        <f t="shared" si="55"/>
        <v>0</v>
      </c>
      <c r="BY100" s="22">
        <f t="shared" si="56"/>
        <v>0</v>
      </c>
      <c r="CC100" s="417" t="str">
        <f t="shared" si="54"/>
        <v/>
      </c>
    </row>
    <row r="101" spans="1:81">
      <c r="A101" s="1"/>
      <c r="B101" s="8"/>
      <c r="C101" s="8"/>
      <c r="D101" s="1"/>
      <c r="E101" s="8"/>
      <c r="F101" s="8"/>
      <c r="G101" s="1"/>
      <c r="H101" s="8"/>
      <c r="I101" s="119"/>
      <c r="J101" s="4"/>
      <c r="K101" s="4">
        <f t="shared" si="45"/>
        <v>0</v>
      </c>
      <c r="L101" s="4">
        <f t="shared" si="46"/>
        <v>0</v>
      </c>
      <c r="M101" s="4"/>
      <c r="N101" s="4">
        <f t="shared" si="47"/>
        <v>0</v>
      </c>
      <c r="O101" s="4"/>
      <c r="P101" s="4"/>
      <c r="Q101" s="4">
        <f t="shared" si="48"/>
        <v>0</v>
      </c>
      <c r="R101" s="4">
        <f t="shared" si="49"/>
        <v>0</v>
      </c>
      <c r="S101" s="4"/>
      <c r="T101" s="4">
        <f t="shared" si="50"/>
        <v>0</v>
      </c>
      <c r="U101" s="4"/>
      <c r="V101" s="4"/>
      <c r="W101" s="4"/>
      <c r="X101" s="4"/>
      <c r="Y101" s="4"/>
      <c r="Z101" s="4"/>
      <c r="AA101" s="4">
        <f t="shared" si="51"/>
        <v>0</v>
      </c>
      <c r="AB101" s="4">
        <f t="shared" si="52"/>
        <v>0</v>
      </c>
      <c r="AC101" s="4"/>
      <c r="AD101" s="4">
        <f t="shared" si="53"/>
        <v>0</v>
      </c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3">
        <f t="shared" si="55"/>
        <v>0</v>
      </c>
      <c r="BY101" s="22">
        <f t="shared" si="56"/>
        <v>0</v>
      </c>
      <c r="CC101" s="417" t="str">
        <f t="shared" si="54"/>
        <v/>
      </c>
    </row>
    <row r="102" spans="1:81">
      <c r="A102" s="1"/>
      <c r="B102" s="8"/>
      <c r="C102" s="8"/>
      <c r="D102" s="1"/>
      <c r="E102" s="8"/>
      <c r="F102" s="8"/>
      <c r="G102" s="1"/>
      <c r="H102" s="8"/>
      <c r="I102" s="119"/>
      <c r="J102" s="4"/>
      <c r="K102" s="4">
        <f t="shared" si="45"/>
        <v>0</v>
      </c>
      <c r="L102" s="4">
        <f t="shared" si="46"/>
        <v>0</v>
      </c>
      <c r="M102" s="4"/>
      <c r="N102" s="4">
        <f t="shared" si="47"/>
        <v>0</v>
      </c>
      <c r="O102" s="4"/>
      <c r="P102" s="4"/>
      <c r="Q102" s="4">
        <f t="shared" si="48"/>
        <v>0</v>
      </c>
      <c r="R102" s="4">
        <f t="shared" si="49"/>
        <v>0</v>
      </c>
      <c r="S102" s="4"/>
      <c r="T102" s="4">
        <f t="shared" si="50"/>
        <v>0</v>
      </c>
      <c r="U102" s="4"/>
      <c r="V102" s="4"/>
      <c r="W102" s="4"/>
      <c r="X102" s="4"/>
      <c r="Y102" s="4"/>
      <c r="Z102" s="4"/>
      <c r="AA102" s="4">
        <f t="shared" si="51"/>
        <v>0</v>
      </c>
      <c r="AB102" s="4">
        <f t="shared" si="52"/>
        <v>0</v>
      </c>
      <c r="AC102" s="4"/>
      <c r="AD102" s="4">
        <f t="shared" si="53"/>
        <v>0</v>
      </c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3">
        <f t="shared" si="55"/>
        <v>0</v>
      </c>
      <c r="BY102" s="22">
        <f t="shared" si="56"/>
        <v>0</v>
      </c>
      <c r="CC102" s="417" t="str">
        <f t="shared" si="54"/>
        <v/>
      </c>
    </row>
    <row r="103" spans="1:81">
      <c r="A103" s="1"/>
      <c r="B103" s="8"/>
      <c r="C103" s="8"/>
      <c r="D103" s="1"/>
      <c r="E103" s="8"/>
      <c r="F103" s="8"/>
      <c r="G103" s="1"/>
      <c r="H103" s="8"/>
      <c r="I103" s="119"/>
      <c r="J103" s="4"/>
      <c r="K103" s="4">
        <f t="shared" si="45"/>
        <v>0</v>
      </c>
      <c r="L103" s="4">
        <f t="shared" si="46"/>
        <v>0</v>
      </c>
      <c r="M103" s="4"/>
      <c r="N103" s="4">
        <f t="shared" si="47"/>
        <v>0</v>
      </c>
      <c r="O103" s="4"/>
      <c r="P103" s="4"/>
      <c r="Q103" s="4">
        <f t="shared" si="48"/>
        <v>0</v>
      </c>
      <c r="R103" s="4">
        <f t="shared" si="49"/>
        <v>0</v>
      </c>
      <c r="S103" s="4"/>
      <c r="T103" s="4">
        <f t="shared" si="50"/>
        <v>0</v>
      </c>
      <c r="U103" s="4"/>
      <c r="V103" s="4"/>
      <c r="W103" s="4"/>
      <c r="X103" s="4"/>
      <c r="Y103" s="4"/>
      <c r="Z103" s="4"/>
      <c r="AA103" s="4">
        <f t="shared" si="51"/>
        <v>0</v>
      </c>
      <c r="AB103" s="4">
        <f t="shared" si="52"/>
        <v>0</v>
      </c>
      <c r="AC103" s="4"/>
      <c r="AD103" s="4">
        <f t="shared" si="53"/>
        <v>0</v>
      </c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3">
        <f t="shared" si="55"/>
        <v>0</v>
      </c>
      <c r="BY103" s="22">
        <f t="shared" si="56"/>
        <v>0</v>
      </c>
      <c r="CC103" s="417" t="str">
        <f t="shared" si="54"/>
        <v/>
      </c>
    </row>
    <row r="104" spans="1:81">
      <c r="A104" s="1"/>
      <c r="B104" s="8"/>
      <c r="C104" s="8"/>
      <c r="D104" s="1"/>
      <c r="E104" s="8"/>
      <c r="F104" s="8"/>
      <c r="G104" s="1"/>
      <c r="H104" s="8"/>
      <c r="I104" s="119"/>
      <c r="J104" s="4"/>
      <c r="K104" s="4">
        <f t="shared" si="45"/>
        <v>0</v>
      </c>
      <c r="L104" s="4">
        <f t="shared" si="46"/>
        <v>0</v>
      </c>
      <c r="M104" s="4"/>
      <c r="N104" s="4">
        <f t="shared" si="47"/>
        <v>0</v>
      </c>
      <c r="O104" s="4"/>
      <c r="P104" s="4"/>
      <c r="Q104" s="4">
        <f t="shared" si="48"/>
        <v>0</v>
      </c>
      <c r="R104" s="4">
        <f t="shared" si="49"/>
        <v>0</v>
      </c>
      <c r="S104" s="4"/>
      <c r="T104" s="4">
        <f t="shared" si="50"/>
        <v>0</v>
      </c>
      <c r="U104" s="4"/>
      <c r="V104" s="4"/>
      <c r="W104" s="4"/>
      <c r="X104" s="4"/>
      <c r="Y104" s="4"/>
      <c r="Z104" s="4"/>
      <c r="AA104" s="4">
        <f t="shared" si="51"/>
        <v>0</v>
      </c>
      <c r="AB104" s="4">
        <f t="shared" si="52"/>
        <v>0</v>
      </c>
      <c r="AC104" s="4"/>
      <c r="AD104" s="4">
        <f t="shared" si="53"/>
        <v>0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3">
        <f t="shared" si="55"/>
        <v>0</v>
      </c>
      <c r="BY104" s="22">
        <f t="shared" si="56"/>
        <v>0</v>
      </c>
      <c r="CC104" s="417" t="str">
        <f t="shared" si="54"/>
        <v/>
      </c>
    </row>
    <row r="105" spans="1:81">
      <c r="A105" s="1"/>
      <c r="B105" s="8"/>
      <c r="C105" s="8"/>
      <c r="D105" s="1"/>
      <c r="E105" s="8"/>
      <c r="F105" s="8"/>
      <c r="G105" s="1"/>
      <c r="H105" s="8"/>
      <c r="I105" s="119"/>
      <c r="J105" s="4"/>
      <c r="K105" s="4">
        <f t="shared" si="45"/>
        <v>0</v>
      </c>
      <c r="L105" s="4">
        <f t="shared" si="46"/>
        <v>0</v>
      </c>
      <c r="M105" s="4"/>
      <c r="N105" s="4">
        <f t="shared" si="47"/>
        <v>0</v>
      </c>
      <c r="O105" s="4"/>
      <c r="P105" s="4"/>
      <c r="Q105" s="4">
        <f t="shared" si="48"/>
        <v>0</v>
      </c>
      <c r="R105" s="4">
        <f t="shared" si="49"/>
        <v>0</v>
      </c>
      <c r="S105" s="4"/>
      <c r="T105" s="4">
        <f t="shared" si="50"/>
        <v>0</v>
      </c>
      <c r="U105" s="4"/>
      <c r="V105" s="4"/>
      <c r="W105" s="4"/>
      <c r="X105" s="4"/>
      <c r="Y105" s="4"/>
      <c r="Z105" s="4"/>
      <c r="AA105" s="4">
        <f t="shared" si="51"/>
        <v>0</v>
      </c>
      <c r="AB105" s="4">
        <f t="shared" si="52"/>
        <v>0</v>
      </c>
      <c r="AC105" s="4"/>
      <c r="AD105" s="4">
        <f t="shared" si="53"/>
        <v>0</v>
      </c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3">
        <f t="shared" si="55"/>
        <v>0</v>
      </c>
      <c r="BY105" s="22">
        <f t="shared" si="56"/>
        <v>0</v>
      </c>
      <c r="CC105" s="417" t="str">
        <f t="shared" si="54"/>
        <v/>
      </c>
    </row>
    <row r="106" spans="1:81">
      <c r="A106" s="1"/>
      <c r="B106" s="8"/>
      <c r="C106" s="8"/>
      <c r="D106" s="1"/>
      <c r="E106" s="8"/>
      <c r="F106" s="8"/>
      <c r="G106" s="1"/>
      <c r="H106" s="8"/>
      <c r="I106" s="119"/>
      <c r="J106" s="4"/>
      <c r="K106" s="4">
        <f t="shared" si="45"/>
        <v>0</v>
      </c>
      <c r="L106" s="4">
        <f t="shared" si="46"/>
        <v>0</v>
      </c>
      <c r="M106" s="4"/>
      <c r="N106" s="4">
        <f t="shared" si="47"/>
        <v>0</v>
      </c>
      <c r="O106" s="4"/>
      <c r="P106" s="4"/>
      <c r="Q106" s="4">
        <f t="shared" si="48"/>
        <v>0</v>
      </c>
      <c r="R106" s="4">
        <f t="shared" si="49"/>
        <v>0</v>
      </c>
      <c r="S106" s="4"/>
      <c r="T106" s="4">
        <f t="shared" si="50"/>
        <v>0</v>
      </c>
      <c r="U106" s="4"/>
      <c r="V106" s="4"/>
      <c r="W106" s="4"/>
      <c r="X106" s="4"/>
      <c r="Y106" s="4"/>
      <c r="Z106" s="4"/>
      <c r="AA106" s="4">
        <f t="shared" si="51"/>
        <v>0</v>
      </c>
      <c r="AB106" s="4">
        <f t="shared" si="52"/>
        <v>0</v>
      </c>
      <c r="AC106" s="4"/>
      <c r="AD106" s="4">
        <f t="shared" si="53"/>
        <v>0</v>
      </c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3">
        <f t="shared" si="55"/>
        <v>0</v>
      </c>
      <c r="BY106" s="22">
        <f t="shared" si="56"/>
        <v>0</v>
      </c>
      <c r="CC106" s="417" t="str">
        <f t="shared" si="54"/>
        <v/>
      </c>
    </row>
    <row r="107" spans="1:81">
      <c r="A107" s="1"/>
      <c r="B107" s="8"/>
      <c r="C107" s="8"/>
      <c r="D107" s="1"/>
      <c r="E107" s="8"/>
      <c r="F107" s="8"/>
      <c r="G107" s="1"/>
      <c r="H107" s="8"/>
      <c r="I107" s="119"/>
      <c r="J107" s="4"/>
      <c r="K107" s="4">
        <f t="shared" si="45"/>
        <v>0</v>
      </c>
      <c r="L107" s="4">
        <f t="shared" si="46"/>
        <v>0</v>
      </c>
      <c r="M107" s="4"/>
      <c r="N107" s="4">
        <f t="shared" si="47"/>
        <v>0</v>
      </c>
      <c r="O107" s="4"/>
      <c r="P107" s="4"/>
      <c r="Q107" s="4">
        <f t="shared" si="48"/>
        <v>0</v>
      </c>
      <c r="R107" s="4">
        <f t="shared" si="49"/>
        <v>0</v>
      </c>
      <c r="S107" s="4"/>
      <c r="T107" s="4">
        <f t="shared" si="50"/>
        <v>0</v>
      </c>
      <c r="U107" s="4"/>
      <c r="V107" s="4"/>
      <c r="W107" s="4"/>
      <c r="X107" s="4"/>
      <c r="Y107" s="4"/>
      <c r="Z107" s="4"/>
      <c r="AA107" s="4">
        <f t="shared" si="51"/>
        <v>0</v>
      </c>
      <c r="AB107" s="4">
        <f t="shared" si="52"/>
        <v>0</v>
      </c>
      <c r="AC107" s="4"/>
      <c r="AD107" s="4">
        <f t="shared" si="53"/>
        <v>0</v>
      </c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3">
        <f t="shared" si="55"/>
        <v>0</v>
      </c>
      <c r="BY107" s="22">
        <f t="shared" si="56"/>
        <v>0</v>
      </c>
      <c r="CC107" s="417" t="str">
        <f t="shared" si="54"/>
        <v/>
      </c>
    </row>
    <row r="108" spans="1:81">
      <c r="A108" s="1"/>
      <c r="B108" s="8"/>
      <c r="C108" s="8"/>
      <c r="D108" s="1"/>
      <c r="E108" s="8"/>
      <c r="F108" s="8"/>
      <c r="G108" s="1"/>
      <c r="H108" s="8"/>
      <c r="I108" s="119"/>
      <c r="J108" s="4"/>
      <c r="K108" s="4">
        <f t="shared" si="45"/>
        <v>0</v>
      </c>
      <c r="L108" s="4">
        <f t="shared" si="46"/>
        <v>0</v>
      </c>
      <c r="M108" s="4"/>
      <c r="N108" s="4">
        <f t="shared" si="47"/>
        <v>0</v>
      </c>
      <c r="O108" s="4"/>
      <c r="P108" s="4"/>
      <c r="Q108" s="4">
        <f t="shared" si="48"/>
        <v>0</v>
      </c>
      <c r="R108" s="4">
        <f t="shared" si="49"/>
        <v>0</v>
      </c>
      <c r="S108" s="4"/>
      <c r="T108" s="4">
        <f t="shared" si="50"/>
        <v>0</v>
      </c>
      <c r="U108" s="4"/>
      <c r="V108" s="4"/>
      <c r="W108" s="4"/>
      <c r="X108" s="4"/>
      <c r="Y108" s="4"/>
      <c r="Z108" s="4"/>
      <c r="AA108" s="4">
        <f t="shared" si="51"/>
        <v>0</v>
      </c>
      <c r="AB108" s="4">
        <f t="shared" si="52"/>
        <v>0</v>
      </c>
      <c r="AC108" s="4"/>
      <c r="AD108" s="4">
        <f t="shared" si="53"/>
        <v>0</v>
      </c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3">
        <f t="shared" si="55"/>
        <v>0</v>
      </c>
      <c r="BY108" s="22">
        <f t="shared" si="56"/>
        <v>0</v>
      </c>
      <c r="CC108" s="417" t="str">
        <f t="shared" si="54"/>
        <v/>
      </c>
    </row>
    <row r="109" spans="1:81">
      <c r="A109" s="1"/>
      <c r="B109" s="8"/>
      <c r="C109" s="8"/>
      <c r="D109" s="1"/>
      <c r="E109" s="8"/>
      <c r="F109" s="8"/>
      <c r="G109" s="1"/>
      <c r="H109" s="8"/>
      <c r="I109" s="119"/>
      <c r="J109" s="4"/>
      <c r="K109" s="4">
        <f t="shared" si="45"/>
        <v>0</v>
      </c>
      <c r="L109" s="4">
        <f t="shared" si="46"/>
        <v>0</v>
      </c>
      <c r="M109" s="4"/>
      <c r="N109" s="4">
        <f t="shared" si="47"/>
        <v>0</v>
      </c>
      <c r="O109" s="4"/>
      <c r="P109" s="4"/>
      <c r="Q109" s="4">
        <f t="shared" si="48"/>
        <v>0</v>
      </c>
      <c r="R109" s="4">
        <f t="shared" si="49"/>
        <v>0</v>
      </c>
      <c r="S109" s="4"/>
      <c r="T109" s="4">
        <f t="shared" si="50"/>
        <v>0</v>
      </c>
      <c r="U109" s="4"/>
      <c r="V109" s="4"/>
      <c r="W109" s="4"/>
      <c r="X109" s="4"/>
      <c r="Y109" s="4"/>
      <c r="Z109" s="4"/>
      <c r="AA109" s="4">
        <f t="shared" si="51"/>
        <v>0</v>
      </c>
      <c r="AB109" s="4">
        <f t="shared" si="52"/>
        <v>0</v>
      </c>
      <c r="AC109" s="4"/>
      <c r="AD109" s="4">
        <f t="shared" si="53"/>
        <v>0</v>
      </c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3">
        <f t="shared" si="55"/>
        <v>0</v>
      </c>
      <c r="BY109" s="22">
        <f t="shared" si="56"/>
        <v>0</v>
      </c>
      <c r="CC109" s="417" t="str">
        <f t="shared" si="54"/>
        <v/>
      </c>
    </row>
    <row r="110" spans="1:81">
      <c r="A110" s="1"/>
      <c r="B110" s="8"/>
      <c r="C110" s="8"/>
      <c r="D110" s="1"/>
      <c r="E110" s="8"/>
      <c r="F110" s="8"/>
      <c r="G110" s="1"/>
      <c r="H110" s="8"/>
      <c r="I110" s="119"/>
      <c r="J110" s="4"/>
      <c r="K110" s="4">
        <f t="shared" si="45"/>
        <v>0</v>
      </c>
      <c r="L110" s="4">
        <f t="shared" si="46"/>
        <v>0</v>
      </c>
      <c r="M110" s="4"/>
      <c r="N110" s="4">
        <f t="shared" si="47"/>
        <v>0</v>
      </c>
      <c r="O110" s="4"/>
      <c r="P110" s="4"/>
      <c r="Q110" s="4">
        <f t="shared" si="48"/>
        <v>0</v>
      </c>
      <c r="R110" s="4">
        <f t="shared" si="49"/>
        <v>0</v>
      </c>
      <c r="S110" s="4"/>
      <c r="T110" s="4">
        <f t="shared" si="50"/>
        <v>0</v>
      </c>
      <c r="U110" s="4"/>
      <c r="V110" s="4"/>
      <c r="W110" s="4"/>
      <c r="X110" s="4"/>
      <c r="Y110" s="4"/>
      <c r="Z110" s="4"/>
      <c r="AA110" s="4">
        <f t="shared" si="51"/>
        <v>0</v>
      </c>
      <c r="AB110" s="4">
        <f t="shared" si="52"/>
        <v>0</v>
      </c>
      <c r="AC110" s="4"/>
      <c r="AD110" s="4">
        <f t="shared" si="53"/>
        <v>0</v>
      </c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3">
        <f t="shared" si="55"/>
        <v>0</v>
      </c>
      <c r="BY110" s="22">
        <f t="shared" si="56"/>
        <v>0</v>
      </c>
      <c r="CC110" s="417" t="str">
        <f t="shared" si="54"/>
        <v/>
      </c>
    </row>
    <row r="111" spans="1:81">
      <c r="A111" s="1"/>
      <c r="B111" s="8"/>
      <c r="C111" s="8"/>
      <c r="D111" s="1"/>
      <c r="E111" s="8"/>
      <c r="F111" s="8"/>
      <c r="G111" s="1"/>
      <c r="H111" s="8"/>
      <c r="I111" s="119"/>
      <c r="J111" s="4"/>
      <c r="K111" s="4">
        <f t="shared" si="45"/>
        <v>0</v>
      </c>
      <c r="L111" s="4">
        <f t="shared" si="46"/>
        <v>0</v>
      </c>
      <c r="M111" s="4"/>
      <c r="N111" s="4">
        <f t="shared" si="47"/>
        <v>0</v>
      </c>
      <c r="O111" s="4"/>
      <c r="P111" s="4"/>
      <c r="Q111" s="4">
        <f t="shared" si="48"/>
        <v>0</v>
      </c>
      <c r="R111" s="4">
        <f t="shared" si="49"/>
        <v>0</v>
      </c>
      <c r="S111" s="4"/>
      <c r="T111" s="4">
        <f t="shared" si="50"/>
        <v>0</v>
      </c>
      <c r="U111" s="4"/>
      <c r="V111" s="4"/>
      <c r="W111" s="4"/>
      <c r="X111" s="4"/>
      <c r="Y111" s="4"/>
      <c r="Z111" s="4"/>
      <c r="AA111" s="4">
        <f t="shared" si="51"/>
        <v>0</v>
      </c>
      <c r="AB111" s="4">
        <f t="shared" si="52"/>
        <v>0</v>
      </c>
      <c r="AC111" s="4"/>
      <c r="AD111" s="4">
        <f t="shared" si="53"/>
        <v>0</v>
      </c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3">
        <f t="shared" si="55"/>
        <v>0</v>
      </c>
      <c r="BY111" s="22">
        <f t="shared" si="56"/>
        <v>0</v>
      </c>
      <c r="CC111" s="417" t="str">
        <f t="shared" si="54"/>
        <v/>
      </c>
    </row>
    <row r="112" spans="1:81">
      <c r="A112" s="1"/>
      <c r="B112" s="8"/>
      <c r="C112" s="8"/>
      <c r="D112" s="1"/>
      <c r="E112" s="8"/>
      <c r="F112" s="8"/>
      <c r="G112" s="1"/>
      <c r="H112" s="8"/>
      <c r="I112" s="119"/>
      <c r="J112" s="4"/>
      <c r="K112" s="4">
        <f t="shared" si="45"/>
        <v>0</v>
      </c>
      <c r="L112" s="4">
        <f t="shared" si="46"/>
        <v>0</v>
      </c>
      <c r="M112" s="4"/>
      <c r="N112" s="4">
        <f t="shared" si="47"/>
        <v>0</v>
      </c>
      <c r="O112" s="4"/>
      <c r="P112" s="4"/>
      <c r="Q112" s="4">
        <f t="shared" si="48"/>
        <v>0</v>
      </c>
      <c r="R112" s="4">
        <f t="shared" si="49"/>
        <v>0</v>
      </c>
      <c r="S112" s="4"/>
      <c r="T112" s="4">
        <f t="shared" si="50"/>
        <v>0</v>
      </c>
      <c r="U112" s="4"/>
      <c r="V112" s="4"/>
      <c r="W112" s="4"/>
      <c r="X112" s="4"/>
      <c r="Y112" s="4"/>
      <c r="Z112" s="4"/>
      <c r="AA112" s="4">
        <f t="shared" si="51"/>
        <v>0</v>
      </c>
      <c r="AB112" s="4">
        <f t="shared" si="52"/>
        <v>0</v>
      </c>
      <c r="AC112" s="4"/>
      <c r="AD112" s="4">
        <f t="shared" si="53"/>
        <v>0</v>
      </c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3">
        <f t="shared" si="55"/>
        <v>0</v>
      </c>
      <c r="BY112" s="22">
        <f t="shared" si="56"/>
        <v>0</v>
      </c>
      <c r="CC112" s="417" t="str">
        <f t="shared" si="54"/>
        <v/>
      </c>
    </row>
    <row r="113" spans="1:81">
      <c r="A113" s="1"/>
      <c r="B113" s="8"/>
      <c r="C113" s="8"/>
      <c r="D113" s="1"/>
      <c r="E113" s="8"/>
      <c r="F113" s="8"/>
      <c r="G113" s="1"/>
      <c r="H113" s="8"/>
      <c r="I113" s="119"/>
      <c r="J113" s="4"/>
      <c r="K113" s="4">
        <f t="shared" si="45"/>
        <v>0</v>
      </c>
      <c r="L113" s="4">
        <f t="shared" si="46"/>
        <v>0</v>
      </c>
      <c r="M113" s="4"/>
      <c r="N113" s="4">
        <f t="shared" si="47"/>
        <v>0</v>
      </c>
      <c r="O113" s="4"/>
      <c r="P113" s="4"/>
      <c r="Q113" s="4">
        <f t="shared" si="48"/>
        <v>0</v>
      </c>
      <c r="R113" s="4">
        <f t="shared" si="49"/>
        <v>0</v>
      </c>
      <c r="S113" s="4"/>
      <c r="T113" s="4">
        <f t="shared" si="50"/>
        <v>0</v>
      </c>
      <c r="U113" s="4"/>
      <c r="V113" s="4"/>
      <c r="W113" s="4"/>
      <c r="X113" s="4"/>
      <c r="Y113" s="4"/>
      <c r="Z113" s="4"/>
      <c r="AA113" s="4">
        <f t="shared" si="51"/>
        <v>0</v>
      </c>
      <c r="AB113" s="4">
        <f t="shared" si="52"/>
        <v>0</v>
      </c>
      <c r="AC113" s="4"/>
      <c r="AD113" s="4">
        <f t="shared" si="53"/>
        <v>0</v>
      </c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3">
        <f t="shared" si="55"/>
        <v>0</v>
      </c>
      <c r="BY113" s="22">
        <f t="shared" si="56"/>
        <v>0</v>
      </c>
      <c r="CC113" s="417" t="str">
        <f t="shared" si="54"/>
        <v/>
      </c>
    </row>
    <row r="114" spans="1:81">
      <c r="A114" s="1"/>
      <c r="B114" s="8"/>
      <c r="C114" s="8"/>
      <c r="D114" s="1"/>
      <c r="E114" s="8"/>
      <c r="F114" s="8"/>
      <c r="G114" s="1"/>
      <c r="H114" s="8"/>
      <c r="I114" s="119"/>
      <c r="J114" s="4"/>
      <c r="K114" s="4">
        <f t="shared" si="45"/>
        <v>0</v>
      </c>
      <c r="L114" s="4">
        <f t="shared" si="46"/>
        <v>0</v>
      </c>
      <c r="M114" s="4"/>
      <c r="N114" s="4">
        <f t="shared" si="47"/>
        <v>0</v>
      </c>
      <c r="O114" s="4"/>
      <c r="P114" s="4"/>
      <c r="Q114" s="4">
        <f t="shared" si="48"/>
        <v>0</v>
      </c>
      <c r="R114" s="4">
        <f t="shared" si="49"/>
        <v>0</v>
      </c>
      <c r="S114" s="4"/>
      <c r="T114" s="4">
        <f t="shared" si="50"/>
        <v>0</v>
      </c>
      <c r="U114" s="4"/>
      <c r="V114" s="4"/>
      <c r="W114" s="4"/>
      <c r="X114" s="4"/>
      <c r="Y114" s="4"/>
      <c r="Z114" s="4"/>
      <c r="AA114" s="4">
        <f t="shared" si="51"/>
        <v>0</v>
      </c>
      <c r="AB114" s="4">
        <f t="shared" si="52"/>
        <v>0</v>
      </c>
      <c r="AC114" s="4"/>
      <c r="AD114" s="4">
        <f t="shared" si="53"/>
        <v>0</v>
      </c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3">
        <f t="shared" si="55"/>
        <v>0</v>
      </c>
      <c r="BY114" s="22">
        <f t="shared" si="56"/>
        <v>0</v>
      </c>
      <c r="CC114" s="417" t="str">
        <f t="shared" si="54"/>
        <v/>
      </c>
    </row>
    <row r="115" spans="1:81">
      <c r="A115" s="1"/>
      <c r="B115" s="8"/>
      <c r="C115" s="8"/>
      <c r="D115" s="1"/>
      <c r="E115" s="8"/>
      <c r="F115" s="8"/>
      <c r="G115" s="1"/>
      <c r="H115" s="8"/>
      <c r="I115" s="119"/>
      <c r="J115" s="4"/>
      <c r="K115" s="4">
        <f t="shared" si="45"/>
        <v>0</v>
      </c>
      <c r="L115" s="4">
        <f t="shared" si="46"/>
        <v>0</v>
      </c>
      <c r="M115" s="4"/>
      <c r="N115" s="4">
        <f t="shared" si="47"/>
        <v>0</v>
      </c>
      <c r="O115" s="4"/>
      <c r="P115" s="4"/>
      <c r="Q115" s="4">
        <f t="shared" si="48"/>
        <v>0</v>
      </c>
      <c r="R115" s="4">
        <f t="shared" si="49"/>
        <v>0</v>
      </c>
      <c r="S115" s="4"/>
      <c r="T115" s="4">
        <f t="shared" si="50"/>
        <v>0</v>
      </c>
      <c r="U115" s="4"/>
      <c r="V115" s="4"/>
      <c r="W115" s="4"/>
      <c r="X115" s="4"/>
      <c r="Y115" s="4"/>
      <c r="Z115" s="4"/>
      <c r="AA115" s="4">
        <f t="shared" si="51"/>
        <v>0</v>
      </c>
      <c r="AB115" s="4">
        <f t="shared" si="52"/>
        <v>0</v>
      </c>
      <c r="AC115" s="4"/>
      <c r="AD115" s="4">
        <f t="shared" si="53"/>
        <v>0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3">
        <f t="shared" si="55"/>
        <v>0</v>
      </c>
      <c r="BY115" s="22">
        <f t="shared" si="56"/>
        <v>0</v>
      </c>
      <c r="CC115" s="417" t="str">
        <f t="shared" si="54"/>
        <v/>
      </c>
    </row>
    <row r="116" spans="1:81">
      <c r="A116" s="1"/>
      <c r="B116" s="8"/>
      <c r="C116" s="8"/>
      <c r="D116" s="1"/>
      <c r="E116" s="8"/>
      <c r="F116" s="8"/>
      <c r="G116" s="1"/>
      <c r="H116" s="8"/>
      <c r="I116" s="119"/>
      <c r="J116" s="4"/>
      <c r="K116" s="4">
        <f t="shared" si="45"/>
        <v>0</v>
      </c>
      <c r="L116" s="4">
        <f t="shared" si="46"/>
        <v>0</v>
      </c>
      <c r="M116" s="4"/>
      <c r="N116" s="4">
        <f t="shared" si="47"/>
        <v>0</v>
      </c>
      <c r="O116" s="4"/>
      <c r="P116" s="4"/>
      <c r="Q116" s="4">
        <f t="shared" si="48"/>
        <v>0</v>
      </c>
      <c r="R116" s="4">
        <f t="shared" si="49"/>
        <v>0</v>
      </c>
      <c r="S116" s="4"/>
      <c r="T116" s="4">
        <f t="shared" si="50"/>
        <v>0</v>
      </c>
      <c r="U116" s="4"/>
      <c r="V116" s="4"/>
      <c r="W116" s="4"/>
      <c r="X116" s="4"/>
      <c r="Y116" s="4"/>
      <c r="Z116" s="4"/>
      <c r="AA116" s="4">
        <f t="shared" si="51"/>
        <v>0</v>
      </c>
      <c r="AB116" s="4">
        <f t="shared" si="52"/>
        <v>0</v>
      </c>
      <c r="AC116" s="4"/>
      <c r="AD116" s="4">
        <f t="shared" si="53"/>
        <v>0</v>
      </c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3">
        <f t="shared" si="55"/>
        <v>0</v>
      </c>
      <c r="BY116" s="22">
        <f t="shared" si="56"/>
        <v>0</v>
      </c>
      <c r="CC116" s="417" t="str">
        <f t="shared" si="54"/>
        <v/>
      </c>
    </row>
    <row r="117" spans="1:81">
      <c r="A117" s="1"/>
      <c r="B117" s="8"/>
      <c r="C117" s="8"/>
      <c r="D117" s="1"/>
      <c r="E117" s="8"/>
      <c r="F117" s="8"/>
      <c r="G117" s="1"/>
      <c r="H117" s="8"/>
      <c r="I117" s="119"/>
      <c r="J117" s="4"/>
      <c r="K117" s="4">
        <f t="shared" si="45"/>
        <v>0</v>
      </c>
      <c r="L117" s="4">
        <f t="shared" si="46"/>
        <v>0</v>
      </c>
      <c r="M117" s="4"/>
      <c r="N117" s="4">
        <f t="shared" si="47"/>
        <v>0</v>
      </c>
      <c r="O117" s="4"/>
      <c r="P117" s="4"/>
      <c r="Q117" s="4">
        <f t="shared" si="48"/>
        <v>0</v>
      </c>
      <c r="R117" s="4">
        <f t="shared" si="49"/>
        <v>0</v>
      </c>
      <c r="S117" s="4"/>
      <c r="T117" s="4">
        <f t="shared" si="50"/>
        <v>0</v>
      </c>
      <c r="U117" s="4"/>
      <c r="V117" s="4"/>
      <c r="W117" s="4"/>
      <c r="X117" s="4"/>
      <c r="Y117" s="4"/>
      <c r="Z117" s="4"/>
      <c r="AA117" s="4">
        <f t="shared" si="51"/>
        <v>0</v>
      </c>
      <c r="AB117" s="4">
        <f t="shared" si="52"/>
        <v>0</v>
      </c>
      <c r="AC117" s="4"/>
      <c r="AD117" s="4">
        <f t="shared" si="53"/>
        <v>0</v>
      </c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3">
        <f t="shared" si="55"/>
        <v>0</v>
      </c>
      <c r="BY117" s="22">
        <f t="shared" si="56"/>
        <v>0</v>
      </c>
      <c r="CC117" s="417" t="str">
        <f t="shared" si="54"/>
        <v/>
      </c>
    </row>
    <row r="118" spans="1:81">
      <c r="A118" s="1"/>
      <c r="B118" s="8"/>
      <c r="C118" s="8"/>
      <c r="D118" s="1"/>
      <c r="E118" s="8"/>
      <c r="F118" s="8"/>
      <c r="G118" s="1"/>
      <c r="H118" s="8"/>
      <c r="I118" s="119"/>
      <c r="J118" s="4"/>
      <c r="K118" s="4">
        <f t="shared" si="45"/>
        <v>0</v>
      </c>
      <c r="L118" s="4">
        <f t="shared" si="46"/>
        <v>0</v>
      </c>
      <c r="M118" s="4"/>
      <c r="N118" s="4">
        <f t="shared" si="47"/>
        <v>0</v>
      </c>
      <c r="O118" s="4"/>
      <c r="P118" s="4"/>
      <c r="Q118" s="4">
        <f t="shared" si="48"/>
        <v>0</v>
      </c>
      <c r="R118" s="4">
        <f t="shared" si="49"/>
        <v>0</v>
      </c>
      <c r="S118" s="4"/>
      <c r="T118" s="4">
        <f t="shared" si="50"/>
        <v>0</v>
      </c>
      <c r="U118" s="4"/>
      <c r="V118" s="4"/>
      <c r="W118" s="4"/>
      <c r="X118" s="4"/>
      <c r="Y118" s="4"/>
      <c r="Z118" s="4"/>
      <c r="AA118" s="4">
        <f t="shared" si="51"/>
        <v>0</v>
      </c>
      <c r="AB118" s="4">
        <f t="shared" si="52"/>
        <v>0</v>
      </c>
      <c r="AC118" s="4"/>
      <c r="AD118" s="4">
        <f t="shared" si="53"/>
        <v>0</v>
      </c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3">
        <f t="shared" si="55"/>
        <v>0</v>
      </c>
      <c r="BY118" s="22">
        <f t="shared" si="56"/>
        <v>0</v>
      </c>
      <c r="CC118" s="417" t="str">
        <f t="shared" si="54"/>
        <v/>
      </c>
    </row>
    <row r="119" spans="1:81">
      <c r="A119" s="1"/>
      <c r="B119" s="8"/>
      <c r="C119" s="8"/>
      <c r="D119" s="1"/>
      <c r="E119" s="8"/>
      <c r="F119" s="8"/>
      <c r="G119" s="1"/>
      <c r="H119" s="8"/>
      <c r="I119" s="119"/>
      <c r="J119" s="4"/>
      <c r="K119" s="4">
        <f t="shared" si="45"/>
        <v>0</v>
      </c>
      <c r="L119" s="4">
        <f t="shared" si="46"/>
        <v>0</v>
      </c>
      <c r="M119" s="4"/>
      <c r="N119" s="4">
        <f t="shared" si="47"/>
        <v>0</v>
      </c>
      <c r="O119" s="4"/>
      <c r="P119" s="4"/>
      <c r="Q119" s="4">
        <f t="shared" si="48"/>
        <v>0</v>
      </c>
      <c r="R119" s="4">
        <f t="shared" si="49"/>
        <v>0</v>
      </c>
      <c r="S119" s="4"/>
      <c r="T119" s="4">
        <f t="shared" si="50"/>
        <v>0</v>
      </c>
      <c r="U119" s="4"/>
      <c r="V119" s="4"/>
      <c r="W119" s="4"/>
      <c r="X119" s="4"/>
      <c r="Y119" s="4"/>
      <c r="Z119" s="4"/>
      <c r="AA119" s="4">
        <f t="shared" si="51"/>
        <v>0</v>
      </c>
      <c r="AB119" s="4">
        <f t="shared" si="52"/>
        <v>0</v>
      </c>
      <c r="AC119" s="4"/>
      <c r="AD119" s="4">
        <f t="shared" si="53"/>
        <v>0</v>
      </c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3">
        <f t="shared" si="55"/>
        <v>0</v>
      </c>
      <c r="BY119" s="22">
        <f t="shared" si="56"/>
        <v>0</v>
      </c>
      <c r="CC119" s="417" t="str">
        <f t="shared" si="54"/>
        <v/>
      </c>
    </row>
    <row r="120" spans="1:81">
      <c r="A120" s="1"/>
      <c r="B120" s="8"/>
      <c r="C120" s="8"/>
      <c r="D120" s="1"/>
      <c r="E120" s="8"/>
      <c r="F120" s="8"/>
      <c r="G120" s="1"/>
      <c r="H120" s="8"/>
      <c r="I120" s="119"/>
      <c r="J120" s="4"/>
      <c r="K120" s="4">
        <f t="shared" si="45"/>
        <v>0</v>
      </c>
      <c r="L120" s="4">
        <f t="shared" si="46"/>
        <v>0</v>
      </c>
      <c r="M120" s="4"/>
      <c r="N120" s="4">
        <f t="shared" si="47"/>
        <v>0</v>
      </c>
      <c r="O120" s="4"/>
      <c r="P120" s="4"/>
      <c r="Q120" s="4">
        <f t="shared" si="48"/>
        <v>0</v>
      </c>
      <c r="R120" s="4">
        <f t="shared" si="49"/>
        <v>0</v>
      </c>
      <c r="S120" s="4"/>
      <c r="T120" s="4">
        <f t="shared" si="50"/>
        <v>0</v>
      </c>
      <c r="U120" s="4"/>
      <c r="V120" s="4"/>
      <c r="W120" s="4"/>
      <c r="X120" s="4"/>
      <c r="Y120" s="4"/>
      <c r="Z120" s="4"/>
      <c r="AA120" s="4">
        <f t="shared" si="51"/>
        <v>0</v>
      </c>
      <c r="AB120" s="4">
        <f t="shared" si="52"/>
        <v>0</v>
      </c>
      <c r="AC120" s="4"/>
      <c r="AD120" s="4">
        <f t="shared" si="53"/>
        <v>0</v>
      </c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3">
        <f t="shared" si="55"/>
        <v>0</v>
      </c>
      <c r="BY120" s="22">
        <f t="shared" si="56"/>
        <v>0</v>
      </c>
      <c r="CC120" s="417" t="str">
        <f t="shared" si="54"/>
        <v/>
      </c>
    </row>
    <row r="121" spans="1:81">
      <c r="A121" s="1"/>
      <c r="B121" s="8"/>
      <c r="C121" s="8"/>
      <c r="D121" s="1"/>
      <c r="E121" s="8"/>
      <c r="F121" s="8"/>
      <c r="G121" s="1"/>
      <c r="H121" s="8"/>
      <c r="I121" s="119"/>
      <c r="J121" s="4"/>
      <c r="K121" s="4">
        <f t="shared" si="45"/>
        <v>0</v>
      </c>
      <c r="L121" s="4">
        <f t="shared" si="46"/>
        <v>0</v>
      </c>
      <c r="M121" s="4"/>
      <c r="N121" s="4">
        <f t="shared" si="47"/>
        <v>0</v>
      </c>
      <c r="O121" s="4"/>
      <c r="P121" s="4"/>
      <c r="Q121" s="4">
        <f t="shared" si="48"/>
        <v>0</v>
      </c>
      <c r="R121" s="4">
        <f t="shared" si="49"/>
        <v>0</v>
      </c>
      <c r="S121" s="4"/>
      <c r="T121" s="4">
        <f t="shared" si="50"/>
        <v>0</v>
      </c>
      <c r="U121" s="4"/>
      <c r="V121" s="4"/>
      <c r="W121" s="4"/>
      <c r="X121" s="4"/>
      <c r="Y121" s="4"/>
      <c r="Z121" s="4"/>
      <c r="AA121" s="4">
        <f t="shared" si="51"/>
        <v>0</v>
      </c>
      <c r="AB121" s="4">
        <f t="shared" si="52"/>
        <v>0</v>
      </c>
      <c r="AC121" s="4"/>
      <c r="AD121" s="4">
        <f t="shared" si="53"/>
        <v>0</v>
      </c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3">
        <f t="shared" si="55"/>
        <v>0</v>
      </c>
      <c r="BY121" s="22">
        <f t="shared" si="56"/>
        <v>0</v>
      </c>
      <c r="CC121" s="417" t="str">
        <f t="shared" si="54"/>
        <v/>
      </c>
    </row>
    <row r="122" spans="1:81">
      <c r="A122" s="1"/>
      <c r="B122" s="8"/>
      <c r="C122" s="8"/>
      <c r="D122" s="1"/>
      <c r="E122" s="8"/>
      <c r="F122" s="8"/>
      <c r="G122" s="1"/>
      <c r="H122" s="8"/>
      <c r="I122" s="119"/>
      <c r="J122" s="4"/>
      <c r="K122" s="4">
        <f t="shared" si="45"/>
        <v>0</v>
      </c>
      <c r="L122" s="4">
        <f t="shared" si="46"/>
        <v>0</v>
      </c>
      <c r="M122" s="4"/>
      <c r="N122" s="4">
        <f t="shared" si="47"/>
        <v>0</v>
      </c>
      <c r="O122" s="4"/>
      <c r="P122" s="4"/>
      <c r="Q122" s="4">
        <f t="shared" si="48"/>
        <v>0</v>
      </c>
      <c r="R122" s="4">
        <f t="shared" si="49"/>
        <v>0</v>
      </c>
      <c r="S122" s="4"/>
      <c r="T122" s="4">
        <f t="shared" si="50"/>
        <v>0</v>
      </c>
      <c r="U122" s="4"/>
      <c r="V122" s="4"/>
      <c r="W122" s="4"/>
      <c r="X122" s="4"/>
      <c r="Y122" s="4"/>
      <c r="Z122" s="4"/>
      <c r="AA122" s="4">
        <f t="shared" si="51"/>
        <v>0</v>
      </c>
      <c r="AB122" s="4">
        <f t="shared" si="52"/>
        <v>0</v>
      </c>
      <c r="AC122" s="4"/>
      <c r="AD122" s="4">
        <f t="shared" si="53"/>
        <v>0</v>
      </c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3">
        <f t="shared" si="55"/>
        <v>0</v>
      </c>
      <c r="BY122" s="22">
        <f t="shared" si="56"/>
        <v>0</v>
      </c>
      <c r="CC122" s="417" t="str">
        <f t="shared" si="54"/>
        <v/>
      </c>
    </row>
    <row r="123" spans="1:81">
      <c r="A123" s="1"/>
      <c r="B123" s="8"/>
      <c r="C123" s="8"/>
      <c r="D123" s="1"/>
      <c r="E123" s="8"/>
      <c r="F123" s="8"/>
      <c r="G123" s="1"/>
      <c r="H123" s="8"/>
      <c r="I123" s="119"/>
      <c r="J123" s="4"/>
      <c r="K123" s="4">
        <f t="shared" si="45"/>
        <v>0</v>
      </c>
      <c r="L123" s="4">
        <f t="shared" si="46"/>
        <v>0</v>
      </c>
      <c r="M123" s="4"/>
      <c r="N123" s="4">
        <f t="shared" si="47"/>
        <v>0</v>
      </c>
      <c r="O123" s="4"/>
      <c r="P123" s="4"/>
      <c r="Q123" s="4">
        <f t="shared" si="48"/>
        <v>0</v>
      </c>
      <c r="R123" s="4">
        <f t="shared" si="49"/>
        <v>0</v>
      </c>
      <c r="S123" s="4"/>
      <c r="T123" s="4">
        <f t="shared" si="50"/>
        <v>0</v>
      </c>
      <c r="U123" s="4"/>
      <c r="V123" s="4"/>
      <c r="W123" s="4"/>
      <c r="X123" s="4"/>
      <c r="Y123" s="4"/>
      <c r="Z123" s="4"/>
      <c r="AA123" s="4">
        <f t="shared" si="51"/>
        <v>0</v>
      </c>
      <c r="AB123" s="4">
        <f t="shared" si="52"/>
        <v>0</v>
      </c>
      <c r="AC123" s="4"/>
      <c r="AD123" s="4">
        <f t="shared" si="53"/>
        <v>0</v>
      </c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3">
        <f t="shared" si="55"/>
        <v>0</v>
      </c>
      <c r="BY123" s="22">
        <f t="shared" si="56"/>
        <v>0</v>
      </c>
      <c r="CC123" s="417" t="str">
        <f t="shared" si="54"/>
        <v/>
      </c>
    </row>
    <row r="124" spans="1:81">
      <c r="A124" s="1"/>
      <c r="B124" s="8"/>
      <c r="C124" s="8"/>
      <c r="D124" s="1"/>
      <c r="E124" s="8"/>
      <c r="F124" s="8"/>
      <c r="G124" s="1"/>
      <c r="H124" s="8"/>
      <c r="I124" s="119"/>
      <c r="J124" s="4"/>
      <c r="K124" s="4">
        <f t="shared" si="45"/>
        <v>0</v>
      </c>
      <c r="L124" s="4">
        <f t="shared" si="46"/>
        <v>0</v>
      </c>
      <c r="M124" s="4"/>
      <c r="N124" s="4">
        <f t="shared" si="47"/>
        <v>0</v>
      </c>
      <c r="O124" s="4"/>
      <c r="P124" s="4"/>
      <c r="Q124" s="4">
        <f t="shared" si="48"/>
        <v>0</v>
      </c>
      <c r="R124" s="4">
        <f t="shared" si="49"/>
        <v>0</v>
      </c>
      <c r="S124" s="4"/>
      <c r="T124" s="4">
        <f t="shared" si="50"/>
        <v>0</v>
      </c>
      <c r="U124" s="4"/>
      <c r="V124" s="4"/>
      <c r="W124" s="4"/>
      <c r="X124" s="4"/>
      <c r="Y124" s="4"/>
      <c r="Z124" s="4"/>
      <c r="AA124" s="4">
        <f t="shared" si="51"/>
        <v>0</v>
      </c>
      <c r="AB124" s="4">
        <f t="shared" si="52"/>
        <v>0</v>
      </c>
      <c r="AC124" s="4"/>
      <c r="AD124" s="4">
        <f t="shared" si="53"/>
        <v>0</v>
      </c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3">
        <f t="shared" si="55"/>
        <v>0</v>
      </c>
      <c r="BY124" s="22">
        <f t="shared" si="56"/>
        <v>0</v>
      </c>
      <c r="CC124" s="417" t="str">
        <f t="shared" si="54"/>
        <v/>
      </c>
    </row>
    <row r="125" spans="1:81">
      <c r="A125" s="1"/>
      <c r="B125" s="8"/>
      <c r="C125" s="8"/>
      <c r="D125" s="1"/>
      <c r="E125" s="8"/>
      <c r="F125" s="8"/>
      <c r="G125" s="1"/>
      <c r="H125" s="8"/>
      <c r="I125" s="119"/>
      <c r="J125" s="4"/>
      <c r="K125" s="4">
        <f t="shared" si="45"/>
        <v>0</v>
      </c>
      <c r="L125" s="4">
        <f t="shared" si="46"/>
        <v>0</v>
      </c>
      <c r="M125" s="4"/>
      <c r="N125" s="4">
        <f t="shared" si="47"/>
        <v>0</v>
      </c>
      <c r="O125" s="4"/>
      <c r="P125" s="4"/>
      <c r="Q125" s="4">
        <f t="shared" si="48"/>
        <v>0</v>
      </c>
      <c r="R125" s="4">
        <f t="shared" si="49"/>
        <v>0</v>
      </c>
      <c r="S125" s="4"/>
      <c r="T125" s="4">
        <f t="shared" si="50"/>
        <v>0</v>
      </c>
      <c r="U125" s="4"/>
      <c r="V125" s="4"/>
      <c r="W125" s="4"/>
      <c r="X125" s="4"/>
      <c r="Y125" s="4"/>
      <c r="Z125" s="4"/>
      <c r="AA125" s="4">
        <f t="shared" si="51"/>
        <v>0</v>
      </c>
      <c r="AB125" s="4">
        <f t="shared" si="52"/>
        <v>0</v>
      </c>
      <c r="AC125" s="4"/>
      <c r="AD125" s="4">
        <f t="shared" si="53"/>
        <v>0</v>
      </c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3">
        <f t="shared" si="55"/>
        <v>0</v>
      </c>
      <c r="BY125" s="22">
        <f t="shared" si="56"/>
        <v>0</v>
      </c>
      <c r="CC125" s="417" t="str">
        <f t="shared" si="54"/>
        <v/>
      </c>
    </row>
    <row r="126" spans="1:81">
      <c r="A126" s="1"/>
      <c r="B126" s="8"/>
      <c r="C126" s="8"/>
      <c r="D126" s="1"/>
      <c r="E126" s="8"/>
      <c r="F126" s="8"/>
      <c r="G126" s="1"/>
      <c r="H126" s="8"/>
      <c r="I126" s="119"/>
      <c r="J126" s="4"/>
      <c r="K126" s="4">
        <f t="shared" si="45"/>
        <v>0</v>
      </c>
      <c r="L126" s="4">
        <f t="shared" si="46"/>
        <v>0</v>
      </c>
      <c r="M126" s="4"/>
      <c r="N126" s="4">
        <f t="shared" si="47"/>
        <v>0</v>
      </c>
      <c r="O126" s="4"/>
      <c r="P126" s="4"/>
      <c r="Q126" s="4">
        <f t="shared" si="48"/>
        <v>0</v>
      </c>
      <c r="R126" s="4">
        <f t="shared" si="49"/>
        <v>0</v>
      </c>
      <c r="S126" s="4"/>
      <c r="T126" s="4">
        <f t="shared" si="50"/>
        <v>0</v>
      </c>
      <c r="U126" s="4"/>
      <c r="V126" s="4"/>
      <c r="W126" s="4"/>
      <c r="X126" s="4"/>
      <c r="Y126" s="4"/>
      <c r="Z126" s="4"/>
      <c r="AA126" s="4">
        <f t="shared" si="51"/>
        <v>0</v>
      </c>
      <c r="AB126" s="4">
        <f t="shared" si="52"/>
        <v>0</v>
      </c>
      <c r="AC126" s="4"/>
      <c r="AD126" s="4">
        <f t="shared" si="53"/>
        <v>0</v>
      </c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3">
        <f t="shared" si="55"/>
        <v>0</v>
      </c>
      <c r="BY126" s="22">
        <f t="shared" si="56"/>
        <v>0</v>
      </c>
      <c r="CC126" s="417" t="str">
        <f t="shared" si="54"/>
        <v/>
      </c>
    </row>
    <row r="127" spans="1:81">
      <c r="A127" s="1"/>
      <c r="B127" s="8"/>
      <c r="C127" s="8"/>
      <c r="D127" s="1"/>
      <c r="E127" s="8"/>
      <c r="F127" s="8"/>
      <c r="G127" s="1"/>
      <c r="H127" s="8"/>
      <c r="I127" s="119"/>
      <c r="J127" s="4"/>
      <c r="K127" s="4">
        <f t="shared" si="45"/>
        <v>0</v>
      </c>
      <c r="L127" s="4">
        <f t="shared" si="46"/>
        <v>0</v>
      </c>
      <c r="M127" s="4"/>
      <c r="N127" s="4">
        <f t="shared" si="47"/>
        <v>0</v>
      </c>
      <c r="O127" s="4"/>
      <c r="P127" s="4"/>
      <c r="Q127" s="4">
        <f t="shared" si="48"/>
        <v>0</v>
      </c>
      <c r="R127" s="4">
        <f t="shared" si="49"/>
        <v>0</v>
      </c>
      <c r="S127" s="4"/>
      <c r="T127" s="4">
        <f t="shared" si="50"/>
        <v>0</v>
      </c>
      <c r="U127" s="4"/>
      <c r="V127" s="4"/>
      <c r="W127" s="4"/>
      <c r="X127" s="4"/>
      <c r="Y127" s="4"/>
      <c r="Z127" s="4"/>
      <c r="AA127" s="4">
        <f t="shared" si="51"/>
        <v>0</v>
      </c>
      <c r="AB127" s="4">
        <f t="shared" si="52"/>
        <v>0</v>
      </c>
      <c r="AC127" s="4"/>
      <c r="AD127" s="4">
        <f t="shared" si="53"/>
        <v>0</v>
      </c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3">
        <f t="shared" si="55"/>
        <v>0</v>
      </c>
      <c r="BY127" s="22">
        <f t="shared" si="56"/>
        <v>0</v>
      </c>
      <c r="CC127" s="417" t="str">
        <f t="shared" si="54"/>
        <v/>
      </c>
    </row>
    <row r="128" spans="1:81">
      <c r="A128" s="1"/>
      <c r="B128" s="8"/>
      <c r="C128" s="8"/>
      <c r="D128" s="1"/>
      <c r="E128" s="8"/>
      <c r="F128" s="8"/>
      <c r="G128" s="1"/>
      <c r="H128" s="8"/>
      <c r="I128" s="119"/>
      <c r="J128" s="4"/>
      <c r="K128" s="4">
        <f t="shared" si="45"/>
        <v>0</v>
      </c>
      <c r="L128" s="4">
        <f t="shared" si="46"/>
        <v>0</v>
      </c>
      <c r="M128" s="4"/>
      <c r="N128" s="4">
        <f t="shared" si="47"/>
        <v>0</v>
      </c>
      <c r="O128" s="4"/>
      <c r="P128" s="4"/>
      <c r="Q128" s="4">
        <f t="shared" si="48"/>
        <v>0</v>
      </c>
      <c r="R128" s="4">
        <f t="shared" si="49"/>
        <v>0</v>
      </c>
      <c r="S128" s="4"/>
      <c r="T128" s="4">
        <f t="shared" si="50"/>
        <v>0</v>
      </c>
      <c r="U128" s="4"/>
      <c r="V128" s="4"/>
      <c r="W128" s="4"/>
      <c r="X128" s="4"/>
      <c r="Y128" s="4"/>
      <c r="Z128" s="4"/>
      <c r="AA128" s="4">
        <f t="shared" si="51"/>
        <v>0</v>
      </c>
      <c r="AB128" s="4">
        <f t="shared" si="52"/>
        <v>0</v>
      </c>
      <c r="AC128" s="4"/>
      <c r="AD128" s="4">
        <f t="shared" si="53"/>
        <v>0</v>
      </c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3">
        <f t="shared" si="55"/>
        <v>0</v>
      </c>
      <c r="BY128" s="22">
        <f t="shared" si="56"/>
        <v>0</v>
      </c>
      <c r="CC128" s="417" t="str">
        <f t="shared" si="54"/>
        <v/>
      </c>
    </row>
    <row r="129" spans="1:81">
      <c r="A129" s="1"/>
      <c r="B129" s="8"/>
      <c r="C129" s="8"/>
      <c r="D129" s="1"/>
      <c r="E129" s="8"/>
      <c r="F129" s="8"/>
      <c r="G129" s="1"/>
      <c r="H129" s="8"/>
      <c r="I129" s="119"/>
      <c r="J129" s="4"/>
      <c r="K129" s="4">
        <f t="shared" si="45"/>
        <v>0</v>
      </c>
      <c r="L129" s="4">
        <f t="shared" si="46"/>
        <v>0</v>
      </c>
      <c r="M129" s="4"/>
      <c r="N129" s="4">
        <f t="shared" si="47"/>
        <v>0</v>
      </c>
      <c r="O129" s="4"/>
      <c r="P129" s="4"/>
      <c r="Q129" s="4">
        <f t="shared" si="48"/>
        <v>0</v>
      </c>
      <c r="R129" s="4">
        <f t="shared" si="49"/>
        <v>0</v>
      </c>
      <c r="S129" s="4"/>
      <c r="T129" s="4">
        <f t="shared" si="50"/>
        <v>0</v>
      </c>
      <c r="U129" s="4"/>
      <c r="V129" s="4"/>
      <c r="W129" s="4"/>
      <c r="X129" s="4"/>
      <c r="Y129" s="4"/>
      <c r="Z129" s="4"/>
      <c r="AA129" s="4">
        <f t="shared" si="51"/>
        <v>0</v>
      </c>
      <c r="AB129" s="4">
        <f t="shared" si="52"/>
        <v>0</v>
      </c>
      <c r="AC129" s="4"/>
      <c r="AD129" s="4">
        <f t="shared" si="53"/>
        <v>0</v>
      </c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3">
        <f t="shared" si="55"/>
        <v>0</v>
      </c>
      <c r="BY129" s="22">
        <f t="shared" si="56"/>
        <v>0</v>
      </c>
      <c r="CC129" s="417" t="str">
        <f t="shared" si="54"/>
        <v/>
      </c>
    </row>
    <row r="130" spans="1:81">
      <c r="A130" s="1"/>
      <c r="B130" s="8"/>
      <c r="C130" s="8"/>
      <c r="D130" s="1"/>
      <c r="E130" s="8"/>
      <c r="F130" s="8"/>
      <c r="G130" s="1"/>
      <c r="H130" s="8"/>
      <c r="I130" s="119"/>
      <c r="J130" s="4"/>
      <c r="K130" s="4">
        <f t="shared" ref="K130:K193" si="57">0.01*(I130+J130)</f>
        <v>0</v>
      </c>
      <c r="L130" s="4">
        <f t="shared" ref="L130:L193" si="58">0.062*(I130+J130)</f>
        <v>0</v>
      </c>
      <c r="M130" s="4"/>
      <c r="N130" s="4">
        <f t="shared" ref="N130:N193" si="59">0.028*(I130+J130)</f>
        <v>0</v>
      </c>
      <c r="O130" s="4"/>
      <c r="P130" s="4"/>
      <c r="Q130" s="4">
        <f t="shared" ref="Q130:Q193" si="60">0.01*(O130+P130)</f>
        <v>0</v>
      </c>
      <c r="R130" s="4">
        <f t="shared" ref="R130:R193" si="61">0.062*(O130+P130)</f>
        <v>0</v>
      </c>
      <c r="S130" s="4"/>
      <c r="T130" s="4">
        <f t="shared" ref="T130:T193" si="62">0.028*(O130+P130)</f>
        <v>0</v>
      </c>
      <c r="U130" s="4"/>
      <c r="V130" s="4"/>
      <c r="W130" s="4"/>
      <c r="X130" s="4"/>
      <c r="Y130" s="4"/>
      <c r="Z130" s="4"/>
      <c r="AA130" s="4">
        <f t="shared" ref="AA130:AA193" si="63">0.01*(U130+V130+W130+X130+Y130)</f>
        <v>0</v>
      </c>
      <c r="AB130" s="4">
        <f t="shared" ref="AB130:AB193" si="64">0.062*(V130+U130+W130+X130+Y130)</f>
        <v>0</v>
      </c>
      <c r="AC130" s="4"/>
      <c r="AD130" s="4">
        <f t="shared" ref="AD130:AD193" si="65">0.028*(V130+W130+X130+Y130+U130)</f>
        <v>0</v>
      </c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3">
        <f t="shared" si="55"/>
        <v>0</v>
      </c>
      <c r="BY130" s="22">
        <f t="shared" si="56"/>
        <v>0</v>
      </c>
      <c r="CC130" s="417" t="str">
        <f t="shared" si="54"/>
        <v/>
      </c>
    </row>
    <row r="131" spans="1:81">
      <c r="A131" s="1"/>
      <c r="B131" s="8"/>
      <c r="C131" s="8"/>
      <c r="D131" s="1"/>
      <c r="E131" s="8"/>
      <c r="F131" s="8"/>
      <c r="G131" s="1"/>
      <c r="H131" s="8"/>
      <c r="I131" s="119"/>
      <c r="J131" s="4"/>
      <c r="K131" s="4">
        <f t="shared" si="57"/>
        <v>0</v>
      </c>
      <c r="L131" s="4">
        <f t="shared" si="58"/>
        <v>0</v>
      </c>
      <c r="M131" s="4"/>
      <c r="N131" s="4">
        <f t="shared" si="59"/>
        <v>0</v>
      </c>
      <c r="O131" s="4"/>
      <c r="P131" s="4"/>
      <c r="Q131" s="4">
        <f t="shared" si="60"/>
        <v>0</v>
      </c>
      <c r="R131" s="4">
        <f t="shared" si="61"/>
        <v>0</v>
      </c>
      <c r="S131" s="4"/>
      <c r="T131" s="4">
        <f t="shared" si="62"/>
        <v>0</v>
      </c>
      <c r="U131" s="4"/>
      <c r="V131" s="4"/>
      <c r="W131" s="4"/>
      <c r="X131" s="4"/>
      <c r="Y131" s="4"/>
      <c r="Z131" s="4"/>
      <c r="AA131" s="4">
        <f t="shared" si="63"/>
        <v>0</v>
      </c>
      <c r="AB131" s="4">
        <f t="shared" si="64"/>
        <v>0</v>
      </c>
      <c r="AC131" s="4"/>
      <c r="AD131" s="4">
        <f t="shared" si="65"/>
        <v>0</v>
      </c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3">
        <f t="shared" si="55"/>
        <v>0</v>
      </c>
      <c r="BY131" s="22">
        <f t="shared" si="56"/>
        <v>0</v>
      </c>
      <c r="CC131" s="417" t="str">
        <f t="shared" ref="CC131:CC194" si="66">IF(B131="ug1","INDUSTRIES",IF(B131="ug2","COMMERCE GENERAL",IF(B131="ug3","BANQUES, ASSURANCES, NTIC, CTD",IF(B131="ug4","FORETS, EAUX, MINES, PETROLES",IF(B131="ug5","SERVICES","")))))</f>
        <v/>
      </c>
    </row>
    <row r="132" spans="1:81">
      <c r="A132" s="1"/>
      <c r="B132" s="8"/>
      <c r="C132" s="8"/>
      <c r="D132" s="1"/>
      <c r="E132" s="8"/>
      <c r="F132" s="8"/>
      <c r="G132" s="1"/>
      <c r="H132" s="8"/>
      <c r="I132" s="119"/>
      <c r="J132" s="4"/>
      <c r="K132" s="4">
        <f t="shared" si="57"/>
        <v>0</v>
      </c>
      <c r="L132" s="4">
        <f t="shared" si="58"/>
        <v>0</v>
      </c>
      <c r="M132" s="4"/>
      <c r="N132" s="4">
        <f t="shared" si="59"/>
        <v>0</v>
      </c>
      <c r="O132" s="4"/>
      <c r="P132" s="4"/>
      <c r="Q132" s="4">
        <f t="shared" si="60"/>
        <v>0</v>
      </c>
      <c r="R132" s="4">
        <f t="shared" si="61"/>
        <v>0</v>
      </c>
      <c r="S132" s="4"/>
      <c r="T132" s="4">
        <f t="shared" si="62"/>
        <v>0</v>
      </c>
      <c r="U132" s="4"/>
      <c r="V132" s="4"/>
      <c r="W132" s="4"/>
      <c r="X132" s="4"/>
      <c r="Y132" s="4"/>
      <c r="Z132" s="4"/>
      <c r="AA132" s="4">
        <f t="shared" si="63"/>
        <v>0</v>
      </c>
      <c r="AB132" s="4">
        <f t="shared" si="64"/>
        <v>0</v>
      </c>
      <c r="AC132" s="4"/>
      <c r="AD132" s="4">
        <f t="shared" si="65"/>
        <v>0</v>
      </c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3">
        <f t="shared" si="55"/>
        <v>0</v>
      </c>
      <c r="BY132" s="22">
        <f t="shared" si="56"/>
        <v>0</v>
      </c>
      <c r="CC132" s="417" t="str">
        <f t="shared" si="66"/>
        <v/>
      </c>
    </row>
    <row r="133" spans="1:81">
      <c r="A133" s="1"/>
      <c r="B133" s="8"/>
      <c r="C133" s="8"/>
      <c r="D133" s="1"/>
      <c r="E133" s="8"/>
      <c r="F133" s="8"/>
      <c r="G133" s="1"/>
      <c r="H133" s="8"/>
      <c r="I133" s="119"/>
      <c r="J133" s="4"/>
      <c r="K133" s="4">
        <f t="shared" si="57"/>
        <v>0</v>
      </c>
      <c r="L133" s="4">
        <f t="shared" si="58"/>
        <v>0</v>
      </c>
      <c r="M133" s="4"/>
      <c r="N133" s="4">
        <f t="shared" si="59"/>
        <v>0</v>
      </c>
      <c r="O133" s="4"/>
      <c r="P133" s="4"/>
      <c r="Q133" s="4">
        <f t="shared" si="60"/>
        <v>0</v>
      </c>
      <c r="R133" s="4">
        <f t="shared" si="61"/>
        <v>0</v>
      </c>
      <c r="S133" s="4"/>
      <c r="T133" s="4">
        <f t="shared" si="62"/>
        <v>0</v>
      </c>
      <c r="U133" s="4"/>
      <c r="V133" s="4"/>
      <c r="W133" s="4"/>
      <c r="X133" s="4"/>
      <c r="Y133" s="4"/>
      <c r="Z133" s="4"/>
      <c r="AA133" s="4">
        <f t="shared" si="63"/>
        <v>0</v>
      </c>
      <c r="AB133" s="4">
        <f t="shared" si="64"/>
        <v>0</v>
      </c>
      <c r="AC133" s="4"/>
      <c r="AD133" s="4">
        <f t="shared" si="65"/>
        <v>0</v>
      </c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3">
        <f t="shared" si="55"/>
        <v>0</v>
      </c>
      <c r="BY133" s="22">
        <f t="shared" si="56"/>
        <v>0</v>
      </c>
      <c r="CC133" s="417" t="str">
        <f t="shared" si="66"/>
        <v/>
      </c>
    </row>
    <row r="134" spans="1:81">
      <c r="A134" s="1"/>
      <c r="B134" s="8"/>
      <c r="C134" s="8"/>
      <c r="D134" s="1"/>
      <c r="E134" s="8"/>
      <c r="F134" s="8"/>
      <c r="G134" s="1"/>
      <c r="H134" s="8"/>
      <c r="I134" s="119"/>
      <c r="J134" s="4"/>
      <c r="K134" s="4">
        <f t="shared" si="57"/>
        <v>0</v>
      </c>
      <c r="L134" s="4">
        <f t="shared" si="58"/>
        <v>0</v>
      </c>
      <c r="M134" s="4"/>
      <c r="N134" s="4">
        <f t="shared" si="59"/>
        <v>0</v>
      </c>
      <c r="O134" s="4"/>
      <c r="P134" s="4"/>
      <c r="Q134" s="4">
        <f t="shared" si="60"/>
        <v>0</v>
      </c>
      <c r="R134" s="4">
        <f t="shared" si="61"/>
        <v>0</v>
      </c>
      <c r="S134" s="4"/>
      <c r="T134" s="4">
        <f t="shared" si="62"/>
        <v>0</v>
      </c>
      <c r="U134" s="4"/>
      <c r="V134" s="4"/>
      <c r="W134" s="4"/>
      <c r="X134" s="4"/>
      <c r="Y134" s="4"/>
      <c r="Z134" s="4"/>
      <c r="AA134" s="4">
        <f t="shared" si="63"/>
        <v>0</v>
      </c>
      <c r="AB134" s="4">
        <f t="shared" si="64"/>
        <v>0</v>
      </c>
      <c r="AC134" s="4"/>
      <c r="AD134" s="4">
        <f t="shared" si="65"/>
        <v>0</v>
      </c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3">
        <f t="shared" si="55"/>
        <v>0</v>
      </c>
      <c r="BY134" s="22">
        <f t="shared" si="56"/>
        <v>0</v>
      </c>
      <c r="CC134" s="417" t="str">
        <f t="shared" si="66"/>
        <v/>
      </c>
    </row>
    <row r="135" spans="1:81">
      <c r="A135" s="1"/>
      <c r="B135" s="8"/>
      <c r="C135" s="8"/>
      <c r="D135" s="1"/>
      <c r="E135" s="8"/>
      <c r="F135" s="8"/>
      <c r="G135" s="1"/>
      <c r="H135" s="8"/>
      <c r="I135" s="119"/>
      <c r="J135" s="4"/>
      <c r="K135" s="4">
        <f t="shared" si="57"/>
        <v>0</v>
      </c>
      <c r="L135" s="4">
        <f t="shared" si="58"/>
        <v>0</v>
      </c>
      <c r="M135" s="4"/>
      <c r="N135" s="4">
        <f t="shared" si="59"/>
        <v>0</v>
      </c>
      <c r="O135" s="4"/>
      <c r="P135" s="4"/>
      <c r="Q135" s="4">
        <f t="shared" si="60"/>
        <v>0</v>
      </c>
      <c r="R135" s="4">
        <f t="shared" si="61"/>
        <v>0</v>
      </c>
      <c r="S135" s="4"/>
      <c r="T135" s="4">
        <f t="shared" si="62"/>
        <v>0</v>
      </c>
      <c r="U135" s="4"/>
      <c r="V135" s="4"/>
      <c r="W135" s="4"/>
      <c r="X135" s="4"/>
      <c r="Y135" s="4"/>
      <c r="Z135" s="4"/>
      <c r="AA135" s="4">
        <f t="shared" si="63"/>
        <v>0</v>
      </c>
      <c r="AB135" s="4">
        <f t="shared" si="64"/>
        <v>0</v>
      </c>
      <c r="AC135" s="4"/>
      <c r="AD135" s="4">
        <f t="shared" si="65"/>
        <v>0</v>
      </c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3">
        <f t="shared" si="55"/>
        <v>0</v>
      </c>
      <c r="BY135" s="22">
        <f t="shared" si="56"/>
        <v>0</v>
      </c>
      <c r="CC135" s="417" t="str">
        <f t="shared" si="66"/>
        <v/>
      </c>
    </row>
    <row r="136" spans="1:81">
      <c r="A136" s="1"/>
      <c r="B136" s="8"/>
      <c r="C136" s="8"/>
      <c r="D136" s="1"/>
      <c r="E136" s="8"/>
      <c r="F136" s="8"/>
      <c r="G136" s="1"/>
      <c r="H136" s="8"/>
      <c r="I136" s="119"/>
      <c r="J136" s="4"/>
      <c r="K136" s="4">
        <f t="shared" si="57"/>
        <v>0</v>
      </c>
      <c r="L136" s="4">
        <f t="shared" si="58"/>
        <v>0</v>
      </c>
      <c r="M136" s="4"/>
      <c r="N136" s="4">
        <f t="shared" si="59"/>
        <v>0</v>
      </c>
      <c r="O136" s="4"/>
      <c r="P136" s="4"/>
      <c r="Q136" s="4">
        <f t="shared" si="60"/>
        <v>0</v>
      </c>
      <c r="R136" s="4">
        <f t="shared" si="61"/>
        <v>0</v>
      </c>
      <c r="S136" s="4"/>
      <c r="T136" s="4">
        <f t="shared" si="62"/>
        <v>0</v>
      </c>
      <c r="U136" s="4"/>
      <c r="V136" s="4"/>
      <c r="W136" s="4"/>
      <c r="X136" s="4"/>
      <c r="Y136" s="4"/>
      <c r="Z136" s="4"/>
      <c r="AA136" s="4">
        <f t="shared" si="63"/>
        <v>0</v>
      </c>
      <c r="AB136" s="4">
        <f t="shared" si="64"/>
        <v>0</v>
      </c>
      <c r="AC136" s="4"/>
      <c r="AD136" s="4">
        <f t="shared" si="65"/>
        <v>0</v>
      </c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3">
        <f t="shared" si="55"/>
        <v>0</v>
      </c>
      <c r="BY136" s="22">
        <f t="shared" si="56"/>
        <v>0</v>
      </c>
      <c r="CC136" s="417" t="str">
        <f t="shared" si="66"/>
        <v/>
      </c>
    </row>
    <row r="137" spans="1:81">
      <c r="A137" s="1"/>
      <c r="B137" s="8"/>
      <c r="C137" s="8"/>
      <c r="D137" s="1"/>
      <c r="E137" s="8"/>
      <c r="F137" s="8"/>
      <c r="G137" s="1"/>
      <c r="H137" s="8"/>
      <c r="I137" s="119"/>
      <c r="J137" s="4"/>
      <c r="K137" s="4">
        <f t="shared" si="57"/>
        <v>0</v>
      </c>
      <c r="L137" s="4">
        <f t="shared" si="58"/>
        <v>0</v>
      </c>
      <c r="M137" s="4"/>
      <c r="N137" s="4">
        <f t="shared" si="59"/>
        <v>0</v>
      </c>
      <c r="O137" s="4"/>
      <c r="P137" s="4"/>
      <c r="Q137" s="4">
        <f t="shared" si="60"/>
        <v>0</v>
      </c>
      <c r="R137" s="4">
        <f t="shared" si="61"/>
        <v>0</v>
      </c>
      <c r="S137" s="4"/>
      <c r="T137" s="4">
        <f t="shared" si="62"/>
        <v>0</v>
      </c>
      <c r="U137" s="4"/>
      <c r="V137" s="4"/>
      <c r="W137" s="4"/>
      <c r="X137" s="4"/>
      <c r="Y137" s="4"/>
      <c r="Z137" s="4"/>
      <c r="AA137" s="4">
        <f t="shared" si="63"/>
        <v>0</v>
      </c>
      <c r="AB137" s="4">
        <f t="shared" si="64"/>
        <v>0</v>
      </c>
      <c r="AC137" s="4"/>
      <c r="AD137" s="4">
        <f t="shared" si="65"/>
        <v>0</v>
      </c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3">
        <f t="shared" si="55"/>
        <v>0</v>
      </c>
      <c r="BY137" s="22">
        <f t="shared" si="56"/>
        <v>0</v>
      </c>
      <c r="CC137" s="417" t="str">
        <f t="shared" si="66"/>
        <v/>
      </c>
    </row>
    <row r="138" spans="1:81">
      <c r="A138" s="1"/>
      <c r="B138" s="8"/>
      <c r="C138" s="8"/>
      <c r="D138" s="1"/>
      <c r="E138" s="8"/>
      <c r="F138" s="8"/>
      <c r="G138" s="1"/>
      <c r="H138" s="8"/>
      <c r="I138" s="119"/>
      <c r="J138" s="4"/>
      <c r="K138" s="4">
        <f t="shared" si="57"/>
        <v>0</v>
      </c>
      <c r="L138" s="4">
        <f t="shared" si="58"/>
        <v>0</v>
      </c>
      <c r="M138" s="4"/>
      <c r="N138" s="4">
        <f t="shared" si="59"/>
        <v>0</v>
      </c>
      <c r="O138" s="4"/>
      <c r="P138" s="4"/>
      <c r="Q138" s="4">
        <f t="shared" si="60"/>
        <v>0</v>
      </c>
      <c r="R138" s="4">
        <f t="shared" si="61"/>
        <v>0</v>
      </c>
      <c r="S138" s="4"/>
      <c r="T138" s="4">
        <f t="shared" si="62"/>
        <v>0</v>
      </c>
      <c r="U138" s="4"/>
      <c r="V138" s="4"/>
      <c r="W138" s="4"/>
      <c r="X138" s="4"/>
      <c r="Y138" s="4"/>
      <c r="Z138" s="4"/>
      <c r="AA138" s="4">
        <f t="shared" si="63"/>
        <v>0</v>
      </c>
      <c r="AB138" s="4">
        <f t="shared" si="64"/>
        <v>0</v>
      </c>
      <c r="AC138" s="4"/>
      <c r="AD138" s="4">
        <f t="shared" si="65"/>
        <v>0</v>
      </c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3">
        <f t="shared" si="55"/>
        <v>0</v>
      </c>
      <c r="BY138" s="22">
        <f t="shared" si="56"/>
        <v>0</v>
      </c>
      <c r="CC138" s="417" t="str">
        <f t="shared" si="66"/>
        <v/>
      </c>
    </row>
    <row r="139" spans="1:81">
      <c r="A139" s="1"/>
      <c r="B139" s="8"/>
      <c r="C139" s="8"/>
      <c r="D139" s="1"/>
      <c r="E139" s="8"/>
      <c r="F139" s="8"/>
      <c r="G139" s="1"/>
      <c r="H139" s="8"/>
      <c r="I139" s="119"/>
      <c r="J139" s="4"/>
      <c r="K139" s="4">
        <f t="shared" si="57"/>
        <v>0</v>
      </c>
      <c r="L139" s="4">
        <f t="shared" si="58"/>
        <v>0</v>
      </c>
      <c r="M139" s="4"/>
      <c r="N139" s="4">
        <f t="shared" si="59"/>
        <v>0</v>
      </c>
      <c r="O139" s="4"/>
      <c r="P139" s="4"/>
      <c r="Q139" s="4">
        <f t="shared" si="60"/>
        <v>0</v>
      </c>
      <c r="R139" s="4">
        <f t="shared" si="61"/>
        <v>0</v>
      </c>
      <c r="S139" s="4"/>
      <c r="T139" s="4">
        <f t="shared" si="62"/>
        <v>0</v>
      </c>
      <c r="U139" s="4"/>
      <c r="V139" s="4"/>
      <c r="W139" s="4"/>
      <c r="X139" s="4"/>
      <c r="Y139" s="4"/>
      <c r="Z139" s="4"/>
      <c r="AA139" s="4">
        <f t="shared" si="63"/>
        <v>0</v>
      </c>
      <c r="AB139" s="4">
        <f t="shared" si="64"/>
        <v>0</v>
      </c>
      <c r="AC139" s="4"/>
      <c r="AD139" s="4">
        <f t="shared" si="65"/>
        <v>0</v>
      </c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3">
        <f t="shared" si="55"/>
        <v>0</v>
      </c>
      <c r="BY139" s="22">
        <f t="shared" si="56"/>
        <v>0</v>
      </c>
      <c r="CC139" s="417" t="str">
        <f t="shared" si="66"/>
        <v/>
      </c>
    </row>
    <row r="140" spans="1:81">
      <c r="A140" s="1"/>
      <c r="B140" s="8"/>
      <c r="C140" s="8"/>
      <c r="D140" s="1"/>
      <c r="E140" s="8"/>
      <c r="F140" s="8"/>
      <c r="G140" s="1"/>
      <c r="H140" s="8"/>
      <c r="I140" s="119"/>
      <c r="J140" s="4"/>
      <c r="K140" s="4">
        <f t="shared" si="57"/>
        <v>0</v>
      </c>
      <c r="L140" s="4">
        <f t="shared" si="58"/>
        <v>0</v>
      </c>
      <c r="M140" s="4"/>
      <c r="N140" s="4">
        <f t="shared" si="59"/>
        <v>0</v>
      </c>
      <c r="O140" s="4"/>
      <c r="P140" s="4"/>
      <c r="Q140" s="4">
        <f t="shared" si="60"/>
        <v>0</v>
      </c>
      <c r="R140" s="4">
        <f t="shared" si="61"/>
        <v>0</v>
      </c>
      <c r="S140" s="4"/>
      <c r="T140" s="4">
        <f t="shared" si="62"/>
        <v>0</v>
      </c>
      <c r="U140" s="4"/>
      <c r="V140" s="4"/>
      <c r="W140" s="4"/>
      <c r="X140" s="4"/>
      <c r="Y140" s="4"/>
      <c r="Z140" s="4"/>
      <c r="AA140" s="4">
        <f t="shared" si="63"/>
        <v>0</v>
      </c>
      <c r="AB140" s="4">
        <f t="shared" si="64"/>
        <v>0</v>
      </c>
      <c r="AC140" s="4"/>
      <c r="AD140" s="4">
        <f t="shared" si="65"/>
        <v>0</v>
      </c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3">
        <f t="shared" si="55"/>
        <v>0</v>
      </c>
      <c r="BY140" s="22">
        <f t="shared" si="56"/>
        <v>0</v>
      </c>
      <c r="CC140" s="417" t="str">
        <f t="shared" si="66"/>
        <v/>
      </c>
    </row>
    <row r="141" spans="1:81">
      <c r="A141" s="1"/>
      <c r="B141" s="8"/>
      <c r="C141" s="8"/>
      <c r="D141" s="1"/>
      <c r="E141" s="8"/>
      <c r="F141" s="8"/>
      <c r="G141" s="1"/>
      <c r="H141" s="8"/>
      <c r="I141" s="119"/>
      <c r="J141" s="4"/>
      <c r="K141" s="4">
        <f t="shared" si="57"/>
        <v>0</v>
      </c>
      <c r="L141" s="4">
        <f t="shared" si="58"/>
        <v>0</v>
      </c>
      <c r="M141" s="4"/>
      <c r="N141" s="4">
        <f t="shared" si="59"/>
        <v>0</v>
      </c>
      <c r="O141" s="4"/>
      <c r="P141" s="4"/>
      <c r="Q141" s="4">
        <f t="shared" si="60"/>
        <v>0</v>
      </c>
      <c r="R141" s="4">
        <f t="shared" si="61"/>
        <v>0</v>
      </c>
      <c r="S141" s="4"/>
      <c r="T141" s="4">
        <f t="shared" si="62"/>
        <v>0</v>
      </c>
      <c r="U141" s="4"/>
      <c r="V141" s="4"/>
      <c r="W141" s="4"/>
      <c r="X141" s="4"/>
      <c r="Y141" s="4"/>
      <c r="Z141" s="4"/>
      <c r="AA141" s="4">
        <f t="shared" si="63"/>
        <v>0</v>
      </c>
      <c r="AB141" s="4">
        <f t="shared" si="64"/>
        <v>0</v>
      </c>
      <c r="AC141" s="4"/>
      <c r="AD141" s="4">
        <f t="shared" si="65"/>
        <v>0</v>
      </c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3">
        <f t="shared" si="55"/>
        <v>0</v>
      </c>
      <c r="BY141" s="22">
        <f t="shared" si="56"/>
        <v>0</v>
      </c>
      <c r="CC141" s="417" t="str">
        <f t="shared" si="66"/>
        <v/>
      </c>
    </row>
    <row r="142" spans="1:81">
      <c r="A142" s="1"/>
      <c r="B142" s="8"/>
      <c r="C142" s="8"/>
      <c r="D142" s="1"/>
      <c r="E142" s="8"/>
      <c r="F142" s="8"/>
      <c r="G142" s="1"/>
      <c r="H142" s="8"/>
      <c r="I142" s="119"/>
      <c r="J142" s="4"/>
      <c r="K142" s="4">
        <f t="shared" si="57"/>
        <v>0</v>
      </c>
      <c r="L142" s="4">
        <f t="shared" si="58"/>
        <v>0</v>
      </c>
      <c r="M142" s="4"/>
      <c r="N142" s="4">
        <f t="shared" si="59"/>
        <v>0</v>
      </c>
      <c r="O142" s="4"/>
      <c r="P142" s="4"/>
      <c r="Q142" s="4">
        <f t="shared" si="60"/>
        <v>0</v>
      </c>
      <c r="R142" s="4">
        <f t="shared" si="61"/>
        <v>0</v>
      </c>
      <c r="S142" s="4"/>
      <c r="T142" s="4">
        <f t="shared" si="62"/>
        <v>0</v>
      </c>
      <c r="U142" s="4"/>
      <c r="V142" s="4"/>
      <c r="W142" s="4"/>
      <c r="X142" s="4"/>
      <c r="Y142" s="4"/>
      <c r="Z142" s="4"/>
      <c r="AA142" s="4">
        <f t="shared" si="63"/>
        <v>0</v>
      </c>
      <c r="AB142" s="4">
        <f t="shared" si="64"/>
        <v>0</v>
      </c>
      <c r="AC142" s="4"/>
      <c r="AD142" s="4">
        <f t="shared" si="65"/>
        <v>0</v>
      </c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3">
        <f t="shared" ref="BX142:BX205" si="67">SUM(D142:BW142)</f>
        <v>0</v>
      </c>
      <c r="BY142" s="22">
        <f t="shared" ref="BY142:BY205" si="68">D142+G142+H142+I142+J142+O142+P142+U142+V142+W142+X142+Y142+Z142+AE142+AF142+AG142+AH142+AI142+AM142+AN142+AR142+AS142+AT142+AU142+AV142+AW142</f>
        <v>0</v>
      </c>
      <c r="CC142" s="417" t="str">
        <f t="shared" si="66"/>
        <v/>
      </c>
    </row>
    <row r="143" spans="1:81">
      <c r="A143" s="1"/>
      <c r="B143" s="8"/>
      <c r="C143" s="8"/>
      <c r="D143" s="1"/>
      <c r="E143" s="8"/>
      <c r="F143" s="8"/>
      <c r="G143" s="1"/>
      <c r="H143" s="8"/>
      <c r="I143" s="119"/>
      <c r="J143" s="4"/>
      <c r="K143" s="4">
        <f t="shared" si="57"/>
        <v>0</v>
      </c>
      <c r="L143" s="4">
        <f t="shared" si="58"/>
        <v>0</v>
      </c>
      <c r="M143" s="4"/>
      <c r="N143" s="4">
        <f t="shared" si="59"/>
        <v>0</v>
      </c>
      <c r="O143" s="4"/>
      <c r="P143" s="4"/>
      <c r="Q143" s="4">
        <f t="shared" si="60"/>
        <v>0</v>
      </c>
      <c r="R143" s="4">
        <f t="shared" si="61"/>
        <v>0</v>
      </c>
      <c r="S143" s="4"/>
      <c r="T143" s="4">
        <f t="shared" si="62"/>
        <v>0</v>
      </c>
      <c r="U143" s="4"/>
      <c r="V143" s="4"/>
      <c r="W143" s="4"/>
      <c r="X143" s="4"/>
      <c r="Y143" s="4"/>
      <c r="Z143" s="4"/>
      <c r="AA143" s="4">
        <f t="shared" si="63"/>
        <v>0</v>
      </c>
      <c r="AB143" s="4">
        <f t="shared" si="64"/>
        <v>0</v>
      </c>
      <c r="AC143" s="4"/>
      <c r="AD143" s="4">
        <f t="shared" si="65"/>
        <v>0</v>
      </c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3">
        <f t="shared" si="67"/>
        <v>0</v>
      </c>
      <c r="BY143" s="22">
        <f t="shared" si="68"/>
        <v>0</v>
      </c>
      <c r="CC143" s="417" t="str">
        <f t="shared" si="66"/>
        <v/>
      </c>
    </row>
    <row r="144" spans="1:81">
      <c r="A144" s="1"/>
      <c r="B144" s="8"/>
      <c r="C144" s="8"/>
      <c r="D144" s="1"/>
      <c r="E144" s="8"/>
      <c r="F144" s="8"/>
      <c r="G144" s="1"/>
      <c r="H144" s="8"/>
      <c r="I144" s="119"/>
      <c r="J144" s="4"/>
      <c r="K144" s="4">
        <f t="shared" si="57"/>
        <v>0</v>
      </c>
      <c r="L144" s="4">
        <f t="shared" si="58"/>
        <v>0</v>
      </c>
      <c r="M144" s="4"/>
      <c r="N144" s="4">
        <f t="shared" si="59"/>
        <v>0</v>
      </c>
      <c r="O144" s="4"/>
      <c r="P144" s="4"/>
      <c r="Q144" s="4">
        <f t="shared" si="60"/>
        <v>0</v>
      </c>
      <c r="R144" s="4">
        <f t="shared" si="61"/>
        <v>0</v>
      </c>
      <c r="S144" s="4"/>
      <c r="T144" s="4">
        <f t="shared" si="62"/>
        <v>0</v>
      </c>
      <c r="U144" s="4"/>
      <c r="V144" s="4"/>
      <c r="W144" s="4"/>
      <c r="X144" s="4"/>
      <c r="Y144" s="4"/>
      <c r="Z144" s="4"/>
      <c r="AA144" s="4">
        <f t="shared" si="63"/>
        <v>0</v>
      </c>
      <c r="AB144" s="4">
        <f t="shared" si="64"/>
        <v>0</v>
      </c>
      <c r="AC144" s="4"/>
      <c r="AD144" s="4">
        <f t="shared" si="65"/>
        <v>0</v>
      </c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3">
        <f t="shared" si="67"/>
        <v>0</v>
      </c>
      <c r="BY144" s="22">
        <f t="shared" si="68"/>
        <v>0</v>
      </c>
      <c r="CC144" s="417" t="str">
        <f t="shared" si="66"/>
        <v/>
      </c>
    </row>
    <row r="145" spans="1:81">
      <c r="A145" s="1"/>
      <c r="B145" s="8"/>
      <c r="C145" s="8"/>
      <c r="D145" s="1"/>
      <c r="E145" s="8"/>
      <c r="F145" s="8"/>
      <c r="G145" s="1"/>
      <c r="H145" s="8"/>
      <c r="I145" s="119"/>
      <c r="J145" s="4"/>
      <c r="K145" s="4">
        <f t="shared" si="57"/>
        <v>0</v>
      </c>
      <c r="L145" s="4">
        <f t="shared" si="58"/>
        <v>0</v>
      </c>
      <c r="M145" s="4"/>
      <c r="N145" s="4">
        <f t="shared" si="59"/>
        <v>0</v>
      </c>
      <c r="O145" s="4"/>
      <c r="P145" s="4"/>
      <c r="Q145" s="4">
        <f t="shared" si="60"/>
        <v>0</v>
      </c>
      <c r="R145" s="4">
        <f t="shared" si="61"/>
        <v>0</v>
      </c>
      <c r="S145" s="4"/>
      <c r="T145" s="4">
        <f t="shared" si="62"/>
        <v>0</v>
      </c>
      <c r="U145" s="4"/>
      <c r="V145" s="4"/>
      <c r="W145" s="4"/>
      <c r="X145" s="4"/>
      <c r="Y145" s="4"/>
      <c r="Z145" s="4"/>
      <c r="AA145" s="4">
        <f t="shared" si="63"/>
        <v>0</v>
      </c>
      <c r="AB145" s="4">
        <f t="shared" si="64"/>
        <v>0</v>
      </c>
      <c r="AC145" s="4"/>
      <c r="AD145" s="4">
        <f t="shared" si="65"/>
        <v>0</v>
      </c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3">
        <f t="shared" si="67"/>
        <v>0</v>
      </c>
      <c r="BY145" s="22">
        <f t="shared" si="68"/>
        <v>0</v>
      </c>
      <c r="CC145" s="417" t="str">
        <f t="shared" si="66"/>
        <v/>
      </c>
    </row>
    <row r="146" spans="1:81">
      <c r="A146" s="1"/>
      <c r="B146" s="8"/>
      <c r="C146" s="8"/>
      <c r="D146" s="1"/>
      <c r="E146" s="8"/>
      <c r="F146" s="8"/>
      <c r="G146" s="1"/>
      <c r="H146" s="8"/>
      <c r="I146" s="119"/>
      <c r="J146" s="4"/>
      <c r="K146" s="4">
        <f t="shared" si="57"/>
        <v>0</v>
      </c>
      <c r="L146" s="4">
        <f t="shared" si="58"/>
        <v>0</v>
      </c>
      <c r="M146" s="4"/>
      <c r="N146" s="4">
        <f t="shared" si="59"/>
        <v>0</v>
      </c>
      <c r="O146" s="4"/>
      <c r="P146" s="4"/>
      <c r="Q146" s="4">
        <f t="shared" si="60"/>
        <v>0</v>
      </c>
      <c r="R146" s="4">
        <f t="shared" si="61"/>
        <v>0</v>
      </c>
      <c r="S146" s="4"/>
      <c r="T146" s="4">
        <f t="shared" si="62"/>
        <v>0</v>
      </c>
      <c r="U146" s="4"/>
      <c r="V146" s="4"/>
      <c r="W146" s="4"/>
      <c r="X146" s="4"/>
      <c r="Y146" s="4"/>
      <c r="Z146" s="4"/>
      <c r="AA146" s="4">
        <f t="shared" si="63"/>
        <v>0</v>
      </c>
      <c r="AB146" s="4">
        <f t="shared" si="64"/>
        <v>0</v>
      </c>
      <c r="AC146" s="4"/>
      <c r="AD146" s="4">
        <f t="shared" si="65"/>
        <v>0</v>
      </c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3">
        <f t="shared" si="67"/>
        <v>0</v>
      </c>
      <c r="BY146" s="22">
        <f t="shared" si="68"/>
        <v>0</v>
      </c>
      <c r="CC146" s="417" t="str">
        <f t="shared" si="66"/>
        <v/>
      </c>
    </row>
    <row r="147" spans="1:81">
      <c r="A147" s="1"/>
      <c r="B147" s="8"/>
      <c r="C147" s="8"/>
      <c r="D147" s="1"/>
      <c r="E147" s="8"/>
      <c r="F147" s="8"/>
      <c r="G147" s="1"/>
      <c r="H147" s="8"/>
      <c r="I147" s="119"/>
      <c r="J147" s="4"/>
      <c r="K147" s="4">
        <f t="shared" si="57"/>
        <v>0</v>
      </c>
      <c r="L147" s="4">
        <f t="shared" si="58"/>
        <v>0</v>
      </c>
      <c r="M147" s="4"/>
      <c r="N147" s="4">
        <f t="shared" si="59"/>
        <v>0</v>
      </c>
      <c r="O147" s="4"/>
      <c r="P147" s="4"/>
      <c r="Q147" s="4">
        <f t="shared" si="60"/>
        <v>0</v>
      </c>
      <c r="R147" s="4">
        <f t="shared" si="61"/>
        <v>0</v>
      </c>
      <c r="S147" s="4"/>
      <c r="T147" s="4">
        <f t="shared" si="62"/>
        <v>0</v>
      </c>
      <c r="U147" s="4"/>
      <c r="V147" s="4"/>
      <c r="W147" s="4"/>
      <c r="X147" s="4"/>
      <c r="Y147" s="4"/>
      <c r="Z147" s="4"/>
      <c r="AA147" s="4">
        <f t="shared" si="63"/>
        <v>0</v>
      </c>
      <c r="AB147" s="4">
        <f t="shared" si="64"/>
        <v>0</v>
      </c>
      <c r="AC147" s="4"/>
      <c r="AD147" s="4">
        <f t="shared" si="65"/>
        <v>0</v>
      </c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3">
        <f t="shared" si="67"/>
        <v>0</v>
      </c>
      <c r="BY147" s="22">
        <f t="shared" si="68"/>
        <v>0</v>
      </c>
      <c r="CC147" s="417" t="str">
        <f t="shared" si="66"/>
        <v/>
      </c>
    </row>
    <row r="148" spans="1:81">
      <c r="A148" s="1"/>
      <c r="B148" s="8"/>
      <c r="C148" s="8"/>
      <c r="D148" s="1"/>
      <c r="E148" s="8"/>
      <c r="F148" s="8"/>
      <c r="G148" s="1"/>
      <c r="H148" s="8"/>
      <c r="I148" s="119"/>
      <c r="J148" s="4"/>
      <c r="K148" s="4">
        <f t="shared" si="57"/>
        <v>0</v>
      </c>
      <c r="L148" s="4">
        <f t="shared" si="58"/>
        <v>0</v>
      </c>
      <c r="M148" s="4"/>
      <c r="N148" s="4">
        <f t="shared" si="59"/>
        <v>0</v>
      </c>
      <c r="O148" s="4"/>
      <c r="P148" s="4"/>
      <c r="Q148" s="4">
        <f t="shared" si="60"/>
        <v>0</v>
      </c>
      <c r="R148" s="4">
        <f t="shared" si="61"/>
        <v>0</v>
      </c>
      <c r="S148" s="4"/>
      <c r="T148" s="4">
        <f t="shared" si="62"/>
        <v>0</v>
      </c>
      <c r="U148" s="4"/>
      <c r="V148" s="4"/>
      <c r="W148" s="4"/>
      <c r="X148" s="4"/>
      <c r="Y148" s="4"/>
      <c r="Z148" s="4"/>
      <c r="AA148" s="4">
        <f t="shared" si="63"/>
        <v>0</v>
      </c>
      <c r="AB148" s="4">
        <f t="shared" si="64"/>
        <v>0</v>
      </c>
      <c r="AC148" s="4"/>
      <c r="AD148" s="4">
        <f t="shared" si="65"/>
        <v>0</v>
      </c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3">
        <f t="shared" si="67"/>
        <v>0</v>
      </c>
      <c r="BY148" s="22">
        <f t="shared" si="68"/>
        <v>0</v>
      </c>
      <c r="CC148" s="417" t="str">
        <f t="shared" si="66"/>
        <v/>
      </c>
    </row>
    <row r="149" spans="1:81">
      <c r="A149" s="1"/>
      <c r="B149" s="8"/>
      <c r="C149" s="8"/>
      <c r="D149" s="1"/>
      <c r="E149" s="8"/>
      <c r="F149" s="8"/>
      <c r="G149" s="1"/>
      <c r="H149" s="8"/>
      <c r="I149" s="119"/>
      <c r="J149" s="4"/>
      <c r="K149" s="4">
        <f t="shared" si="57"/>
        <v>0</v>
      </c>
      <c r="L149" s="4">
        <f t="shared" si="58"/>
        <v>0</v>
      </c>
      <c r="M149" s="4"/>
      <c r="N149" s="4">
        <f t="shared" si="59"/>
        <v>0</v>
      </c>
      <c r="O149" s="4"/>
      <c r="P149" s="4"/>
      <c r="Q149" s="4">
        <f t="shared" si="60"/>
        <v>0</v>
      </c>
      <c r="R149" s="4">
        <f t="shared" si="61"/>
        <v>0</v>
      </c>
      <c r="S149" s="4"/>
      <c r="T149" s="4">
        <f t="shared" si="62"/>
        <v>0</v>
      </c>
      <c r="U149" s="4"/>
      <c r="V149" s="4"/>
      <c r="W149" s="4"/>
      <c r="X149" s="4"/>
      <c r="Y149" s="4"/>
      <c r="Z149" s="4"/>
      <c r="AA149" s="4">
        <f t="shared" si="63"/>
        <v>0</v>
      </c>
      <c r="AB149" s="4">
        <f t="shared" si="64"/>
        <v>0</v>
      </c>
      <c r="AC149" s="4"/>
      <c r="AD149" s="4">
        <f t="shared" si="65"/>
        <v>0</v>
      </c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3">
        <f t="shared" si="67"/>
        <v>0</v>
      </c>
      <c r="BY149" s="22">
        <f t="shared" si="68"/>
        <v>0</v>
      </c>
      <c r="CC149" s="417" t="str">
        <f t="shared" si="66"/>
        <v/>
      </c>
    </row>
    <row r="150" spans="1:81">
      <c r="A150" s="1"/>
      <c r="B150" s="8"/>
      <c r="C150" s="8"/>
      <c r="D150" s="1"/>
      <c r="E150" s="8"/>
      <c r="F150" s="8"/>
      <c r="G150" s="1"/>
      <c r="H150" s="8"/>
      <c r="I150" s="119"/>
      <c r="J150" s="4"/>
      <c r="K150" s="4">
        <f t="shared" si="57"/>
        <v>0</v>
      </c>
      <c r="L150" s="4">
        <f t="shared" si="58"/>
        <v>0</v>
      </c>
      <c r="M150" s="4"/>
      <c r="N150" s="4">
        <f t="shared" si="59"/>
        <v>0</v>
      </c>
      <c r="O150" s="4"/>
      <c r="P150" s="4"/>
      <c r="Q150" s="4">
        <f t="shared" si="60"/>
        <v>0</v>
      </c>
      <c r="R150" s="4">
        <f t="shared" si="61"/>
        <v>0</v>
      </c>
      <c r="S150" s="4"/>
      <c r="T150" s="4">
        <f t="shared" si="62"/>
        <v>0</v>
      </c>
      <c r="U150" s="4"/>
      <c r="V150" s="4"/>
      <c r="W150" s="4"/>
      <c r="X150" s="4"/>
      <c r="Y150" s="4"/>
      <c r="Z150" s="4"/>
      <c r="AA150" s="4">
        <f t="shared" si="63"/>
        <v>0</v>
      </c>
      <c r="AB150" s="4">
        <f t="shared" si="64"/>
        <v>0</v>
      </c>
      <c r="AC150" s="4"/>
      <c r="AD150" s="4">
        <f t="shared" si="65"/>
        <v>0</v>
      </c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3">
        <f t="shared" si="67"/>
        <v>0</v>
      </c>
      <c r="BY150" s="22">
        <f t="shared" si="68"/>
        <v>0</v>
      </c>
      <c r="CC150" s="417" t="str">
        <f t="shared" si="66"/>
        <v/>
      </c>
    </row>
    <row r="151" spans="1:81">
      <c r="A151" s="1"/>
      <c r="B151" s="8"/>
      <c r="C151" s="8"/>
      <c r="D151" s="1"/>
      <c r="E151" s="8"/>
      <c r="F151" s="8"/>
      <c r="G151" s="1"/>
      <c r="H151" s="8"/>
      <c r="I151" s="119"/>
      <c r="J151" s="4"/>
      <c r="K151" s="4">
        <f t="shared" si="57"/>
        <v>0</v>
      </c>
      <c r="L151" s="4">
        <f t="shared" si="58"/>
        <v>0</v>
      </c>
      <c r="M151" s="4"/>
      <c r="N151" s="4">
        <f t="shared" si="59"/>
        <v>0</v>
      </c>
      <c r="O151" s="4"/>
      <c r="P151" s="4"/>
      <c r="Q151" s="4">
        <f t="shared" si="60"/>
        <v>0</v>
      </c>
      <c r="R151" s="4">
        <f t="shared" si="61"/>
        <v>0</v>
      </c>
      <c r="S151" s="4"/>
      <c r="T151" s="4">
        <f t="shared" si="62"/>
        <v>0</v>
      </c>
      <c r="U151" s="4"/>
      <c r="V151" s="4"/>
      <c r="W151" s="4"/>
      <c r="X151" s="4"/>
      <c r="Y151" s="4"/>
      <c r="Z151" s="4"/>
      <c r="AA151" s="4">
        <f t="shared" si="63"/>
        <v>0</v>
      </c>
      <c r="AB151" s="4">
        <f t="shared" si="64"/>
        <v>0</v>
      </c>
      <c r="AC151" s="4"/>
      <c r="AD151" s="4">
        <f t="shared" si="65"/>
        <v>0</v>
      </c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3">
        <f t="shared" si="67"/>
        <v>0</v>
      </c>
      <c r="BY151" s="22">
        <f t="shared" si="68"/>
        <v>0</v>
      </c>
      <c r="CC151" s="417" t="str">
        <f t="shared" si="66"/>
        <v/>
      </c>
    </row>
    <row r="152" spans="1:81">
      <c r="A152" s="1"/>
      <c r="B152" s="8"/>
      <c r="C152" s="8"/>
      <c r="D152" s="1"/>
      <c r="E152" s="8"/>
      <c r="F152" s="8"/>
      <c r="G152" s="1"/>
      <c r="H152" s="8"/>
      <c r="I152" s="119"/>
      <c r="J152" s="4"/>
      <c r="K152" s="4">
        <f t="shared" si="57"/>
        <v>0</v>
      </c>
      <c r="L152" s="4">
        <f t="shared" si="58"/>
        <v>0</v>
      </c>
      <c r="M152" s="4"/>
      <c r="N152" s="4">
        <f t="shared" si="59"/>
        <v>0</v>
      </c>
      <c r="O152" s="4"/>
      <c r="P152" s="4"/>
      <c r="Q152" s="4">
        <f t="shared" si="60"/>
        <v>0</v>
      </c>
      <c r="R152" s="4">
        <f t="shared" si="61"/>
        <v>0</v>
      </c>
      <c r="S152" s="4"/>
      <c r="T152" s="4">
        <f t="shared" si="62"/>
        <v>0</v>
      </c>
      <c r="U152" s="4"/>
      <c r="V152" s="4"/>
      <c r="W152" s="4"/>
      <c r="X152" s="4"/>
      <c r="Y152" s="4"/>
      <c r="Z152" s="4"/>
      <c r="AA152" s="4">
        <f t="shared" si="63"/>
        <v>0</v>
      </c>
      <c r="AB152" s="4">
        <f t="shared" si="64"/>
        <v>0</v>
      </c>
      <c r="AC152" s="4"/>
      <c r="AD152" s="4">
        <f t="shared" si="65"/>
        <v>0</v>
      </c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3">
        <f t="shared" si="67"/>
        <v>0</v>
      </c>
      <c r="BY152" s="22">
        <f t="shared" si="68"/>
        <v>0</v>
      </c>
      <c r="CC152" s="417" t="str">
        <f t="shared" si="66"/>
        <v/>
      </c>
    </row>
    <row r="153" spans="1:81">
      <c r="A153" s="1"/>
      <c r="B153" s="8"/>
      <c r="C153" s="8"/>
      <c r="D153" s="1"/>
      <c r="E153" s="8"/>
      <c r="F153" s="8"/>
      <c r="G153" s="1"/>
      <c r="H153" s="8"/>
      <c r="I153" s="119"/>
      <c r="J153" s="4"/>
      <c r="K153" s="4">
        <f t="shared" si="57"/>
        <v>0</v>
      </c>
      <c r="L153" s="4">
        <f t="shared" si="58"/>
        <v>0</v>
      </c>
      <c r="M153" s="4"/>
      <c r="N153" s="4">
        <f t="shared" si="59"/>
        <v>0</v>
      </c>
      <c r="O153" s="4"/>
      <c r="P153" s="4"/>
      <c r="Q153" s="4">
        <f t="shared" si="60"/>
        <v>0</v>
      </c>
      <c r="R153" s="4">
        <f t="shared" si="61"/>
        <v>0</v>
      </c>
      <c r="S153" s="4"/>
      <c r="T153" s="4">
        <f t="shared" si="62"/>
        <v>0</v>
      </c>
      <c r="U153" s="4"/>
      <c r="V153" s="4"/>
      <c r="W153" s="4"/>
      <c r="X153" s="4"/>
      <c r="Y153" s="4"/>
      <c r="Z153" s="4"/>
      <c r="AA153" s="4">
        <f t="shared" si="63"/>
        <v>0</v>
      </c>
      <c r="AB153" s="4">
        <f t="shared" si="64"/>
        <v>0</v>
      </c>
      <c r="AC153" s="4"/>
      <c r="AD153" s="4">
        <f t="shared" si="65"/>
        <v>0</v>
      </c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3">
        <f t="shared" si="67"/>
        <v>0</v>
      </c>
      <c r="BY153" s="22">
        <f t="shared" si="68"/>
        <v>0</v>
      </c>
      <c r="CC153" s="417" t="str">
        <f t="shared" si="66"/>
        <v/>
      </c>
    </row>
    <row r="154" spans="1:81">
      <c r="A154" s="1"/>
      <c r="B154" s="8"/>
      <c r="C154" s="8"/>
      <c r="D154" s="1"/>
      <c r="E154" s="8"/>
      <c r="F154" s="8"/>
      <c r="G154" s="1"/>
      <c r="H154" s="8"/>
      <c r="I154" s="119"/>
      <c r="J154" s="4"/>
      <c r="K154" s="4">
        <f t="shared" si="57"/>
        <v>0</v>
      </c>
      <c r="L154" s="4">
        <f t="shared" si="58"/>
        <v>0</v>
      </c>
      <c r="M154" s="4"/>
      <c r="N154" s="4">
        <f t="shared" si="59"/>
        <v>0</v>
      </c>
      <c r="O154" s="4"/>
      <c r="P154" s="4"/>
      <c r="Q154" s="4">
        <f t="shared" si="60"/>
        <v>0</v>
      </c>
      <c r="R154" s="4">
        <f t="shared" si="61"/>
        <v>0</v>
      </c>
      <c r="S154" s="4"/>
      <c r="T154" s="4">
        <f t="shared" si="62"/>
        <v>0</v>
      </c>
      <c r="U154" s="4"/>
      <c r="V154" s="4"/>
      <c r="W154" s="4"/>
      <c r="X154" s="4"/>
      <c r="Y154" s="4"/>
      <c r="Z154" s="4"/>
      <c r="AA154" s="4">
        <f t="shared" si="63"/>
        <v>0</v>
      </c>
      <c r="AB154" s="4">
        <f t="shared" si="64"/>
        <v>0</v>
      </c>
      <c r="AC154" s="4"/>
      <c r="AD154" s="4">
        <f t="shared" si="65"/>
        <v>0</v>
      </c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3">
        <f t="shared" si="67"/>
        <v>0</v>
      </c>
      <c r="BY154" s="22">
        <f t="shared" si="68"/>
        <v>0</v>
      </c>
      <c r="CC154" s="417" t="str">
        <f t="shared" si="66"/>
        <v/>
      </c>
    </row>
    <row r="155" spans="1:81">
      <c r="A155" s="1"/>
      <c r="B155" s="8"/>
      <c r="C155" s="8"/>
      <c r="D155" s="1"/>
      <c r="E155" s="8"/>
      <c r="F155" s="8"/>
      <c r="G155" s="1"/>
      <c r="H155" s="8"/>
      <c r="I155" s="119"/>
      <c r="J155" s="4"/>
      <c r="K155" s="4">
        <f t="shared" si="57"/>
        <v>0</v>
      </c>
      <c r="L155" s="4">
        <f t="shared" si="58"/>
        <v>0</v>
      </c>
      <c r="M155" s="4"/>
      <c r="N155" s="4">
        <f t="shared" si="59"/>
        <v>0</v>
      </c>
      <c r="O155" s="4"/>
      <c r="P155" s="4"/>
      <c r="Q155" s="4">
        <f t="shared" si="60"/>
        <v>0</v>
      </c>
      <c r="R155" s="4">
        <f t="shared" si="61"/>
        <v>0</v>
      </c>
      <c r="S155" s="4"/>
      <c r="T155" s="4">
        <f t="shared" si="62"/>
        <v>0</v>
      </c>
      <c r="U155" s="4"/>
      <c r="V155" s="4"/>
      <c r="W155" s="4"/>
      <c r="X155" s="4"/>
      <c r="Y155" s="4"/>
      <c r="Z155" s="4"/>
      <c r="AA155" s="4">
        <f t="shared" si="63"/>
        <v>0</v>
      </c>
      <c r="AB155" s="4">
        <f t="shared" si="64"/>
        <v>0</v>
      </c>
      <c r="AC155" s="4"/>
      <c r="AD155" s="4">
        <f t="shared" si="65"/>
        <v>0</v>
      </c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3">
        <f t="shared" si="67"/>
        <v>0</v>
      </c>
      <c r="BY155" s="22">
        <f t="shared" si="68"/>
        <v>0</v>
      </c>
      <c r="CC155" s="417" t="str">
        <f t="shared" si="66"/>
        <v/>
      </c>
    </row>
    <row r="156" spans="1:81">
      <c r="A156" s="1"/>
      <c r="B156" s="8"/>
      <c r="C156" s="8"/>
      <c r="D156" s="1"/>
      <c r="E156" s="8"/>
      <c r="F156" s="8"/>
      <c r="G156" s="1"/>
      <c r="H156" s="8"/>
      <c r="I156" s="119"/>
      <c r="J156" s="4"/>
      <c r="K156" s="4">
        <f t="shared" si="57"/>
        <v>0</v>
      </c>
      <c r="L156" s="4">
        <f t="shared" si="58"/>
        <v>0</v>
      </c>
      <c r="M156" s="4"/>
      <c r="N156" s="4">
        <f t="shared" si="59"/>
        <v>0</v>
      </c>
      <c r="O156" s="4"/>
      <c r="P156" s="4"/>
      <c r="Q156" s="4">
        <f t="shared" si="60"/>
        <v>0</v>
      </c>
      <c r="R156" s="4">
        <f t="shared" si="61"/>
        <v>0</v>
      </c>
      <c r="S156" s="4"/>
      <c r="T156" s="4">
        <f t="shared" si="62"/>
        <v>0</v>
      </c>
      <c r="U156" s="4"/>
      <c r="V156" s="4"/>
      <c r="W156" s="4"/>
      <c r="X156" s="4"/>
      <c r="Y156" s="4"/>
      <c r="Z156" s="4"/>
      <c r="AA156" s="4">
        <f t="shared" si="63"/>
        <v>0</v>
      </c>
      <c r="AB156" s="4">
        <f t="shared" si="64"/>
        <v>0</v>
      </c>
      <c r="AC156" s="4"/>
      <c r="AD156" s="4">
        <f t="shared" si="65"/>
        <v>0</v>
      </c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3">
        <f t="shared" si="67"/>
        <v>0</v>
      </c>
      <c r="BY156" s="22">
        <f t="shared" si="68"/>
        <v>0</v>
      </c>
      <c r="CC156" s="417" t="str">
        <f t="shared" si="66"/>
        <v/>
      </c>
    </row>
    <row r="157" spans="1:81">
      <c r="A157" s="1"/>
      <c r="B157" s="8"/>
      <c r="C157" s="8"/>
      <c r="D157" s="1"/>
      <c r="E157" s="8"/>
      <c r="F157" s="8"/>
      <c r="G157" s="1"/>
      <c r="H157" s="8"/>
      <c r="I157" s="119"/>
      <c r="J157" s="4"/>
      <c r="K157" s="4">
        <f t="shared" si="57"/>
        <v>0</v>
      </c>
      <c r="L157" s="4">
        <f t="shared" si="58"/>
        <v>0</v>
      </c>
      <c r="M157" s="4"/>
      <c r="N157" s="4">
        <f t="shared" si="59"/>
        <v>0</v>
      </c>
      <c r="O157" s="4"/>
      <c r="P157" s="4"/>
      <c r="Q157" s="4">
        <f t="shared" si="60"/>
        <v>0</v>
      </c>
      <c r="R157" s="4">
        <f t="shared" si="61"/>
        <v>0</v>
      </c>
      <c r="S157" s="4"/>
      <c r="T157" s="4">
        <f t="shared" si="62"/>
        <v>0</v>
      </c>
      <c r="U157" s="4"/>
      <c r="V157" s="4"/>
      <c r="W157" s="4"/>
      <c r="X157" s="4"/>
      <c r="Y157" s="4"/>
      <c r="Z157" s="4"/>
      <c r="AA157" s="4">
        <f t="shared" si="63"/>
        <v>0</v>
      </c>
      <c r="AB157" s="4">
        <f t="shared" si="64"/>
        <v>0</v>
      </c>
      <c r="AC157" s="4"/>
      <c r="AD157" s="4">
        <f t="shared" si="65"/>
        <v>0</v>
      </c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3">
        <f t="shared" si="67"/>
        <v>0</v>
      </c>
      <c r="BY157" s="22">
        <f t="shared" si="68"/>
        <v>0</v>
      </c>
      <c r="CC157" s="417" t="str">
        <f t="shared" si="66"/>
        <v/>
      </c>
    </row>
    <row r="158" spans="1:81">
      <c r="A158" s="1"/>
      <c r="B158" s="8"/>
      <c r="C158" s="8"/>
      <c r="D158" s="1"/>
      <c r="E158" s="8"/>
      <c r="F158" s="8"/>
      <c r="G158" s="1"/>
      <c r="H158" s="8"/>
      <c r="I158" s="119"/>
      <c r="J158" s="4"/>
      <c r="K158" s="4">
        <f t="shared" si="57"/>
        <v>0</v>
      </c>
      <c r="L158" s="4">
        <f t="shared" si="58"/>
        <v>0</v>
      </c>
      <c r="M158" s="4"/>
      <c r="N158" s="4">
        <f t="shared" si="59"/>
        <v>0</v>
      </c>
      <c r="O158" s="4"/>
      <c r="P158" s="4"/>
      <c r="Q158" s="4">
        <f t="shared" si="60"/>
        <v>0</v>
      </c>
      <c r="R158" s="4">
        <f t="shared" si="61"/>
        <v>0</v>
      </c>
      <c r="S158" s="4"/>
      <c r="T158" s="4">
        <f t="shared" si="62"/>
        <v>0</v>
      </c>
      <c r="U158" s="4"/>
      <c r="V158" s="4"/>
      <c r="W158" s="4"/>
      <c r="X158" s="4"/>
      <c r="Y158" s="4"/>
      <c r="Z158" s="4"/>
      <c r="AA158" s="4">
        <f t="shared" si="63"/>
        <v>0</v>
      </c>
      <c r="AB158" s="4">
        <f t="shared" si="64"/>
        <v>0</v>
      </c>
      <c r="AC158" s="4"/>
      <c r="AD158" s="4">
        <f t="shared" si="65"/>
        <v>0</v>
      </c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3">
        <f t="shared" si="67"/>
        <v>0</v>
      </c>
      <c r="BY158" s="22">
        <f t="shared" si="68"/>
        <v>0</v>
      </c>
      <c r="CC158" s="417" t="str">
        <f t="shared" si="66"/>
        <v/>
      </c>
    </row>
    <row r="159" spans="1:81">
      <c r="A159" s="1"/>
      <c r="B159" s="8"/>
      <c r="C159" s="8"/>
      <c r="D159" s="1"/>
      <c r="E159" s="8"/>
      <c r="F159" s="8"/>
      <c r="G159" s="1"/>
      <c r="H159" s="8"/>
      <c r="I159" s="119"/>
      <c r="J159" s="4"/>
      <c r="K159" s="4">
        <f t="shared" si="57"/>
        <v>0</v>
      </c>
      <c r="L159" s="4">
        <f t="shared" si="58"/>
        <v>0</v>
      </c>
      <c r="M159" s="4"/>
      <c r="N159" s="4">
        <f t="shared" si="59"/>
        <v>0</v>
      </c>
      <c r="O159" s="4"/>
      <c r="P159" s="4"/>
      <c r="Q159" s="4">
        <f t="shared" si="60"/>
        <v>0</v>
      </c>
      <c r="R159" s="4">
        <f t="shared" si="61"/>
        <v>0</v>
      </c>
      <c r="S159" s="4"/>
      <c r="T159" s="4">
        <f t="shared" si="62"/>
        <v>0</v>
      </c>
      <c r="U159" s="4"/>
      <c r="V159" s="4"/>
      <c r="W159" s="4"/>
      <c r="X159" s="4"/>
      <c r="Y159" s="4"/>
      <c r="Z159" s="4"/>
      <c r="AA159" s="4">
        <f t="shared" si="63"/>
        <v>0</v>
      </c>
      <c r="AB159" s="4">
        <f t="shared" si="64"/>
        <v>0</v>
      </c>
      <c r="AC159" s="4"/>
      <c r="AD159" s="4">
        <f t="shared" si="65"/>
        <v>0</v>
      </c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3">
        <f t="shared" si="67"/>
        <v>0</v>
      </c>
      <c r="BY159" s="22">
        <f t="shared" si="68"/>
        <v>0</v>
      </c>
      <c r="CC159" s="417" t="str">
        <f t="shared" si="66"/>
        <v/>
      </c>
    </row>
    <row r="160" spans="1:81">
      <c r="A160" s="1"/>
      <c r="B160" s="8"/>
      <c r="C160" s="8"/>
      <c r="D160" s="1"/>
      <c r="E160" s="8"/>
      <c r="F160" s="8"/>
      <c r="G160" s="1"/>
      <c r="H160" s="8"/>
      <c r="I160" s="119"/>
      <c r="J160" s="4"/>
      <c r="K160" s="4">
        <f t="shared" si="57"/>
        <v>0</v>
      </c>
      <c r="L160" s="4">
        <f t="shared" si="58"/>
        <v>0</v>
      </c>
      <c r="M160" s="4"/>
      <c r="N160" s="4">
        <f t="shared" si="59"/>
        <v>0</v>
      </c>
      <c r="O160" s="4"/>
      <c r="P160" s="4"/>
      <c r="Q160" s="4">
        <f t="shared" si="60"/>
        <v>0</v>
      </c>
      <c r="R160" s="4">
        <f t="shared" si="61"/>
        <v>0</v>
      </c>
      <c r="S160" s="4"/>
      <c r="T160" s="4">
        <f t="shared" si="62"/>
        <v>0</v>
      </c>
      <c r="U160" s="4"/>
      <c r="V160" s="4"/>
      <c r="W160" s="4"/>
      <c r="X160" s="4"/>
      <c r="Y160" s="4"/>
      <c r="Z160" s="4"/>
      <c r="AA160" s="4">
        <f t="shared" si="63"/>
        <v>0</v>
      </c>
      <c r="AB160" s="4">
        <f t="shared" si="64"/>
        <v>0</v>
      </c>
      <c r="AC160" s="4"/>
      <c r="AD160" s="4">
        <f t="shared" si="65"/>
        <v>0</v>
      </c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3">
        <f t="shared" si="67"/>
        <v>0</v>
      </c>
      <c r="BY160" s="22">
        <f t="shared" si="68"/>
        <v>0</v>
      </c>
      <c r="CC160" s="417" t="str">
        <f t="shared" si="66"/>
        <v/>
      </c>
    </row>
    <row r="161" spans="1:81">
      <c r="A161" s="1"/>
      <c r="B161" s="8"/>
      <c r="C161" s="8"/>
      <c r="D161" s="1"/>
      <c r="E161" s="8"/>
      <c r="F161" s="8"/>
      <c r="G161" s="1"/>
      <c r="H161" s="8"/>
      <c r="I161" s="119"/>
      <c r="J161" s="4"/>
      <c r="K161" s="4">
        <f t="shared" si="57"/>
        <v>0</v>
      </c>
      <c r="L161" s="4">
        <f t="shared" si="58"/>
        <v>0</v>
      </c>
      <c r="M161" s="4"/>
      <c r="N161" s="4">
        <f t="shared" si="59"/>
        <v>0</v>
      </c>
      <c r="O161" s="4"/>
      <c r="P161" s="4"/>
      <c r="Q161" s="4">
        <f t="shared" si="60"/>
        <v>0</v>
      </c>
      <c r="R161" s="4">
        <f t="shared" si="61"/>
        <v>0</v>
      </c>
      <c r="S161" s="4"/>
      <c r="T161" s="4">
        <f t="shared" si="62"/>
        <v>0</v>
      </c>
      <c r="U161" s="4"/>
      <c r="V161" s="4"/>
      <c r="W161" s="4"/>
      <c r="X161" s="4"/>
      <c r="Y161" s="4"/>
      <c r="Z161" s="4"/>
      <c r="AA161" s="4">
        <f t="shared" si="63"/>
        <v>0</v>
      </c>
      <c r="AB161" s="4">
        <f t="shared" si="64"/>
        <v>0</v>
      </c>
      <c r="AC161" s="4"/>
      <c r="AD161" s="4">
        <f t="shared" si="65"/>
        <v>0</v>
      </c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3">
        <f t="shared" si="67"/>
        <v>0</v>
      </c>
      <c r="BY161" s="22">
        <f t="shared" si="68"/>
        <v>0</v>
      </c>
      <c r="CC161" s="417" t="str">
        <f t="shared" si="66"/>
        <v/>
      </c>
    </row>
    <row r="162" spans="1:81">
      <c r="A162" s="1"/>
      <c r="B162" s="8"/>
      <c r="C162" s="8"/>
      <c r="D162" s="1"/>
      <c r="E162" s="8"/>
      <c r="F162" s="8"/>
      <c r="G162" s="1"/>
      <c r="H162" s="8"/>
      <c r="I162" s="119"/>
      <c r="J162" s="4"/>
      <c r="K162" s="4">
        <f t="shared" si="57"/>
        <v>0</v>
      </c>
      <c r="L162" s="4">
        <f t="shared" si="58"/>
        <v>0</v>
      </c>
      <c r="M162" s="4"/>
      <c r="N162" s="4">
        <f t="shared" si="59"/>
        <v>0</v>
      </c>
      <c r="O162" s="4"/>
      <c r="P162" s="4"/>
      <c r="Q162" s="4">
        <f t="shared" si="60"/>
        <v>0</v>
      </c>
      <c r="R162" s="4">
        <f t="shared" si="61"/>
        <v>0</v>
      </c>
      <c r="S162" s="4"/>
      <c r="T162" s="4">
        <f t="shared" si="62"/>
        <v>0</v>
      </c>
      <c r="U162" s="4"/>
      <c r="V162" s="4"/>
      <c r="W162" s="4"/>
      <c r="X162" s="4"/>
      <c r="Y162" s="4"/>
      <c r="Z162" s="4"/>
      <c r="AA162" s="4">
        <f t="shared" si="63"/>
        <v>0</v>
      </c>
      <c r="AB162" s="4">
        <f t="shared" si="64"/>
        <v>0</v>
      </c>
      <c r="AC162" s="4"/>
      <c r="AD162" s="4">
        <f t="shared" si="65"/>
        <v>0</v>
      </c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3">
        <f t="shared" si="67"/>
        <v>0</v>
      </c>
      <c r="BY162" s="22">
        <f t="shared" si="68"/>
        <v>0</v>
      </c>
      <c r="CC162" s="417" t="str">
        <f t="shared" si="66"/>
        <v/>
      </c>
    </row>
    <row r="163" spans="1:81">
      <c r="A163" s="1"/>
      <c r="B163" s="8"/>
      <c r="C163" s="8"/>
      <c r="D163" s="1"/>
      <c r="E163" s="8"/>
      <c r="F163" s="8"/>
      <c r="G163" s="1"/>
      <c r="H163" s="8"/>
      <c r="I163" s="119"/>
      <c r="J163" s="4"/>
      <c r="K163" s="4">
        <f t="shared" si="57"/>
        <v>0</v>
      </c>
      <c r="L163" s="4">
        <f t="shared" si="58"/>
        <v>0</v>
      </c>
      <c r="M163" s="4"/>
      <c r="N163" s="4">
        <f t="shared" si="59"/>
        <v>0</v>
      </c>
      <c r="O163" s="4"/>
      <c r="P163" s="4"/>
      <c r="Q163" s="4">
        <f t="shared" si="60"/>
        <v>0</v>
      </c>
      <c r="R163" s="4">
        <f t="shared" si="61"/>
        <v>0</v>
      </c>
      <c r="S163" s="4"/>
      <c r="T163" s="4">
        <f t="shared" si="62"/>
        <v>0</v>
      </c>
      <c r="U163" s="4"/>
      <c r="V163" s="4"/>
      <c r="W163" s="4"/>
      <c r="X163" s="4"/>
      <c r="Y163" s="4"/>
      <c r="Z163" s="4"/>
      <c r="AA163" s="4">
        <f t="shared" si="63"/>
        <v>0</v>
      </c>
      <c r="AB163" s="4">
        <f t="shared" si="64"/>
        <v>0</v>
      </c>
      <c r="AC163" s="4"/>
      <c r="AD163" s="4">
        <f t="shared" si="65"/>
        <v>0</v>
      </c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3">
        <f t="shared" si="67"/>
        <v>0</v>
      </c>
      <c r="BY163" s="22">
        <f t="shared" si="68"/>
        <v>0</v>
      </c>
      <c r="CC163" s="417" t="str">
        <f t="shared" si="66"/>
        <v/>
      </c>
    </row>
    <row r="164" spans="1:81">
      <c r="A164" s="1"/>
      <c r="B164" s="8"/>
      <c r="C164" s="8"/>
      <c r="D164" s="1"/>
      <c r="E164" s="8"/>
      <c r="F164" s="8"/>
      <c r="G164" s="1"/>
      <c r="H164" s="8"/>
      <c r="I164" s="119"/>
      <c r="J164" s="4"/>
      <c r="K164" s="4">
        <f t="shared" si="57"/>
        <v>0</v>
      </c>
      <c r="L164" s="4">
        <f t="shared" si="58"/>
        <v>0</v>
      </c>
      <c r="M164" s="4"/>
      <c r="N164" s="4">
        <f t="shared" si="59"/>
        <v>0</v>
      </c>
      <c r="O164" s="4"/>
      <c r="P164" s="4"/>
      <c r="Q164" s="4">
        <f t="shared" si="60"/>
        <v>0</v>
      </c>
      <c r="R164" s="4">
        <f t="shared" si="61"/>
        <v>0</v>
      </c>
      <c r="S164" s="4"/>
      <c r="T164" s="4">
        <f t="shared" si="62"/>
        <v>0</v>
      </c>
      <c r="U164" s="4"/>
      <c r="V164" s="4"/>
      <c r="W164" s="4"/>
      <c r="X164" s="4"/>
      <c r="Y164" s="4"/>
      <c r="Z164" s="4"/>
      <c r="AA164" s="4">
        <f t="shared" si="63"/>
        <v>0</v>
      </c>
      <c r="AB164" s="4">
        <f t="shared" si="64"/>
        <v>0</v>
      </c>
      <c r="AC164" s="4"/>
      <c r="AD164" s="4">
        <f t="shared" si="65"/>
        <v>0</v>
      </c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3">
        <f t="shared" si="67"/>
        <v>0</v>
      </c>
      <c r="BY164" s="22">
        <f t="shared" si="68"/>
        <v>0</v>
      </c>
      <c r="CC164" s="417" t="str">
        <f t="shared" si="66"/>
        <v/>
      </c>
    </row>
    <row r="165" spans="1:81">
      <c r="A165" s="1"/>
      <c r="B165" s="8"/>
      <c r="C165" s="8"/>
      <c r="D165" s="1"/>
      <c r="E165" s="8"/>
      <c r="F165" s="8"/>
      <c r="G165" s="1"/>
      <c r="H165" s="8"/>
      <c r="I165" s="119"/>
      <c r="J165" s="4"/>
      <c r="K165" s="4">
        <f t="shared" si="57"/>
        <v>0</v>
      </c>
      <c r="L165" s="4">
        <f t="shared" si="58"/>
        <v>0</v>
      </c>
      <c r="M165" s="4"/>
      <c r="N165" s="4">
        <f t="shared" si="59"/>
        <v>0</v>
      </c>
      <c r="O165" s="4"/>
      <c r="P165" s="4"/>
      <c r="Q165" s="4">
        <f t="shared" si="60"/>
        <v>0</v>
      </c>
      <c r="R165" s="4">
        <f t="shared" si="61"/>
        <v>0</v>
      </c>
      <c r="S165" s="4"/>
      <c r="T165" s="4">
        <f t="shared" si="62"/>
        <v>0</v>
      </c>
      <c r="U165" s="4"/>
      <c r="V165" s="4"/>
      <c r="W165" s="4"/>
      <c r="X165" s="4"/>
      <c r="Y165" s="4"/>
      <c r="Z165" s="4"/>
      <c r="AA165" s="4">
        <f t="shared" si="63"/>
        <v>0</v>
      </c>
      <c r="AB165" s="4">
        <f t="shared" si="64"/>
        <v>0</v>
      </c>
      <c r="AC165" s="4"/>
      <c r="AD165" s="4">
        <f t="shared" si="65"/>
        <v>0</v>
      </c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3">
        <f t="shared" si="67"/>
        <v>0</v>
      </c>
      <c r="BY165" s="22">
        <f t="shared" si="68"/>
        <v>0</v>
      </c>
      <c r="CC165" s="417" t="str">
        <f t="shared" si="66"/>
        <v/>
      </c>
    </row>
    <row r="166" spans="1:81">
      <c r="A166" s="1"/>
      <c r="B166" s="8"/>
      <c r="C166" s="8"/>
      <c r="D166" s="1"/>
      <c r="E166" s="8"/>
      <c r="F166" s="8"/>
      <c r="G166" s="1"/>
      <c r="H166" s="8"/>
      <c r="I166" s="119"/>
      <c r="J166" s="4"/>
      <c r="K166" s="4">
        <f t="shared" si="57"/>
        <v>0</v>
      </c>
      <c r="L166" s="4">
        <f t="shared" si="58"/>
        <v>0</v>
      </c>
      <c r="M166" s="4"/>
      <c r="N166" s="4">
        <f t="shared" si="59"/>
        <v>0</v>
      </c>
      <c r="O166" s="4"/>
      <c r="P166" s="4"/>
      <c r="Q166" s="4">
        <f t="shared" si="60"/>
        <v>0</v>
      </c>
      <c r="R166" s="4">
        <f t="shared" si="61"/>
        <v>0</v>
      </c>
      <c r="S166" s="4"/>
      <c r="T166" s="4">
        <f t="shared" si="62"/>
        <v>0</v>
      </c>
      <c r="U166" s="4"/>
      <c r="V166" s="4"/>
      <c r="W166" s="4"/>
      <c r="X166" s="4"/>
      <c r="Y166" s="4"/>
      <c r="Z166" s="4"/>
      <c r="AA166" s="4">
        <f t="shared" si="63"/>
        <v>0</v>
      </c>
      <c r="AB166" s="4">
        <f t="shared" si="64"/>
        <v>0</v>
      </c>
      <c r="AC166" s="4"/>
      <c r="AD166" s="4">
        <f t="shared" si="65"/>
        <v>0</v>
      </c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3">
        <f t="shared" si="67"/>
        <v>0</v>
      </c>
      <c r="BY166" s="22">
        <f t="shared" si="68"/>
        <v>0</v>
      </c>
      <c r="CC166" s="417" t="str">
        <f t="shared" si="66"/>
        <v/>
      </c>
    </row>
    <row r="167" spans="1:81">
      <c r="A167" s="1"/>
      <c r="B167" s="8"/>
      <c r="C167" s="8"/>
      <c r="D167" s="1"/>
      <c r="E167" s="8"/>
      <c r="F167" s="8"/>
      <c r="G167" s="1"/>
      <c r="H167" s="8"/>
      <c r="I167" s="119"/>
      <c r="J167" s="4"/>
      <c r="K167" s="4">
        <f t="shared" si="57"/>
        <v>0</v>
      </c>
      <c r="L167" s="4">
        <f t="shared" si="58"/>
        <v>0</v>
      </c>
      <c r="M167" s="4"/>
      <c r="N167" s="4">
        <f t="shared" si="59"/>
        <v>0</v>
      </c>
      <c r="O167" s="4"/>
      <c r="P167" s="4"/>
      <c r="Q167" s="4">
        <f t="shared" si="60"/>
        <v>0</v>
      </c>
      <c r="R167" s="4">
        <f t="shared" si="61"/>
        <v>0</v>
      </c>
      <c r="S167" s="4"/>
      <c r="T167" s="4">
        <f t="shared" si="62"/>
        <v>0</v>
      </c>
      <c r="U167" s="4"/>
      <c r="V167" s="4"/>
      <c r="W167" s="4"/>
      <c r="X167" s="4"/>
      <c r="Y167" s="4"/>
      <c r="Z167" s="4"/>
      <c r="AA167" s="4">
        <f t="shared" si="63"/>
        <v>0</v>
      </c>
      <c r="AB167" s="4">
        <f t="shared" si="64"/>
        <v>0</v>
      </c>
      <c r="AC167" s="4"/>
      <c r="AD167" s="4">
        <f t="shared" si="65"/>
        <v>0</v>
      </c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3">
        <f t="shared" si="67"/>
        <v>0</v>
      </c>
      <c r="BY167" s="22">
        <f t="shared" si="68"/>
        <v>0</v>
      </c>
      <c r="CC167" s="417" t="str">
        <f t="shared" si="66"/>
        <v/>
      </c>
    </row>
    <row r="168" spans="1:81">
      <c r="A168" s="1"/>
      <c r="B168" s="8"/>
      <c r="C168" s="8"/>
      <c r="D168" s="1"/>
      <c r="E168" s="8"/>
      <c r="F168" s="8"/>
      <c r="G168" s="1"/>
      <c r="H168" s="8"/>
      <c r="I168" s="119"/>
      <c r="J168" s="4"/>
      <c r="K168" s="4">
        <f t="shared" si="57"/>
        <v>0</v>
      </c>
      <c r="L168" s="4">
        <f t="shared" si="58"/>
        <v>0</v>
      </c>
      <c r="M168" s="4"/>
      <c r="N168" s="4">
        <f t="shared" si="59"/>
        <v>0</v>
      </c>
      <c r="O168" s="4"/>
      <c r="P168" s="4"/>
      <c r="Q168" s="4">
        <f t="shared" si="60"/>
        <v>0</v>
      </c>
      <c r="R168" s="4">
        <f t="shared" si="61"/>
        <v>0</v>
      </c>
      <c r="S168" s="4"/>
      <c r="T168" s="4">
        <f t="shared" si="62"/>
        <v>0</v>
      </c>
      <c r="U168" s="4"/>
      <c r="V168" s="4"/>
      <c r="W168" s="4"/>
      <c r="X168" s="4"/>
      <c r="Y168" s="4"/>
      <c r="Z168" s="4"/>
      <c r="AA168" s="4">
        <f t="shared" si="63"/>
        <v>0</v>
      </c>
      <c r="AB168" s="4">
        <f t="shared" si="64"/>
        <v>0</v>
      </c>
      <c r="AC168" s="4"/>
      <c r="AD168" s="4">
        <f t="shared" si="65"/>
        <v>0</v>
      </c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3">
        <f t="shared" si="67"/>
        <v>0</v>
      </c>
      <c r="BY168" s="22">
        <f t="shared" si="68"/>
        <v>0</v>
      </c>
      <c r="CC168" s="417" t="str">
        <f t="shared" si="66"/>
        <v/>
      </c>
    </row>
    <row r="169" spans="1:81">
      <c r="A169" s="1"/>
      <c r="B169" s="8"/>
      <c r="C169" s="8"/>
      <c r="D169" s="1"/>
      <c r="E169" s="8"/>
      <c r="F169" s="8"/>
      <c r="G169" s="1"/>
      <c r="H169" s="8"/>
      <c r="I169" s="119"/>
      <c r="J169" s="4"/>
      <c r="K169" s="4">
        <f t="shared" si="57"/>
        <v>0</v>
      </c>
      <c r="L169" s="4">
        <f t="shared" si="58"/>
        <v>0</v>
      </c>
      <c r="M169" s="4"/>
      <c r="N169" s="4">
        <f t="shared" si="59"/>
        <v>0</v>
      </c>
      <c r="O169" s="4"/>
      <c r="P169" s="4"/>
      <c r="Q169" s="4">
        <f t="shared" si="60"/>
        <v>0</v>
      </c>
      <c r="R169" s="4">
        <f t="shared" si="61"/>
        <v>0</v>
      </c>
      <c r="S169" s="4"/>
      <c r="T169" s="4">
        <f t="shared" si="62"/>
        <v>0</v>
      </c>
      <c r="U169" s="4"/>
      <c r="V169" s="4"/>
      <c r="W169" s="4"/>
      <c r="X169" s="4"/>
      <c r="Y169" s="4"/>
      <c r="Z169" s="4"/>
      <c r="AA169" s="4">
        <f t="shared" si="63"/>
        <v>0</v>
      </c>
      <c r="AB169" s="4">
        <f t="shared" si="64"/>
        <v>0</v>
      </c>
      <c r="AC169" s="4"/>
      <c r="AD169" s="4">
        <f t="shared" si="65"/>
        <v>0</v>
      </c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3">
        <f t="shared" si="67"/>
        <v>0</v>
      </c>
      <c r="BY169" s="22">
        <f t="shared" si="68"/>
        <v>0</v>
      </c>
      <c r="CC169" s="417" t="str">
        <f t="shared" si="66"/>
        <v/>
      </c>
    </row>
    <row r="170" spans="1:81">
      <c r="A170" s="1"/>
      <c r="B170" s="8"/>
      <c r="C170" s="8"/>
      <c r="D170" s="1"/>
      <c r="E170" s="8"/>
      <c r="F170" s="8"/>
      <c r="G170" s="1"/>
      <c r="H170" s="8"/>
      <c r="I170" s="119"/>
      <c r="J170" s="4"/>
      <c r="K170" s="4">
        <f t="shared" si="57"/>
        <v>0</v>
      </c>
      <c r="L170" s="4">
        <f t="shared" si="58"/>
        <v>0</v>
      </c>
      <c r="M170" s="4"/>
      <c r="N170" s="4">
        <f t="shared" si="59"/>
        <v>0</v>
      </c>
      <c r="O170" s="4"/>
      <c r="P170" s="4"/>
      <c r="Q170" s="4">
        <f t="shared" si="60"/>
        <v>0</v>
      </c>
      <c r="R170" s="4">
        <f t="shared" si="61"/>
        <v>0</v>
      </c>
      <c r="S170" s="4"/>
      <c r="T170" s="4">
        <f t="shared" si="62"/>
        <v>0</v>
      </c>
      <c r="U170" s="4"/>
      <c r="V170" s="4"/>
      <c r="W170" s="4"/>
      <c r="X170" s="4"/>
      <c r="Y170" s="4"/>
      <c r="Z170" s="4"/>
      <c r="AA170" s="4">
        <f t="shared" si="63"/>
        <v>0</v>
      </c>
      <c r="AB170" s="4">
        <f t="shared" si="64"/>
        <v>0</v>
      </c>
      <c r="AC170" s="4"/>
      <c r="AD170" s="4">
        <f t="shared" si="65"/>
        <v>0</v>
      </c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3">
        <f t="shared" si="67"/>
        <v>0</v>
      </c>
      <c r="BY170" s="22">
        <f t="shared" si="68"/>
        <v>0</v>
      </c>
      <c r="CC170" s="417" t="str">
        <f t="shared" si="66"/>
        <v/>
      </c>
    </row>
    <row r="171" spans="1:81">
      <c r="A171" s="1"/>
      <c r="B171" s="8"/>
      <c r="C171" s="8"/>
      <c r="D171" s="1"/>
      <c r="E171" s="8"/>
      <c r="F171" s="8"/>
      <c r="G171" s="1"/>
      <c r="H171" s="8"/>
      <c r="I171" s="119"/>
      <c r="J171" s="4"/>
      <c r="K171" s="4">
        <f t="shared" si="57"/>
        <v>0</v>
      </c>
      <c r="L171" s="4">
        <f t="shared" si="58"/>
        <v>0</v>
      </c>
      <c r="M171" s="4"/>
      <c r="N171" s="4">
        <f t="shared" si="59"/>
        <v>0</v>
      </c>
      <c r="O171" s="4"/>
      <c r="P171" s="4"/>
      <c r="Q171" s="4">
        <f t="shared" si="60"/>
        <v>0</v>
      </c>
      <c r="R171" s="4">
        <f t="shared" si="61"/>
        <v>0</v>
      </c>
      <c r="S171" s="4"/>
      <c r="T171" s="4">
        <f t="shared" si="62"/>
        <v>0</v>
      </c>
      <c r="U171" s="4"/>
      <c r="V171" s="4"/>
      <c r="W171" s="4"/>
      <c r="X171" s="4"/>
      <c r="Y171" s="4"/>
      <c r="Z171" s="4"/>
      <c r="AA171" s="4">
        <f t="shared" si="63"/>
        <v>0</v>
      </c>
      <c r="AB171" s="4">
        <f t="shared" si="64"/>
        <v>0</v>
      </c>
      <c r="AC171" s="4"/>
      <c r="AD171" s="4">
        <f t="shared" si="65"/>
        <v>0</v>
      </c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3">
        <f t="shared" si="67"/>
        <v>0</v>
      </c>
      <c r="BY171" s="22">
        <f t="shared" si="68"/>
        <v>0</v>
      </c>
      <c r="CC171" s="417" t="str">
        <f t="shared" si="66"/>
        <v/>
      </c>
    </row>
    <row r="172" spans="1:81">
      <c r="A172" s="1"/>
      <c r="B172" s="8"/>
      <c r="C172" s="8"/>
      <c r="D172" s="1"/>
      <c r="E172" s="8"/>
      <c r="F172" s="8"/>
      <c r="G172" s="1"/>
      <c r="H172" s="8"/>
      <c r="I172" s="119"/>
      <c r="J172" s="4"/>
      <c r="K172" s="4">
        <f t="shared" si="57"/>
        <v>0</v>
      </c>
      <c r="L172" s="4">
        <f t="shared" si="58"/>
        <v>0</v>
      </c>
      <c r="M172" s="4"/>
      <c r="N172" s="4">
        <f t="shared" si="59"/>
        <v>0</v>
      </c>
      <c r="O172" s="4"/>
      <c r="P172" s="4"/>
      <c r="Q172" s="4">
        <f t="shared" si="60"/>
        <v>0</v>
      </c>
      <c r="R172" s="4">
        <f t="shared" si="61"/>
        <v>0</v>
      </c>
      <c r="S172" s="4"/>
      <c r="T172" s="4">
        <f t="shared" si="62"/>
        <v>0</v>
      </c>
      <c r="U172" s="4"/>
      <c r="V172" s="4"/>
      <c r="W172" s="4"/>
      <c r="X172" s="4"/>
      <c r="Y172" s="4"/>
      <c r="Z172" s="4"/>
      <c r="AA172" s="4">
        <f t="shared" si="63"/>
        <v>0</v>
      </c>
      <c r="AB172" s="4">
        <f t="shared" si="64"/>
        <v>0</v>
      </c>
      <c r="AC172" s="4"/>
      <c r="AD172" s="4">
        <f t="shared" si="65"/>
        <v>0</v>
      </c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3">
        <f t="shared" si="67"/>
        <v>0</v>
      </c>
      <c r="BY172" s="22">
        <f t="shared" si="68"/>
        <v>0</v>
      </c>
      <c r="CC172" s="417" t="str">
        <f t="shared" si="66"/>
        <v/>
      </c>
    </row>
    <row r="173" spans="1:81">
      <c r="A173" s="1"/>
      <c r="B173" s="8"/>
      <c r="C173" s="8"/>
      <c r="D173" s="1"/>
      <c r="E173" s="8"/>
      <c r="F173" s="8"/>
      <c r="G173" s="1"/>
      <c r="H173" s="8"/>
      <c r="I173" s="119"/>
      <c r="J173" s="4"/>
      <c r="K173" s="4">
        <f t="shared" si="57"/>
        <v>0</v>
      </c>
      <c r="L173" s="4">
        <f t="shared" si="58"/>
        <v>0</v>
      </c>
      <c r="M173" s="4"/>
      <c r="N173" s="4">
        <f t="shared" si="59"/>
        <v>0</v>
      </c>
      <c r="O173" s="4"/>
      <c r="P173" s="4"/>
      <c r="Q173" s="4">
        <f t="shared" si="60"/>
        <v>0</v>
      </c>
      <c r="R173" s="4">
        <f t="shared" si="61"/>
        <v>0</v>
      </c>
      <c r="S173" s="4"/>
      <c r="T173" s="4">
        <f t="shared" si="62"/>
        <v>0</v>
      </c>
      <c r="U173" s="4"/>
      <c r="V173" s="4"/>
      <c r="W173" s="4"/>
      <c r="X173" s="4"/>
      <c r="Y173" s="4"/>
      <c r="Z173" s="4"/>
      <c r="AA173" s="4">
        <f t="shared" si="63"/>
        <v>0</v>
      </c>
      <c r="AB173" s="4">
        <f t="shared" si="64"/>
        <v>0</v>
      </c>
      <c r="AC173" s="4"/>
      <c r="AD173" s="4">
        <f t="shared" si="65"/>
        <v>0</v>
      </c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3">
        <f t="shared" si="67"/>
        <v>0</v>
      </c>
      <c r="BY173" s="22">
        <f t="shared" si="68"/>
        <v>0</v>
      </c>
      <c r="CC173" s="417" t="str">
        <f t="shared" si="66"/>
        <v/>
      </c>
    </row>
    <row r="174" spans="1:81">
      <c r="A174" s="1"/>
      <c r="B174" s="8"/>
      <c r="C174" s="8"/>
      <c r="D174" s="1"/>
      <c r="E174" s="8"/>
      <c r="F174" s="8"/>
      <c r="G174" s="1"/>
      <c r="H174" s="8"/>
      <c r="I174" s="119"/>
      <c r="J174" s="4"/>
      <c r="K174" s="4">
        <f t="shared" si="57"/>
        <v>0</v>
      </c>
      <c r="L174" s="4">
        <f t="shared" si="58"/>
        <v>0</v>
      </c>
      <c r="M174" s="4"/>
      <c r="N174" s="4">
        <f t="shared" si="59"/>
        <v>0</v>
      </c>
      <c r="O174" s="4"/>
      <c r="P174" s="4"/>
      <c r="Q174" s="4">
        <f t="shared" si="60"/>
        <v>0</v>
      </c>
      <c r="R174" s="4">
        <f t="shared" si="61"/>
        <v>0</v>
      </c>
      <c r="S174" s="4"/>
      <c r="T174" s="4">
        <f t="shared" si="62"/>
        <v>0</v>
      </c>
      <c r="U174" s="4"/>
      <c r="V174" s="4"/>
      <c r="W174" s="4"/>
      <c r="X174" s="4"/>
      <c r="Y174" s="4"/>
      <c r="Z174" s="4"/>
      <c r="AA174" s="4">
        <f t="shared" si="63"/>
        <v>0</v>
      </c>
      <c r="AB174" s="4">
        <f t="shared" si="64"/>
        <v>0</v>
      </c>
      <c r="AC174" s="4"/>
      <c r="AD174" s="4">
        <f t="shared" si="65"/>
        <v>0</v>
      </c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3">
        <f t="shared" si="67"/>
        <v>0</v>
      </c>
      <c r="BY174" s="22">
        <f t="shared" si="68"/>
        <v>0</v>
      </c>
      <c r="CC174" s="417" t="str">
        <f t="shared" si="66"/>
        <v/>
      </c>
    </row>
    <row r="175" spans="1:81">
      <c r="A175" s="1"/>
      <c r="B175" s="8"/>
      <c r="C175" s="8"/>
      <c r="D175" s="1"/>
      <c r="E175" s="8"/>
      <c r="F175" s="8"/>
      <c r="G175" s="1"/>
      <c r="H175" s="8"/>
      <c r="I175" s="119"/>
      <c r="J175" s="4"/>
      <c r="K175" s="4">
        <f t="shared" si="57"/>
        <v>0</v>
      </c>
      <c r="L175" s="4">
        <f t="shared" si="58"/>
        <v>0</v>
      </c>
      <c r="M175" s="4"/>
      <c r="N175" s="4">
        <f t="shared" si="59"/>
        <v>0</v>
      </c>
      <c r="O175" s="4"/>
      <c r="P175" s="4"/>
      <c r="Q175" s="4">
        <f t="shared" si="60"/>
        <v>0</v>
      </c>
      <c r="R175" s="4">
        <f t="shared" si="61"/>
        <v>0</v>
      </c>
      <c r="S175" s="4"/>
      <c r="T175" s="4">
        <f t="shared" si="62"/>
        <v>0</v>
      </c>
      <c r="U175" s="4"/>
      <c r="V175" s="4"/>
      <c r="W175" s="4"/>
      <c r="X175" s="4"/>
      <c r="Y175" s="4"/>
      <c r="Z175" s="4"/>
      <c r="AA175" s="4">
        <f t="shared" si="63"/>
        <v>0</v>
      </c>
      <c r="AB175" s="4">
        <f t="shared" si="64"/>
        <v>0</v>
      </c>
      <c r="AC175" s="4"/>
      <c r="AD175" s="4">
        <f t="shared" si="65"/>
        <v>0</v>
      </c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3">
        <f t="shared" si="67"/>
        <v>0</v>
      </c>
      <c r="BY175" s="22">
        <f t="shared" si="68"/>
        <v>0</v>
      </c>
      <c r="CC175" s="417" t="str">
        <f t="shared" si="66"/>
        <v/>
      </c>
    </row>
    <row r="176" spans="1:81">
      <c r="A176" s="1"/>
      <c r="B176" s="8"/>
      <c r="C176" s="8"/>
      <c r="D176" s="1"/>
      <c r="E176" s="8"/>
      <c r="F176" s="8"/>
      <c r="G176" s="1"/>
      <c r="H176" s="8"/>
      <c r="I176" s="119"/>
      <c r="J176" s="4"/>
      <c r="K176" s="4">
        <f t="shared" si="57"/>
        <v>0</v>
      </c>
      <c r="L176" s="4">
        <f t="shared" si="58"/>
        <v>0</v>
      </c>
      <c r="M176" s="4"/>
      <c r="N176" s="4">
        <f t="shared" si="59"/>
        <v>0</v>
      </c>
      <c r="O176" s="4"/>
      <c r="P176" s="4"/>
      <c r="Q176" s="4">
        <f t="shared" si="60"/>
        <v>0</v>
      </c>
      <c r="R176" s="4">
        <f t="shared" si="61"/>
        <v>0</v>
      </c>
      <c r="S176" s="4"/>
      <c r="T176" s="4">
        <f t="shared" si="62"/>
        <v>0</v>
      </c>
      <c r="U176" s="4"/>
      <c r="V176" s="4"/>
      <c r="W176" s="4"/>
      <c r="X176" s="4"/>
      <c r="Y176" s="4"/>
      <c r="Z176" s="4"/>
      <c r="AA176" s="4">
        <f t="shared" si="63"/>
        <v>0</v>
      </c>
      <c r="AB176" s="4">
        <f t="shared" si="64"/>
        <v>0</v>
      </c>
      <c r="AC176" s="4"/>
      <c r="AD176" s="4">
        <f t="shared" si="65"/>
        <v>0</v>
      </c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3">
        <f t="shared" si="67"/>
        <v>0</v>
      </c>
      <c r="BY176" s="22">
        <f t="shared" si="68"/>
        <v>0</v>
      </c>
      <c r="CC176" s="417" t="str">
        <f t="shared" si="66"/>
        <v/>
      </c>
    </row>
    <row r="177" spans="1:81">
      <c r="A177" s="1"/>
      <c r="B177" s="8"/>
      <c r="C177" s="8"/>
      <c r="D177" s="1"/>
      <c r="E177" s="8"/>
      <c r="F177" s="8"/>
      <c r="G177" s="1"/>
      <c r="H177" s="8"/>
      <c r="I177" s="119"/>
      <c r="J177" s="4"/>
      <c r="K177" s="4">
        <f t="shared" si="57"/>
        <v>0</v>
      </c>
      <c r="L177" s="4">
        <f t="shared" si="58"/>
        <v>0</v>
      </c>
      <c r="M177" s="4"/>
      <c r="N177" s="4">
        <f t="shared" si="59"/>
        <v>0</v>
      </c>
      <c r="O177" s="4"/>
      <c r="P177" s="4"/>
      <c r="Q177" s="4">
        <f t="shared" si="60"/>
        <v>0</v>
      </c>
      <c r="R177" s="4">
        <f t="shared" si="61"/>
        <v>0</v>
      </c>
      <c r="S177" s="4"/>
      <c r="T177" s="4">
        <f t="shared" si="62"/>
        <v>0</v>
      </c>
      <c r="U177" s="4"/>
      <c r="V177" s="4"/>
      <c r="W177" s="4"/>
      <c r="X177" s="4"/>
      <c r="Y177" s="4"/>
      <c r="Z177" s="4"/>
      <c r="AA177" s="4">
        <f t="shared" si="63"/>
        <v>0</v>
      </c>
      <c r="AB177" s="4">
        <f t="shared" si="64"/>
        <v>0</v>
      </c>
      <c r="AC177" s="4"/>
      <c r="AD177" s="4">
        <f t="shared" si="65"/>
        <v>0</v>
      </c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3">
        <f t="shared" si="67"/>
        <v>0</v>
      </c>
      <c r="BY177" s="22">
        <f t="shared" si="68"/>
        <v>0</v>
      </c>
      <c r="CC177" s="417" t="str">
        <f t="shared" si="66"/>
        <v/>
      </c>
    </row>
    <row r="178" spans="1:81">
      <c r="A178" s="1"/>
      <c r="B178" s="8"/>
      <c r="C178" s="8"/>
      <c r="D178" s="1"/>
      <c r="E178" s="8"/>
      <c r="F178" s="8"/>
      <c r="G178" s="1"/>
      <c r="H178" s="8"/>
      <c r="I178" s="119"/>
      <c r="J178" s="4"/>
      <c r="K178" s="4">
        <f t="shared" si="57"/>
        <v>0</v>
      </c>
      <c r="L178" s="4">
        <f t="shared" si="58"/>
        <v>0</v>
      </c>
      <c r="M178" s="4"/>
      <c r="N178" s="4">
        <f t="shared" si="59"/>
        <v>0</v>
      </c>
      <c r="O178" s="4"/>
      <c r="P178" s="4"/>
      <c r="Q178" s="4">
        <f t="shared" si="60"/>
        <v>0</v>
      </c>
      <c r="R178" s="4">
        <f t="shared" si="61"/>
        <v>0</v>
      </c>
      <c r="S178" s="4"/>
      <c r="T178" s="4">
        <f t="shared" si="62"/>
        <v>0</v>
      </c>
      <c r="U178" s="4"/>
      <c r="V178" s="4"/>
      <c r="W178" s="4"/>
      <c r="X178" s="4"/>
      <c r="Y178" s="4"/>
      <c r="Z178" s="4"/>
      <c r="AA178" s="4">
        <f t="shared" si="63"/>
        <v>0</v>
      </c>
      <c r="AB178" s="4">
        <f t="shared" si="64"/>
        <v>0</v>
      </c>
      <c r="AC178" s="4"/>
      <c r="AD178" s="4">
        <f t="shared" si="65"/>
        <v>0</v>
      </c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3">
        <f t="shared" si="67"/>
        <v>0</v>
      </c>
      <c r="BY178" s="22">
        <f t="shared" si="68"/>
        <v>0</v>
      </c>
      <c r="CC178" s="417" t="str">
        <f t="shared" si="66"/>
        <v/>
      </c>
    </row>
    <row r="179" spans="1:81">
      <c r="A179" s="1"/>
      <c r="B179" s="8"/>
      <c r="C179" s="8"/>
      <c r="D179" s="1"/>
      <c r="E179" s="8"/>
      <c r="F179" s="8"/>
      <c r="G179" s="1"/>
      <c r="H179" s="8"/>
      <c r="I179" s="119"/>
      <c r="J179" s="4"/>
      <c r="K179" s="4">
        <f t="shared" si="57"/>
        <v>0</v>
      </c>
      <c r="L179" s="4">
        <f t="shared" si="58"/>
        <v>0</v>
      </c>
      <c r="M179" s="4"/>
      <c r="N179" s="4">
        <f t="shared" si="59"/>
        <v>0</v>
      </c>
      <c r="O179" s="4"/>
      <c r="P179" s="4"/>
      <c r="Q179" s="4">
        <f t="shared" si="60"/>
        <v>0</v>
      </c>
      <c r="R179" s="4">
        <f t="shared" si="61"/>
        <v>0</v>
      </c>
      <c r="S179" s="4"/>
      <c r="T179" s="4">
        <f t="shared" si="62"/>
        <v>0</v>
      </c>
      <c r="U179" s="4"/>
      <c r="V179" s="4"/>
      <c r="W179" s="4"/>
      <c r="X179" s="4"/>
      <c r="Y179" s="4"/>
      <c r="Z179" s="4"/>
      <c r="AA179" s="4">
        <f t="shared" si="63"/>
        <v>0</v>
      </c>
      <c r="AB179" s="4">
        <f t="shared" si="64"/>
        <v>0</v>
      </c>
      <c r="AC179" s="4"/>
      <c r="AD179" s="4">
        <f t="shared" si="65"/>
        <v>0</v>
      </c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3">
        <f t="shared" si="67"/>
        <v>0</v>
      </c>
      <c r="BY179" s="22">
        <f t="shared" si="68"/>
        <v>0</v>
      </c>
      <c r="CC179" s="417" t="str">
        <f t="shared" si="66"/>
        <v/>
      </c>
    </row>
    <row r="180" spans="1:81">
      <c r="A180" s="1"/>
      <c r="B180" s="8"/>
      <c r="C180" s="8"/>
      <c r="D180" s="1"/>
      <c r="E180" s="8"/>
      <c r="F180" s="8"/>
      <c r="G180" s="1"/>
      <c r="H180" s="8"/>
      <c r="I180" s="119"/>
      <c r="J180" s="4"/>
      <c r="K180" s="4">
        <f t="shared" si="57"/>
        <v>0</v>
      </c>
      <c r="L180" s="4">
        <f t="shared" si="58"/>
        <v>0</v>
      </c>
      <c r="M180" s="4"/>
      <c r="N180" s="4">
        <f t="shared" si="59"/>
        <v>0</v>
      </c>
      <c r="O180" s="4"/>
      <c r="P180" s="4"/>
      <c r="Q180" s="4">
        <f t="shared" si="60"/>
        <v>0</v>
      </c>
      <c r="R180" s="4">
        <f t="shared" si="61"/>
        <v>0</v>
      </c>
      <c r="S180" s="4"/>
      <c r="T180" s="4">
        <f t="shared" si="62"/>
        <v>0</v>
      </c>
      <c r="U180" s="4"/>
      <c r="V180" s="4"/>
      <c r="W180" s="4"/>
      <c r="X180" s="4"/>
      <c r="Y180" s="4"/>
      <c r="Z180" s="4"/>
      <c r="AA180" s="4">
        <f t="shared" si="63"/>
        <v>0</v>
      </c>
      <c r="AB180" s="4">
        <f t="shared" si="64"/>
        <v>0</v>
      </c>
      <c r="AC180" s="4"/>
      <c r="AD180" s="4">
        <f t="shared" si="65"/>
        <v>0</v>
      </c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3">
        <f t="shared" si="67"/>
        <v>0</v>
      </c>
      <c r="BY180" s="22">
        <f t="shared" si="68"/>
        <v>0</v>
      </c>
      <c r="CC180" s="417" t="str">
        <f t="shared" si="66"/>
        <v/>
      </c>
    </row>
    <row r="181" spans="1:81">
      <c r="A181" s="1"/>
      <c r="B181" s="8"/>
      <c r="C181" s="8"/>
      <c r="D181" s="1"/>
      <c r="E181" s="8"/>
      <c r="F181" s="8"/>
      <c r="G181" s="1"/>
      <c r="H181" s="8"/>
      <c r="I181" s="119"/>
      <c r="J181" s="4"/>
      <c r="K181" s="4">
        <f t="shared" si="57"/>
        <v>0</v>
      </c>
      <c r="L181" s="4">
        <f t="shared" si="58"/>
        <v>0</v>
      </c>
      <c r="M181" s="4"/>
      <c r="N181" s="4">
        <f t="shared" si="59"/>
        <v>0</v>
      </c>
      <c r="O181" s="4"/>
      <c r="P181" s="4"/>
      <c r="Q181" s="4">
        <f t="shared" si="60"/>
        <v>0</v>
      </c>
      <c r="R181" s="4">
        <f t="shared" si="61"/>
        <v>0</v>
      </c>
      <c r="S181" s="4"/>
      <c r="T181" s="4">
        <f t="shared" si="62"/>
        <v>0</v>
      </c>
      <c r="U181" s="4"/>
      <c r="V181" s="4"/>
      <c r="W181" s="4"/>
      <c r="X181" s="4"/>
      <c r="Y181" s="4"/>
      <c r="Z181" s="4"/>
      <c r="AA181" s="4">
        <f t="shared" si="63"/>
        <v>0</v>
      </c>
      <c r="AB181" s="4">
        <f t="shared" si="64"/>
        <v>0</v>
      </c>
      <c r="AC181" s="4"/>
      <c r="AD181" s="4">
        <f t="shared" si="65"/>
        <v>0</v>
      </c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3">
        <f t="shared" si="67"/>
        <v>0</v>
      </c>
      <c r="BY181" s="22">
        <f t="shared" si="68"/>
        <v>0</v>
      </c>
      <c r="CC181" s="417" t="str">
        <f t="shared" si="66"/>
        <v/>
      </c>
    </row>
    <row r="182" spans="1:81">
      <c r="A182" s="1"/>
      <c r="B182" s="8"/>
      <c r="C182" s="8"/>
      <c r="D182" s="1"/>
      <c r="E182" s="8"/>
      <c r="F182" s="8"/>
      <c r="G182" s="1"/>
      <c r="H182" s="8"/>
      <c r="I182" s="119"/>
      <c r="J182" s="4"/>
      <c r="K182" s="4">
        <f t="shared" si="57"/>
        <v>0</v>
      </c>
      <c r="L182" s="4">
        <f t="shared" si="58"/>
        <v>0</v>
      </c>
      <c r="M182" s="4"/>
      <c r="N182" s="4">
        <f t="shared" si="59"/>
        <v>0</v>
      </c>
      <c r="O182" s="4"/>
      <c r="P182" s="4"/>
      <c r="Q182" s="4">
        <f t="shared" si="60"/>
        <v>0</v>
      </c>
      <c r="R182" s="4">
        <f t="shared" si="61"/>
        <v>0</v>
      </c>
      <c r="S182" s="4"/>
      <c r="T182" s="4">
        <f t="shared" si="62"/>
        <v>0</v>
      </c>
      <c r="U182" s="4"/>
      <c r="V182" s="4"/>
      <c r="W182" s="4"/>
      <c r="X182" s="4"/>
      <c r="Y182" s="4"/>
      <c r="Z182" s="4"/>
      <c r="AA182" s="4">
        <f t="shared" si="63"/>
        <v>0</v>
      </c>
      <c r="AB182" s="4">
        <f t="shared" si="64"/>
        <v>0</v>
      </c>
      <c r="AC182" s="4"/>
      <c r="AD182" s="4">
        <f t="shared" si="65"/>
        <v>0</v>
      </c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3">
        <f t="shared" si="67"/>
        <v>0</v>
      </c>
      <c r="BY182" s="22">
        <f t="shared" si="68"/>
        <v>0</v>
      </c>
      <c r="CC182" s="417" t="str">
        <f t="shared" si="66"/>
        <v/>
      </c>
    </row>
    <row r="183" spans="1:81">
      <c r="A183" s="1"/>
      <c r="B183" s="8"/>
      <c r="C183" s="8"/>
      <c r="D183" s="1"/>
      <c r="E183" s="8"/>
      <c r="F183" s="8"/>
      <c r="G183" s="1"/>
      <c r="H183" s="8"/>
      <c r="I183" s="119"/>
      <c r="J183" s="4"/>
      <c r="K183" s="4">
        <f t="shared" si="57"/>
        <v>0</v>
      </c>
      <c r="L183" s="4">
        <f t="shared" si="58"/>
        <v>0</v>
      </c>
      <c r="M183" s="4"/>
      <c r="N183" s="4">
        <f t="shared" si="59"/>
        <v>0</v>
      </c>
      <c r="O183" s="4"/>
      <c r="P183" s="4"/>
      <c r="Q183" s="4">
        <f t="shared" si="60"/>
        <v>0</v>
      </c>
      <c r="R183" s="4">
        <f t="shared" si="61"/>
        <v>0</v>
      </c>
      <c r="S183" s="4"/>
      <c r="T183" s="4">
        <f t="shared" si="62"/>
        <v>0</v>
      </c>
      <c r="U183" s="4"/>
      <c r="V183" s="4"/>
      <c r="W183" s="4"/>
      <c r="X183" s="4"/>
      <c r="Y183" s="4"/>
      <c r="Z183" s="4"/>
      <c r="AA183" s="4">
        <f t="shared" si="63"/>
        <v>0</v>
      </c>
      <c r="AB183" s="4">
        <f t="shared" si="64"/>
        <v>0</v>
      </c>
      <c r="AC183" s="4"/>
      <c r="AD183" s="4">
        <f t="shared" si="65"/>
        <v>0</v>
      </c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3">
        <f t="shared" si="67"/>
        <v>0</v>
      </c>
      <c r="BY183" s="22">
        <f t="shared" si="68"/>
        <v>0</v>
      </c>
      <c r="CC183" s="417" t="str">
        <f t="shared" si="66"/>
        <v/>
      </c>
    </row>
    <row r="184" spans="1:81">
      <c r="A184" s="1"/>
      <c r="B184" s="8"/>
      <c r="C184" s="8"/>
      <c r="D184" s="1"/>
      <c r="E184" s="8"/>
      <c r="F184" s="8"/>
      <c r="G184" s="1"/>
      <c r="H184" s="8"/>
      <c r="I184" s="119"/>
      <c r="J184" s="4"/>
      <c r="K184" s="4">
        <f t="shared" si="57"/>
        <v>0</v>
      </c>
      <c r="L184" s="4">
        <f t="shared" si="58"/>
        <v>0</v>
      </c>
      <c r="M184" s="4"/>
      <c r="N184" s="4">
        <f t="shared" si="59"/>
        <v>0</v>
      </c>
      <c r="O184" s="4"/>
      <c r="P184" s="4"/>
      <c r="Q184" s="4">
        <f t="shared" si="60"/>
        <v>0</v>
      </c>
      <c r="R184" s="4">
        <f t="shared" si="61"/>
        <v>0</v>
      </c>
      <c r="S184" s="4"/>
      <c r="T184" s="4">
        <f t="shared" si="62"/>
        <v>0</v>
      </c>
      <c r="U184" s="4"/>
      <c r="V184" s="4"/>
      <c r="W184" s="4"/>
      <c r="X184" s="4"/>
      <c r="Y184" s="4"/>
      <c r="Z184" s="4"/>
      <c r="AA184" s="4">
        <f t="shared" si="63"/>
        <v>0</v>
      </c>
      <c r="AB184" s="4">
        <f t="shared" si="64"/>
        <v>0</v>
      </c>
      <c r="AC184" s="4"/>
      <c r="AD184" s="4">
        <f t="shared" si="65"/>
        <v>0</v>
      </c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3">
        <f t="shared" si="67"/>
        <v>0</v>
      </c>
      <c r="BY184" s="22">
        <f t="shared" si="68"/>
        <v>0</v>
      </c>
      <c r="CC184" s="417" t="str">
        <f t="shared" si="66"/>
        <v/>
      </c>
    </row>
    <row r="185" spans="1:81">
      <c r="A185" s="1"/>
      <c r="B185" s="8"/>
      <c r="C185" s="8"/>
      <c r="D185" s="1"/>
      <c r="E185" s="8"/>
      <c r="F185" s="8"/>
      <c r="G185" s="1"/>
      <c r="H185" s="8"/>
      <c r="I185" s="119"/>
      <c r="J185" s="4"/>
      <c r="K185" s="4">
        <f t="shared" si="57"/>
        <v>0</v>
      </c>
      <c r="L185" s="4">
        <f t="shared" si="58"/>
        <v>0</v>
      </c>
      <c r="M185" s="4"/>
      <c r="N185" s="4">
        <f t="shared" si="59"/>
        <v>0</v>
      </c>
      <c r="O185" s="4"/>
      <c r="P185" s="4"/>
      <c r="Q185" s="4">
        <f t="shared" si="60"/>
        <v>0</v>
      </c>
      <c r="R185" s="4">
        <f t="shared" si="61"/>
        <v>0</v>
      </c>
      <c r="S185" s="4"/>
      <c r="T185" s="4">
        <f t="shared" si="62"/>
        <v>0</v>
      </c>
      <c r="U185" s="4"/>
      <c r="V185" s="4"/>
      <c r="W185" s="4"/>
      <c r="X185" s="4"/>
      <c r="Y185" s="4"/>
      <c r="Z185" s="4"/>
      <c r="AA185" s="4">
        <f t="shared" si="63"/>
        <v>0</v>
      </c>
      <c r="AB185" s="4">
        <f t="shared" si="64"/>
        <v>0</v>
      </c>
      <c r="AC185" s="4"/>
      <c r="AD185" s="4">
        <f t="shared" si="65"/>
        <v>0</v>
      </c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3">
        <f t="shared" si="67"/>
        <v>0</v>
      </c>
      <c r="BY185" s="22">
        <f t="shared" si="68"/>
        <v>0</v>
      </c>
      <c r="CC185" s="417" t="str">
        <f t="shared" si="66"/>
        <v/>
      </c>
    </row>
    <row r="186" spans="1:81">
      <c r="A186" s="1"/>
      <c r="B186" s="8"/>
      <c r="C186" s="8"/>
      <c r="D186" s="1"/>
      <c r="E186" s="8"/>
      <c r="F186" s="8"/>
      <c r="G186" s="1"/>
      <c r="H186" s="8"/>
      <c r="I186" s="119"/>
      <c r="J186" s="4"/>
      <c r="K186" s="4">
        <f t="shared" si="57"/>
        <v>0</v>
      </c>
      <c r="L186" s="4">
        <f t="shared" si="58"/>
        <v>0</v>
      </c>
      <c r="M186" s="4"/>
      <c r="N186" s="4">
        <f t="shared" si="59"/>
        <v>0</v>
      </c>
      <c r="O186" s="4"/>
      <c r="P186" s="4"/>
      <c r="Q186" s="4">
        <f t="shared" si="60"/>
        <v>0</v>
      </c>
      <c r="R186" s="4">
        <f t="shared" si="61"/>
        <v>0</v>
      </c>
      <c r="S186" s="4"/>
      <c r="T186" s="4">
        <f t="shared" si="62"/>
        <v>0</v>
      </c>
      <c r="U186" s="4"/>
      <c r="V186" s="4"/>
      <c r="W186" s="4"/>
      <c r="X186" s="4"/>
      <c r="Y186" s="4"/>
      <c r="Z186" s="4"/>
      <c r="AA186" s="4">
        <f t="shared" si="63"/>
        <v>0</v>
      </c>
      <c r="AB186" s="4">
        <f t="shared" si="64"/>
        <v>0</v>
      </c>
      <c r="AC186" s="4"/>
      <c r="AD186" s="4">
        <f t="shared" si="65"/>
        <v>0</v>
      </c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3">
        <f t="shared" si="67"/>
        <v>0</v>
      </c>
      <c r="BY186" s="22">
        <f t="shared" si="68"/>
        <v>0</v>
      </c>
      <c r="CC186" s="417" t="str">
        <f t="shared" si="66"/>
        <v/>
      </c>
    </row>
    <row r="187" spans="1:81">
      <c r="A187" s="1"/>
      <c r="B187" s="8"/>
      <c r="C187" s="8"/>
      <c r="D187" s="1"/>
      <c r="E187" s="8"/>
      <c r="F187" s="8"/>
      <c r="G187" s="1"/>
      <c r="H187" s="8"/>
      <c r="I187" s="119"/>
      <c r="J187" s="4"/>
      <c r="K187" s="4">
        <f t="shared" si="57"/>
        <v>0</v>
      </c>
      <c r="L187" s="4">
        <f t="shared" si="58"/>
        <v>0</v>
      </c>
      <c r="M187" s="4"/>
      <c r="N187" s="4">
        <f t="shared" si="59"/>
        <v>0</v>
      </c>
      <c r="O187" s="4"/>
      <c r="P187" s="4"/>
      <c r="Q187" s="4">
        <f t="shared" si="60"/>
        <v>0</v>
      </c>
      <c r="R187" s="4">
        <f t="shared" si="61"/>
        <v>0</v>
      </c>
      <c r="S187" s="4"/>
      <c r="T187" s="4">
        <f t="shared" si="62"/>
        <v>0</v>
      </c>
      <c r="U187" s="4"/>
      <c r="V187" s="4"/>
      <c r="W187" s="4"/>
      <c r="X187" s="4"/>
      <c r="Y187" s="4"/>
      <c r="Z187" s="4"/>
      <c r="AA187" s="4">
        <f t="shared" si="63"/>
        <v>0</v>
      </c>
      <c r="AB187" s="4">
        <f t="shared" si="64"/>
        <v>0</v>
      </c>
      <c r="AC187" s="4"/>
      <c r="AD187" s="4">
        <f t="shared" si="65"/>
        <v>0</v>
      </c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3">
        <f t="shared" si="67"/>
        <v>0</v>
      </c>
      <c r="BY187" s="22">
        <f t="shared" si="68"/>
        <v>0</v>
      </c>
      <c r="CC187" s="417" t="str">
        <f t="shared" si="66"/>
        <v/>
      </c>
    </row>
    <row r="188" spans="1:81">
      <c r="A188" s="1"/>
      <c r="B188" s="8"/>
      <c r="C188" s="8"/>
      <c r="D188" s="1"/>
      <c r="E188" s="8"/>
      <c r="F188" s="8"/>
      <c r="G188" s="1"/>
      <c r="H188" s="8"/>
      <c r="I188" s="119"/>
      <c r="J188" s="4"/>
      <c r="K188" s="4">
        <f t="shared" si="57"/>
        <v>0</v>
      </c>
      <c r="L188" s="4">
        <f t="shared" si="58"/>
        <v>0</v>
      </c>
      <c r="M188" s="4"/>
      <c r="N188" s="4">
        <f t="shared" si="59"/>
        <v>0</v>
      </c>
      <c r="O188" s="4"/>
      <c r="P188" s="4"/>
      <c r="Q188" s="4">
        <f t="shared" si="60"/>
        <v>0</v>
      </c>
      <c r="R188" s="4">
        <f t="shared" si="61"/>
        <v>0</v>
      </c>
      <c r="S188" s="4"/>
      <c r="T188" s="4">
        <f t="shared" si="62"/>
        <v>0</v>
      </c>
      <c r="U188" s="4"/>
      <c r="V188" s="4"/>
      <c r="W188" s="4"/>
      <c r="X188" s="4"/>
      <c r="Y188" s="4"/>
      <c r="Z188" s="4"/>
      <c r="AA188" s="4">
        <f t="shared" si="63"/>
        <v>0</v>
      </c>
      <c r="AB188" s="4">
        <f t="shared" si="64"/>
        <v>0</v>
      </c>
      <c r="AC188" s="4"/>
      <c r="AD188" s="4">
        <f t="shared" si="65"/>
        <v>0</v>
      </c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3">
        <f t="shared" si="67"/>
        <v>0</v>
      </c>
      <c r="BY188" s="22">
        <f t="shared" si="68"/>
        <v>0</v>
      </c>
      <c r="CC188" s="417" t="str">
        <f t="shared" si="66"/>
        <v/>
      </c>
    </row>
    <row r="189" spans="1:81">
      <c r="A189" s="1"/>
      <c r="B189" s="8"/>
      <c r="C189" s="8"/>
      <c r="D189" s="1"/>
      <c r="E189" s="8"/>
      <c r="F189" s="8"/>
      <c r="G189" s="1"/>
      <c r="H189" s="8"/>
      <c r="I189" s="119"/>
      <c r="J189" s="4"/>
      <c r="K189" s="4">
        <f t="shared" si="57"/>
        <v>0</v>
      </c>
      <c r="L189" s="4">
        <f t="shared" si="58"/>
        <v>0</v>
      </c>
      <c r="M189" s="4"/>
      <c r="N189" s="4">
        <f t="shared" si="59"/>
        <v>0</v>
      </c>
      <c r="O189" s="4"/>
      <c r="P189" s="4"/>
      <c r="Q189" s="4">
        <f t="shared" si="60"/>
        <v>0</v>
      </c>
      <c r="R189" s="4">
        <f t="shared" si="61"/>
        <v>0</v>
      </c>
      <c r="S189" s="4"/>
      <c r="T189" s="4">
        <f t="shared" si="62"/>
        <v>0</v>
      </c>
      <c r="U189" s="4"/>
      <c r="V189" s="4"/>
      <c r="W189" s="4"/>
      <c r="X189" s="4"/>
      <c r="Y189" s="4"/>
      <c r="Z189" s="4"/>
      <c r="AA189" s="4">
        <f t="shared" si="63"/>
        <v>0</v>
      </c>
      <c r="AB189" s="4">
        <f t="shared" si="64"/>
        <v>0</v>
      </c>
      <c r="AC189" s="4"/>
      <c r="AD189" s="4">
        <f t="shared" si="65"/>
        <v>0</v>
      </c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3">
        <f t="shared" si="67"/>
        <v>0</v>
      </c>
      <c r="BY189" s="22">
        <f t="shared" si="68"/>
        <v>0</v>
      </c>
      <c r="CC189" s="417" t="str">
        <f t="shared" si="66"/>
        <v/>
      </c>
    </row>
    <row r="190" spans="1:81">
      <c r="A190" s="1"/>
      <c r="B190" s="8"/>
      <c r="C190" s="8"/>
      <c r="D190" s="1"/>
      <c r="E190" s="8"/>
      <c r="F190" s="8"/>
      <c r="G190" s="1"/>
      <c r="H190" s="8"/>
      <c r="I190" s="119"/>
      <c r="J190" s="4"/>
      <c r="K190" s="4">
        <f t="shared" si="57"/>
        <v>0</v>
      </c>
      <c r="L190" s="4">
        <f t="shared" si="58"/>
        <v>0</v>
      </c>
      <c r="M190" s="4"/>
      <c r="N190" s="4">
        <f t="shared" si="59"/>
        <v>0</v>
      </c>
      <c r="O190" s="4"/>
      <c r="P190" s="4"/>
      <c r="Q190" s="4">
        <f t="shared" si="60"/>
        <v>0</v>
      </c>
      <c r="R190" s="4">
        <f t="shared" si="61"/>
        <v>0</v>
      </c>
      <c r="S190" s="4"/>
      <c r="T190" s="4">
        <f t="shared" si="62"/>
        <v>0</v>
      </c>
      <c r="U190" s="4"/>
      <c r="V190" s="4"/>
      <c r="W190" s="4"/>
      <c r="X190" s="4"/>
      <c r="Y190" s="4"/>
      <c r="Z190" s="4"/>
      <c r="AA190" s="4">
        <f t="shared" si="63"/>
        <v>0</v>
      </c>
      <c r="AB190" s="4">
        <f t="shared" si="64"/>
        <v>0</v>
      </c>
      <c r="AC190" s="4"/>
      <c r="AD190" s="4">
        <f t="shared" si="65"/>
        <v>0</v>
      </c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3">
        <f t="shared" si="67"/>
        <v>0</v>
      </c>
      <c r="BY190" s="22">
        <f t="shared" si="68"/>
        <v>0</v>
      </c>
      <c r="CC190" s="417" t="str">
        <f t="shared" si="66"/>
        <v/>
      </c>
    </row>
    <row r="191" spans="1:81">
      <c r="A191" s="1"/>
      <c r="B191" s="8"/>
      <c r="C191" s="8"/>
      <c r="D191" s="1"/>
      <c r="E191" s="8"/>
      <c r="F191" s="8"/>
      <c r="G191" s="1"/>
      <c r="H191" s="8"/>
      <c r="I191" s="119"/>
      <c r="J191" s="4"/>
      <c r="K191" s="4">
        <f t="shared" si="57"/>
        <v>0</v>
      </c>
      <c r="L191" s="4">
        <f t="shared" si="58"/>
        <v>0</v>
      </c>
      <c r="M191" s="4"/>
      <c r="N191" s="4">
        <f t="shared" si="59"/>
        <v>0</v>
      </c>
      <c r="O191" s="4"/>
      <c r="P191" s="4"/>
      <c r="Q191" s="4">
        <f t="shared" si="60"/>
        <v>0</v>
      </c>
      <c r="R191" s="4">
        <f t="shared" si="61"/>
        <v>0</v>
      </c>
      <c r="S191" s="4"/>
      <c r="T191" s="4">
        <f t="shared" si="62"/>
        <v>0</v>
      </c>
      <c r="U191" s="4"/>
      <c r="V191" s="4"/>
      <c r="W191" s="4"/>
      <c r="X191" s="4"/>
      <c r="Y191" s="4"/>
      <c r="Z191" s="4"/>
      <c r="AA191" s="4">
        <f t="shared" si="63"/>
        <v>0</v>
      </c>
      <c r="AB191" s="4">
        <f t="shared" si="64"/>
        <v>0</v>
      </c>
      <c r="AC191" s="4"/>
      <c r="AD191" s="4">
        <f t="shared" si="65"/>
        <v>0</v>
      </c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3">
        <f t="shared" si="67"/>
        <v>0</v>
      </c>
      <c r="BY191" s="22">
        <f t="shared" si="68"/>
        <v>0</v>
      </c>
      <c r="CC191" s="417" t="str">
        <f t="shared" si="66"/>
        <v/>
      </c>
    </row>
    <row r="192" spans="1:81">
      <c r="A192" s="1"/>
      <c r="B192" s="8"/>
      <c r="C192" s="8"/>
      <c r="D192" s="1"/>
      <c r="E192" s="8"/>
      <c r="F192" s="8"/>
      <c r="G192" s="1"/>
      <c r="H192" s="8"/>
      <c r="I192" s="119"/>
      <c r="J192" s="4"/>
      <c r="K192" s="4">
        <f t="shared" si="57"/>
        <v>0</v>
      </c>
      <c r="L192" s="4">
        <f t="shared" si="58"/>
        <v>0</v>
      </c>
      <c r="M192" s="4"/>
      <c r="N192" s="4">
        <f t="shared" si="59"/>
        <v>0</v>
      </c>
      <c r="O192" s="4"/>
      <c r="P192" s="4"/>
      <c r="Q192" s="4">
        <f t="shared" si="60"/>
        <v>0</v>
      </c>
      <c r="R192" s="4">
        <f t="shared" si="61"/>
        <v>0</v>
      </c>
      <c r="S192" s="4"/>
      <c r="T192" s="4">
        <f t="shared" si="62"/>
        <v>0</v>
      </c>
      <c r="U192" s="4"/>
      <c r="V192" s="4"/>
      <c r="W192" s="4"/>
      <c r="X192" s="4"/>
      <c r="Y192" s="4"/>
      <c r="Z192" s="4"/>
      <c r="AA192" s="4">
        <f t="shared" si="63"/>
        <v>0</v>
      </c>
      <c r="AB192" s="4">
        <f t="shared" si="64"/>
        <v>0</v>
      </c>
      <c r="AC192" s="4"/>
      <c r="AD192" s="4">
        <f t="shared" si="65"/>
        <v>0</v>
      </c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3">
        <f t="shared" si="67"/>
        <v>0</v>
      </c>
      <c r="BY192" s="22">
        <f t="shared" si="68"/>
        <v>0</v>
      </c>
      <c r="CC192" s="417" t="str">
        <f t="shared" si="66"/>
        <v/>
      </c>
    </row>
    <row r="193" spans="1:81">
      <c r="A193" s="1"/>
      <c r="B193" s="8"/>
      <c r="C193" s="8"/>
      <c r="D193" s="1"/>
      <c r="E193" s="8"/>
      <c r="F193" s="8"/>
      <c r="G193" s="1"/>
      <c r="H193" s="8"/>
      <c r="I193" s="119"/>
      <c r="J193" s="4"/>
      <c r="K193" s="4">
        <f t="shared" si="57"/>
        <v>0</v>
      </c>
      <c r="L193" s="4">
        <f t="shared" si="58"/>
        <v>0</v>
      </c>
      <c r="M193" s="4"/>
      <c r="N193" s="4">
        <f t="shared" si="59"/>
        <v>0</v>
      </c>
      <c r="O193" s="4"/>
      <c r="P193" s="4"/>
      <c r="Q193" s="4">
        <f t="shared" si="60"/>
        <v>0</v>
      </c>
      <c r="R193" s="4">
        <f t="shared" si="61"/>
        <v>0</v>
      </c>
      <c r="S193" s="4"/>
      <c r="T193" s="4">
        <f t="shared" si="62"/>
        <v>0</v>
      </c>
      <c r="U193" s="4"/>
      <c r="V193" s="4"/>
      <c r="W193" s="4"/>
      <c r="X193" s="4"/>
      <c r="Y193" s="4"/>
      <c r="Z193" s="4"/>
      <c r="AA193" s="4">
        <f t="shared" si="63"/>
        <v>0</v>
      </c>
      <c r="AB193" s="4">
        <f t="shared" si="64"/>
        <v>0</v>
      </c>
      <c r="AC193" s="4"/>
      <c r="AD193" s="4">
        <f t="shared" si="65"/>
        <v>0</v>
      </c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3">
        <f t="shared" si="67"/>
        <v>0</v>
      </c>
      <c r="BY193" s="22">
        <f t="shared" si="68"/>
        <v>0</v>
      </c>
      <c r="CC193" s="417" t="str">
        <f t="shared" si="66"/>
        <v/>
      </c>
    </row>
    <row r="194" spans="1:81">
      <c r="A194" s="1"/>
      <c r="B194" s="8"/>
      <c r="C194" s="8"/>
      <c r="D194" s="1"/>
      <c r="E194" s="8"/>
      <c r="F194" s="8"/>
      <c r="G194" s="1"/>
      <c r="H194" s="8"/>
      <c r="I194" s="119"/>
      <c r="J194" s="4"/>
      <c r="K194" s="4">
        <f t="shared" ref="K194:K257" si="69">0.01*(I194+J194)</f>
        <v>0</v>
      </c>
      <c r="L194" s="4">
        <f t="shared" ref="L194:L257" si="70">0.062*(I194+J194)</f>
        <v>0</v>
      </c>
      <c r="M194" s="4"/>
      <c r="N194" s="4">
        <f t="shared" ref="N194:N257" si="71">0.028*(I194+J194)</f>
        <v>0</v>
      </c>
      <c r="O194" s="4"/>
      <c r="P194" s="4"/>
      <c r="Q194" s="4">
        <f t="shared" ref="Q194:Q257" si="72">0.01*(O194+P194)</f>
        <v>0</v>
      </c>
      <c r="R194" s="4">
        <f t="shared" ref="R194:R257" si="73">0.062*(O194+P194)</f>
        <v>0</v>
      </c>
      <c r="S194" s="4"/>
      <c r="T194" s="4">
        <f t="shared" ref="T194:T257" si="74">0.028*(O194+P194)</f>
        <v>0</v>
      </c>
      <c r="U194" s="4"/>
      <c r="V194" s="4"/>
      <c r="W194" s="4"/>
      <c r="X194" s="4"/>
      <c r="Y194" s="4"/>
      <c r="Z194" s="4"/>
      <c r="AA194" s="4">
        <f t="shared" ref="AA194:AA257" si="75">0.01*(U194+V194+W194+X194+Y194)</f>
        <v>0</v>
      </c>
      <c r="AB194" s="4">
        <f t="shared" ref="AB194:AB257" si="76">0.062*(V194+U194+W194+X194+Y194)</f>
        <v>0</v>
      </c>
      <c r="AC194" s="4"/>
      <c r="AD194" s="4">
        <f t="shared" ref="AD194:AD257" si="77">0.028*(V194+W194+X194+Y194+U194)</f>
        <v>0</v>
      </c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3">
        <f t="shared" si="67"/>
        <v>0</v>
      </c>
      <c r="BY194" s="22">
        <f t="shared" si="68"/>
        <v>0</v>
      </c>
      <c r="CC194" s="417" t="str">
        <f t="shared" si="66"/>
        <v/>
      </c>
    </row>
    <row r="195" spans="1:81">
      <c r="A195" s="1"/>
      <c r="B195" s="8"/>
      <c r="C195" s="8"/>
      <c r="D195" s="1"/>
      <c r="E195" s="8"/>
      <c r="F195" s="8"/>
      <c r="G195" s="1"/>
      <c r="H195" s="8"/>
      <c r="I195" s="119"/>
      <c r="J195" s="4"/>
      <c r="K195" s="4">
        <f t="shared" si="69"/>
        <v>0</v>
      </c>
      <c r="L195" s="4">
        <f t="shared" si="70"/>
        <v>0</v>
      </c>
      <c r="M195" s="4"/>
      <c r="N195" s="4">
        <f t="shared" si="71"/>
        <v>0</v>
      </c>
      <c r="O195" s="4"/>
      <c r="P195" s="4"/>
      <c r="Q195" s="4">
        <f t="shared" si="72"/>
        <v>0</v>
      </c>
      <c r="R195" s="4">
        <f t="shared" si="73"/>
        <v>0</v>
      </c>
      <c r="S195" s="4"/>
      <c r="T195" s="4">
        <f t="shared" si="74"/>
        <v>0</v>
      </c>
      <c r="U195" s="4"/>
      <c r="V195" s="4"/>
      <c r="W195" s="4"/>
      <c r="X195" s="4"/>
      <c r="Y195" s="4"/>
      <c r="Z195" s="4"/>
      <c r="AA195" s="4">
        <f t="shared" si="75"/>
        <v>0</v>
      </c>
      <c r="AB195" s="4">
        <f t="shared" si="76"/>
        <v>0</v>
      </c>
      <c r="AC195" s="4"/>
      <c r="AD195" s="4">
        <f t="shared" si="77"/>
        <v>0</v>
      </c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3">
        <f t="shared" si="67"/>
        <v>0</v>
      </c>
      <c r="BY195" s="22">
        <f t="shared" si="68"/>
        <v>0</v>
      </c>
      <c r="CC195" s="417" t="str">
        <f t="shared" ref="CC195:CC258" si="78">IF(B195="ug1","INDUSTRIES",IF(B195="ug2","COMMERCE GENERAL",IF(B195="ug3","BANQUES, ASSURANCES, NTIC, CTD",IF(B195="ug4","FORETS, EAUX, MINES, PETROLES",IF(B195="ug5","SERVICES","")))))</f>
        <v/>
      </c>
    </row>
    <row r="196" spans="1:81">
      <c r="A196" s="1"/>
      <c r="B196" s="8"/>
      <c r="C196" s="8"/>
      <c r="D196" s="1"/>
      <c r="E196" s="8"/>
      <c r="F196" s="8"/>
      <c r="G196" s="1"/>
      <c r="H196" s="8"/>
      <c r="I196" s="119"/>
      <c r="J196" s="4"/>
      <c r="K196" s="4">
        <f t="shared" si="69"/>
        <v>0</v>
      </c>
      <c r="L196" s="4">
        <f t="shared" si="70"/>
        <v>0</v>
      </c>
      <c r="M196" s="4"/>
      <c r="N196" s="4">
        <f t="shared" si="71"/>
        <v>0</v>
      </c>
      <c r="O196" s="4"/>
      <c r="P196" s="4"/>
      <c r="Q196" s="4">
        <f t="shared" si="72"/>
        <v>0</v>
      </c>
      <c r="R196" s="4">
        <f t="shared" si="73"/>
        <v>0</v>
      </c>
      <c r="S196" s="4"/>
      <c r="T196" s="4">
        <f t="shared" si="74"/>
        <v>0</v>
      </c>
      <c r="U196" s="4"/>
      <c r="V196" s="4"/>
      <c r="W196" s="4"/>
      <c r="X196" s="4"/>
      <c r="Y196" s="4"/>
      <c r="Z196" s="4"/>
      <c r="AA196" s="4">
        <f t="shared" si="75"/>
        <v>0</v>
      </c>
      <c r="AB196" s="4">
        <f t="shared" si="76"/>
        <v>0</v>
      </c>
      <c r="AC196" s="4"/>
      <c r="AD196" s="4">
        <f t="shared" si="77"/>
        <v>0</v>
      </c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3">
        <f t="shared" si="67"/>
        <v>0</v>
      </c>
      <c r="BY196" s="22">
        <f t="shared" si="68"/>
        <v>0</v>
      </c>
      <c r="CC196" s="417" t="str">
        <f t="shared" si="78"/>
        <v/>
      </c>
    </row>
    <row r="197" spans="1:81">
      <c r="A197" s="1"/>
      <c r="B197" s="8"/>
      <c r="C197" s="8"/>
      <c r="D197" s="1"/>
      <c r="E197" s="8"/>
      <c r="F197" s="8"/>
      <c r="G197" s="1"/>
      <c r="H197" s="8"/>
      <c r="I197" s="119"/>
      <c r="J197" s="4"/>
      <c r="K197" s="4">
        <f t="shared" si="69"/>
        <v>0</v>
      </c>
      <c r="L197" s="4">
        <f t="shared" si="70"/>
        <v>0</v>
      </c>
      <c r="M197" s="4"/>
      <c r="N197" s="4">
        <f t="shared" si="71"/>
        <v>0</v>
      </c>
      <c r="O197" s="4"/>
      <c r="P197" s="4"/>
      <c r="Q197" s="4">
        <f t="shared" si="72"/>
        <v>0</v>
      </c>
      <c r="R197" s="4">
        <f t="shared" si="73"/>
        <v>0</v>
      </c>
      <c r="S197" s="4"/>
      <c r="T197" s="4">
        <f t="shared" si="74"/>
        <v>0</v>
      </c>
      <c r="U197" s="4"/>
      <c r="V197" s="4"/>
      <c r="W197" s="4"/>
      <c r="X197" s="4"/>
      <c r="Y197" s="4"/>
      <c r="Z197" s="4"/>
      <c r="AA197" s="4">
        <f t="shared" si="75"/>
        <v>0</v>
      </c>
      <c r="AB197" s="4">
        <f t="shared" si="76"/>
        <v>0</v>
      </c>
      <c r="AC197" s="4"/>
      <c r="AD197" s="4">
        <f t="shared" si="77"/>
        <v>0</v>
      </c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3">
        <f t="shared" si="67"/>
        <v>0</v>
      </c>
      <c r="BY197" s="22">
        <f t="shared" si="68"/>
        <v>0</v>
      </c>
      <c r="CC197" s="417" t="str">
        <f t="shared" si="78"/>
        <v/>
      </c>
    </row>
    <row r="198" spans="1:81">
      <c r="A198" s="1"/>
      <c r="B198" s="8"/>
      <c r="C198" s="8"/>
      <c r="D198" s="1"/>
      <c r="E198" s="8"/>
      <c r="F198" s="8"/>
      <c r="G198" s="1"/>
      <c r="H198" s="8"/>
      <c r="I198" s="119"/>
      <c r="J198" s="4"/>
      <c r="K198" s="4">
        <f t="shared" si="69"/>
        <v>0</v>
      </c>
      <c r="L198" s="4">
        <f t="shared" si="70"/>
        <v>0</v>
      </c>
      <c r="M198" s="4"/>
      <c r="N198" s="4">
        <f t="shared" si="71"/>
        <v>0</v>
      </c>
      <c r="O198" s="4"/>
      <c r="P198" s="4"/>
      <c r="Q198" s="4">
        <f t="shared" si="72"/>
        <v>0</v>
      </c>
      <c r="R198" s="4">
        <f t="shared" si="73"/>
        <v>0</v>
      </c>
      <c r="S198" s="4"/>
      <c r="T198" s="4">
        <f t="shared" si="74"/>
        <v>0</v>
      </c>
      <c r="U198" s="4"/>
      <c r="V198" s="4"/>
      <c r="W198" s="4"/>
      <c r="X198" s="4"/>
      <c r="Y198" s="4"/>
      <c r="Z198" s="4"/>
      <c r="AA198" s="4">
        <f t="shared" si="75"/>
        <v>0</v>
      </c>
      <c r="AB198" s="4">
        <f t="shared" si="76"/>
        <v>0</v>
      </c>
      <c r="AC198" s="4"/>
      <c r="AD198" s="4">
        <f t="shared" si="77"/>
        <v>0</v>
      </c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3">
        <f t="shared" si="67"/>
        <v>0</v>
      </c>
      <c r="BY198" s="22">
        <f t="shared" si="68"/>
        <v>0</v>
      </c>
      <c r="CC198" s="417" t="str">
        <f t="shared" si="78"/>
        <v/>
      </c>
    </row>
    <row r="199" spans="1:81">
      <c r="A199" s="1"/>
      <c r="B199" s="8"/>
      <c r="C199" s="8"/>
      <c r="D199" s="1"/>
      <c r="E199" s="8"/>
      <c r="F199" s="8"/>
      <c r="G199" s="1"/>
      <c r="H199" s="8"/>
      <c r="I199" s="119"/>
      <c r="J199" s="4"/>
      <c r="K199" s="4">
        <f t="shared" si="69"/>
        <v>0</v>
      </c>
      <c r="L199" s="4">
        <f t="shared" si="70"/>
        <v>0</v>
      </c>
      <c r="M199" s="4"/>
      <c r="N199" s="4">
        <f t="shared" si="71"/>
        <v>0</v>
      </c>
      <c r="O199" s="4"/>
      <c r="P199" s="4"/>
      <c r="Q199" s="4">
        <f t="shared" si="72"/>
        <v>0</v>
      </c>
      <c r="R199" s="4">
        <f t="shared" si="73"/>
        <v>0</v>
      </c>
      <c r="S199" s="4"/>
      <c r="T199" s="4">
        <f t="shared" si="74"/>
        <v>0</v>
      </c>
      <c r="U199" s="4"/>
      <c r="V199" s="4"/>
      <c r="W199" s="4"/>
      <c r="X199" s="4"/>
      <c r="Y199" s="4"/>
      <c r="Z199" s="4"/>
      <c r="AA199" s="4">
        <f t="shared" si="75"/>
        <v>0</v>
      </c>
      <c r="AB199" s="4">
        <f t="shared" si="76"/>
        <v>0</v>
      </c>
      <c r="AC199" s="4"/>
      <c r="AD199" s="4">
        <f t="shared" si="77"/>
        <v>0</v>
      </c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3">
        <f t="shared" si="67"/>
        <v>0</v>
      </c>
      <c r="BY199" s="22">
        <f t="shared" si="68"/>
        <v>0</v>
      </c>
      <c r="CC199" s="417" t="str">
        <f t="shared" si="78"/>
        <v/>
      </c>
    </row>
    <row r="200" spans="1:81">
      <c r="A200" s="1"/>
      <c r="B200" s="8"/>
      <c r="C200" s="8"/>
      <c r="D200" s="1"/>
      <c r="E200" s="8"/>
      <c r="F200" s="8"/>
      <c r="G200" s="1"/>
      <c r="H200" s="8"/>
      <c r="I200" s="119"/>
      <c r="J200" s="4"/>
      <c r="K200" s="4">
        <f t="shared" si="69"/>
        <v>0</v>
      </c>
      <c r="L200" s="4">
        <f t="shared" si="70"/>
        <v>0</v>
      </c>
      <c r="M200" s="4"/>
      <c r="N200" s="4">
        <f t="shared" si="71"/>
        <v>0</v>
      </c>
      <c r="O200" s="4"/>
      <c r="P200" s="4"/>
      <c r="Q200" s="4">
        <f t="shared" si="72"/>
        <v>0</v>
      </c>
      <c r="R200" s="4">
        <f t="shared" si="73"/>
        <v>0</v>
      </c>
      <c r="S200" s="4"/>
      <c r="T200" s="4">
        <f t="shared" si="74"/>
        <v>0</v>
      </c>
      <c r="U200" s="4"/>
      <c r="V200" s="4"/>
      <c r="W200" s="4"/>
      <c r="X200" s="4"/>
      <c r="Y200" s="4"/>
      <c r="Z200" s="4"/>
      <c r="AA200" s="4">
        <f t="shared" si="75"/>
        <v>0</v>
      </c>
      <c r="AB200" s="4">
        <f t="shared" si="76"/>
        <v>0</v>
      </c>
      <c r="AC200" s="4"/>
      <c r="AD200" s="4">
        <f t="shared" si="77"/>
        <v>0</v>
      </c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3">
        <f t="shared" si="67"/>
        <v>0</v>
      </c>
      <c r="BY200" s="22">
        <f t="shared" si="68"/>
        <v>0</v>
      </c>
      <c r="CC200" s="417" t="str">
        <f t="shared" si="78"/>
        <v/>
      </c>
    </row>
    <row r="201" spans="1:81">
      <c r="A201" s="1"/>
      <c r="B201" s="8"/>
      <c r="C201" s="8"/>
      <c r="D201" s="1"/>
      <c r="E201" s="8"/>
      <c r="F201" s="8"/>
      <c r="G201" s="1"/>
      <c r="H201" s="8"/>
      <c r="I201" s="119"/>
      <c r="J201" s="4"/>
      <c r="K201" s="4">
        <f t="shared" si="69"/>
        <v>0</v>
      </c>
      <c r="L201" s="4">
        <f t="shared" si="70"/>
        <v>0</v>
      </c>
      <c r="M201" s="4"/>
      <c r="N201" s="4">
        <f t="shared" si="71"/>
        <v>0</v>
      </c>
      <c r="O201" s="4"/>
      <c r="P201" s="4"/>
      <c r="Q201" s="4">
        <f t="shared" si="72"/>
        <v>0</v>
      </c>
      <c r="R201" s="4">
        <f t="shared" si="73"/>
        <v>0</v>
      </c>
      <c r="S201" s="4"/>
      <c r="T201" s="4">
        <f t="shared" si="74"/>
        <v>0</v>
      </c>
      <c r="U201" s="4"/>
      <c r="V201" s="4"/>
      <c r="W201" s="4"/>
      <c r="X201" s="4"/>
      <c r="Y201" s="4"/>
      <c r="Z201" s="4"/>
      <c r="AA201" s="4">
        <f t="shared" si="75"/>
        <v>0</v>
      </c>
      <c r="AB201" s="4">
        <f t="shared" si="76"/>
        <v>0</v>
      </c>
      <c r="AC201" s="4"/>
      <c r="AD201" s="4">
        <f t="shared" si="77"/>
        <v>0</v>
      </c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3">
        <f t="shared" si="67"/>
        <v>0</v>
      </c>
      <c r="BY201" s="22">
        <f t="shared" si="68"/>
        <v>0</v>
      </c>
      <c r="CC201" s="417" t="str">
        <f t="shared" si="78"/>
        <v/>
      </c>
    </row>
    <row r="202" spans="1:81">
      <c r="A202" s="1"/>
      <c r="B202" s="8"/>
      <c r="C202" s="8"/>
      <c r="D202" s="1"/>
      <c r="E202" s="8"/>
      <c r="F202" s="8"/>
      <c r="G202" s="1"/>
      <c r="H202" s="8"/>
      <c r="I202" s="119"/>
      <c r="J202" s="4"/>
      <c r="K202" s="4">
        <f t="shared" si="69"/>
        <v>0</v>
      </c>
      <c r="L202" s="4">
        <f t="shared" si="70"/>
        <v>0</v>
      </c>
      <c r="M202" s="4"/>
      <c r="N202" s="4">
        <f t="shared" si="71"/>
        <v>0</v>
      </c>
      <c r="O202" s="4"/>
      <c r="P202" s="4"/>
      <c r="Q202" s="4">
        <f t="shared" si="72"/>
        <v>0</v>
      </c>
      <c r="R202" s="4">
        <f t="shared" si="73"/>
        <v>0</v>
      </c>
      <c r="S202" s="4"/>
      <c r="T202" s="4">
        <f t="shared" si="74"/>
        <v>0</v>
      </c>
      <c r="U202" s="4"/>
      <c r="V202" s="4"/>
      <c r="W202" s="4"/>
      <c r="X202" s="4"/>
      <c r="Y202" s="4"/>
      <c r="Z202" s="4"/>
      <c r="AA202" s="4">
        <f t="shared" si="75"/>
        <v>0</v>
      </c>
      <c r="AB202" s="4">
        <f t="shared" si="76"/>
        <v>0</v>
      </c>
      <c r="AC202" s="4"/>
      <c r="AD202" s="4">
        <f t="shared" si="77"/>
        <v>0</v>
      </c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3">
        <f t="shared" si="67"/>
        <v>0</v>
      </c>
      <c r="BY202" s="22">
        <f t="shared" si="68"/>
        <v>0</v>
      </c>
      <c r="CC202" s="417" t="str">
        <f t="shared" si="78"/>
        <v/>
      </c>
    </row>
    <row r="203" spans="1:81">
      <c r="A203" s="1"/>
      <c r="B203" s="8"/>
      <c r="C203" s="8"/>
      <c r="D203" s="1"/>
      <c r="E203" s="8"/>
      <c r="F203" s="8"/>
      <c r="G203" s="1"/>
      <c r="H203" s="8"/>
      <c r="I203" s="119"/>
      <c r="J203" s="4"/>
      <c r="K203" s="4">
        <f t="shared" si="69"/>
        <v>0</v>
      </c>
      <c r="L203" s="4">
        <f t="shared" si="70"/>
        <v>0</v>
      </c>
      <c r="M203" s="4"/>
      <c r="N203" s="4">
        <f t="shared" si="71"/>
        <v>0</v>
      </c>
      <c r="O203" s="4"/>
      <c r="P203" s="4"/>
      <c r="Q203" s="4">
        <f t="shared" si="72"/>
        <v>0</v>
      </c>
      <c r="R203" s="4">
        <f t="shared" si="73"/>
        <v>0</v>
      </c>
      <c r="S203" s="4"/>
      <c r="T203" s="4">
        <f t="shared" si="74"/>
        <v>0</v>
      </c>
      <c r="U203" s="4"/>
      <c r="V203" s="4"/>
      <c r="W203" s="4"/>
      <c r="X203" s="4"/>
      <c r="Y203" s="4"/>
      <c r="Z203" s="4"/>
      <c r="AA203" s="4">
        <f t="shared" si="75"/>
        <v>0</v>
      </c>
      <c r="AB203" s="4">
        <f t="shared" si="76"/>
        <v>0</v>
      </c>
      <c r="AC203" s="4"/>
      <c r="AD203" s="4">
        <f t="shared" si="77"/>
        <v>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3">
        <f t="shared" si="67"/>
        <v>0</v>
      </c>
      <c r="BY203" s="22">
        <f t="shared" si="68"/>
        <v>0</v>
      </c>
      <c r="CC203" s="417" t="str">
        <f t="shared" si="78"/>
        <v/>
      </c>
    </row>
    <row r="204" spans="1:81">
      <c r="A204" s="1"/>
      <c r="B204" s="8"/>
      <c r="C204" s="8"/>
      <c r="D204" s="1"/>
      <c r="E204" s="8"/>
      <c r="F204" s="8"/>
      <c r="G204" s="1"/>
      <c r="H204" s="8"/>
      <c r="I204" s="119"/>
      <c r="J204" s="4"/>
      <c r="K204" s="4">
        <f t="shared" si="69"/>
        <v>0</v>
      </c>
      <c r="L204" s="4">
        <f t="shared" si="70"/>
        <v>0</v>
      </c>
      <c r="M204" s="4"/>
      <c r="N204" s="4">
        <f t="shared" si="71"/>
        <v>0</v>
      </c>
      <c r="O204" s="4"/>
      <c r="P204" s="4"/>
      <c r="Q204" s="4">
        <f t="shared" si="72"/>
        <v>0</v>
      </c>
      <c r="R204" s="4">
        <f t="shared" si="73"/>
        <v>0</v>
      </c>
      <c r="S204" s="4"/>
      <c r="T204" s="4">
        <f t="shared" si="74"/>
        <v>0</v>
      </c>
      <c r="U204" s="4"/>
      <c r="V204" s="4"/>
      <c r="W204" s="4"/>
      <c r="X204" s="4"/>
      <c r="Y204" s="4"/>
      <c r="Z204" s="4"/>
      <c r="AA204" s="4">
        <f t="shared" si="75"/>
        <v>0</v>
      </c>
      <c r="AB204" s="4">
        <f t="shared" si="76"/>
        <v>0</v>
      </c>
      <c r="AC204" s="4"/>
      <c r="AD204" s="4">
        <f t="shared" si="77"/>
        <v>0</v>
      </c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3">
        <f t="shared" si="67"/>
        <v>0</v>
      </c>
      <c r="BY204" s="22">
        <f t="shared" si="68"/>
        <v>0</v>
      </c>
      <c r="CC204" s="417" t="str">
        <f t="shared" si="78"/>
        <v/>
      </c>
    </row>
    <row r="205" spans="1:81">
      <c r="A205" s="1"/>
      <c r="B205" s="8"/>
      <c r="C205" s="8"/>
      <c r="D205" s="1"/>
      <c r="E205" s="8"/>
      <c r="F205" s="8"/>
      <c r="G205" s="1"/>
      <c r="H205" s="8"/>
      <c r="I205" s="119"/>
      <c r="J205" s="4"/>
      <c r="K205" s="4">
        <f t="shared" si="69"/>
        <v>0</v>
      </c>
      <c r="L205" s="4">
        <f t="shared" si="70"/>
        <v>0</v>
      </c>
      <c r="M205" s="4"/>
      <c r="N205" s="4">
        <f t="shared" si="71"/>
        <v>0</v>
      </c>
      <c r="O205" s="4"/>
      <c r="P205" s="4"/>
      <c r="Q205" s="4">
        <f t="shared" si="72"/>
        <v>0</v>
      </c>
      <c r="R205" s="4">
        <f t="shared" si="73"/>
        <v>0</v>
      </c>
      <c r="S205" s="4"/>
      <c r="T205" s="4">
        <f t="shared" si="74"/>
        <v>0</v>
      </c>
      <c r="U205" s="4"/>
      <c r="V205" s="4"/>
      <c r="W205" s="4"/>
      <c r="X205" s="4"/>
      <c r="Y205" s="4"/>
      <c r="Z205" s="4"/>
      <c r="AA205" s="4">
        <f t="shared" si="75"/>
        <v>0</v>
      </c>
      <c r="AB205" s="4">
        <f t="shared" si="76"/>
        <v>0</v>
      </c>
      <c r="AC205" s="4"/>
      <c r="AD205" s="4">
        <f t="shared" si="77"/>
        <v>0</v>
      </c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3">
        <f t="shared" si="67"/>
        <v>0</v>
      </c>
      <c r="BY205" s="22">
        <f t="shared" si="68"/>
        <v>0</v>
      </c>
      <c r="CC205" s="417" t="str">
        <f t="shared" si="78"/>
        <v/>
      </c>
    </row>
    <row r="206" spans="1:81">
      <c r="A206" s="1"/>
      <c r="B206" s="8"/>
      <c r="C206" s="8"/>
      <c r="D206" s="1"/>
      <c r="E206" s="8"/>
      <c r="F206" s="8"/>
      <c r="G206" s="1"/>
      <c r="H206" s="8"/>
      <c r="I206" s="119"/>
      <c r="J206" s="4"/>
      <c r="K206" s="4">
        <f t="shared" si="69"/>
        <v>0</v>
      </c>
      <c r="L206" s="4">
        <f t="shared" si="70"/>
        <v>0</v>
      </c>
      <c r="M206" s="4"/>
      <c r="N206" s="4">
        <f t="shared" si="71"/>
        <v>0</v>
      </c>
      <c r="O206" s="4"/>
      <c r="P206" s="4"/>
      <c r="Q206" s="4">
        <f t="shared" si="72"/>
        <v>0</v>
      </c>
      <c r="R206" s="4">
        <f t="shared" si="73"/>
        <v>0</v>
      </c>
      <c r="S206" s="4"/>
      <c r="T206" s="4">
        <f t="shared" si="74"/>
        <v>0</v>
      </c>
      <c r="U206" s="4"/>
      <c r="V206" s="4"/>
      <c r="W206" s="4"/>
      <c r="X206" s="4"/>
      <c r="Y206" s="4"/>
      <c r="Z206" s="4"/>
      <c r="AA206" s="4">
        <f t="shared" si="75"/>
        <v>0</v>
      </c>
      <c r="AB206" s="4">
        <f t="shared" si="76"/>
        <v>0</v>
      </c>
      <c r="AC206" s="4"/>
      <c r="AD206" s="4">
        <f t="shared" si="77"/>
        <v>0</v>
      </c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3">
        <f t="shared" ref="BX206:BX269" si="79">SUM(D206:BW206)</f>
        <v>0</v>
      </c>
      <c r="BY206" s="22">
        <f t="shared" ref="BY206:BY269" si="80">D206+G206+H206+I206+J206+O206+P206+U206+V206+W206+X206+Y206+Z206+AE206+AF206+AG206+AH206+AI206+AM206+AN206+AR206+AS206+AT206+AU206+AV206+AW206</f>
        <v>0</v>
      </c>
      <c r="CC206" s="417" t="str">
        <f t="shared" si="78"/>
        <v/>
      </c>
    </row>
    <row r="207" spans="1:81">
      <c r="A207" s="1"/>
      <c r="B207" s="8"/>
      <c r="C207" s="8"/>
      <c r="D207" s="1"/>
      <c r="E207" s="8"/>
      <c r="F207" s="8"/>
      <c r="G207" s="1"/>
      <c r="H207" s="8"/>
      <c r="I207" s="119"/>
      <c r="J207" s="4"/>
      <c r="K207" s="4">
        <f t="shared" si="69"/>
        <v>0</v>
      </c>
      <c r="L207" s="4">
        <f t="shared" si="70"/>
        <v>0</v>
      </c>
      <c r="M207" s="4"/>
      <c r="N207" s="4">
        <f t="shared" si="71"/>
        <v>0</v>
      </c>
      <c r="O207" s="4"/>
      <c r="P207" s="4"/>
      <c r="Q207" s="4">
        <f t="shared" si="72"/>
        <v>0</v>
      </c>
      <c r="R207" s="4">
        <f t="shared" si="73"/>
        <v>0</v>
      </c>
      <c r="S207" s="4"/>
      <c r="T207" s="4">
        <f t="shared" si="74"/>
        <v>0</v>
      </c>
      <c r="U207" s="4"/>
      <c r="V207" s="4"/>
      <c r="W207" s="4"/>
      <c r="X207" s="4"/>
      <c r="Y207" s="4"/>
      <c r="Z207" s="4"/>
      <c r="AA207" s="4">
        <f t="shared" si="75"/>
        <v>0</v>
      </c>
      <c r="AB207" s="4">
        <f t="shared" si="76"/>
        <v>0</v>
      </c>
      <c r="AC207" s="4"/>
      <c r="AD207" s="4">
        <f t="shared" si="77"/>
        <v>0</v>
      </c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3">
        <f t="shared" si="79"/>
        <v>0</v>
      </c>
      <c r="BY207" s="22">
        <f t="shared" si="80"/>
        <v>0</v>
      </c>
      <c r="CC207" s="417" t="str">
        <f t="shared" si="78"/>
        <v/>
      </c>
    </row>
    <row r="208" spans="1:81">
      <c r="A208" s="1"/>
      <c r="B208" s="8"/>
      <c r="C208" s="8"/>
      <c r="D208" s="1"/>
      <c r="E208" s="8"/>
      <c r="F208" s="8"/>
      <c r="G208" s="1"/>
      <c r="H208" s="8"/>
      <c r="I208" s="119"/>
      <c r="J208" s="4"/>
      <c r="K208" s="4">
        <f t="shared" si="69"/>
        <v>0</v>
      </c>
      <c r="L208" s="4">
        <f t="shared" si="70"/>
        <v>0</v>
      </c>
      <c r="M208" s="4"/>
      <c r="N208" s="4">
        <f t="shared" si="71"/>
        <v>0</v>
      </c>
      <c r="O208" s="4"/>
      <c r="P208" s="4"/>
      <c r="Q208" s="4">
        <f t="shared" si="72"/>
        <v>0</v>
      </c>
      <c r="R208" s="4">
        <f t="shared" si="73"/>
        <v>0</v>
      </c>
      <c r="S208" s="4"/>
      <c r="T208" s="4">
        <f t="shared" si="74"/>
        <v>0</v>
      </c>
      <c r="U208" s="4"/>
      <c r="V208" s="4"/>
      <c r="W208" s="4"/>
      <c r="X208" s="4"/>
      <c r="Y208" s="4"/>
      <c r="Z208" s="4"/>
      <c r="AA208" s="4">
        <f t="shared" si="75"/>
        <v>0</v>
      </c>
      <c r="AB208" s="4">
        <f t="shared" si="76"/>
        <v>0</v>
      </c>
      <c r="AC208" s="4"/>
      <c r="AD208" s="4">
        <f t="shared" si="77"/>
        <v>0</v>
      </c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3">
        <f t="shared" si="79"/>
        <v>0</v>
      </c>
      <c r="BY208" s="22">
        <f t="shared" si="80"/>
        <v>0</v>
      </c>
      <c r="CC208" s="417" t="str">
        <f t="shared" si="78"/>
        <v/>
      </c>
    </row>
    <row r="209" spans="1:81">
      <c r="A209" s="1"/>
      <c r="B209" s="8"/>
      <c r="C209" s="8"/>
      <c r="D209" s="1"/>
      <c r="E209" s="8"/>
      <c r="F209" s="8"/>
      <c r="G209" s="1"/>
      <c r="H209" s="8"/>
      <c r="I209" s="119"/>
      <c r="J209" s="4"/>
      <c r="K209" s="4">
        <f t="shared" si="69"/>
        <v>0</v>
      </c>
      <c r="L209" s="4">
        <f t="shared" si="70"/>
        <v>0</v>
      </c>
      <c r="M209" s="4"/>
      <c r="N209" s="4">
        <f t="shared" si="71"/>
        <v>0</v>
      </c>
      <c r="O209" s="4"/>
      <c r="P209" s="4"/>
      <c r="Q209" s="4">
        <f t="shared" si="72"/>
        <v>0</v>
      </c>
      <c r="R209" s="4">
        <f t="shared" si="73"/>
        <v>0</v>
      </c>
      <c r="S209" s="4"/>
      <c r="T209" s="4">
        <f t="shared" si="74"/>
        <v>0</v>
      </c>
      <c r="U209" s="4"/>
      <c r="V209" s="4"/>
      <c r="W209" s="4"/>
      <c r="X209" s="4"/>
      <c r="Y209" s="4"/>
      <c r="Z209" s="4"/>
      <c r="AA209" s="4">
        <f t="shared" si="75"/>
        <v>0</v>
      </c>
      <c r="AB209" s="4">
        <f t="shared" si="76"/>
        <v>0</v>
      </c>
      <c r="AC209" s="4"/>
      <c r="AD209" s="4">
        <f t="shared" si="77"/>
        <v>0</v>
      </c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3">
        <f t="shared" si="79"/>
        <v>0</v>
      </c>
      <c r="BY209" s="22">
        <f t="shared" si="80"/>
        <v>0</v>
      </c>
      <c r="CC209" s="417" t="str">
        <f t="shared" si="78"/>
        <v/>
      </c>
    </row>
    <row r="210" spans="1:81">
      <c r="A210" s="1"/>
      <c r="B210" s="8"/>
      <c r="C210" s="8"/>
      <c r="D210" s="1"/>
      <c r="E210" s="8"/>
      <c r="F210" s="8"/>
      <c r="G210" s="1"/>
      <c r="H210" s="8"/>
      <c r="I210" s="119"/>
      <c r="J210" s="4"/>
      <c r="K210" s="4">
        <f t="shared" si="69"/>
        <v>0</v>
      </c>
      <c r="L210" s="4">
        <f t="shared" si="70"/>
        <v>0</v>
      </c>
      <c r="M210" s="4"/>
      <c r="N210" s="4">
        <f t="shared" si="71"/>
        <v>0</v>
      </c>
      <c r="O210" s="4"/>
      <c r="P210" s="4"/>
      <c r="Q210" s="4">
        <f t="shared" si="72"/>
        <v>0</v>
      </c>
      <c r="R210" s="4">
        <f t="shared" si="73"/>
        <v>0</v>
      </c>
      <c r="S210" s="4"/>
      <c r="T210" s="4">
        <f t="shared" si="74"/>
        <v>0</v>
      </c>
      <c r="U210" s="4"/>
      <c r="V210" s="4"/>
      <c r="W210" s="4"/>
      <c r="X210" s="4"/>
      <c r="Y210" s="4"/>
      <c r="Z210" s="4"/>
      <c r="AA210" s="4">
        <f t="shared" si="75"/>
        <v>0</v>
      </c>
      <c r="AB210" s="4">
        <f t="shared" si="76"/>
        <v>0</v>
      </c>
      <c r="AC210" s="4"/>
      <c r="AD210" s="4">
        <f t="shared" si="77"/>
        <v>0</v>
      </c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3">
        <f t="shared" si="79"/>
        <v>0</v>
      </c>
      <c r="BY210" s="22">
        <f t="shared" si="80"/>
        <v>0</v>
      </c>
      <c r="CC210" s="417" t="str">
        <f t="shared" si="78"/>
        <v/>
      </c>
    </row>
    <row r="211" spans="1:81">
      <c r="A211" s="1"/>
      <c r="B211" s="8"/>
      <c r="C211" s="8"/>
      <c r="D211" s="1"/>
      <c r="E211" s="8"/>
      <c r="F211" s="8"/>
      <c r="G211" s="1"/>
      <c r="H211" s="8"/>
      <c r="I211" s="119"/>
      <c r="J211" s="4"/>
      <c r="K211" s="4">
        <f t="shared" si="69"/>
        <v>0</v>
      </c>
      <c r="L211" s="4">
        <f t="shared" si="70"/>
        <v>0</v>
      </c>
      <c r="M211" s="4"/>
      <c r="N211" s="4">
        <f t="shared" si="71"/>
        <v>0</v>
      </c>
      <c r="O211" s="4"/>
      <c r="P211" s="4"/>
      <c r="Q211" s="4">
        <f t="shared" si="72"/>
        <v>0</v>
      </c>
      <c r="R211" s="4">
        <f t="shared" si="73"/>
        <v>0</v>
      </c>
      <c r="S211" s="4"/>
      <c r="T211" s="4">
        <f t="shared" si="74"/>
        <v>0</v>
      </c>
      <c r="U211" s="4"/>
      <c r="V211" s="4"/>
      <c r="W211" s="4"/>
      <c r="X211" s="4"/>
      <c r="Y211" s="4"/>
      <c r="Z211" s="4"/>
      <c r="AA211" s="4">
        <f t="shared" si="75"/>
        <v>0</v>
      </c>
      <c r="AB211" s="4">
        <f t="shared" si="76"/>
        <v>0</v>
      </c>
      <c r="AC211" s="4"/>
      <c r="AD211" s="4">
        <f t="shared" si="77"/>
        <v>0</v>
      </c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3">
        <f t="shared" si="79"/>
        <v>0</v>
      </c>
      <c r="BY211" s="22">
        <f t="shared" si="80"/>
        <v>0</v>
      </c>
      <c r="CC211" s="417" t="str">
        <f t="shared" si="78"/>
        <v/>
      </c>
    </row>
    <row r="212" spans="1:81">
      <c r="A212" s="1"/>
      <c r="B212" s="8"/>
      <c r="C212" s="8"/>
      <c r="D212" s="1"/>
      <c r="E212" s="8"/>
      <c r="F212" s="8"/>
      <c r="G212" s="1"/>
      <c r="H212" s="8"/>
      <c r="I212" s="119"/>
      <c r="J212" s="4"/>
      <c r="K212" s="4">
        <f t="shared" si="69"/>
        <v>0</v>
      </c>
      <c r="L212" s="4">
        <f t="shared" si="70"/>
        <v>0</v>
      </c>
      <c r="M212" s="4"/>
      <c r="N212" s="4">
        <f t="shared" si="71"/>
        <v>0</v>
      </c>
      <c r="O212" s="4"/>
      <c r="P212" s="4"/>
      <c r="Q212" s="4">
        <f t="shared" si="72"/>
        <v>0</v>
      </c>
      <c r="R212" s="4">
        <f t="shared" si="73"/>
        <v>0</v>
      </c>
      <c r="S212" s="4"/>
      <c r="T212" s="4">
        <f t="shared" si="74"/>
        <v>0</v>
      </c>
      <c r="U212" s="4"/>
      <c r="V212" s="4"/>
      <c r="W212" s="4"/>
      <c r="X212" s="4"/>
      <c r="Y212" s="4"/>
      <c r="Z212" s="4"/>
      <c r="AA212" s="4">
        <f t="shared" si="75"/>
        <v>0</v>
      </c>
      <c r="AB212" s="4">
        <f t="shared" si="76"/>
        <v>0</v>
      </c>
      <c r="AC212" s="4"/>
      <c r="AD212" s="4">
        <f t="shared" si="77"/>
        <v>0</v>
      </c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3">
        <f t="shared" si="79"/>
        <v>0</v>
      </c>
      <c r="BY212" s="22">
        <f t="shared" si="80"/>
        <v>0</v>
      </c>
      <c r="CC212" s="417" t="str">
        <f t="shared" si="78"/>
        <v/>
      </c>
    </row>
    <row r="213" spans="1:81">
      <c r="A213" s="1"/>
      <c r="B213" s="8"/>
      <c r="C213" s="8"/>
      <c r="D213" s="1"/>
      <c r="E213" s="8"/>
      <c r="F213" s="8"/>
      <c r="G213" s="1"/>
      <c r="H213" s="8"/>
      <c r="I213" s="119"/>
      <c r="J213" s="4"/>
      <c r="K213" s="4">
        <f t="shared" si="69"/>
        <v>0</v>
      </c>
      <c r="L213" s="4">
        <f t="shared" si="70"/>
        <v>0</v>
      </c>
      <c r="M213" s="4"/>
      <c r="N213" s="4">
        <f t="shared" si="71"/>
        <v>0</v>
      </c>
      <c r="O213" s="4"/>
      <c r="P213" s="4"/>
      <c r="Q213" s="4">
        <f t="shared" si="72"/>
        <v>0</v>
      </c>
      <c r="R213" s="4">
        <f t="shared" si="73"/>
        <v>0</v>
      </c>
      <c r="S213" s="4"/>
      <c r="T213" s="4">
        <f t="shared" si="74"/>
        <v>0</v>
      </c>
      <c r="U213" s="4"/>
      <c r="V213" s="4"/>
      <c r="W213" s="4"/>
      <c r="X213" s="4"/>
      <c r="Y213" s="4"/>
      <c r="Z213" s="4"/>
      <c r="AA213" s="4">
        <f t="shared" si="75"/>
        <v>0</v>
      </c>
      <c r="AB213" s="4">
        <f t="shared" si="76"/>
        <v>0</v>
      </c>
      <c r="AC213" s="4"/>
      <c r="AD213" s="4">
        <f t="shared" si="77"/>
        <v>0</v>
      </c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3">
        <f t="shared" si="79"/>
        <v>0</v>
      </c>
      <c r="BY213" s="22">
        <f t="shared" si="80"/>
        <v>0</v>
      </c>
      <c r="CC213" s="417" t="str">
        <f t="shared" si="78"/>
        <v/>
      </c>
    </row>
    <row r="214" spans="1:81">
      <c r="A214" s="1"/>
      <c r="B214" s="8"/>
      <c r="C214" s="8"/>
      <c r="D214" s="1"/>
      <c r="E214" s="8"/>
      <c r="F214" s="8"/>
      <c r="G214" s="1"/>
      <c r="H214" s="8"/>
      <c r="I214" s="119"/>
      <c r="J214" s="4"/>
      <c r="K214" s="4">
        <f t="shared" si="69"/>
        <v>0</v>
      </c>
      <c r="L214" s="4">
        <f t="shared" si="70"/>
        <v>0</v>
      </c>
      <c r="M214" s="4"/>
      <c r="N214" s="4">
        <f t="shared" si="71"/>
        <v>0</v>
      </c>
      <c r="O214" s="4"/>
      <c r="P214" s="4"/>
      <c r="Q214" s="4">
        <f t="shared" si="72"/>
        <v>0</v>
      </c>
      <c r="R214" s="4">
        <f t="shared" si="73"/>
        <v>0</v>
      </c>
      <c r="S214" s="4"/>
      <c r="T214" s="4">
        <f t="shared" si="74"/>
        <v>0</v>
      </c>
      <c r="U214" s="4"/>
      <c r="V214" s="4"/>
      <c r="W214" s="4"/>
      <c r="X214" s="4"/>
      <c r="Y214" s="4"/>
      <c r="Z214" s="4"/>
      <c r="AA214" s="4">
        <f t="shared" si="75"/>
        <v>0</v>
      </c>
      <c r="AB214" s="4">
        <f t="shared" si="76"/>
        <v>0</v>
      </c>
      <c r="AC214" s="4"/>
      <c r="AD214" s="4">
        <f t="shared" si="77"/>
        <v>0</v>
      </c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3">
        <f t="shared" si="79"/>
        <v>0</v>
      </c>
      <c r="BY214" s="22">
        <f t="shared" si="80"/>
        <v>0</v>
      </c>
      <c r="CC214" s="417" t="str">
        <f t="shared" si="78"/>
        <v/>
      </c>
    </row>
    <row r="215" spans="1:81">
      <c r="A215" s="1"/>
      <c r="B215" s="8"/>
      <c r="C215" s="8"/>
      <c r="D215" s="1"/>
      <c r="E215" s="8"/>
      <c r="F215" s="8"/>
      <c r="G215" s="1"/>
      <c r="H215" s="8"/>
      <c r="I215" s="119"/>
      <c r="J215" s="4"/>
      <c r="K215" s="4">
        <f t="shared" si="69"/>
        <v>0</v>
      </c>
      <c r="L215" s="4">
        <f t="shared" si="70"/>
        <v>0</v>
      </c>
      <c r="M215" s="4"/>
      <c r="N215" s="4">
        <f t="shared" si="71"/>
        <v>0</v>
      </c>
      <c r="O215" s="4"/>
      <c r="P215" s="4"/>
      <c r="Q215" s="4">
        <f t="shared" si="72"/>
        <v>0</v>
      </c>
      <c r="R215" s="4">
        <f t="shared" si="73"/>
        <v>0</v>
      </c>
      <c r="S215" s="4"/>
      <c r="T215" s="4">
        <f t="shared" si="74"/>
        <v>0</v>
      </c>
      <c r="U215" s="4"/>
      <c r="V215" s="4"/>
      <c r="W215" s="4"/>
      <c r="X215" s="4"/>
      <c r="Y215" s="4"/>
      <c r="Z215" s="4"/>
      <c r="AA215" s="4">
        <f t="shared" si="75"/>
        <v>0</v>
      </c>
      <c r="AB215" s="4">
        <f t="shared" si="76"/>
        <v>0</v>
      </c>
      <c r="AC215" s="4"/>
      <c r="AD215" s="4">
        <f t="shared" si="77"/>
        <v>0</v>
      </c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3">
        <f t="shared" si="79"/>
        <v>0</v>
      </c>
      <c r="BY215" s="22">
        <f t="shared" si="80"/>
        <v>0</v>
      </c>
      <c r="CC215" s="417" t="str">
        <f t="shared" si="78"/>
        <v/>
      </c>
    </row>
    <row r="216" spans="1:81">
      <c r="A216" s="1"/>
      <c r="B216" s="8"/>
      <c r="C216" s="8"/>
      <c r="D216" s="1"/>
      <c r="E216" s="8"/>
      <c r="F216" s="8"/>
      <c r="G216" s="1"/>
      <c r="H216" s="8"/>
      <c r="I216" s="119"/>
      <c r="J216" s="4"/>
      <c r="K216" s="4">
        <f t="shared" si="69"/>
        <v>0</v>
      </c>
      <c r="L216" s="4">
        <f t="shared" si="70"/>
        <v>0</v>
      </c>
      <c r="M216" s="4"/>
      <c r="N216" s="4">
        <f t="shared" si="71"/>
        <v>0</v>
      </c>
      <c r="O216" s="4"/>
      <c r="P216" s="4"/>
      <c r="Q216" s="4">
        <f t="shared" si="72"/>
        <v>0</v>
      </c>
      <c r="R216" s="4">
        <f t="shared" si="73"/>
        <v>0</v>
      </c>
      <c r="S216" s="4"/>
      <c r="T216" s="4">
        <f t="shared" si="74"/>
        <v>0</v>
      </c>
      <c r="U216" s="4"/>
      <c r="V216" s="4"/>
      <c r="W216" s="4"/>
      <c r="X216" s="4"/>
      <c r="Y216" s="4"/>
      <c r="Z216" s="4"/>
      <c r="AA216" s="4">
        <f t="shared" si="75"/>
        <v>0</v>
      </c>
      <c r="AB216" s="4">
        <f t="shared" si="76"/>
        <v>0</v>
      </c>
      <c r="AC216" s="4"/>
      <c r="AD216" s="4">
        <f t="shared" si="77"/>
        <v>0</v>
      </c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3">
        <f t="shared" si="79"/>
        <v>0</v>
      </c>
      <c r="BY216" s="22">
        <f t="shared" si="80"/>
        <v>0</v>
      </c>
      <c r="CC216" s="417" t="str">
        <f t="shared" si="78"/>
        <v/>
      </c>
    </row>
    <row r="217" spans="1:81">
      <c r="A217" s="1"/>
      <c r="B217" s="8"/>
      <c r="C217" s="8"/>
      <c r="D217" s="1"/>
      <c r="E217" s="8"/>
      <c r="F217" s="8"/>
      <c r="G217" s="1"/>
      <c r="H217" s="8"/>
      <c r="I217" s="119"/>
      <c r="J217" s="4"/>
      <c r="K217" s="4">
        <f t="shared" si="69"/>
        <v>0</v>
      </c>
      <c r="L217" s="4">
        <f t="shared" si="70"/>
        <v>0</v>
      </c>
      <c r="M217" s="4"/>
      <c r="N217" s="4">
        <f t="shared" si="71"/>
        <v>0</v>
      </c>
      <c r="O217" s="4"/>
      <c r="P217" s="4"/>
      <c r="Q217" s="4">
        <f t="shared" si="72"/>
        <v>0</v>
      </c>
      <c r="R217" s="4">
        <f t="shared" si="73"/>
        <v>0</v>
      </c>
      <c r="S217" s="4"/>
      <c r="T217" s="4">
        <f t="shared" si="74"/>
        <v>0</v>
      </c>
      <c r="U217" s="4"/>
      <c r="V217" s="4"/>
      <c r="W217" s="4"/>
      <c r="X217" s="4"/>
      <c r="Y217" s="4"/>
      <c r="Z217" s="4"/>
      <c r="AA217" s="4">
        <f t="shared" si="75"/>
        <v>0</v>
      </c>
      <c r="AB217" s="4">
        <f t="shared" si="76"/>
        <v>0</v>
      </c>
      <c r="AC217" s="4"/>
      <c r="AD217" s="4">
        <f t="shared" si="77"/>
        <v>0</v>
      </c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3">
        <f t="shared" si="79"/>
        <v>0</v>
      </c>
      <c r="BY217" s="22">
        <f t="shared" si="80"/>
        <v>0</v>
      </c>
      <c r="CC217" s="417" t="str">
        <f t="shared" si="78"/>
        <v/>
      </c>
    </row>
    <row r="218" spans="1:81">
      <c r="A218" s="1"/>
      <c r="B218" s="8"/>
      <c r="C218" s="8"/>
      <c r="D218" s="1"/>
      <c r="E218" s="8"/>
      <c r="F218" s="8"/>
      <c r="G218" s="1"/>
      <c r="H218" s="8"/>
      <c r="I218" s="119"/>
      <c r="J218" s="4"/>
      <c r="K218" s="4">
        <f t="shared" si="69"/>
        <v>0</v>
      </c>
      <c r="L218" s="4">
        <f t="shared" si="70"/>
        <v>0</v>
      </c>
      <c r="M218" s="4"/>
      <c r="N218" s="4">
        <f t="shared" si="71"/>
        <v>0</v>
      </c>
      <c r="O218" s="4"/>
      <c r="P218" s="4"/>
      <c r="Q218" s="4">
        <f t="shared" si="72"/>
        <v>0</v>
      </c>
      <c r="R218" s="4">
        <f t="shared" si="73"/>
        <v>0</v>
      </c>
      <c r="S218" s="4"/>
      <c r="T218" s="4">
        <f t="shared" si="74"/>
        <v>0</v>
      </c>
      <c r="U218" s="4"/>
      <c r="V218" s="4"/>
      <c r="W218" s="4"/>
      <c r="X218" s="4"/>
      <c r="Y218" s="4"/>
      <c r="Z218" s="4"/>
      <c r="AA218" s="4">
        <f t="shared" si="75"/>
        <v>0</v>
      </c>
      <c r="AB218" s="4">
        <f t="shared" si="76"/>
        <v>0</v>
      </c>
      <c r="AC218" s="4"/>
      <c r="AD218" s="4">
        <f t="shared" si="77"/>
        <v>0</v>
      </c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3">
        <f t="shared" si="79"/>
        <v>0</v>
      </c>
      <c r="BY218" s="22">
        <f t="shared" si="80"/>
        <v>0</v>
      </c>
      <c r="CC218" s="417" t="str">
        <f t="shared" si="78"/>
        <v/>
      </c>
    </row>
    <row r="219" spans="1:81">
      <c r="A219" s="1"/>
      <c r="B219" s="8"/>
      <c r="C219" s="8"/>
      <c r="D219" s="1"/>
      <c r="E219" s="8"/>
      <c r="F219" s="8"/>
      <c r="G219" s="1"/>
      <c r="H219" s="8"/>
      <c r="I219" s="119"/>
      <c r="J219" s="4"/>
      <c r="K219" s="4">
        <f t="shared" si="69"/>
        <v>0</v>
      </c>
      <c r="L219" s="4">
        <f t="shared" si="70"/>
        <v>0</v>
      </c>
      <c r="M219" s="4"/>
      <c r="N219" s="4">
        <f t="shared" si="71"/>
        <v>0</v>
      </c>
      <c r="O219" s="4"/>
      <c r="P219" s="4"/>
      <c r="Q219" s="4">
        <f t="shared" si="72"/>
        <v>0</v>
      </c>
      <c r="R219" s="4">
        <f t="shared" si="73"/>
        <v>0</v>
      </c>
      <c r="S219" s="4"/>
      <c r="T219" s="4">
        <f t="shared" si="74"/>
        <v>0</v>
      </c>
      <c r="U219" s="4"/>
      <c r="V219" s="4"/>
      <c r="W219" s="4"/>
      <c r="X219" s="4"/>
      <c r="Y219" s="4"/>
      <c r="Z219" s="4"/>
      <c r="AA219" s="4">
        <f t="shared" si="75"/>
        <v>0</v>
      </c>
      <c r="AB219" s="4">
        <f t="shared" si="76"/>
        <v>0</v>
      </c>
      <c r="AC219" s="4"/>
      <c r="AD219" s="4">
        <f t="shared" si="77"/>
        <v>0</v>
      </c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3">
        <f t="shared" si="79"/>
        <v>0</v>
      </c>
      <c r="BY219" s="22">
        <f t="shared" si="80"/>
        <v>0</v>
      </c>
      <c r="CC219" s="417" t="str">
        <f t="shared" si="78"/>
        <v/>
      </c>
    </row>
    <row r="220" spans="1:81">
      <c r="A220" s="1"/>
      <c r="B220" s="8"/>
      <c r="C220" s="8"/>
      <c r="D220" s="1"/>
      <c r="E220" s="8"/>
      <c r="F220" s="8"/>
      <c r="G220" s="1"/>
      <c r="H220" s="8"/>
      <c r="I220" s="119"/>
      <c r="J220" s="4"/>
      <c r="K220" s="4">
        <f t="shared" si="69"/>
        <v>0</v>
      </c>
      <c r="L220" s="4">
        <f t="shared" si="70"/>
        <v>0</v>
      </c>
      <c r="M220" s="4"/>
      <c r="N220" s="4">
        <f t="shared" si="71"/>
        <v>0</v>
      </c>
      <c r="O220" s="4"/>
      <c r="P220" s="4"/>
      <c r="Q220" s="4">
        <f t="shared" si="72"/>
        <v>0</v>
      </c>
      <c r="R220" s="4">
        <f t="shared" si="73"/>
        <v>0</v>
      </c>
      <c r="S220" s="4"/>
      <c r="T220" s="4">
        <f t="shared" si="74"/>
        <v>0</v>
      </c>
      <c r="U220" s="4"/>
      <c r="V220" s="4"/>
      <c r="W220" s="4"/>
      <c r="X220" s="4"/>
      <c r="Y220" s="4"/>
      <c r="Z220" s="4"/>
      <c r="AA220" s="4">
        <f t="shared" si="75"/>
        <v>0</v>
      </c>
      <c r="AB220" s="4">
        <f t="shared" si="76"/>
        <v>0</v>
      </c>
      <c r="AC220" s="4"/>
      <c r="AD220" s="4">
        <f t="shared" si="77"/>
        <v>0</v>
      </c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3">
        <f t="shared" si="79"/>
        <v>0</v>
      </c>
      <c r="BY220" s="22">
        <f t="shared" si="80"/>
        <v>0</v>
      </c>
      <c r="CC220" s="417" t="str">
        <f t="shared" si="78"/>
        <v/>
      </c>
    </row>
    <row r="221" spans="1:81">
      <c r="A221" s="1"/>
      <c r="B221" s="8"/>
      <c r="C221" s="8"/>
      <c r="D221" s="1"/>
      <c r="E221" s="8"/>
      <c r="F221" s="8"/>
      <c r="G221" s="1"/>
      <c r="H221" s="8"/>
      <c r="I221" s="119"/>
      <c r="J221" s="4"/>
      <c r="K221" s="4">
        <f t="shared" si="69"/>
        <v>0</v>
      </c>
      <c r="L221" s="4">
        <f t="shared" si="70"/>
        <v>0</v>
      </c>
      <c r="M221" s="4"/>
      <c r="N221" s="4">
        <f t="shared" si="71"/>
        <v>0</v>
      </c>
      <c r="O221" s="4"/>
      <c r="P221" s="4"/>
      <c r="Q221" s="4">
        <f t="shared" si="72"/>
        <v>0</v>
      </c>
      <c r="R221" s="4">
        <f t="shared" si="73"/>
        <v>0</v>
      </c>
      <c r="S221" s="4"/>
      <c r="T221" s="4">
        <f t="shared" si="74"/>
        <v>0</v>
      </c>
      <c r="U221" s="4"/>
      <c r="V221" s="4"/>
      <c r="W221" s="4"/>
      <c r="X221" s="4"/>
      <c r="Y221" s="4"/>
      <c r="Z221" s="4"/>
      <c r="AA221" s="4">
        <f t="shared" si="75"/>
        <v>0</v>
      </c>
      <c r="AB221" s="4">
        <f t="shared" si="76"/>
        <v>0</v>
      </c>
      <c r="AC221" s="4"/>
      <c r="AD221" s="4">
        <f t="shared" si="77"/>
        <v>0</v>
      </c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3">
        <f t="shared" si="79"/>
        <v>0</v>
      </c>
      <c r="BY221" s="22">
        <f t="shared" si="80"/>
        <v>0</v>
      </c>
      <c r="CC221" s="417" t="str">
        <f t="shared" si="78"/>
        <v/>
      </c>
    </row>
    <row r="222" spans="1:81">
      <c r="A222" s="1"/>
      <c r="B222" s="8"/>
      <c r="C222" s="8"/>
      <c r="D222" s="1"/>
      <c r="E222" s="8"/>
      <c r="F222" s="8"/>
      <c r="G222" s="1"/>
      <c r="H222" s="8"/>
      <c r="I222" s="119"/>
      <c r="J222" s="4"/>
      <c r="K222" s="4">
        <f t="shared" si="69"/>
        <v>0</v>
      </c>
      <c r="L222" s="4">
        <f t="shared" si="70"/>
        <v>0</v>
      </c>
      <c r="M222" s="4"/>
      <c r="N222" s="4">
        <f t="shared" si="71"/>
        <v>0</v>
      </c>
      <c r="O222" s="4"/>
      <c r="P222" s="4"/>
      <c r="Q222" s="4">
        <f t="shared" si="72"/>
        <v>0</v>
      </c>
      <c r="R222" s="4">
        <f t="shared" si="73"/>
        <v>0</v>
      </c>
      <c r="S222" s="4"/>
      <c r="T222" s="4">
        <f t="shared" si="74"/>
        <v>0</v>
      </c>
      <c r="U222" s="4"/>
      <c r="V222" s="4"/>
      <c r="W222" s="4"/>
      <c r="X222" s="4"/>
      <c r="Y222" s="4"/>
      <c r="Z222" s="4"/>
      <c r="AA222" s="4">
        <f t="shared" si="75"/>
        <v>0</v>
      </c>
      <c r="AB222" s="4">
        <f t="shared" si="76"/>
        <v>0</v>
      </c>
      <c r="AC222" s="4"/>
      <c r="AD222" s="4">
        <f t="shared" si="77"/>
        <v>0</v>
      </c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3">
        <f t="shared" si="79"/>
        <v>0</v>
      </c>
      <c r="BY222" s="22">
        <f t="shared" si="80"/>
        <v>0</v>
      </c>
      <c r="CC222" s="417" t="str">
        <f t="shared" si="78"/>
        <v/>
      </c>
    </row>
    <row r="223" spans="1:81">
      <c r="A223" s="1"/>
      <c r="B223" s="8"/>
      <c r="C223" s="8"/>
      <c r="D223" s="1"/>
      <c r="E223" s="8"/>
      <c r="F223" s="8"/>
      <c r="G223" s="1"/>
      <c r="H223" s="8"/>
      <c r="I223" s="119"/>
      <c r="J223" s="4"/>
      <c r="K223" s="4">
        <f t="shared" si="69"/>
        <v>0</v>
      </c>
      <c r="L223" s="4">
        <f t="shared" si="70"/>
        <v>0</v>
      </c>
      <c r="M223" s="4"/>
      <c r="N223" s="4">
        <f t="shared" si="71"/>
        <v>0</v>
      </c>
      <c r="O223" s="4"/>
      <c r="P223" s="4"/>
      <c r="Q223" s="4">
        <f t="shared" si="72"/>
        <v>0</v>
      </c>
      <c r="R223" s="4">
        <f t="shared" si="73"/>
        <v>0</v>
      </c>
      <c r="S223" s="4"/>
      <c r="T223" s="4">
        <f t="shared" si="74"/>
        <v>0</v>
      </c>
      <c r="U223" s="4"/>
      <c r="V223" s="4"/>
      <c r="W223" s="4"/>
      <c r="X223" s="4"/>
      <c r="Y223" s="4"/>
      <c r="Z223" s="4"/>
      <c r="AA223" s="4">
        <f t="shared" si="75"/>
        <v>0</v>
      </c>
      <c r="AB223" s="4">
        <f t="shared" si="76"/>
        <v>0</v>
      </c>
      <c r="AC223" s="4"/>
      <c r="AD223" s="4">
        <f t="shared" si="77"/>
        <v>0</v>
      </c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3">
        <f t="shared" si="79"/>
        <v>0</v>
      </c>
      <c r="BY223" s="22">
        <f t="shared" si="80"/>
        <v>0</v>
      </c>
      <c r="CC223" s="417" t="str">
        <f t="shared" si="78"/>
        <v/>
      </c>
    </row>
    <row r="224" spans="1:81">
      <c r="A224" s="1"/>
      <c r="B224" s="8"/>
      <c r="C224" s="8"/>
      <c r="D224" s="1"/>
      <c r="E224" s="8"/>
      <c r="F224" s="8"/>
      <c r="G224" s="1"/>
      <c r="H224" s="8"/>
      <c r="I224" s="119"/>
      <c r="J224" s="4"/>
      <c r="K224" s="4">
        <f t="shared" si="69"/>
        <v>0</v>
      </c>
      <c r="L224" s="4">
        <f t="shared" si="70"/>
        <v>0</v>
      </c>
      <c r="M224" s="4"/>
      <c r="N224" s="4">
        <f t="shared" si="71"/>
        <v>0</v>
      </c>
      <c r="O224" s="4"/>
      <c r="P224" s="4"/>
      <c r="Q224" s="4">
        <f t="shared" si="72"/>
        <v>0</v>
      </c>
      <c r="R224" s="4">
        <f t="shared" si="73"/>
        <v>0</v>
      </c>
      <c r="S224" s="4"/>
      <c r="T224" s="4">
        <f t="shared" si="74"/>
        <v>0</v>
      </c>
      <c r="U224" s="4"/>
      <c r="V224" s="4"/>
      <c r="W224" s="4"/>
      <c r="X224" s="4"/>
      <c r="Y224" s="4"/>
      <c r="Z224" s="4"/>
      <c r="AA224" s="4">
        <f t="shared" si="75"/>
        <v>0</v>
      </c>
      <c r="AB224" s="4">
        <f t="shared" si="76"/>
        <v>0</v>
      </c>
      <c r="AC224" s="4"/>
      <c r="AD224" s="4">
        <f t="shared" si="77"/>
        <v>0</v>
      </c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3">
        <f t="shared" si="79"/>
        <v>0</v>
      </c>
      <c r="BY224" s="22">
        <f t="shared" si="80"/>
        <v>0</v>
      </c>
      <c r="CC224" s="417" t="str">
        <f t="shared" si="78"/>
        <v/>
      </c>
    </row>
    <row r="225" spans="1:81">
      <c r="A225" s="1"/>
      <c r="B225" s="8"/>
      <c r="C225" s="8"/>
      <c r="D225" s="1"/>
      <c r="E225" s="8"/>
      <c r="F225" s="8"/>
      <c r="G225" s="1"/>
      <c r="H225" s="8"/>
      <c r="I225" s="119"/>
      <c r="J225" s="4"/>
      <c r="K225" s="4">
        <f t="shared" si="69"/>
        <v>0</v>
      </c>
      <c r="L225" s="4">
        <f t="shared" si="70"/>
        <v>0</v>
      </c>
      <c r="M225" s="4"/>
      <c r="N225" s="4">
        <f t="shared" si="71"/>
        <v>0</v>
      </c>
      <c r="O225" s="4"/>
      <c r="P225" s="4"/>
      <c r="Q225" s="4">
        <f t="shared" si="72"/>
        <v>0</v>
      </c>
      <c r="R225" s="4">
        <f t="shared" si="73"/>
        <v>0</v>
      </c>
      <c r="S225" s="4"/>
      <c r="T225" s="4">
        <f t="shared" si="74"/>
        <v>0</v>
      </c>
      <c r="U225" s="4"/>
      <c r="V225" s="4"/>
      <c r="W225" s="4"/>
      <c r="X225" s="4"/>
      <c r="Y225" s="4"/>
      <c r="Z225" s="4"/>
      <c r="AA225" s="4">
        <f t="shared" si="75"/>
        <v>0</v>
      </c>
      <c r="AB225" s="4">
        <f t="shared" si="76"/>
        <v>0</v>
      </c>
      <c r="AC225" s="4"/>
      <c r="AD225" s="4">
        <f t="shared" si="77"/>
        <v>0</v>
      </c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3">
        <f t="shared" si="79"/>
        <v>0</v>
      </c>
      <c r="BY225" s="22">
        <f t="shared" si="80"/>
        <v>0</v>
      </c>
      <c r="CC225" s="417" t="str">
        <f t="shared" si="78"/>
        <v/>
      </c>
    </row>
    <row r="226" spans="1:81">
      <c r="A226" s="1"/>
      <c r="B226" s="8"/>
      <c r="C226" s="8"/>
      <c r="D226" s="1"/>
      <c r="E226" s="8"/>
      <c r="F226" s="8"/>
      <c r="G226" s="1"/>
      <c r="H226" s="8"/>
      <c r="I226" s="119"/>
      <c r="J226" s="4"/>
      <c r="K226" s="4">
        <f t="shared" si="69"/>
        <v>0</v>
      </c>
      <c r="L226" s="4">
        <f t="shared" si="70"/>
        <v>0</v>
      </c>
      <c r="M226" s="4"/>
      <c r="N226" s="4">
        <f t="shared" si="71"/>
        <v>0</v>
      </c>
      <c r="O226" s="4"/>
      <c r="P226" s="4"/>
      <c r="Q226" s="4">
        <f t="shared" si="72"/>
        <v>0</v>
      </c>
      <c r="R226" s="4">
        <f t="shared" si="73"/>
        <v>0</v>
      </c>
      <c r="S226" s="4"/>
      <c r="T226" s="4">
        <f t="shared" si="74"/>
        <v>0</v>
      </c>
      <c r="U226" s="4"/>
      <c r="V226" s="4"/>
      <c r="W226" s="4"/>
      <c r="X226" s="4"/>
      <c r="Y226" s="4"/>
      <c r="Z226" s="4"/>
      <c r="AA226" s="4">
        <f t="shared" si="75"/>
        <v>0</v>
      </c>
      <c r="AB226" s="4">
        <f t="shared" si="76"/>
        <v>0</v>
      </c>
      <c r="AC226" s="4"/>
      <c r="AD226" s="4">
        <f t="shared" si="77"/>
        <v>0</v>
      </c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3">
        <f t="shared" si="79"/>
        <v>0</v>
      </c>
      <c r="BY226" s="22">
        <f t="shared" si="80"/>
        <v>0</v>
      </c>
      <c r="CC226" s="417" t="str">
        <f t="shared" si="78"/>
        <v/>
      </c>
    </row>
    <row r="227" spans="1:81">
      <c r="A227" s="1"/>
      <c r="B227" s="8"/>
      <c r="C227" s="8"/>
      <c r="D227" s="1"/>
      <c r="E227" s="8"/>
      <c r="F227" s="8"/>
      <c r="G227" s="1"/>
      <c r="H227" s="8"/>
      <c r="I227" s="119"/>
      <c r="J227" s="4"/>
      <c r="K227" s="4">
        <f t="shared" si="69"/>
        <v>0</v>
      </c>
      <c r="L227" s="4">
        <f t="shared" si="70"/>
        <v>0</v>
      </c>
      <c r="M227" s="4"/>
      <c r="N227" s="4">
        <f t="shared" si="71"/>
        <v>0</v>
      </c>
      <c r="O227" s="4"/>
      <c r="P227" s="4"/>
      <c r="Q227" s="4">
        <f t="shared" si="72"/>
        <v>0</v>
      </c>
      <c r="R227" s="4">
        <f t="shared" si="73"/>
        <v>0</v>
      </c>
      <c r="S227" s="4"/>
      <c r="T227" s="4">
        <f t="shared" si="74"/>
        <v>0</v>
      </c>
      <c r="U227" s="4"/>
      <c r="V227" s="4"/>
      <c r="W227" s="4"/>
      <c r="X227" s="4"/>
      <c r="Y227" s="4"/>
      <c r="Z227" s="4"/>
      <c r="AA227" s="4">
        <f t="shared" si="75"/>
        <v>0</v>
      </c>
      <c r="AB227" s="4">
        <f t="shared" si="76"/>
        <v>0</v>
      </c>
      <c r="AC227" s="4"/>
      <c r="AD227" s="4">
        <f t="shared" si="77"/>
        <v>0</v>
      </c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3">
        <f t="shared" si="79"/>
        <v>0</v>
      </c>
      <c r="BY227" s="22">
        <f t="shared" si="80"/>
        <v>0</v>
      </c>
      <c r="CC227" s="417" t="str">
        <f t="shared" si="78"/>
        <v/>
      </c>
    </row>
    <row r="228" spans="1:81">
      <c r="A228" s="1"/>
      <c r="B228" s="8"/>
      <c r="C228" s="8"/>
      <c r="D228" s="1"/>
      <c r="E228" s="8"/>
      <c r="F228" s="8"/>
      <c r="G228" s="1"/>
      <c r="H228" s="8"/>
      <c r="I228" s="119"/>
      <c r="J228" s="4"/>
      <c r="K228" s="4">
        <f t="shared" si="69"/>
        <v>0</v>
      </c>
      <c r="L228" s="4">
        <f t="shared" si="70"/>
        <v>0</v>
      </c>
      <c r="M228" s="4"/>
      <c r="N228" s="4">
        <f t="shared" si="71"/>
        <v>0</v>
      </c>
      <c r="O228" s="4"/>
      <c r="P228" s="4"/>
      <c r="Q228" s="4">
        <f t="shared" si="72"/>
        <v>0</v>
      </c>
      <c r="R228" s="4">
        <f t="shared" si="73"/>
        <v>0</v>
      </c>
      <c r="S228" s="4"/>
      <c r="T228" s="4">
        <f t="shared" si="74"/>
        <v>0</v>
      </c>
      <c r="U228" s="4"/>
      <c r="V228" s="4"/>
      <c r="W228" s="4"/>
      <c r="X228" s="4"/>
      <c r="Y228" s="4"/>
      <c r="Z228" s="4"/>
      <c r="AA228" s="4">
        <f t="shared" si="75"/>
        <v>0</v>
      </c>
      <c r="AB228" s="4">
        <f t="shared" si="76"/>
        <v>0</v>
      </c>
      <c r="AC228" s="4"/>
      <c r="AD228" s="4">
        <f t="shared" si="77"/>
        <v>0</v>
      </c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3">
        <f t="shared" si="79"/>
        <v>0</v>
      </c>
      <c r="BY228" s="22">
        <f t="shared" si="80"/>
        <v>0</v>
      </c>
      <c r="CC228" s="417" t="str">
        <f t="shared" si="78"/>
        <v/>
      </c>
    </row>
    <row r="229" spans="1:81">
      <c r="A229" s="1"/>
      <c r="B229" s="8"/>
      <c r="C229" s="8"/>
      <c r="D229" s="1"/>
      <c r="E229" s="8"/>
      <c r="F229" s="8"/>
      <c r="G229" s="1"/>
      <c r="H229" s="8"/>
      <c r="I229" s="119"/>
      <c r="J229" s="4"/>
      <c r="K229" s="4">
        <f t="shared" si="69"/>
        <v>0</v>
      </c>
      <c r="L229" s="4">
        <f t="shared" si="70"/>
        <v>0</v>
      </c>
      <c r="M229" s="4"/>
      <c r="N229" s="4">
        <f t="shared" si="71"/>
        <v>0</v>
      </c>
      <c r="O229" s="4"/>
      <c r="P229" s="4"/>
      <c r="Q229" s="4">
        <f t="shared" si="72"/>
        <v>0</v>
      </c>
      <c r="R229" s="4">
        <f t="shared" si="73"/>
        <v>0</v>
      </c>
      <c r="S229" s="4"/>
      <c r="T229" s="4">
        <f t="shared" si="74"/>
        <v>0</v>
      </c>
      <c r="U229" s="4"/>
      <c r="V229" s="4"/>
      <c r="W229" s="4"/>
      <c r="X229" s="4"/>
      <c r="Y229" s="4"/>
      <c r="Z229" s="4"/>
      <c r="AA229" s="4">
        <f t="shared" si="75"/>
        <v>0</v>
      </c>
      <c r="AB229" s="4">
        <f t="shared" si="76"/>
        <v>0</v>
      </c>
      <c r="AC229" s="4"/>
      <c r="AD229" s="4">
        <f t="shared" si="77"/>
        <v>0</v>
      </c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3">
        <f t="shared" si="79"/>
        <v>0</v>
      </c>
      <c r="BY229" s="22">
        <f t="shared" si="80"/>
        <v>0</v>
      </c>
      <c r="CC229" s="417" t="str">
        <f t="shared" si="78"/>
        <v/>
      </c>
    </row>
    <row r="230" spans="1:81">
      <c r="A230" s="1"/>
      <c r="B230" s="8"/>
      <c r="C230" s="8"/>
      <c r="D230" s="1"/>
      <c r="E230" s="8"/>
      <c r="F230" s="8"/>
      <c r="G230" s="1"/>
      <c r="H230" s="8"/>
      <c r="I230" s="119"/>
      <c r="J230" s="4"/>
      <c r="K230" s="4">
        <f t="shared" si="69"/>
        <v>0</v>
      </c>
      <c r="L230" s="4">
        <f t="shared" si="70"/>
        <v>0</v>
      </c>
      <c r="M230" s="4"/>
      <c r="N230" s="4">
        <f t="shared" si="71"/>
        <v>0</v>
      </c>
      <c r="O230" s="4"/>
      <c r="P230" s="4"/>
      <c r="Q230" s="4">
        <f t="shared" si="72"/>
        <v>0</v>
      </c>
      <c r="R230" s="4">
        <f t="shared" si="73"/>
        <v>0</v>
      </c>
      <c r="S230" s="4"/>
      <c r="T230" s="4">
        <f t="shared" si="74"/>
        <v>0</v>
      </c>
      <c r="U230" s="4"/>
      <c r="V230" s="4"/>
      <c r="W230" s="4"/>
      <c r="X230" s="4"/>
      <c r="Y230" s="4"/>
      <c r="Z230" s="4"/>
      <c r="AA230" s="4">
        <f t="shared" si="75"/>
        <v>0</v>
      </c>
      <c r="AB230" s="4">
        <f t="shared" si="76"/>
        <v>0</v>
      </c>
      <c r="AC230" s="4"/>
      <c r="AD230" s="4">
        <f t="shared" si="77"/>
        <v>0</v>
      </c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3">
        <f t="shared" si="79"/>
        <v>0</v>
      </c>
      <c r="BY230" s="22">
        <f t="shared" si="80"/>
        <v>0</v>
      </c>
      <c r="CC230" s="417" t="str">
        <f t="shared" si="78"/>
        <v/>
      </c>
    </row>
    <row r="231" spans="1:81">
      <c r="A231" s="1"/>
      <c r="B231" s="8"/>
      <c r="C231" s="8"/>
      <c r="D231" s="1"/>
      <c r="E231" s="8"/>
      <c r="F231" s="8"/>
      <c r="G231" s="1"/>
      <c r="H231" s="8"/>
      <c r="I231" s="119"/>
      <c r="J231" s="4"/>
      <c r="K231" s="4">
        <f t="shared" si="69"/>
        <v>0</v>
      </c>
      <c r="L231" s="4">
        <f t="shared" si="70"/>
        <v>0</v>
      </c>
      <c r="M231" s="4"/>
      <c r="N231" s="4">
        <f t="shared" si="71"/>
        <v>0</v>
      </c>
      <c r="O231" s="4"/>
      <c r="P231" s="4"/>
      <c r="Q231" s="4">
        <f t="shared" si="72"/>
        <v>0</v>
      </c>
      <c r="R231" s="4">
        <f t="shared" si="73"/>
        <v>0</v>
      </c>
      <c r="S231" s="4"/>
      <c r="T231" s="4">
        <f t="shared" si="74"/>
        <v>0</v>
      </c>
      <c r="U231" s="4"/>
      <c r="V231" s="4"/>
      <c r="W231" s="4"/>
      <c r="X231" s="4"/>
      <c r="Y231" s="4"/>
      <c r="Z231" s="4"/>
      <c r="AA231" s="4">
        <f t="shared" si="75"/>
        <v>0</v>
      </c>
      <c r="AB231" s="4">
        <f t="shared" si="76"/>
        <v>0</v>
      </c>
      <c r="AC231" s="4"/>
      <c r="AD231" s="4">
        <f t="shared" si="77"/>
        <v>0</v>
      </c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3">
        <f t="shared" si="79"/>
        <v>0</v>
      </c>
      <c r="BY231" s="22">
        <f t="shared" si="80"/>
        <v>0</v>
      </c>
      <c r="CC231" s="417" t="str">
        <f t="shared" si="78"/>
        <v/>
      </c>
    </row>
    <row r="232" spans="1:81">
      <c r="A232" s="1"/>
      <c r="B232" s="8"/>
      <c r="C232" s="8"/>
      <c r="D232" s="1"/>
      <c r="E232" s="8"/>
      <c r="F232" s="8"/>
      <c r="G232" s="1"/>
      <c r="H232" s="8"/>
      <c r="I232" s="119"/>
      <c r="J232" s="4"/>
      <c r="K232" s="4">
        <f t="shared" si="69"/>
        <v>0</v>
      </c>
      <c r="L232" s="4">
        <f t="shared" si="70"/>
        <v>0</v>
      </c>
      <c r="M232" s="4"/>
      <c r="N232" s="4">
        <f t="shared" si="71"/>
        <v>0</v>
      </c>
      <c r="O232" s="4"/>
      <c r="P232" s="4"/>
      <c r="Q232" s="4">
        <f t="shared" si="72"/>
        <v>0</v>
      </c>
      <c r="R232" s="4">
        <f t="shared" si="73"/>
        <v>0</v>
      </c>
      <c r="S232" s="4"/>
      <c r="T232" s="4">
        <f t="shared" si="74"/>
        <v>0</v>
      </c>
      <c r="U232" s="4"/>
      <c r="V232" s="4"/>
      <c r="W232" s="4"/>
      <c r="X232" s="4"/>
      <c r="Y232" s="4"/>
      <c r="Z232" s="4"/>
      <c r="AA232" s="4">
        <f t="shared" si="75"/>
        <v>0</v>
      </c>
      <c r="AB232" s="4">
        <f t="shared" si="76"/>
        <v>0</v>
      </c>
      <c r="AC232" s="4"/>
      <c r="AD232" s="4">
        <f t="shared" si="77"/>
        <v>0</v>
      </c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3">
        <f t="shared" si="79"/>
        <v>0</v>
      </c>
      <c r="BY232" s="22">
        <f t="shared" si="80"/>
        <v>0</v>
      </c>
      <c r="CC232" s="417" t="str">
        <f t="shared" si="78"/>
        <v/>
      </c>
    </row>
    <row r="233" spans="1:81">
      <c r="A233" s="1"/>
      <c r="B233" s="8"/>
      <c r="C233" s="8"/>
      <c r="D233" s="1"/>
      <c r="E233" s="8"/>
      <c r="F233" s="8"/>
      <c r="G233" s="1"/>
      <c r="H233" s="8"/>
      <c r="I233" s="119"/>
      <c r="J233" s="4"/>
      <c r="K233" s="4">
        <f t="shared" si="69"/>
        <v>0</v>
      </c>
      <c r="L233" s="4">
        <f t="shared" si="70"/>
        <v>0</v>
      </c>
      <c r="M233" s="4"/>
      <c r="N233" s="4">
        <f t="shared" si="71"/>
        <v>0</v>
      </c>
      <c r="O233" s="4"/>
      <c r="P233" s="4"/>
      <c r="Q233" s="4">
        <f t="shared" si="72"/>
        <v>0</v>
      </c>
      <c r="R233" s="4">
        <f t="shared" si="73"/>
        <v>0</v>
      </c>
      <c r="S233" s="4"/>
      <c r="T233" s="4">
        <f t="shared" si="74"/>
        <v>0</v>
      </c>
      <c r="U233" s="4"/>
      <c r="V233" s="4"/>
      <c r="W233" s="4"/>
      <c r="X233" s="4"/>
      <c r="Y233" s="4"/>
      <c r="Z233" s="4"/>
      <c r="AA233" s="4">
        <f t="shared" si="75"/>
        <v>0</v>
      </c>
      <c r="AB233" s="4">
        <f t="shared" si="76"/>
        <v>0</v>
      </c>
      <c r="AC233" s="4"/>
      <c r="AD233" s="4">
        <f t="shared" si="77"/>
        <v>0</v>
      </c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3">
        <f t="shared" si="79"/>
        <v>0</v>
      </c>
      <c r="BY233" s="22">
        <f t="shared" si="80"/>
        <v>0</v>
      </c>
      <c r="CC233" s="417" t="str">
        <f t="shared" si="78"/>
        <v/>
      </c>
    </row>
    <row r="234" spans="1:81">
      <c r="A234" s="1"/>
      <c r="B234" s="8"/>
      <c r="C234" s="8"/>
      <c r="D234" s="1"/>
      <c r="E234" s="8"/>
      <c r="F234" s="8"/>
      <c r="G234" s="1"/>
      <c r="H234" s="8"/>
      <c r="I234" s="119"/>
      <c r="J234" s="4"/>
      <c r="K234" s="4">
        <f t="shared" si="69"/>
        <v>0</v>
      </c>
      <c r="L234" s="4">
        <f t="shared" si="70"/>
        <v>0</v>
      </c>
      <c r="M234" s="4"/>
      <c r="N234" s="4">
        <f t="shared" si="71"/>
        <v>0</v>
      </c>
      <c r="O234" s="4"/>
      <c r="P234" s="4"/>
      <c r="Q234" s="4">
        <f t="shared" si="72"/>
        <v>0</v>
      </c>
      <c r="R234" s="4">
        <f t="shared" si="73"/>
        <v>0</v>
      </c>
      <c r="S234" s="4"/>
      <c r="T234" s="4">
        <f t="shared" si="74"/>
        <v>0</v>
      </c>
      <c r="U234" s="4"/>
      <c r="V234" s="4"/>
      <c r="W234" s="4"/>
      <c r="X234" s="4"/>
      <c r="Y234" s="4"/>
      <c r="Z234" s="4"/>
      <c r="AA234" s="4">
        <f t="shared" si="75"/>
        <v>0</v>
      </c>
      <c r="AB234" s="4">
        <f t="shared" si="76"/>
        <v>0</v>
      </c>
      <c r="AC234" s="4"/>
      <c r="AD234" s="4">
        <f t="shared" si="77"/>
        <v>0</v>
      </c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3">
        <f t="shared" si="79"/>
        <v>0</v>
      </c>
      <c r="BY234" s="22">
        <f t="shared" si="80"/>
        <v>0</v>
      </c>
      <c r="CC234" s="417" t="str">
        <f t="shared" si="78"/>
        <v/>
      </c>
    </row>
    <row r="235" spans="1:81">
      <c r="A235" s="1"/>
      <c r="B235" s="8"/>
      <c r="C235" s="8"/>
      <c r="D235" s="1"/>
      <c r="E235" s="8"/>
      <c r="F235" s="8"/>
      <c r="G235" s="1"/>
      <c r="H235" s="8"/>
      <c r="I235" s="119"/>
      <c r="J235" s="4"/>
      <c r="K235" s="4">
        <f t="shared" si="69"/>
        <v>0</v>
      </c>
      <c r="L235" s="4">
        <f t="shared" si="70"/>
        <v>0</v>
      </c>
      <c r="M235" s="4"/>
      <c r="N235" s="4">
        <f t="shared" si="71"/>
        <v>0</v>
      </c>
      <c r="O235" s="4"/>
      <c r="P235" s="4"/>
      <c r="Q235" s="4">
        <f t="shared" si="72"/>
        <v>0</v>
      </c>
      <c r="R235" s="4">
        <f t="shared" si="73"/>
        <v>0</v>
      </c>
      <c r="S235" s="4"/>
      <c r="T235" s="4">
        <f t="shared" si="74"/>
        <v>0</v>
      </c>
      <c r="U235" s="4"/>
      <c r="V235" s="4"/>
      <c r="W235" s="4"/>
      <c r="X235" s="4"/>
      <c r="Y235" s="4"/>
      <c r="Z235" s="4"/>
      <c r="AA235" s="4">
        <f t="shared" si="75"/>
        <v>0</v>
      </c>
      <c r="AB235" s="4">
        <f t="shared" si="76"/>
        <v>0</v>
      </c>
      <c r="AC235" s="4"/>
      <c r="AD235" s="4">
        <f t="shared" si="77"/>
        <v>0</v>
      </c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3">
        <f t="shared" si="79"/>
        <v>0</v>
      </c>
      <c r="BY235" s="22">
        <f t="shared" si="80"/>
        <v>0</v>
      </c>
      <c r="CC235" s="417" t="str">
        <f t="shared" si="78"/>
        <v/>
      </c>
    </row>
    <row r="236" spans="1:81">
      <c r="A236" s="1"/>
      <c r="B236" s="8"/>
      <c r="C236" s="8"/>
      <c r="D236" s="1"/>
      <c r="E236" s="8"/>
      <c r="F236" s="8"/>
      <c r="G236" s="1"/>
      <c r="H236" s="8"/>
      <c r="I236" s="119"/>
      <c r="J236" s="4"/>
      <c r="K236" s="4">
        <f t="shared" si="69"/>
        <v>0</v>
      </c>
      <c r="L236" s="4">
        <f t="shared" si="70"/>
        <v>0</v>
      </c>
      <c r="M236" s="4"/>
      <c r="N236" s="4">
        <f t="shared" si="71"/>
        <v>0</v>
      </c>
      <c r="O236" s="4"/>
      <c r="P236" s="4"/>
      <c r="Q236" s="4">
        <f t="shared" si="72"/>
        <v>0</v>
      </c>
      <c r="R236" s="4">
        <f t="shared" si="73"/>
        <v>0</v>
      </c>
      <c r="S236" s="4"/>
      <c r="T236" s="4">
        <f t="shared" si="74"/>
        <v>0</v>
      </c>
      <c r="U236" s="4"/>
      <c r="V236" s="4"/>
      <c r="W236" s="4"/>
      <c r="X236" s="4"/>
      <c r="Y236" s="4"/>
      <c r="Z236" s="4"/>
      <c r="AA236" s="4">
        <f t="shared" si="75"/>
        <v>0</v>
      </c>
      <c r="AB236" s="4">
        <f t="shared" si="76"/>
        <v>0</v>
      </c>
      <c r="AC236" s="4"/>
      <c r="AD236" s="4">
        <f t="shared" si="77"/>
        <v>0</v>
      </c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3">
        <f t="shared" si="79"/>
        <v>0</v>
      </c>
      <c r="BY236" s="22">
        <f t="shared" si="80"/>
        <v>0</v>
      </c>
      <c r="CC236" s="417" t="str">
        <f t="shared" si="78"/>
        <v/>
      </c>
    </row>
    <row r="237" spans="1:81">
      <c r="A237" s="1"/>
      <c r="B237" s="8"/>
      <c r="C237" s="8"/>
      <c r="D237" s="1"/>
      <c r="E237" s="8"/>
      <c r="F237" s="8"/>
      <c r="G237" s="1"/>
      <c r="H237" s="8"/>
      <c r="I237" s="119"/>
      <c r="J237" s="4"/>
      <c r="K237" s="4">
        <f t="shared" si="69"/>
        <v>0</v>
      </c>
      <c r="L237" s="4">
        <f t="shared" si="70"/>
        <v>0</v>
      </c>
      <c r="M237" s="4"/>
      <c r="N237" s="4">
        <f t="shared" si="71"/>
        <v>0</v>
      </c>
      <c r="O237" s="4"/>
      <c r="P237" s="4"/>
      <c r="Q237" s="4">
        <f t="shared" si="72"/>
        <v>0</v>
      </c>
      <c r="R237" s="4">
        <f t="shared" si="73"/>
        <v>0</v>
      </c>
      <c r="S237" s="4"/>
      <c r="T237" s="4">
        <f t="shared" si="74"/>
        <v>0</v>
      </c>
      <c r="U237" s="4"/>
      <c r="V237" s="4"/>
      <c r="W237" s="4"/>
      <c r="X237" s="4"/>
      <c r="Y237" s="4"/>
      <c r="Z237" s="4"/>
      <c r="AA237" s="4">
        <f t="shared" si="75"/>
        <v>0</v>
      </c>
      <c r="AB237" s="4">
        <f t="shared" si="76"/>
        <v>0</v>
      </c>
      <c r="AC237" s="4"/>
      <c r="AD237" s="4">
        <f t="shared" si="77"/>
        <v>0</v>
      </c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3">
        <f t="shared" si="79"/>
        <v>0</v>
      </c>
      <c r="BY237" s="22">
        <f t="shared" si="80"/>
        <v>0</v>
      </c>
      <c r="CC237" s="417" t="str">
        <f t="shared" si="78"/>
        <v/>
      </c>
    </row>
    <row r="238" spans="1:81">
      <c r="A238" s="1"/>
      <c r="B238" s="8"/>
      <c r="C238" s="8"/>
      <c r="D238" s="1"/>
      <c r="E238" s="8"/>
      <c r="F238" s="8"/>
      <c r="G238" s="1"/>
      <c r="H238" s="8"/>
      <c r="I238" s="119"/>
      <c r="J238" s="4"/>
      <c r="K238" s="4">
        <f t="shared" si="69"/>
        <v>0</v>
      </c>
      <c r="L238" s="4">
        <f t="shared" si="70"/>
        <v>0</v>
      </c>
      <c r="M238" s="4"/>
      <c r="N238" s="4">
        <f t="shared" si="71"/>
        <v>0</v>
      </c>
      <c r="O238" s="4"/>
      <c r="P238" s="4"/>
      <c r="Q238" s="4">
        <f t="shared" si="72"/>
        <v>0</v>
      </c>
      <c r="R238" s="4">
        <f t="shared" si="73"/>
        <v>0</v>
      </c>
      <c r="S238" s="4"/>
      <c r="T238" s="4">
        <f t="shared" si="74"/>
        <v>0</v>
      </c>
      <c r="U238" s="4"/>
      <c r="V238" s="4"/>
      <c r="W238" s="4"/>
      <c r="X238" s="4"/>
      <c r="Y238" s="4"/>
      <c r="Z238" s="4"/>
      <c r="AA238" s="4">
        <f t="shared" si="75"/>
        <v>0</v>
      </c>
      <c r="AB238" s="4">
        <f t="shared" si="76"/>
        <v>0</v>
      </c>
      <c r="AC238" s="4"/>
      <c r="AD238" s="4">
        <f t="shared" si="77"/>
        <v>0</v>
      </c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3">
        <f t="shared" si="79"/>
        <v>0</v>
      </c>
      <c r="BY238" s="22">
        <f t="shared" si="80"/>
        <v>0</v>
      </c>
      <c r="CC238" s="417" t="str">
        <f t="shared" si="78"/>
        <v/>
      </c>
    </row>
    <row r="239" spans="1:81">
      <c r="A239" s="1"/>
      <c r="B239" s="8"/>
      <c r="C239" s="8"/>
      <c r="D239" s="1"/>
      <c r="E239" s="8"/>
      <c r="F239" s="8"/>
      <c r="G239" s="1"/>
      <c r="H239" s="8"/>
      <c r="I239" s="119"/>
      <c r="J239" s="4"/>
      <c r="K239" s="4">
        <f t="shared" si="69"/>
        <v>0</v>
      </c>
      <c r="L239" s="4">
        <f t="shared" si="70"/>
        <v>0</v>
      </c>
      <c r="M239" s="4"/>
      <c r="N239" s="4">
        <f t="shared" si="71"/>
        <v>0</v>
      </c>
      <c r="O239" s="4"/>
      <c r="P239" s="4"/>
      <c r="Q239" s="4">
        <f t="shared" si="72"/>
        <v>0</v>
      </c>
      <c r="R239" s="4">
        <f t="shared" si="73"/>
        <v>0</v>
      </c>
      <c r="S239" s="4"/>
      <c r="T239" s="4">
        <f t="shared" si="74"/>
        <v>0</v>
      </c>
      <c r="U239" s="4"/>
      <c r="V239" s="4"/>
      <c r="W239" s="4"/>
      <c r="X239" s="4"/>
      <c r="Y239" s="4"/>
      <c r="Z239" s="4"/>
      <c r="AA239" s="4">
        <f t="shared" si="75"/>
        <v>0</v>
      </c>
      <c r="AB239" s="4">
        <f t="shared" si="76"/>
        <v>0</v>
      </c>
      <c r="AC239" s="4"/>
      <c r="AD239" s="4">
        <f t="shared" si="77"/>
        <v>0</v>
      </c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3">
        <f t="shared" si="79"/>
        <v>0</v>
      </c>
      <c r="BY239" s="22">
        <f t="shared" si="80"/>
        <v>0</v>
      </c>
      <c r="CC239" s="417" t="str">
        <f t="shared" si="78"/>
        <v/>
      </c>
    </row>
    <row r="240" spans="1:81">
      <c r="A240" s="1"/>
      <c r="B240" s="8"/>
      <c r="C240" s="8"/>
      <c r="D240" s="1"/>
      <c r="E240" s="8"/>
      <c r="F240" s="8"/>
      <c r="G240" s="1"/>
      <c r="H240" s="8"/>
      <c r="I240" s="119"/>
      <c r="J240" s="4"/>
      <c r="K240" s="4">
        <f t="shared" si="69"/>
        <v>0</v>
      </c>
      <c r="L240" s="4">
        <f t="shared" si="70"/>
        <v>0</v>
      </c>
      <c r="M240" s="4"/>
      <c r="N240" s="4">
        <f t="shared" si="71"/>
        <v>0</v>
      </c>
      <c r="O240" s="4"/>
      <c r="P240" s="4"/>
      <c r="Q240" s="4">
        <f t="shared" si="72"/>
        <v>0</v>
      </c>
      <c r="R240" s="4">
        <f t="shared" si="73"/>
        <v>0</v>
      </c>
      <c r="S240" s="4"/>
      <c r="T240" s="4">
        <f t="shared" si="74"/>
        <v>0</v>
      </c>
      <c r="U240" s="4"/>
      <c r="V240" s="4"/>
      <c r="W240" s="4"/>
      <c r="X240" s="4"/>
      <c r="Y240" s="4"/>
      <c r="Z240" s="4"/>
      <c r="AA240" s="4">
        <f t="shared" si="75"/>
        <v>0</v>
      </c>
      <c r="AB240" s="4">
        <f t="shared" si="76"/>
        <v>0</v>
      </c>
      <c r="AC240" s="4"/>
      <c r="AD240" s="4">
        <f t="shared" si="77"/>
        <v>0</v>
      </c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3">
        <f t="shared" si="79"/>
        <v>0</v>
      </c>
      <c r="BY240" s="22">
        <f t="shared" si="80"/>
        <v>0</v>
      </c>
      <c r="CC240" s="417" t="str">
        <f t="shared" si="78"/>
        <v/>
      </c>
    </row>
    <row r="241" spans="1:81">
      <c r="A241" s="1"/>
      <c r="B241" s="8"/>
      <c r="C241" s="8"/>
      <c r="D241" s="1"/>
      <c r="E241" s="8"/>
      <c r="F241" s="8"/>
      <c r="G241" s="1"/>
      <c r="H241" s="8"/>
      <c r="I241" s="119"/>
      <c r="J241" s="4"/>
      <c r="K241" s="4">
        <f t="shared" si="69"/>
        <v>0</v>
      </c>
      <c r="L241" s="4">
        <f t="shared" si="70"/>
        <v>0</v>
      </c>
      <c r="M241" s="4"/>
      <c r="N241" s="4">
        <f t="shared" si="71"/>
        <v>0</v>
      </c>
      <c r="O241" s="4"/>
      <c r="P241" s="4"/>
      <c r="Q241" s="4">
        <f t="shared" si="72"/>
        <v>0</v>
      </c>
      <c r="R241" s="4">
        <f t="shared" si="73"/>
        <v>0</v>
      </c>
      <c r="S241" s="4"/>
      <c r="T241" s="4">
        <f t="shared" si="74"/>
        <v>0</v>
      </c>
      <c r="U241" s="4"/>
      <c r="V241" s="4"/>
      <c r="W241" s="4"/>
      <c r="X241" s="4"/>
      <c r="Y241" s="4"/>
      <c r="Z241" s="4"/>
      <c r="AA241" s="4">
        <f t="shared" si="75"/>
        <v>0</v>
      </c>
      <c r="AB241" s="4">
        <f t="shared" si="76"/>
        <v>0</v>
      </c>
      <c r="AC241" s="4"/>
      <c r="AD241" s="4">
        <f t="shared" si="77"/>
        <v>0</v>
      </c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3">
        <f t="shared" si="79"/>
        <v>0</v>
      </c>
      <c r="BY241" s="22">
        <f t="shared" si="80"/>
        <v>0</v>
      </c>
      <c r="CC241" s="417" t="str">
        <f t="shared" si="78"/>
        <v/>
      </c>
    </row>
    <row r="242" spans="1:81">
      <c r="A242" s="1"/>
      <c r="B242" s="8"/>
      <c r="C242" s="8"/>
      <c r="D242" s="1"/>
      <c r="E242" s="8"/>
      <c r="F242" s="8"/>
      <c r="G242" s="1"/>
      <c r="H242" s="8"/>
      <c r="I242" s="119"/>
      <c r="J242" s="4"/>
      <c r="K242" s="4">
        <f t="shared" si="69"/>
        <v>0</v>
      </c>
      <c r="L242" s="4">
        <f t="shared" si="70"/>
        <v>0</v>
      </c>
      <c r="M242" s="4"/>
      <c r="N242" s="4">
        <f t="shared" si="71"/>
        <v>0</v>
      </c>
      <c r="O242" s="4"/>
      <c r="P242" s="4"/>
      <c r="Q242" s="4">
        <f t="shared" si="72"/>
        <v>0</v>
      </c>
      <c r="R242" s="4">
        <f t="shared" si="73"/>
        <v>0</v>
      </c>
      <c r="S242" s="4"/>
      <c r="T242" s="4">
        <f t="shared" si="74"/>
        <v>0</v>
      </c>
      <c r="U242" s="4"/>
      <c r="V242" s="4"/>
      <c r="W242" s="4"/>
      <c r="X242" s="4"/>
      <c r="Y242" s="4"/>
      <c r="Z242" s="4"/>
      <c r="AA242" s="4">
        <f t="shared" si="75"/>
        <v>0</v>
      </c>
      <c r="AB242" s="4">
        <f t="shared" si="76"/>
        <v>0</v>
      </c>
      <c r="AC242" s="4"/>
      <c r="AD242" s="4">
        <f t="shared" si="77"/>
        <v>0</v>
      </c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3">
        <f t="shared" si="79"/>
        <v>0</v>
      </c>
      <c r="BY242" s="22">
        <f t="shared" si="80"/>
        <v>0</v>
      </c>
      <c r="CC242" s="417" t="str">
        <f t="shared" si="78"/>
        <v/>
      </c>
    </row>
    <row r="243" spans="1:81">
      <c r="A243" s="1"/>
      <c r="B243" s="8"/>
      <c r="C243" s="8"/>
      <c r="D243" s="1"/>
      <c r="E243" s="8"/>
      <c r="F243" s="8"/>
      <c r="G243" s="1"/>
      <c r="H243" s="8"/>
      <c r="I243" s="119"/>
      <c r="J243" s="4"/>
      <c r="K243" s="4">
        <f t="shared" si="69"/>
        <v>0</v>
      </c>
      <c r="L243" s="4">
        <f t="shared" si="70"/>
        <v>0</v>
      </c>
      <c r="M243" s="4"/>
      <c r="N243" s="4">
        <f t="shared" si="71"/>
        <v>0</v>
      </c>
      <c r="O243" s="4"/>
      <c r="P243" s="4"/>
      <c r="Q243" s="4">
        <f t="shared" si="72"/>
        <v>0</v>
      </c>
      <c r="R243" s="4">
        <f t="shared" si="73"/>
        <v>0</v>
      </c>
      <c r="S243" s="4"/>
      <c r="T243" s="4">
        <f t="shared" si="74"/>
        <v>0</v>
      </c>
      <c r="U243" s="4"/>
      <c r="V243" s="4"/>
      <c r="W243" s="4"/>
      <c r="X243" s="4"/>
      <c r="Y243" s="4"/>
      <c r="Z243" s="4"/>
      <c r="AA243" s="4">
        <f t="shared" si="75"/>
        <v>0</v>
      </c>
      <c r="AB243" s="4">
        <f t="shared" si="76"/>
        <v>0</v>
      </c>
      <c r="AC243" s="4"/>
      <c r="AD243" s="4">
        <f t="shared" si="77"/>
        <v>0</v>
      </c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3">
        <f t="shared" si="79"/>
        <v>0</v>
      </c>
      <c r="BY243" s="22">
        <f t="shared" si="80"/>
        <v>0</v>
      </c>
      <c r="CC243" s="417" t="str">
        <f t="shared" si="78"/>
        <v/>
      </c>
    </row>
    <row r="244" spans="1:81">
      <c r="A244" s="1"/>
      <c r="B244" s="8"/>
      <c r="C244" s="8"/>
      <c r="D244" s="1"/>
      <c r="E244" s="8"/>
      <c r="F244" s="8"/>
      <c r="G244" s="1"/>
      <c r="H244" s="8"/>
      <c r="I244" s="119"/>
      <c r="J244" s="4"/>
      <c r="K244" s="4">
        <f t="shared" si="69"/>
        <v>0</v>
      </c>
      <c r="L244" s="4">
        <f t="shared" si="70"/>
        <v>0</v>
      </c>
      <c r="M244" s="4"/>
      <c r="N244" s="4">
        <f t="shared" si="71"/>
        <v>0</v>
      </c>
      <c r="O244" s="4"/>
      <c r="P244" s="4"/>
      <c r="Q244" s="4">
        <f t="shared" si="72"/>
        <v>0</v>
      </c>
      <c r="R244" s="4">
        <f t="shared" si="73"/>
        <v>0</v>
      </c>
      <c r="S244" s="4"/>
      <c r="T244" s="4">
        <f t="shared" si="74"/>
        <v>0</v>
      </c>
      <c r="U244" s="4"/>
      <c r="V244" s="4"/>
      <c r="W244" s="4"/>
      <c r="X244" s="4"/>
      <c r="Y244" s="4"/>
      <c r="Z244" s="4"/>
      <c r="AA244" s="4">
        <f t="shared" si="75"/>
        <v>0</v>
      </c>
      <c r="AB244" s="4">
        <f t="shared" si="76"/>
        <v>0</v>
      </c>
      <c r="AC244" s="4"/>
      <c r="AD244" s="4">
        <f t="shared" si="77"/>
        <v>0</v>
      </c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3">
        <f t="shared" si="79"/>
        <v>0</v>
      </c>
      <c r="BY244" s="22">
        <f t="shared" si="80"/>
        <v>0</v>
      </c>
      <c r="CC244" s="417" t="str">
        <f t="shared" si="78"/>
        <v/>
      </c>
    </row>
    <row r="245" spans="1:81">
      <c r="A245" s="1"/>
      <c r="B245" s="8"/>
      <c r="C245" s="8"/>
      <c r="D245" s="1"/>
      <c r="E245" s="8"/>
      <c r="F245" s="8"/>
      <c r="G245" s="1"/>
      <c r="H245" s="8"/>
      <c r="I245" s="119"/>
      <c r="J245" s="4"/>
      <c r="K245" s="4">
        <f t="shared" si="69"/>
        <v>0</v>
      </c>
      <c r="L245" s="4">
        <f t="shared" si="70"/>
        <v>0</v>
      </c>
      <c r="M245" s="4"/>
      <c r="N245" s="4">
        <f t="shared" si="71"/>
        <v>0</v>
      </c>
      <c r="O245" s="4"/>
      <c r="P245" s="4"/>
      <c r="Q245" s="4">
        <f t="shared" si="72"/>
        <v>0</v>
      </c>
      <c r="R245" s="4">
        <f t="shared" si="73"/>
        <v>0</v>
      </c>
      <c r="S245" s="4"/>
      <c r="T245" s="4">
        <f t="shared" si="74"/>
        <v>0</v>
      </c>
      <c r="U245" s="4"/>
      <c r="V245" s="4"/>
      <c r="W245" s="4"/>
      <c r="X245" s="4"/>
      <c r="Y245" s="4"/>
      <c r="Z245" s="4"/>
      <c r="AA245" s="4">
        <f t="shared" si="75"/>
        <v>0</v>
      </c>
      <c r="AB245" s="4">
        <f t="shared" si="76"/>
        <v>0</v>
      </c>
      <c r="AC245" s="4"/>
      <c r="AD245" s="4">
        <f t="shared" si="77"/>
        <v>0</v>
      </c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3">
        <f t="shared" si="79"/>
        <v>0</v>
      </c>
      <c r="BY245" s="22">
        <f t="shared" si="80"/>
        <v>0</v>
      </c>
      <c r="CC245" s="417" t="str">
        <f t="shared" si="78"/>
        <v/>
      </c>
    </row>
    <row r="246" spans="1:81">
      <c r="A246" s="1"/>
      <c r="B246" s="8"/>
      <c r="C246" s="8"/>
      <c r="D246" s="1"/>
      <c r="E246" s="8"/>
      <c r="F246" s="8"/>
      <c r="G246" s="1"/>
      <c r="H246" s="8"/>
      <c r="I246" s="119"/>
      <c r="J246" s="4"/>
      <c r="K246" s="4">
        <f t="shared" si="69"/>
        <v>0</v>
      </c>
      <c r="L246" s="4">
        <f t="shared" si="70"/>
        <v>0</v>
      </c>
      <c r="M246" s="4"/>
      <c r="N246" s="4">
        <f t="shared" si="71"/>
        <v>0</v>
      </c>
      <c r="O246" s="4"/>
      <c r="P246" s="4"/>
      <c r="Q246" s="4">
        <f t="shared" si="72"/>
        <v>0</v>
      </c>
      <c r="R246" s="4">
        <f t="shared" si="73"/>
        <v>0</v>
      </c>
      <c r="S246" s="4"/>
      <c r="T246" s="4">
        <f t="shared" si="74"/>
        <v>0</v>
      </c>
      <c r="U246" s="4"/>
      <c r="V246" s="4"/>
      <c r="W246" s="4"/>
      <c r="X246" s="4"/>
      <c r="Y246" s="4"/>
      <c r="Z246" s="4"/>
      <c r="AA246" s="4">
        <f t="shared" si="75"/>
        <v>0</v>
      </c>
      <c r="AB246" s="4">
        <f t="shared" si="76"/>
        <v>0</v>
      </c>
      <c r="AC246" s="4"/>
      <c r="AD246" s="4">
        <f t="shared" si="77"/>
        <v>0</v>
      </c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3">
        <f t="shared" si="79"/>
        <v>0</v>
      </c>
      <c r="BY246" s="22">
        <f t="shared" si="80"/>
        <v>0</v>
      </c>
      <c r="CC246" s="417" t="str">
        <f t="shared" si="78"/>
        <v/>
      </c>
    </row>
    <row r="247" spans="1:81">
      <c r="A247" s="1"/>
      <c r="B247" s="8"/>
      <c r="C247" s="8"/>
      <c r="D247" s="1"/>
      <c r="E247" s="8"/>
      <c r="F247" s="8"/>
      <c r="G247" s="1"/>
      <c r="H247" s="8"/>
      <c r="I247" s="119"/>
      <c r="J247" s="4"/>
      <c r="K247" s="4">
        <f t="shared" si="69"/>
        <v>0</v>
      </c>
      <c r="L247" s="4">
        <f t="shared" si="70"/>
        <v>0</v>
      </c>
      <c r="M247" s="4"/>
      <c r="N247" s="4">
        <f t="shared" si="71"/>
        <v>0</v>
      </c>
      <c r="O247" s="4"/>
      <c r="P247" s="4"/>
      <c r="Q247" s="4">
        <f t="shared" si="72"/>
        <v>0</v>
      </c>
      <c r="R247" s="4">
        <f t="shared" si="73"/>
        <v>0</v>
      </c>
      <c r="S247" s="4"/>
      <c r="T247" s="4">
        <f t="shared" si="74"/>
        <v>0</v>
      </c>
      <c r="U247" s="4"/>
      <c r="V247" s="4"/>
      <c r="W247" s="4"/>
      <c r="X247" s="4"/>
      <c r="Y247" s="4"/>
      <c r="Z247" s="4"/>
      <c r="AA247" s="4">
        <f t="shared" si="75"/>
        <v>0</v>
      </c>
      <c r="AB247" s="4">
        <f t="shared" si="76"/>
        <v>0</v>
      </c>
      <c r="AC247" s="4"/>
      <c r="AD247" s="4">
        <f t="shared" si="77"/>
        <v>0</v>
      </c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3">
        <f t="shared" si="79"/>
        <v>0</v>
      </c>
      <c r="BY247" s="22">
        <f t="shared" si="80"/>
        <v>0</v>
      </c>
      <c r="CC247" s="417" t="str">
        <f t="shared" si="78"/>
        <v/>
      </c>
    </row>
    <row r="248" spans="1:81">
      <c r="A248" s="1"/>
      <c r="B248" s="8"/>
      <c r="C248" s="8"/>
      <c r="D248" s="1"/>
      <c r="E248" s="8"/>
      <c r="F248" s="8"/>
      <c r="G248" s="1"/>
      <c r="H248" s="8"/>
      <c r="I248" s="119"/>
      <c r="J248" s="4"/>
      <c r="K248" s="4">
        <f t="shared" si="69"/>
        <v>0</v>
      </c>
      <c r="L248" s="4">
        <f t="shared" si="70"/>
        <v>0</v>
      </c>
      <c r="M248" s="4"/>
      <c r="N248" s="4">
        <f t="shared" si="71"/>
        <v>0</v>
      </c>
      <c r="O248" s="4"/>
      <c r="P248" s="4"/>
      <c r="Q248" s="4">
        <f t="shared" si="72"/>
        <v>0</v>
      </c>
      <c r="R248" s="4">
        <f t="shared" si="73"/>
        <v>0</v>
      </c>
      <c r="S248" s="4"/>
      <c r="T248" s="4">
        <f t="shared" si="74"/>
        <v>0</v>
      </c>
      <c r="U248" s="4"/>
      <c r="V248" s="4"/>
      <c r="W248" s="4"/>
      <c r="X248" s="4"/>
      <c r="Y248" s="4"/>
      <c r="Z248" s="4"/>
      <c r="AA248" s="4">
        <f t="shared" si="75"/>
        <v>0</v>
      </c>
      <c r="AB248" s="4">
        <f t="shared" si="76"/>
        <v>0</v>
      </c>
      <c r="AC248" s="4"/>
      <c r="AD248" s="4">
        <f t="shared" si="77"/>
        <v>0</v>
      </c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3">
        <f t="shared" si="79"/>
        <v>0</v>
      </c>
      <c r="BY248" s="22">
        <f t="shared" si="80"/>
        <v>0</v>
      </c>
      <c r="CC248" s="417" t="str">
        <f t="shared" si="78"/>
        <v/>
      </c>
    </row>
    <row r="249" spans="1:81">
      <c r="A249" s="1"/>
      <c r="B249" s="8"/>
      <c r="C249" s="8"/>
      <c r="D249" s="1"/>
      <c r="E249" s="8"/>
      <c r="F249" s="8"/>
      <c r="G249" s="1"/>
      <c r="H249" s="8"/>
      <c r="I249" s="119"/>
      <c r="J249" s="4"/>
      <c r="K249" s="4">
        <f t="shared" si="69"/>
        <v>0</v>
      </c>
      <c r="L249" s="4">
        <f t="shared" si="70"/>
        <v>0</v>
      </c>
      <c r="M249" s="4"/>
      <c r="N249" s="4">
        <f t="shared" si="71"/>
        <v>0</v>
      </c>
      <c r="O249" s="4"/>
      <c r="P249" s="4"/>
      <c r="Q249" s="4">
        <f t="shared" si="72"/>
        <v>0</v>
      </c>
      <c r="R249" s="4">
        <f t="shared" si="73"/>
        <v>0</v>
      </c>
      <c r="S249" s="4"/>
      <c r="T249" s="4">
        <f t="shared" si="74"/>
        <v>0</v>
      </c>
      <c r="U249" s="4"/>
      <c r="V249" s="4"/>
      <c r="W249" s="4"/>
      <c r="X249" s="4"/>
      <c r="Y249" s="4"/>
      <c r="Z249" s="4"/>
      <c r="AA249" s="4">
        <f t="shared" si="75"/>
        <v>0</v>
      </c>
      <c r="AB249" s="4">
        <f t="shared" si="76"/>
        <v>0</v>
      </c>
      <c r="AC249" s="4"/>
      <c r="AD249" s="4">
        <f t="shared" si="77"/>
        <v>0</v>
      </c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3">
        <f t="shared" si="79"/>
        <v>0</v>
      </c>
      <c r="BY249" s="22">
        <f t="shared" si="80"/>
        <v>0</v>
      </c>
      <c r="CC249" s="417" t="str">
        <f t="shared" si="78"/>
        <v/>
      </c>
    </row>
    <row r="250" spans="1:81">
      <c r="A250" s="1"/>
      <c r="B250" s="8"/>
      <c r="C250" s="8"/>
      <c r="D250" s="1"/>
      <c r="E250" s="8"/>
      <c r="F250" s="8"/>
      <c r="G250" s="1"/>
      <c r="H250" s="8"/>
      <c r="I250" s="119"/>
      <c r="J250" s="4"/>
      <c r="K250" s="4">
        <f t="shared" si="69"/>
        <v>0</v>
      </c>
      <c r="L250" s="4">
        <f t="shared" si="70"/>
        <v>0</v>
      </c>
      <c r="M250" s="4"/>
      <c r="N250" s="4">
        <f t="shared" si="71"/>
        <v>0</v>
      </c>
      <c r="O250" s="4"/>
      <c r="P250" s="4"/>
      <c r="Q250" s="4">
        <f t="shared" si="72"/>
        <v>0</v>
      </c>
      <c r="R250" s="4">
        <f t="shared" si="73"/>
        <v>0</v>
      </c>
      <c r="S250" s="4"/>
      <c r="T250" s="4">
        <f t="shared" si="74"/>
        <v>0</v>
      </c>
      <c r="U250" s="4"/>
      <c r="V250" s="4"/>
      <c r="W250" s="4"/>
      <c r="X250" s="4"/>
      <c r="Y250" s="4"/>
      <c r="Z250" s="4"/>
      <c r="AA250" s="4">
        <f t="shared" si="75"/>
        <v>0</v>
      </c>
      <c r="AB250" s="4">
        <f t="shared" si="76"/>
        <v>0</v>
      </c>
      <c r="AC250" s="4"/>
      <c r="AD250" s="4">
        <f t="shared" si="77"/>
        <v>0</v>
      </c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3">
        <f t="shared" si="79"/>
        <v>0</v>
      </c>
      <c r="BY250" s="22">
        <f t="shared" si="80"/>
        <v>0</v>
      </c>
      <c r="CC250" s="417" t="str">
        <f t="shared" si="78"/>
        <v/>
      </c>
    </row>
    <row r="251" spans="1:81">
      <c r="A251" s="1"/>
      <c r="B251" s="8"/>
      <c r="C251" s="8"/>
      <c r="D251" s="1"/>
      <c r="E251" s="8"/>
      <c r="F251" s="8"/>
      <c r="G251" s="1"/>
      <c r="H251" s="8"/>
      <c r="I251" s="119"/>
      <c r="J251" s="4"/>
      <c r="K251" s="4">
        <f t="shared" si="69"/>
        <v>0</v>
      </c>
      <c r="L251" s="4">
        <f t="shared" si="70"/>
        <v>0</v>
      </c>
      <c r="M251" s="4"/>
      <c r="N251" s="4">
        <f t="shared" si="71"/>
        <v>0</v>
      </c>
      <c r="O251" s="4"/>
      <c r="P251" s="4"/>
      <c r="Q251" s="4">
        <f t="shared" si="72"/>
        <v>0</v>
      </c>
      <c r="R251" s="4">
        <f t="shared" si="73"/>
        <v>0</v>
      </c>
      <c r="S251" s="4"/>
      <c r="T251" s="4">
        <f t="shared" si="74"/>
        <v>0</v>
      </c>
      <c r="U251" s="4"/>
      <c r="V251" s="4"/>
      <c r="W251" s="4"/>
      <c r="X251" s="4"/>
      <c r="Y251" s="4"/>
      <c r="Z251" s="4"/>
      <c r="AA251" s="4">
        <f t="shared" si="75"/>
        <v>0</v>
      </c>
      <c r="AB251" s="4">
        <f t="shared" si="76"/>
        <v>0</v>
      </c>
      <c r="AC251" s="4"/>
      <c r="AD251" s="4">
        <f t="shared" si="77"/>
        <v>0</v>
      </c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3">
        <f t="shared" si="79"/>
        <v>0</v>
      </c>
      <c r="BY251" s="22">
        <f t="shared" si="80"/>
        <v>0</v>
      </c>
      <c r="CC251" s="417" t="str">
        <f t="shared" si="78"/>
        <v/>
      </c>
    </row>
    <row r="252" spans="1:81">
      <c r="A252" s="1"/>
      <c r="B252" s="8"/>
      <c r="C252" s="8"/>
      <c r="D252" s="1"/>
      <c r="E252" s="8"/>
      <c r="F252" s="8"/>
      <c r="G252" s="1"/>
      <c r="H252" s="8"/>
      <c r="I252" s="119"/>
      <c r="J252" s="4"/>
      <c r="K252" s="4">
        <f t="shared" si="69"/>
        <v>0</v>
      </c>
      <c r="L252" s="4">
        <f t="shared" si="70"/>
        <v>0</v>
      </c>
      <c r="M252" s="4"/>
      <c r="N252" s="4">
        <f t="shared" si="71"/>
        <v>0</v>
      </c>
      <c r="O252" s="4"/>
      <c r="P252" s="4"/>
      <c r="Q252" s="4">
        <f t="shared" si="72"/>
        <v>0</v>
      </c>
      <c r="R252" s="4">
        <f t="shared" si="73"/>
        <v>0</v>
      </c>
      <c r="S252" s="4"/>
      <c r="T252" s="4">
        <f t="shared" si="74"/>
        <v>0</v>
      </c>
      <c r="U252" s="4"/>
      <c r="V252" s="4"/>
      <c r="W252" s="4"/>
      <c r="X252" s="4"/>
      <c r="Y252" s="4"/>
      <c r="Z252" s="4"/>
      <c r="AA252" s="4">
        <f t="shared" si="75"/>
        <v>0</v>
      </c>
      <c r="AB252" s="4">
        <f t="shared" si="76"/>
        <v>0</v>
      </c>
      <c r="AC252" s="4"/>
      <c r="AD252" s="4">
        <f t="shared" si="77"/>
        <v>0</v>
      </c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3">
        <f t="shared" si="79"/>
        <v>0</v>
      </c>
      <c r="BY252" s="22">
        <f t="shared" si="80"/>
        <v>0</v>
      </c>
      <c r="CC252" s="417" t="str">
        <f t="shared" si="78"/>
        <v/>
      </c>
    </row>
    <row r="253" spans="1:81">
      <c r="A253" s="1"/>
      <c r="B253" s="8"/>
      <c r="C253" s="8"/>
      <c r="D253" s="1"/>
      <c r="E253" s="8"/>
      <c r="F253" s="8"/>
      <c r="G253" s="1"/>
      <c r="H253" s="8"/>
      <c r="I253" s="119"/>
      <c r="J253" s="4"/>
      <c r="K253" s="4">
        <f t="shared" si="69"/>
        <v>0</v>
      </c>
      <c r="L253" s="4">
        <f t="shared" si="70"/>
        <v>0</v>
      </c>
      <c r="M253" s="4"/>
      <c r="N253" s="4">
        <f t="shared" si="71"/>
        <v>0</v>
      </c>
      <c r="O253" s="4"/>
      <c r="P253" s="4"/>
      <c r="Q253" s="4">
        <f t="shared" si="72"/>
        <v>0</v>
      </c>
      <c r="R253" s="4">
        <f t="shared" si="73"/>
        <v>0</v>
      </c>
      <c r="S253" s="4"/>
      <c r="T253" s="4">
        <f t="shared" si="74"/>
        <v>0</v>
      </c>
      <c r="U253" s="4"/>
      <c r="V253" s="4"/>
      <c r="W253" s="4"/>
      <c r="X253" s="4"/>
      <c r="Y253" s="4"/>
      <c r="Z253" s="4"/>
      <c r="AA253" s="4">
        <f t="shared" si="75"/>
        <v>0</v>
      </c>
      <c r="AB253" s="4">
        <f t="shared" si="76"/>
        <v>0</v>
      </c>
      <c r="AC253" s="4"/>
      <c r="AD253" s="4">
        <f t="shared" si="77"/>
        <v>0</v>
      </c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3">
        <f t="shared" si="79"/>
        <v>0</v>
      </c>
      <c r="BY253" s="22">
        <f t="shared" si="80"/>
        <v>0</v>
      </c>
      <c r="CC253" s="417" t="str">
        <f t="shared" si="78"/>
        <v/>
      </c>
    </row>
    <row r="254" spans="1:81">
      <c r="A254" s="1"/>
      <c r="B254" s="8"/>
      <c r="C254" s="8"/>
      <c r="D254" s="1"/>
      <c r="E254" s="8"/>
      <c r="F254" s="8"/>
      <c r="G254" s="1"/>
      <c r="H254" s="8"/>
      <c r="I254" s="119"/>
      <c r="J254" s="4"/>
      <c r="K254" s="4">
        <f t="shared" si="69"/>
        <v>0</v>
      </c>
      <c r="L254" s="4">
        <f t="shared" si="70"/>
        <v>0</v>
      </c>
      <c r="M254" s="4"/>
      <c r="N254" s="4">
        <f t="shared" si="71"/>
        <v>0</v>
      </c>
      <c r="O254" s="4"/>
      <c r="P254" s="4"/>
      <c r="Q254" s="4">
        <f t="shared" si="72"/>
        <v>0</v>
      </c>
      <c r="R254" s="4">
        <f t="shared" si="73"/>
        <v>0</v>
      </c>
      <c r="S254" s="4"/>
      <c r="T254" s="4">
        <f t="shared" si="74"/>
        <v>0</v>
      </c>
      <c r="U254" s="4"/>
      <c r="V254" s="4"/>
      <c r="W254" s="4"/>
      <c r="X254" s="4"/>
      <c r="Y254" s="4"/>
      <c r="Z254" s="4"/>
      <c r="AA254" s="4">
        <f t="shared" si="75"/>
        <v>0</v>
      </c>
      <c r="AB254" s="4">
        <f t="shared" si="76"/>
        <v>0</v>
      </c>
      <c r="AC254" s="4"/>
      <c r="AD254" s="4">
        <f t="shared" si="77"/>
        <v>0</v>
      </c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3">
        <f t="shared" si="79"/>
        <v>0</v>
      </c>
      <c r="BY254" s="22">
        <f t="shared" si="80"/>
        <v>0</v>
      </c>
      <c r="CC254" s="417" t="str">
        <f t="shared" si="78"/>
        <v/>
      </c>
    </row>
    <row r="255" spans="1:81">
      <c r="A255" s="1"/>
      <c r="B255" s="8"/>
      <c r="C255" s="8"/>
      <c r="D255" s="1"/>
      <c r="E255" s="8"/>
      <c r="F255" s="8"/>
      <c r="G255" s="1"/>
      <c r="H255" s="8"/>
      <c r="I255" s="119"/>
      <c r="J255" s="4"/>
      <c r="K255" s="4">
        <f t="shared" si="69"/>
        <v>0</v>
      </c>
      <c r="L255" s="4">
        <f t="shared" si="70"/>
        <v>0</v>
      </c>
      <c r="M255" s="4"/>
      <c r="N255" s="4">
        <f t="shared" si="71"/>
        <v>0</v>
      </c>
      <c r="O255" s="4"/>
      <c r="P255" s="4"/>
      <c r="Q255" s="4">
        <f t="shared" si="72"/>
        <v>0</v>
      </c>
      <c r="R255" s="4">
        <f t="shared" si="73"/>
        <v>0</v>
      </c>
      <c r="S255" s="4"/>
      <c r="T255" s="4">
        <f t="shared" si="74"/>
        <v>0</v>
      </c>
      <c r="U255" s="4"/>
      <c r="V255" s="4"/>
      <c r="W255" s="4"/>
      <c r="X255" s="4"/>
      <c r="Y255" s="4"/>
      <c r="Z255" s="4"/>
      <c r="AA255" s="4">
        <f t="shared" si="75"/>
        <v>0</v>
      </c>
      <c r="AB255" s="4">
        <f t="shared" si="76"/>
        <v>0</v>
      </c>
      <c r="AC255" s="4"/>
      <c r="AD255" s="4">
        <f t="shared" si="77"/>
        <v>0</v>
      </c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3">
        <f t="shared" si="79"/>
        <v>0</v>
      </c>
      <c r="BY255" s="22">
        <f t="shared" si="80"/>
        <v>0</v>
      </c>
      <c r="CC255" s="417" t="str">
        <f t="shared" si="78"/>
        <v/>
      </c>
    </row>
    <row r="256" spans="1:81">
      <c r="A256" s="1"/>
      <c r="B256" s="8"/>
      <c r="C256" s="8"/>
      <c r="D256" s="1"/>
      <c r="E256" s="8"/>
      <c r="F256" s="8"/>
      <c r="G256" s="1"/>
      <c r="H256" s="8"/>
      <c r="I256" s="119"/>
      <c r="J256" s="4"/>
      <c r="K256" s="4">
        <f t="shared" si="69"/>
        <v>0</v>
      </c>
      <c r="L256" s="4">
        <f t="shared" si="70"/>
        <v>0</v>
      </c>
      <c r="M256" s="4"/>
      <c r="N256" s="4">
        <f t="shared" si="71"/>
        <v>0</v>
      </c>
      <c r="O256" s="4"/>
      <c r="P256" s="4"/>
      <c r="Q256" s="4">
        <f t="shared" si="72"/>
        <v>0</v>
      </c>
      <c r="R256" s="4">
        <f t="shared" si="73"/>
        <v>0</v>
      </c>
      <c r="S256" s="4"/>
      <c r="T256" s="4">
        <f t="shared" si="74"/>
        <v>0</v>
      </c>
      <c r="U256" s="4"/>
      <c r="V256" s="4"/>
      <c r="W256" s="4"/>
      <c r="X256" s="4"/>
      <c r="Y256" s="4"/>
      <c r="Z256" s="4"/>
      <c r="AA256" s="4">
        <f t="shared" si="75"/>
        <v>0</v>
      </c>
      <c r="AB256" s="4">
        <f t="shared" si="76"/>
        <v>0</v>
      </c>
      <c r="AC256" s="4"/>
      <c r="AD256" s="4">
        <f t="shared" si="77"/>
        <v>0</v>
      </c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3">
        <f t="shared" si="79"/>
        <v>0</v>
      </c>
      <c r="BY256" s="22">
        <f t="shared" si="80"/>
        <v>0</v>
      </c>
      <c r="CC256" s="417" t="str">
        <f t="shared" si="78"/>
        <v/>
      </c>
    </row>
    <row r="257" spans="1:81">
      <c r="A257" s="1"/>
      <c r="B257" s="8"/>
      <c r="C257" s="8"/>
      <c r="D257" s="1"/>
      <c r="E257" s="8"/>
      <c r="F257" s="8"/>
      <c r="G257" s="1"/>
      <c r="H257" s="8"/>
      <c r="I257" s="119"/>
      <c r="J257" s="4"/>
      <c r="K257" s="4">
        <f t="shared" si="69"/>
        <v>0</v>
      </c>
      <c r="L257" s="4">
        <f t="shared" si="70"/>
        <v>0</v>
      </c>
      <c r="M257" s="4"/>
      <c r="N257" s="4">
        <f t="shared" si="71"/>
        <v>0</v>
      </c>
      <c r="O257" s="4"/>
      <c r="P257" s="4"/>
      <c r="Q257" s="4">
        <f t="shared" si="72"/>
        <v>0</v>
      </c>
      <c r="R257" s="4">
        <f t="shared" si="73"/>
        <v>0</v>
      </c>
      <c r="S257" s="4"/>
      <c r="T257" s="4">
        <f t="shared" si="74"/>
        <v>0</v>
      </c>
      <c r="U257" s="4"/>
      <c r="V257" s="4"/>
      <c r="W257" s="4"/>
      <c r="X257" s="4"/>
      <c r="Y257" s="4"/>
      <c r="Z257" s="4"/>
      <c r="AA257" s="4">
        <f t="shared" si="75"/>
        <v>0</v>
      </c>
      <c r="AB257" s="4">
        <f t="shared" si="76"/>
        <v>0</v>
      </c>
      <c r="AC257" s="4"/>
      <c r="AD257" s="4">
        <f t="shared" si="77"/>
        <v>0</v>
      </c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3">
        <f t="shared" si="79"/>
        <v>0</v>
      </c>
      <c r="BY257" s="22">
        <f t="shared" si="80"/>
        <v>0</v>
      </c>
      <c r="CC257" s="417" t="str">
        <f t="shared" si="78"/>
        <v/>
      </c>
    </row>
    <row r="258" spans="1:81">
      <c r="A258" s="1"/>
      <c r="B258" s="8"/>
      <c r="C258" s="8"/>
      <c r="D258" s="1"/>
      <c r="E258" s="8"/>
      <c r="F258" s="8"/>
      <c r="G258" s="1"/>
      <c r="H258" s="8"/>
      <c r="I258" s="119"/>
      <c r="J258" s="4"/>
      <c r="K258" s="4">
        <f t="shared" ref="K258:K271" si="81">0.01*(I258+J258)</f>
        <v>0</v>
      </c>
      <c r="L258" s="4">
        <f t="shared" ref="L258:L271" si="82">0.062*(I258+J258)</f>
        <v>0</v>
      </c>
      <c r="M258" s="4"/>
      <c r="N258" s="4">
        <f t="shared" ref="N258:N271" si="83">0.028*(I258+J258)</f>
        <v>0</v>
      </c>
      <c r="O258" s="4"/>
      <c r="P258" s="4"/>
      <c r="Q258" s="4">
        <f t="shared" ref="Q258:Q271" si="84">0.01*(O258+P258)</f>
        <v>0</v>
      </c>
      <c r="R258" s="4">
        <f t="shared" ref="R258:R271" si="85">0.062*(O258+P258)</f>
        <v>0</v>
      </c>
      <c r="S258" s="4"/>
      <c r="T258" s="4">
        <f t="shared" ref="T258:T271" si="86">0.028*(O258+P258)</f>
        <v>0</v>
      </c>
      <c r="U258" s="4"/>
      <c r="V258" s="4"/>
      <c r="W258" s="4"/>
      <c r="X258" s="4"/>
      <c r="Y258" s="4"/>
      <c r="Z258" s="4"/>
      <c r="AA258" s="4">
        <f t="shared" ref="AA258:AA271" si="87">0.01*(U258+V258+W258+X258+Y258)</f>
        <v>0</v>
      </c>
      <c r="AB258" s="4">
        <f t="shared" ref="AB258:AB271" si="88">0.062*(V258+U258+W258+X258+Y258)</f>
        <v>0</v>
      </c>
      <c r="AC258" s="4"/>
      <c r="AD258" s="4">
        <f t="shared" ref="AD258:AD271" si="89">0.028*(V258+W258+X258+Y258+U258)</f>
        <v>0</v>
      </c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3">
        <f t="shared" si="79"/>
        <v>0</v>
      </c>
      <c r="BY258" s="22">
        <f t="shared" si="80"/>
        <v>0</v>
      </c>
      <c r="CC258" s="417" t="str">
        <f t="shared" si="78"/>
        <v/>
      </c>
    </row>
    <row r="259" spans="1:81">
      <c r="A259" s="1"/>
      <c r="B259" s="8"/>
      <c r="C259" s="8"/>
      <c r="D259" s="1"/>
      <c r="E259" s="8"/>
      <c r="F259" s="8"/>
      <c r="G259" s="1"/>
      <c r="H259" s="8"/>
      <c r="I259" s="119"/>
      <c r="J259" s="4"/>
      <c r="K259" s="4">
        <f t="shared" si="81"/>
        <v>0</v>
      </c>
      <c r="L259" s="4">
        <f t="shared" si="82"/>
        <v>0</v>
      </c>
      <c r="M259" s="4"/>
      <c r="N259" s="4">
        <f t="shared" si="83"/>
        <v>0</v>
      </c>
      <c r="O259" s="4"/>
      <c r="P259" s="4"/>
      <c r="Q259" s="4">
        <f t="shared" si="84"/>
        <v>0</v>
      </c>
      <c r="R259" s="4">
        <f t="shared" si="85"/>
        <v>0</v>
      </c>
      <c r="S259" s="4"/>
      <c r="T259" s="4">
        <f t="shared" si="86"/>
        <v>0</v>
      </c>
      <c r="U259" s="4"/>
      <c r="V259" s="4"/>
      <c r="W259" s="4"/>
      <c r="X259" s="4"/>
      <c r="Y259" s="4"/>
      <c r="Z259" s="4"/>
      <c r="AA259" s="4">
        <f t="shared" si="87"/>
        <v>0</v>
      </c>
      <c r="AB259" s="4">
        <f t="shared" si="88"/>
        <v>0</v>
      </c>
      <c r="AC259" s="4"/>
      <c r="AD259" s="4">
        <f t="shared" si="89"/>
        <v>0</v>
      </c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3">
        <f t="shared" si="79"/>
        <v>0</v>
      </c>
      <c r="BY259" s="22">
        <f t="shared" si="80"/>
        <v>0</v>
      </c>
      <c r="CC259" s="417" t="str">
        <f t="shared" ref="CC259:CC278" si="90">IF(B259="ug1","INDUSTRIES",IF(B259="ug2","COMMERCE GENERAL",IF(B259="ug3","BANQUES, ASSURANCES, NTIC, CTD",IF(B259="ug4","FORETS, EAUX, MINES, PETROLES",IF(B259="ug5","SERVICES","")))))</f>
        <v/>
      </c>
    </row>
    <row r="260" spans="1:81">
      <c r="A260" s="1"/>
      <c r="B260" s="8"/>
      <c r="C260" s="8"/>
      <c r="D260" s="1"/>
      <c r="E260" s="8"/>
      <c r="F260" s="8"/>
      <c r="G260" s="1"/>
      <c r="H260" s="8"/>
      <c r="I260" s="119"/>
      <c r="J260" s="4"/>
      <c r="K260" s="4">
        <f t="shared" si="81"/>
        <v>0</v>
      </c>
      <c r="L260" s="4">
        <f t="shared" si="82"/>
        <v>0</v>
      </c>
      <c r="M260" s="4"/>
      <c r="N260" s="4">
        <f t="shared" si="83"/>
        <v>0</v>
      </c>
      <c r="O260" s="4"/>
      <c r="P260" s="4"/>
      <c r="Q260" s="4">
        <f t="shared" si="84"/>
        <v>0</v>
      </c>
      <c r="R260" s="4">
        <f t="shared" si="85"/>
        <v>0</v>
      </c>
      <c r="S260" s="4"/>
      <c r="T260" s="4">
        <f t="shared" si="86"/>
        <v>0</v>
      </c>
      <c r="U260" s="4"/>
      <c r="V260" s="4"/>
      <c r="W260" s="4"/>
      <c r="X260" s="4"/>
      <c r="Y260" s="4"/>
      <c r="Z260" s="4"/>
      <c r="AA260" s="4">
        <f t="shared" si="87"/>
        <v>0</v>
      </c>
      <c r="AB260" s="4">
        <f t="shared" si="88"/>
        <v>0</v>
      </c>
      <c r="AC260" s="4"/>
      <c r="AD260" s="4">
        <f t="shared" si="89"/>
        <v>0</v>
      </c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3">
        <f t="shared" si="79"/>
        <v>0</v>
      </c>
      <c r="BY260" s="22">
        <f t="shared" si="80"/>
        <v>0</v>
      </c>
      <c r="CC260" s="417" t="str">
        <f t="shared" si="90"/>
        <v/>
      </c>
    </row>
    <row r="261" spans="1:81">
      <c r="A261" s="1"/>
      <c r="B261" s="8"/>
      <c r="C261" s="8"/>
      <c r="D261" s="1"/>
      <c r="E261" s="8"/>
      <c r="F261" s="8"/>
      <c r="G261" s="1"/>
      <c r="H261" s="8"/>
      <c r="I261" s="119"/>
      <c r="J261" s="4"/>
      <c r="K261" s="4">
        <f t="shared" si="81"/>
        <v>0</v>
      </c>
      <c r="L261" s="4">
        <f t="shared" si="82"/>
        <v>0</v>
      </c>
      <c r="M261" s="4"/>
      <c r="N261" s="4">
        <f t="shared" si="83"/>
        <v>0</v>
      </c>
      <c r="O261" s="4"/>
      <c r="P261" s="4"/>
      <c r="Q261" s="4">
        <f t="shared" si="84"/>
        <v>0</v>
      </c>
      <c r="R261" s="4">
        <f t="shared" si="85"/>
        <v>0</v>
      </c>
      <c r="S261" s="4"/>
      <c r="T261" s="4">
        <f t="shared" si="86"/>
        <v>0</v>
      </c>
      <c r="U261" s="4"/>
      <c r="V261" s="4"/>
      <c r="W261" s="4"/>
      <c r="X261" s="4"/>
      <c r="Y261" s="4"/>
      <c r="Z261" s="4"/>
      <c r="AA261" s="4">
        <f t="shared" si="87"/>
        <v>0</v>
      </c>
      <c r="AB261" s="4">
        <f t="shared" si="88"/>
        <v>0</v>
      </c>
      <c r="AC261" s="4"/>
      <c r="AD261" s="4">
        <f t="shared" si="89"/>
        <v>0</v>
      </c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3">
        <f t="shared" si="79"/>
        <v>0</v>
      </c>
      <c r="BY261" s="22">
        <f t="shared" si="80"/>
        <v>0</v>
      </c>
      <c r="CC261" s="417" t="str">
        <f t="shared" si="90"/>
        <v/>
      </c>
    </row>
    <row r="262" spans="1:81">
      <c r="A262" s="1"/>
      <c r="B262" s="8"/>
      <c r="C262" s="8"/>
      <c r="D262" s="1"/>
      <c r="E262" s="8"/>
      <c r="F262" s="8"/>
      <c r="G262" s="1"/>
      <c r="H262" s="8"/>
      <c r="I262" s="119"/>
      <c r="J262" s="4"/>
      <c r="K262" s="4">
        <f t="shared" si="81"/>
        <v>0</v>
      </c>
      <c r="L262" s="4">
        <f t="shared" si="82"/>
        <v>0</v>
      </c>
      <c r="M262" s="4"/>
      <c r="N262" s="4">
        <f t="shared" si="83"/>
        <v>0</v>
      </c>
      <c r="O262" s="4"/>
      <c r="P262" s="4"/>
      <c r="Q262" s="4">
        <f t="shared" si="84"/>
        <v>0</v>
      </c>
      <c r="R262" s="4">
        <f t="shared" si="85"/>
        <v>0</v>
      </c>
      <c r="S262" s="4"/>
      <c r="T262" s="4">
        <f t="shared" si="86"/>
        <v>0</v>
      </c>
      <c r="U262" s="4"/>
      <c r="V262" s="4"/>
      <c r="W262" s="4"/>
      <c r="X262" s="4"/>
      <c r="Y262" s="4"/>
      <c r="Z262" s="4"/>
      <c r="AA262" s="4">
        <f t="shared" si="87"/>
        <v>0</v>
      </c>
      <c r="AB262" s="4">
        <f t="shared" si="88"/>
        <v>0</v>
      </c>
      <c r="AC262" s="4"/>
      <c r="AD262" s="4">
        <f t="shared" si="89"/>
        <v>0</v>
      </c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3">
        <f t="shared" si="79"/>
        <v>0</v>
      </c>
      <c r="BY262" s="22">
        <f t="shared" si="80"/>
        <v>0</v>
      </c>
      <c r="CC262" s="417" t="str">
        <f t="shared" si="90"/>
        <v/>
      </c>
    </row>
    <row r="263" spans="1:81">
      <c r="A263" s="1"/>
      <c r="B263" s="8"/>
      <c r="C263" s="8"/>
      <c r="D263" s="1"/>
      <c r="E263" s="8"/>
      <c r="F263" s="8"/>
      <c r="G263" s="1"/>
      <c r="H263" s="8"/>
      <c r="I263" s="119"/>
      <c r="J263" s="4"/>
      <c r="K263" s="4">
        <f t="shared" si="81"/>
        <v>0</v>
      </c>
      <c r="L263" s="4">
        <f t="shared" si="82"/>
        <v>0</v>
      </c>
      <c r="M263" s="4"/>
      <c r="N263" s="4">
        <f t="shared" si="83"/>
        <v>0</v>
      </c>
      <c r="O263" s="4"/>
      <c r="P263" s="4"/>
      <c r="Q263" s="4">
        <f t="shared" si="84"/>
        <v>0</v>
      </c>
      <c r="R263" s="4">
        <f t="shared" si="85"/>
        <v>0</v>
      </c>
      <c r="S263" s="4"/>
      <c r="T263" s="4">
        <f t="shared" si="86"/>
        <v>0</v>
      </c>
      <c r="U263" s="4"/>
      <c r="V263" s="4"/>
      <c r="W263" s="4"/>
      <c r="X263" s="4"/>
      <c r="Y263" s="4"/>
      <c r="Z263" s="4"/>
      <c r="AA263" s="4">
        <f t="shared" si="87"/>
        <v>0</v>
      </c>
      <c r="AB263" s="4">
        <f t="shared" si="88"/>
        <v>0</v>
      </c>
      <c r="AC263" s="4"/>
      <c r="AD263" s="4">
        <f t="shared" si="89"/>
        <v>0</v>
      </c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3">
        <f t="shared" si="79"/>
        <v>0</v>
      </c>
      <c r="BY263" s="22">
        <f t="shared" si="80"/>
        <v>0</v>
      </c>
      <c r="CC263" s="417" t="str">
        <f t="shared" si="90"/>
        <v/>
      </c>
    </row>
    <row r="264" spans="1:81">
      <c r="A264" s="1"/>
      <c r="B264" s="8"/>
      <c r="C264" s="8"/>
      <c r="D264" s="1"/>
      <c r="E264" s="8"/>
      <c r="F264" s="8"/>
      <c r="G264" s="1"/>
      <c r="H264" s="8"/>
      <c r="I264" s="119"/>
      <c r="J264" s="4"/>
      <c r="K264" s="4">
        <f t="shared" si="81"/>
        <v>0</v>
      </c>
      <c r="L264" s="4">
        <f t="shared" si="82"/>
        <v>0</v>
      </c>
      <c r="M264" s="4"/>
      <c r="N264" s="4">
        <f t="shared" si="83"/>
        <v>0</v>
      </c>
      <c r="O264" s="4"/>
      <c r="P264" s="4"/>
      <c r="Q264" s="4">
        <f t="shared" si="84"/>
        <v>0</v>
      </c>
      <c r="R264" s="4">
        <f t="shared" si="85"/>
        <v>0</v>
      </c>
      <c r="S264" s="4"/>
      <c r="T264" s="4">
        <f t="shared" si="86"/>
        <v>0</v>
      </c>
      <c r="U264" s="4"/>
      <c r="V264" s="4"/>
      <c r="W264" s="4"/>
      <c r="X264" s="4"/>
      <c r="Y264" s="4"/>
      <c r="Z264" s="4"/>
      <c r="AA264" s="4">
        <f t="shared" si="87"/>
        <v>0</v>
      </c>
      <c r="AB264" s="4">
        <f t="shared" si="88"/>
        <v>0</v>
      </c>
      <c r="AC264" s="4"/>
      <c r="AD264" s="4">
        <f t="shared" si="89"/>
        <v>0</v>
      </c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3">
        <f t="shared" si="79"/>
        <v>0</v>
      </c>
      <c r="BY264" s="22">
        <f t="shared" si="80"/>
        <v>0</v>
      </c>
      <c r="CC264" s="417" t="str">
        <f t="shared" si="90"/>
        <v/>
      </c>
    </row>
    <row r="265" spans="1:81">
      <c r="A265" s="1"/>
      <c r="B265" s="8"/>
      <c r="C265" s="8"/>
      <c r="D265" s="1"/>
      <c r="E265" s="8"/>
      <c r="F265" s="8"/>
      <c r="G265" s="1"/>
      <c r="H265" s="8"/>
      <c r="I265" s="119"/>
      <c r="J265" s="4"/>
      <c r="K265" s="4">
        <f t="shared" si="81"/>
        <v>0</v>
      </c>
      <c r="L265" s="4">
        <f t="shared" si="82"/>
        <v>0</v>
      </c>
      <c r="M265" s="4"/>
      <c r="N265" s="4">
        <f t="shared" si="83"/>
        <v>0</v>
      </c>
      <c r="O265" s="4"/>
      <c r="P265" s="4"/>
      <c r="Q265" s="4">
        <f t="shared" si="84"/>
        <v>0</v>
      </c>
      <c r="R265" s="4">
        <f t="shared" si="85"/>
        <v>0</v>
      </c>
      <c r="S265" s="4"/>
      <c r="T265" s="4">
        <f t="shared" si="86"/>
        <v>0</v>
      </c>
      <c r="U265" s="4"/>
      <c r="V265" s="4"/>
      <c r="W265" s="4"/>
      <c r="X265" s="4"/>
      <c r="Y265" s="4"/>
      <c r="Z265" s="4"/>
      <c r="AA265" s="4">
        <f t="shared" si="87"/>
        <v>0</v>
      </c>
      <c r="AB265" s="4">
        <f t="shared" si="88"/>
        <v>0</v>
      </c>
      <c r="AC265" s="4"/>
      <c r="AD265" s="4">
        <f t="shared" si="89"/>
        <v>0</v>
      </c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3">
        <f t="shared" si="79"/>
        <v>0</v>
      </c>
      <c r="BY265" s="22">
        <f t="shared" si="80"/>
        <v>0</v>
      </c>
      <c r="CC265" s="417" t="str">
        <f t="shared" si="90"/>
        <v/>
      </c>
    </row>
    <row r="266" spans="1:81">
      <c r="A266" s="1"/>
      <c r="B266" s="8"/>
      <c r="C266" s="8"/>
      <c r="D266" s="1"/>
      <c r="E266" s="8"/>
      <c r="F266" s="8"/>
      <c r="G266" s="1"/>
      <c r="H266" s="8"/>
      <c r="I266" s="119"/>
      <c r="J266" s="4"/>
      <c r="K266" s="4">
        <f t="shared" si="81"/>
        <v>0</v>
      </c>
      <c r="L266" s="4">
        <f t="shared" si="82"/>
        <v>0</v>
      </c>
      <c r="M266" s="4"/>
      <c r="N266" s="4">
        <f t="shared" si="83"/>
        <v>0</v>
      </c>
      <c r="O266" s="4"/>
      <c r="P266" s="4"/>
      <c r="Q266" s="4">
        <f t="shared" si="84"/>
        <v>0</v>
      </c>
      <c r="R266" s="4">
        <f t="shared" si="85"/>
        <v>0</v>
      </c>
      <c r="S266" s="4"/>
      <c r="T266" s="4">
        <f t="shared" si="86"/>
        <v>0</v>
      </c>
      <c r="U266" s="4"/>
      <c r="V266" s="4"/>
      <c r="W266" s="4"/>
      <c r="X266" s="4"/>
      <c r="Y266" s="4"/>
      <c r="Z266" s="4"/>
      <c r="AA266" s="4">
        <f t="shared" si="87"/>
        <v>0</v>
      </c>
      <c r="AB266" s="4">
        <f t="shared" si="88"/>
        <v>0</v>
      </c>
      <c r="AC266" s="4"/>
      <c r="AD266" s="4">
        <f t="shared" si="89"/>
        <v>0</v>
      </c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3">
        <f t="shared" si="79"/>
        <v>0</v>
      </c>
      <c r="BY266" s="22">
        <f t="shared" si="80"/>
        <v>0</v>
      </c>
      <c r="CC266" s="417" t="str">
        <f t="shared" si="90"/>
        <v/>
      </c>
    </row>
    <row r="267" spans="1:81">
      <c r="A267" s="1"/>
      <c r="B267" s="8"/>
      <c r="C267" s="8"/>
      <c r="D267" s="1"/>
      <c r="E267" s="8"/>
      <c r="F267" s="8"/>
      <c r="G267" s="1"/>
      <c r="H267" s="8"/>
      <c r="I267" s="119"/>
      <c r="J267" s="4"/>
      <c r="K267" s="4">
        <f t="shared" si="81"/>
        <v>0</v>
      </c>
      <c r="L267" s="4">
        <f t="shared" si="82"/>
        <v>0</v>
      </c>
      <c r="M267" s="4"/>
      <c r="N267" s="4">
        <f t="shared" si="83"/>
        <v>0</v>
      </c>
      <c r="O267" s="4"/>
      <c r="P267" s="4"/>
      <c r="Q267" s="4">
        <f t="shared" si="84"/>
        <v>0</v>
      </c>
      <c r="R267" s="4">
        <f t="shared" si="85"/>
        <v>0</v>
      </c>
      <c r="S267" s="4"/>
      <c r="T267" s="4">
        <f t="shared" si="86"/>
        <v>0</v>
      </c>
      <c r="U267" s="4"/>
      <c r="V267" s="4"/>
      <c r="W267" s="4"/>
      <c r="X267" s="4"/>
      <c r="Y267" s="4"/>
      <c r="Z267" s="4"/>
      <c r="AA267" s="4">
        <f t="shared" si="87"/>
        <v>0</v>
      </c>
      <c r="AB267" s="4">
        <f t="shared" si="88"/>
        <v>0</v>
      </c>
      <c r="AC267" s="4"/>
      <c r="AD267" s="4">
        <f t="shared" si="89"/>
        <v>0</v>
      </c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3">
        <f t="shared" si="79"/>
        <v>0</v>
      </c>
      <c r="BY267" s="22">
        <f t="shared" si="80"/>
        <v>0</v>
      </c>
      <c r="CC267" s="417" t="str">
        <f t="shared" si="90"/>
        <v/>
      </c>
    </row>
    <row r="268" spans="1:81">
      <c r="A268" s="1"/>
      <c r="B268" s="8"/>
      <c r="C268" s="8"/>
      <c r="D268" s="1"/>
      <c r="E268" s="8"/>
      <c r="F268" s="8"/>
      <c r="G268" s="1"/>
      <c r="H268" s="8"/>
      <c r="I268" s="119"/>
      <c r="J268" s="4"/>
      <c r="K268" s="4">
        <f t="shared" si="81"/>
        <v>0</v>
      </c>
      <c r="L268" s="4">
        <f t="shared" si="82"/>
        <v>0</v>
      </c>
      <c r="M268" s="4"/>
      <c r="N268" s="4">
        <f t="shared" si="83"/>
        <v>0</v>
      </c>
      <c r="O268" s="4"/>
      <c r="P268" s="4"/>
      <c r="Q268" s="4">
        <f t="shared" si="84"/>
        <v>0</v>
      </c>
      <c r="R268" s="4">
        <f t="shared" si="85"/>
        <v>0</v>
      </c>
      <c r="S268" s="4"/>
      <c r="T268" s="4">
        <f t="shared" si="86"/>
        <v>0</v>
      </c>
      <c r="U268" s="4"/>
      <c r="V268" s="4"/>
      <c r="W268" s="4"/>
      <c r="X268" s="4"/>
      <c r="Y268" s="4"/>
      <c r="Z268" s="4"/>
      <c r="AA268" s="4">
        <f t="shared" si="87"/>
        <v>0</v>
      </c>
      <c r="AB268" s="4">
        <f t="shared" si="88"/>
        <v>0</v>
      </c>
      <c r="AC268" s="4"/>
      <c r="AD268" s="4">
        <f t="shared" si="89"/>
        <v>0</v>
      </c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3">
        <f t="shared" si="79"/>
        <v>0</v>
      </c>
      <c r="BY268" s="22">
        <f t="shared" si="80"/>
        <v>0</v>
      </c>
      <c r="CC268" s="417" t="str">
        <f t="shared" si="90"/>
        <v/>
      </c>
    </row>
    <row r="269" spans="1:81">
      <c r="A269" s="1"/>
      <c r="B269" s="8"/>
      <c r="C269" s="8"/>
      <c r="D269" s="1"/>
      <c r="E269" s="8"/>
      <c r="F269" s="8"/>
      <c r="G269" s="1"/>
      <c r="H269" s="8"/>
      <c r="I269" s="119"/>
      <c r="J269" s="4"/>
      <c r="K269" s="4">
        <f t="shared" si="81"/>
        <v>0</v>
      </c>
      <c r="L269" s="4">
        <f t="shared" si="82"/>
        <v>0</v>
      </c>
      <c r="M269" s="4"/>
      <c r="N269" s="4">
        <f t="shared" si="83"/>
        <v>0</v>
      </c>
      <c r="O269" s="4"/>
      <c r="P269" s="4"/>
      <c r="Q269" s="4">
        <f t="shared" si="84"/>
        <v>0</v>
      </c>
      <c r="R269" s="4">
        <f t="shared" si="85"/>
        <v>0</v>
      </c>
      <c r="S269" s="4"/>
      <c r="T269" s="4">
        <f t="shared" si="86"/>
        <v>0</v>
      </c>
      <c r="U269" s="4"/>
      <c r="V269" s="4"/>
      <c r="W269" s="4"/>
      <c r="X269" s="4"/>
      <c r="Y269" s="4"/>
      <c r="Z269" s="4"/>
      <c r="AA269" s="4">
        <f t="shared" si="87"/>
        <v>0</v>
      </c>
      <c r="AB269" s="4">
        <f t="shared" si="88"/>
        <v>0</v>
      </c>
      <c r="AC269" s="4"/>
      <c r="AD269" s="4">
        <f t="shared" si="89"/>
        <v>0</v>
      </c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3">
        <f t="shared" si="79"/>
        <v>0</v>
      </c>
      <c r="BY269" s="22">
        <f t="shared" si="80"/>
        <v>0</v>
      </c>
      <c r="CC269" s="417" t="str">
        <f t="shared" si="90"/>
        <v/>
      </c>
    </row>
    <row r="270" spans="1:81">
      <c r="A270" s="1"/>
      <c r="B270" s="8"/>
      <c r="C270" s="8"/>
      <c r="D270" s="1"/>
      <c r="E270" s="8"/>
      <c r="F270" s="8"/>
      <c r="G270" s="1"/>
      <c r="H270" s="8"/>
      <c r="I270" s="119"/>
      <c r="J270" s="4"/>
      <c r="K270" s="4">
        <f t="shared" si="81"/>
        <v>0</v>
      </c>
      <c r="L270" s="4">
        <f t="shared" si="82"/>
        <v>0</v>
      </c>
      <c r="M270" s="4"/>
      <c r="N270" s="4">
        <f t="shared" si="83"/>
        <v>0</v>
      </c>
      <c r="O270" s="4"/>
      <c r="P270" s="4"/>
      <c r="Q270" s="4">
        <f t="shared" si="84"/>
        <v>0</v>
      </c>
      <c r="R270" s="4">
        <f t="shared" si="85"/>
        <v>0</v>
      </c>
      <c r="S270" s="4"/>
      <c r="T270" s="4">
        <f t="shared" si="86"/>
        <v>0</v>
      </c>
      <c r="U270" s="4"/>
      <c r="V270" s="4"/>
      <c r="W270" s="4"/>
      <c r="X270" s="4"/>
      <c r="Y270" s="4"/>
      <c r="Z270" s="4"/>
      <c r="AA270" s="4">
        <f t="shared" si="87"/>
        <v>0</v>
      </c>
      <c r="AB270" s="4">
        <f t="shared" si="88"/>
        <v>0</v>
      </c>
      <c r="AC270" s="4"/>
      <c r="AD270" s="4">
        <f t="shared" si="89"/>
        <v>0</v>
      </c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3">
        <f t="shared" ref="BX270:BX278" si="91">SUM(D270:BW270)</f>
        <v>0</v>
      </c>
      <c r="BY270" s="22">
        <f t="shared" ref="BY270:BY278" si="92">D270+G270+H270+I270+J270+O270+P270+U270+V270+W270+X270+Y270+Z270+AE270+AF270+AG270+AH270+AI270+AM270+AN270+AR270+AS270+AT270+AU270+AV270+AW270</f>
        <v>0</v>
      </c>
      <c r="CC270" s="417" t="str">
        <f t="shared" si="90"/>
        <v/>
      </c>
    </row>
    <row r="271" spans="1:81">
      <c r="A271" s="1"/>
      <c r="B271" s="8"/>
      <c r="C271" s="8"/>
      <c r="D271" s="1"/>
      <c r="E271" s="8"/>
      <c r="F271" s="8"/>
      <c r="G271" s="1"/>
      <c r="H271" s="8"/>
      <c r="I271" s="119"/>
      <c r="J271" s="4"/>
      <c r="K271" s="4">
        <f t="shared" si="81"/>
        <v>0</v>
      </c>
      <c r="L271" s="4">
        <f t="shared" si="82"/>
        <v>0</v>
      </c>
      <c r="M271" s="4"/>
      <c r="N271" s="4">
        <f t="shared" si="83"/>
        <v>0</v>
      </c>
      <c r="O271" s="4"/>
      <c r="P271" s="4"/>
      <c r="Q271" s="4">
        <f t="shared" si="84"/>
        <v>0</v>
      </c>
      <c r="R271" s="4">
        <f t="shared" si="85"/>
        <v>0</v>
      </c>
      <c r="S271" s="4"/>
      <c r="T271" s="4">
        <f t="shared" si="86"/>
        <v>0</v>
      </c>
      <c r="U271" s="4"/>
      <c r="V271" s="4"/>
      <c r="W271" s="4"/>
      <c r="X271" s="4"/>
      <c r="Y271" s="4"/>
      <c r="Z271" s="4"/>
      <c r="AA271" s="4">
        <f t="shared" si="87"/>
        <v>0</v>
      </c>
      <c r="AB271" s="4">
        <f t="shared" si="88"/>
        <v>0</v>
      </c>
      <c r="AC271" s="4"/>
      <c r="AD271" s="4">
        <f t="shared" si="89"/>
        <v>0</v>
      </c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3">
        <f t="shared" si="91"/>
        <v>0</v>
      </c>
      <c r="BY271" s="22">
        <f t="shared" si="92"/>
        <v>0</v>
      </c>
      <c r="CC271" s="417" t="str">
        <f t="shared" si="90"/>
        <v/>
      </c>
    </row>
    <row r="272" spans="1:81">
      <c r="A272" s="1"/>
      <c r="B272" s="8"/>
      <c r="C272" s="8"/>
      <c r="D272" s="1"/>
      <c r="E272" s="8"/>
      <c r="F272" s="8"/>
      <c r="G272" s="1"/>
      <c r="H272" s="8"/>
      <c r="I272" s="119"/>
      <c r="J272" s="4"/>
      <c r="K272" s="4">
        <f t="shared" ref="K272:K278" si="93">0.01*(I272+J272)</f>
        <v>0</v>
      </c>
      <c r="L272" s="4">
        <f t="shared" ref="L272:L278" si="94">0.062*(I272+J272)</f>
        <v>0</v>
      </c>
      <c r="M272" s="4"/>
      <c r="N272" s="4">
        <f t="shared" ref="N272:N278" si="95">0.028*(I272+J272)</f>
        <v>0</v>
      </c>
      <c r="O272" s="4"/>
      <c r="P272" s="4"/>
      <c r="Q272" s="4">
        <f t="shared" ref="Q272:Q278" si="96">0.01*(O272+P272)</f>
        <v>0</v>
      </c>
      <c r="R272" s="4">
        <f t="shared" ref="R272:R278" si="97">0.062*(O272+P272)</f>
        <v>0</v>
      </c>
      <c r="S272" s="4"/>
      <c r="T272" s="4">
        <f t="shared" ref="T272:T278" si="98">0.028*(O272+P272)</f>
        <v>0</v>
      </c>
      <c r="U272" s="4"/>
      <c r="V272" s="4"/>
      <c r="W272" s="4"/>
      <c r="X272" s="4"/>
      <c r="Y272" s="4"/>
      <c r="Z272" s="4"/>
      <c r="AA272" s="4">
        <f t="shared" ref="AA272:AA278" si="99">0.01*(U272+V272+W272+X272+Y272)</f>
        <v>0</v>
      </c>
      <c r="AB272" s="4">
        <f t="shared" ref="AB272:AB278" si="100">0.062*(V272+U272+W272+X272+Y272)</f>
        <v>0</v>
      </c>
      <c r="AC272" s="4"/>
      <c r="AD272" s="4">
        <f t="shared" ref="AD272:AD278" si="101">0.028*(V272+W272+X272+Y272+U272)</f>
        <v>0</v>
      </c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3">
        <f t="shared" si="91"/>
        <v>0</v>
      </c>
      <c r="BY272" s="22">
        <f t="shared" si="92"/>
        <v>0</v>
      </c>
      <c r="CC272" s="417" t="str">
        <f t="shared" si="90"/>
        <v/>
      </c>
    </row>
    <row r="273" spans="1:81">
      <c r="A273" s="1"/>
      <c r="B273" s="8"/>
      <c r="C273" s="8"/>
      <c r="D273" s="1"/>
      <c r="E273" s="8"/>
      <c r="F273" s="8"/>
      <c r="G273" s="1"/>
      <c r="H273" s="8"/>
      <c r="I273" s="119"/>
      <c r="J273" s="4"/>
      <c r="K273" s="4">
        <f t="shared" si="93"/>
        <v>0</v>
      </c>
      <c r="L273" s="4">
        <f t="shared" si="94"/>
        <v>0</v>
      </c>
      <c r="M273" s="4"/>
      <c r="N273" s="4">
        <f t="shared" si="95"/>
        <v>0</v>
      </c>
      <c r="O273" s="4"/>
      <c r="P273" s="4"/>
      <c r="Q273" s="4">
        <f t="shared" si="96"/>
        <v>0</v>
      </c>
      <c r="R273" s="4">
        <f t="shared" si="97"/>
        <v>0</v>
      </c>
      <c r="S273" s="4"/>
      <c r="T273" s="4">
        <f t="shared" si="98"/>
        <v>0</v>
      </c>
      <c r="U273" s="4"/>
      <c r="V273" s="4"/>
      <c r="W273" s="4"/>
      <c r="X273" s="4"/>
      <c r="Y273" s="4"/>
      <c r="Z273" s="4"/>
      <c r="AA273" s="4">
        <f t="shared" si="99"/>
        <v>0</v>
      </c>
      <c r="AB273" s="4">
        <f t="shared" si="100"/>
        <v>0</v>
      </c>
      <c r="AC273" s="4"/>
      <c r="AD273" s="4">
        <f t="shared" si="101"/>
        <v>0</v>
      </c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3">
        <f t="shared" si="91"/>
        <v>0</v>
      </c>
      <c r="BY273" s="22">
        <f t="shared" si="92"/>
        <v>0</v>
      </c>
      <c r="CC273" s="417" t="str">
        <f t="shared" si="90"/>
        <v/>
      </c>
    </row>
    <row r="274" spans="1:81">
      <c r="A274" s="1"/>
      <c r="B274" s="8"/>
      <c r="C274" s="8"/>
      <c r="D274" s="1"/>
      <c r="E274" s="8"/>
      <c r="F274" s="8"/>
      <c r="G274" s="1"/>
      <c r="H274" s="8"/>
      <c r="I274" s="119"/>
      <c r="J274" s="4"/>
      <c r="K274" s="4">
        <f t="shared" si="93"/>
        <v>0</v>
      </c>
      <c r="L274" s="4">
        <f t="shared" si="94"/>
        <v>0</v>
      </c>
      <c r="M274" s="4"/>
      <c r="N274" s="4">
        <f t="shared" si="95"/>
        <v>0</v>
      </c>
      <c r="O274" s="4"/>
      <c r="P274" s="4"/>
      <c r="Q274" s="4">
        <f t="shared" si="96"/>
        <v>0</v>
      </c>
      <c r="R274" s="4">
        <f t="shared" si="97"/>
        <v>0</v>
      </c>
      <c r="S274" s="4"/>
      <c r="T274" s="4">
        <f t="shared" si="98"/>
        <v>0</v>
      </c>
      <c r="U274" s="4"/>
      <c r="V274" s="4"/>
      <c r="W274" s="4"/>
      <c r="X274" s="4"/>
      <c r="Y274" s="4"/>
      <c r="Z274" s="4"/>
      <c r="AA274" s="4">
        <f t="shared" si="99"/>
        <v>0</v>
      </c>
      <c r="AB274" s="4">
        <f t="shared" si="100"/>
        <v>0</v>
      </c>
      <c r="AC274" s="4"/>
      <c r="AD274" s="4">
        <f t="shared" si="101"/>
        <v>0</v>
      </c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3">
        <f t="shared" si="91"/>
        <v>0</v>
      </c>
      <c r="BY274" s="22">
        <f t="shared" si="92"/>
        <v>0</v>
      </c>
      <c r="CC274" s="417" t="str">
        <f t="shared" si="90"/>
        <v/>
      </c>
    </row>
    <row r="275" spans="1:81">
      <c r="A275" s="1"/>
      <c r="B275" s="8"/>
      <c r="C275" s="8"/>
      <c r="D275" s="1"/>
      <c r="E275" s="8"/>
      <c r="F275" s="8"/>
      <c r="G275" s="1"/>
      <c r="H275" s="8"/>
      <c r="I275" s="119"/>
      <c r="J275" s="4"/>
      <c r="K275" s="4">
        <f t="shared" si="93"/>
        <v>0</v>
      </c>
      <c r="L275" s="4">
        <f t="shared" si="94"/>
        <v>0</v>
      </c>
      <c r="M275" s="4"/>
      <c r="N275" s="4">
        <f t="shared" si="95"/>
        <v>0</v>
      </c>
      <c r="O275" s="4"/>
      <c r="P275" s="4"/>
      <c r="Q275" s="4">
        <f t="shared" si="96"/>
        <v>0</v>
      </c>
      <c r="R275" s="4">
        <f t="shared" si="97"/>
        <v>0</v>
      </c>
      <c r="S275" s="4"/>
      <c r="T275" s="4">
        <f t="shared" si="98"/>
        <v>0</v>
      </c>
      <c r="U275" s="4"/>
      <c r="V275" s="4"/>
      <c r="W275" s="4"/>
      <c r="X275" s="4"/>
      <c r="Y275" s="4"/>
      <c r="Z275" s="4"/>
      <c r="AA275" s="4">
        <f t="shared" si="99"/>
        <v>0</v>
      </c>
      <c r="AB275" s="4">
        <f t="shared" si="100"/>
        <v>0</v>
      </c>
      <c r="AC275" s="4"/>
      <c r="AD275" s="4">
        <f t="shared" si="101"/>
        <v>0</v>
      </c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3">
        <f t="shared" si="91"/>
        <v>0</v>
      </c>
      <c r="BY275" s="22">
        <f t="shared" si="92"/>
        <v>0</v>
      </c>
      <c r="CC275" s="417" t="str">
        <f t="shared" si="90"/>
        <v/>
      </c>
    </row>
    <row r="276" spans="1:81">
      <c r="A276" s="1"/>
      <c r="B276" s="8"/>
      <c r="C276" s="8"/>
      <c r="D276" s="1"/>
      <c r="E276" s="8"/>
      <c r="F276" s="8"/>
      <c r="G276" s="1"/>
      <c r="H276" s="8"/>
      <c r="I276" s="119"/>
      <c r="J276" s="4"/>
      <c r="K276" s="4">
        <f t="shared" si="93"/>
        <v>0</v>
      </c>
      <c r="L276" s="4">
        <f t="shared" si="94"/>
        <v>0</v>
      </c>
      <c r="M276" s="4"/>
      <c r="N276" s="4">
        <f t="shared" si="95"/>
        <v>0</v>
      </c>
      <c r="O276" s="4"/>
      <c r="P276" s="4"/>
      <c r="Q276" s="4">
        <f t="shared" si="96"/>
        <v>0</v>
      </c>
      <c r="R276" s="4">
        <f t="shared" si="97"/>
        <v>0</v>
      </c>
      <c r="S276" s="4"/>
      <c r="T276" s="4">
        <f t="shared" si="98"/>
        <v>0</v>
      </c>
      <c r="U276" s="4"/>
      <c r="V276" s="4"/>
      <c r="W276" s="4"/>
      <c r="X276" s="4"/>
      <c r="Y276" s="4"/>
      <c r="Z276" s="4"/>
      <c r="AA276" s="4">
        <f t="shared" si="99"/>
        <v>0</v>
      </c>
      <c r="AB276" s="4">
        <f t="shared" si="100"/>
        <v>0</v>
      </c>
      <c r="AC276" s="4"/>
      <c r="AD276" s="4">
        <f t="shared" si="101"/>
        <v>0</v>
      </c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3">
        <f t="shared" si="91"/>
        <v>0</v>
      </c>
      <c r="BY276" s="22">
        <f t="shared" si="92"/>
        <v>0</v>
      </c>
      <c r="CC276" s="417" t="str">
        <f t="shared" si="90"/>
        <v/>
      </c>
    </row>
    <row r="277" spans="1:81">
      <c r="A277" s="1"/>
      <c r="B277" s="8"/>
      <c r="C277" s="8"/>
      <c r="D277" s="1"/>
      <c r="E277" s="8"/>
      <c r="F277" s="8"/>
      <c r="G277" s="1"/>
      <c r="H277" s="8"/>
      <c r="I277" s="119"/>
      <c r="J277" s="4"/>
      <c r="K277" s="4">
        <f t="shared" si="93"/>
        <v>0</v>
      </c>
      <c r="L277" s="4">
        <f t="shared" si="94"/>
        <v>0</v>
      </c>
      <c r="M277" s="4"/>
      <c r="N277" s="4">
        <f t="shared" si="95"/>
        <v>0</v>
      </c>
      <c r="O277" s="4"/>
      <c r="P277" s="4"/>
      <c r="Q277" s="4">
        <f t="shared" si="96"/>
        <v>0</v>
      </c>
      <c r="R277" s="4">
        <f t="shared" si="97"/>
        <v>0</v>
      </c>
      <c r="S277" s="4"/>
      <c r="T277" s="4">
        <f t="shared" si="98"/>
        <v>0</v>
      </c>
      <c r="U277" s="4"/>
      <c r="V277" s="4"/>
      <c r="W277" s="4"/>
      <c r="X277" s="4"/>
      <c r="Y277" s="4"/>
      <c r="Z277" s="4"/>
      <c r="AA277" s="4">
        <f t="shared" si="99"/>
        <v>0</v>
      </c>
      <c r="AB277" s="4">
        <f t="shared" si="100"/>
        <v>0</v>
      </c>
      <c r="AC277" s="4"/>
      <c r="AD277" s="4">
        <f t="shared" si="101"/>
        <v>0</v>
      </c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3">
        <f t="shared" si="91"/>
        <v>0</v>
      </c>
      <c r="BY277" s="22">
        <f t="shared" si="92"/>
        <v>0</v>
      </c>
      <c r="CC277" s="417" t="str">
        <f t="shared" si="90"/>
        <v/>
      </c>
    </row>
    <row r="278" spans="1:81" ht="15.75" thickBot="1">
      <c r="A278" s="1"/>
      <c r="B278" s="8"/>
      <c r="C278" s="8"/>
      <c r="D278" s="1"/>
      <c r="E278" s="8"/>
      <c r="F278" s="8"/>
      <c r="G278" s="1"/>
      <c r="H278" s="8"/>
      <c r="I278" s="119"/>
      <c r="J278" s="4"/>
      <c r="K278" s="4">
        <f t="shared" si="93"/>
        <v>0</v>
      </c>
      <c r="L278" s="4">
        <f t="shared" si="94"/>
        <v>0</v>
      </c>
      <c r="M278" s="4"/>
      <c r="N278" s="4">
        <f t="shared" si="95"/>
        <v>0</v>
      </c>
      <c r="O278" s="4"/>
      <c r="P278" s="4"/>
      <c r="Q278" s="4">
        <f t="shared" si="96"/>
        <v>0</v>
      </c>
      <c r="R278" s="4">
        <f t="shared" si="97"/>
        <v>0</v>
      </c>
      <c r="S278" s="4"/>
      <c r="T278" s="4">
        <f t="shared" si="98"/>
        <v>0</v>
      </c>
      <c r="U278" s="4"/>
      <c r="V278" s="4"/>
      <c r="W278" s="4"/>
      <c r="X278" s="4"/>
      <c r="Y278" s="4"/>
      <c r="Z278" s="4"/>
      <c r="AA278" s="4">
        <f t="shared" si="99"/>
        <v>0</v>
      </c>
      <c r="AB278" s="4">
        <f t="shared" si="100"/>
        <v>0</v>
      </c>
      <c r="AC278" s="4"/>
      <c r="AD278" s="4">
        <f t="shared" si="101"/>
        <v>0</v>
      </c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3">
        <f t="shared" si="91"/>
        <v>0</v>
      </c>
      <c r="BY278" s="22">
        <f t="shared" si="92"/>
        <v>0</v>
      </c>
      <c r="CC278" s="417" t="str">
        <f t="shared" si="90"/>
        <v/>
      </c>
    </row>
    <row r="279" spans="1:81" ht="15.75" thickBot="1">
      <c r="A279" s="2" t="s">
        <v>178</v>
      </c>
      <c r="B279" s="2"/>
      <c r="C279" s="2"/>
      <c r="D279" s="5">
        <f t="shared" ref="D279:AI279" si="102">SUM(D2:D278)</f>
        <v>0</v>
      </c>
      <c r="E279" s="5">
        <f t="shared" si="102"/>
        <v>0</v>
      </c>
      <c r="F279" s="5">
        <f t="shared" si="102"/>
        <v>0</v>
      </c>
      <c r="G279" s="5">
        <f t="shared" si="102"/>
        <v>0</v>
      </c>
      <c r="H279" s="5">
        <f t="shared" si="102"/>
        <v>0</v>
      </c>
      <c r="I279" s="122">
        <f t="shared" si="102"/>
        <v>35631963.209090911</v>
      </c>
      <c r="J279" s="5">
        <f t="shared" si="102"/>
        <v>0</v>
      </c>
      <c r="K279" s="5">
        <f t="shared" si="102"/>
        <v>308398.92909090908</v>
      </c>
      <c r="L279" s="5">
        <f t="shared" si="102"/>
        <v>1912073.3603636362</v>
      </c>
      <c r="M279" s="5">
        <f t="shared" si="102"/>
        <v>0</v>
      </c>
      <c r="N279" s="5">
        <f t="shared" si="102"/>
        <v>863517.00145454542</v>
      </c>
      <c r="O279" s="5">
        <f t="shared" si="102"/>
        <v>12978981.272727273</v>
      </c>
      <c r="P279" s="5">
        <f t="shared" si="102"/>
        <v>0</v>
      </c>
      <c r="Q279" s="5">
        <f t="shared" si="102"/>
        <v>114789.81272727271</v>
      </c>
      <c r="R279" s="5">
        <f t="shared" si="102"/>
        <v>711696.83890909085</v>
      </c>
      <c r="S279" s="5">
        <f t="shared" si="102"/>
        <v>0</v>
      </c>
      <c r="T279" s="5">
        <f t="shared" si="102"/>
        <v>321411.47563636367</v>
      </c>
      <c r="U279" s="5">
        <f t="shared" si="102"/>
        <v>0</v>
      </c>
      <c r="V279" s="5">
        <f t="shared" si="102"/>
        <v>435246</v>
      </c>
      <c r="W279" s="5">
        <f t="shared" si="102"/>
        <v>2872016</v>
      </c>
      <c r="X279" s="5">
        <f t="shared" si="102"/>
        <v>0</v>
      </c>
      <c r="Y279" s="5">
        <f t="shared" si="102"/>
        <v>0</v>
      </c>
      <c r="Z279" s="5">
        <f t="shared" si="102"/>
        <v>0</v>
      </c>
      <c r="AA279" s="5">
        <f t="shared" si="102"/>
        <v>27407.360000000001</v>
      </c>
      <c r="AB279" s="5">
        <f t="shared" si="102"/>
        <v>169922.97399999999</v>
      </c>
      <c r="AC279" s="5">
        <f t="shared" si="102"/>
        <v>0</v>
      </c>
      <c r="AD279" s="5">
        <f t="shared" si="102"/>
        <v>76738.956000000006</v>
      </c>
      <c r="AE279" s="5">
        <f t="shared" si="102"/>
        <v>1500000</v>
      </c>
      <c r="AF279" s="5">
        <f t="shared" si="102"/>
        <v>0</v>
      </c>
      <c r="AG279" s="5">
        <f t="shared" si="102"/>
        <v>0</v>
      </c>
      <c r="AH279" s="5">
        <f t="shared" si="102"/>
        <v>0</v>
      </c>
      <c r="AI279" s="5">
        <f t="shared" si="102"/>
        <v>0</v>
      </c>
      <c r="AJ279" s="5">
        <f t="shared" ref="AJ279:BO279" si="103">SUM(AJ2:AJ278)</f>
        <v>0</v>
      </c>
      <c r="AK279" s="5">
        <f t="shared" si="103"/>
        <v>0</v>
      </c>
      <c r="AL279" s="5">
        <f t="shared" si="103"/>
        <v>0</v>
      </c>
      <c r="AM279" s="5">
        <f t="shared" si="103"/>
        <v>0</v>
      </c>
      <c r="AN279" s="5">
        <f t="shared" si="103"/>
        <v>0</v>
      </c>
      <c r="AO279" s="5">
        <f t="shared" si="103"/>
        <v>0</v>
      </c>
      <c r="AP279" s="5">
        <f t="shared" si="103"/>
        <v>0</v>
      </c>
      <c r="AQ279" s="5">
        <f t="shared" si="103"/>
        <v>0</v>
      </c>
      <c r="AR279" s="5">
        <f t="shared" si="103"/>
        <v>0</v>
      </c>
      <c r="AS279" s="5">
        <f t="shared" si="103"/>
        <v>0</v>
      </c>
      <c r="AT279" s="5">
        <f t="shared" si="103"/>
        <v>0</v>
      </c>
      <c r="AU279" s="5">
        <f t="shared" si="103"/>
        <v>0</v>
      </c>
      <c r="AV279" s="5">
        <f t="shared" si="103"/>
        <v>0</v>
      </c>
      <c r="AW279" s="5">
        <f t="shared" si="103"/>
        <v>0</v>
      </c>
      <c r="AX279" s="5">
        <f t="shared" si="103"/>
        <v>0</v>
      </c>
      <c r="AY279" s="5">
        <f t="shared" si="103"/>
        <v>0</v>
      </c>
      <c r="AZ279" s="5">
        <f t="shared" si="103"/>
        <v>0</v>
      </c>
      <c r="BA279" s="5">
        <f t="shared" si="103"/>
        <v>62400</v>
      </c>
      <c r="BB279" s="5">
        <f t="shared" si="103"/>
        <v>15200</v>
      </c>
      <c r="BC279" s="5">
        <f t="shared" si="103"/>
        <v>14900</v>
      </c>
      <c r="BD279" s="5">
        <f t="shared" si="103"/>
        <v>105529.2</v>
      </c>
      <c r="BE279" s="5">
        <f t="shared" si="103"/>
        <v>84394.8</v>
      </c>
      <c r="BF279" s="5">
        <f t="shared" si="103"/>
        <v>21110.6</v>
      </c>
      <c r="BG279" s="5">
        <f t="shared" si="103"/>
        <v>3165.3999999999996</v>
      </c>
      <c r="BH279" s="5">
        <f t="shared" si="103"/>
        <v>0</v>
      </c>
      <c r="BI279" s="5">
        <f t="shared" si="103"/>
        <v>28300</v>
      </c>
      <c r="BJ279" s="5">
        <f t="shared" si="103"/>
        <v>0</v>
      </c>
      <c r="BK279" s="5">
        <f t="shared" si="103"/>
        <v>0</v>
      </c>
      <c r="BL279" s="5">
        <f t="shared" si="103"/>
        <v>0</v>
      </c>
      <c r="BM279" s="5">
        <f t="shared" si="103"/>
        <v>43200</v>
      </c>
      <c r="BN279" s="5">
        <f t="shared" si="103"/>
        <v>4800</v>
      </c>
      <c r="BO279" s="5">
        <f t="shared" si="103"/>
        <v>0</v>
      </c>
      <c r="BP279" s="5">
        <f t="shared" ref="BP279:BY279" si="104">SUM(BP2:BP278)</f>
        <v>0</v>
      </c>
      <c r="BQ279" s="5">
        <f t="shared" si="104"/>
        <v>0</v>
      </c>
      <c r="BR279" s="5">
        <f t="shared" si="104"/>
        <v>0</v>
      </c>
      <c r="BS279" s="5">
        <f t="shared" si="104"/>
        <v>0</v>
      </c>
      <c r="BT279" s="5">
        <f t="shared" si="104"/>
        <v>0</v>
      </c>
      <c r="BU279" s="5">
        <f t="shared" si="104"/>
        <v>0</v>
      </c>
      <c r="BV279" s="5">
        <f t="shared" si="104"/>
        <v>0</v>
      </c>
      <c r="BW279" s="5">
        <f t="shared" si="104"/>
        <v>1184016</v>
      </c>
      <c r="BX279" s="5">
        <f t="shared" si="104"/>
        <v>59491179.190000005</v>
      </c>
      <c r="BY279" s="5">
        <f t="shared" si="104"/>
        <v>53418206.481818184</v>
      </c>
      <c r="BZ279" s="29">
        <f>AVRIL!O57+AVRIL!P57</f>
        <v>53418206.481818184</v>
      </c>
    </row>
    <row r="280" spans="1:81" ht="15.75" thickBot="1">
      <c r="A280" s="2" t="s">
        <v>128</v>
      </c>
      <c r="B280" s="2" t="s">
        <v>187</v>
      </c>
      <c r="C280" s="445" t="s">
        <v>188</v>
      </c>
      <c r="D280" s="2" t="s">
        <v>189</v>
      </c>
      <c r="E280" s="2" t="s">
        <v>176</v>
      </c>
      <c r="F280" s="2" t="s">
        <v>221</v>
      </c>
      <c r="G280" s="2" t="s">
        <v>190</v>
      </c>
      <c r="H280" s="2" t="s">
        <v>191</v>
      </c>
      <c r="I280" s="81" t="s">
        <v>137</v>
      </c>
      <c r="J280" s="2" t="s">
        <v>130</v>
      </c>
      <c r="K280" s="2" t="s">
        <v>176</v>
      </c>
      <c r="L280" s="2" t="s">
        <v>138</v>
      </c>
      <c r="M280" s="2" t="s">
        <v>139</v>
      </c>
      <c r="N280" s="2" t="s">
        <v>140</v>
      </c>
      <c r="O280" s="2" t="s">
        <v>141</v>
      </c>
      <c r="P280" s="2" t="s">
        <v>130</v>
      </c>
      <c r="Q280" s="2" t="s">
        <v>176</v>
      </c>
      <c r="R280" s="2" t="s">
        <v>142</v>
      </c>
      <c r="S280" s="2" t="s">
        <v>143</v>
      </c>
      <c r="T280" s="2" t="s">
        <v>144</v>
      </c>
      <c r="U280" s="2" t="s">
        <v>182</v>
      </c>
      <c r="V280" s="2" t="s">
        <v>181</v>
      </c>
      <c r="W280" s="2" t="s">
        <v>129</v>
      </c>
      <c r="X280" s="2" t="s">
        <v>179</v>
      </c>
      <c r="Y280" s="2" t="s">
        <v>180</v>
      </c>
      <c r="Z280" s="2" t="s">
        <v>135</v>
      </c>
      <c r="AA280" s="2" t="s">
        <v>176</v>
      </c>
      <c r="AB280" s="2" t="s">
        <v>131</v>
      </c>
      <c r="AC280" s="2" t="s">
        <v>132</v>
      </c>
      <c r="AD280" s="2" t="s">
        <v>133</v>
      </c>
      <c r="AE280" s="2" t="s">
        <v>134</v>
      </c>
      <c r="AF280" s="2" t="s">
        <v>136</v>
      </c>
      <c r="AG280" s="2" t="s">
        <v>145</v>
      </c>
      <c r="AH280" s="2" t="s">
        <v>146</v>
      </c>
      <c r="AI280" s="2" t="s">
        <v>147</v>
      </c>
      <c r="AJ280" s="2" t="s">
        <v>148</v>
      </c>
      <c r="AK280" s="2" t="s">
        <v>149</v>
      </c>
      <c r="AL280" s="2" t="s">
        <v>150</v>
      </c>
      <c r="AM280" s="2" t="s">
        <v>151</v>
      </c>
      <c r="AN280" s="2" t="s">
        <v>152</v>
      </c>
      <c r="AO280" s="2" t="s">
        <v>176</v>
      </c>
      <c r="AP280" s="2" t="s">
        <v>153</v>
      </c>
      <c r="AQ280" s="2" t="s">
        <v>154</v>
      </c>
      <c r="AR280" s="2" t="s">
        <v>155</v>
      </c>
      <c r="AS280" s="2" t="s">
        <v>156</v>
      </c>
      <c r="AT280" s="2" t="s">
        <v>183</v>
      </c>
      <c r="AU280" s="2" t="s">
        <v>157</v>
      </c>
      <c r="AV280" s="2" t="s">
        <v>158</v>
      </c>
      <c r="AW280" s="2" t="s">
        <v>159</v>
      </c>
      <c r="AX280" s="2" t="s">
        <v>160</v>
      </c>
      <c r="AY280" s="2" t="s">
        <v>161</v>
      </c>
      <c r="AZ280" s="2" t="s">
        <v>176</v>
      </c>
      <c r="BA280" s="2" t="s">
        <v>229</v>
      </c>
      <c r="BB280" s="2" t="s">
        <v>162</v>
      </c>
      <c r="BC280" s="2" t="s">
        <v>163</v>
      </c>
      <c r="BD280" s="2" t="s">
        <v>266</v>
      </c>
      <c r="BE280" s="2" t="s">
        <v>164</v>
      </c>
      <c r="BF280" s="2" t="s">
        <v>165</v>
      </c>
      <c r="BG280" s="2" t="s">
        <v>166</v>
      </c>
      <c r="BH280" s="2" t="s">
        <v>213</v>
      </c>
      <c r="BI280" s="2" t="s">
        <v>176</v>
      </c>
      <c r="BJ280" s="2" t="s">
        <v>167</v>
      </c>
      <c r="BK280" s="2" t="s">
        <v>168</v>
      </c>
      <c r="BL280" s="2" t="s">
        <v>176</v>
      </c>
      <c r="BM280" s="2" t="s">
        <v>169</v>
      </c>
      <c r="BN280" s="2" t="s">
        <v>176</v>
      </c>
      <c r="BO280" s="2" t="s">
        <v>267</v>
      </c>
      <c r="BP280" s="2" t="s">
        <v>170</v>
      </c>
      <c r="BQ280" s="2" t="s">
        <v>171</v>
      </c>
      <c r="BR280" s="2" t="s">
        <v>172</v>
      </c>
      <c r="BS280" s="2" t="s">
        <v>268</v>
      </c>
      <c r="BT280" s="2" t="s">
        <v>173</v>
      </c>
      <c r="BU280" s="2" t="s">
        <v>174</v>
      </c>
      <c r="BV280" s="2" t="s">
        <v>175</v>
      </c>
      <c r="BW280" s="2" t="s">
        <v>177</v>
      </c>
      <c r="BX280" s="2" t="s">
        <v>178</v>
      </c>
      <c r="BY280" s="39" t="s">
        <v>404</v>
      </c>
      <c r="BZ280" s="487" t="s">
        <v>1551</v>
      </c>
    </row>
    <row r="281" spans="1:81">
      <c r="AK281" s="6"/>
      <c r="BW281" t="s">
        <v>1551</v>
      </c>
      <c r="BX281" s="56">
        <f>SUMIF($BZ$2:$BZ$12,BW281,$BX$2:$BX$12)</f>
        <v>37315174.390000001</v>
      </c>
      <c r="BZ281" s="6">
        <f>BX279-B282</f>
        <v>59491179.190000005</v>
      </c>
    </row>
    <row r="282" spans="1:81">
      <c r="BW282" t="s">
        <v>1550</v>
      </c>
      <c r="BX282" s="56">
        <f>SUMIF($BZ$2:$BZ$12,BW282,$BX$2:$BX$12)</f>
        <v>0</v>
      </c>
      <c r="BY282" s="57">
        <f>BX281+BX282</f>
        <v>37315174.390000001</v>
      </c>
    </row>
    <row r="285" spans="1:81">
      <c r="BY285" s="6">
        <f>BX279-BY279</f>
        <v>6072972.7081818208</v>
      </c>
    </row>
    <row r="289" spans="76:76">
      <c r="BX289" s="6"/>
    </row>
  </sheetData>
  <autoFilter ref="A1:CB289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Feuil5"/>
  <dimension ref="A1:Z157"/>
  <sheetViews>
    <sheetView topLeftCell="J45" workbookViewId="0">
      <selection activeCell="B32" sqref="B32"/>
    </sheetView>
  </sheetViews>
  <sheetFormatPr baseColWidth="10" defaultRowHeight="15"/>
  <cols>
    <col min="1" max="1" width="36.85546875" customWidth="1"/>
    <col min="2" max="2" width="16.5703125" style="55" bestFit="1" customWidth="1"/>
    <col min="3" max="3" width="12.7109375" style="31" customWidth="1"/>
    <col min="4" max="4" width="13.42578125" style="31" customWidth="1"/>
    <col min="5" max="5" width="16.5703125" style="31" bestFit="1" customWidth="1"/>
    <col min="6" max="6" width="12.7109375" style="31" customWidth="1"/>
    <col min="7" max="7" width="13.5703125" style="31" customWidth="1"/>
    <col min="8" max="8" width="16" bestFit="1" customWidth="1"/>
    <col min="9" max="9" width="14.5703125" bestFit="1" customWidth="1"/>
    <col min="10" max="10" width="15.140625" bestFit="1" customWidth="1"/>
    <col min="11" max="11" width="19.42578125" bestFit="1" customWidth="1"/>
    <col min="12" max="12" width="13.5703125" customWidth="1"/>
    <col min="13" max="13" width="4.5703125" bestFit="1" customWidth="1"/>
    <col min="14" max="14" width="22.28515625" bestFit="1" customWidth="1"/>
    <col min="15" max="15" width="12.5703125" bestFit="1" customWidth="1"/>
    <col min="17" max="17" width="15" bestFit="1" customWidth="1"/>
    <col min="18" max="18" width="12.7109375" bestFit="1" customWidth="1"/>
  </cols>
  <sheetData>
    <row r="1" spans="1:26" ht="12" customHeight="1">
      <c r="A1" s="743" t="s">
        <v>0</v>
      </c>
      <c r="B1" s="743"/>
      <c r="C1" s="213"/>
      <c r="D1" s="743" t="s">
        <v>1</v>
      </c>
      <c r="E1" s="743"/>
      <c r="F1" s="743"/>
      <c r="G1" s="743"/>
    </row>
    <row r="2" spans="1:26" ht="11.25" customHeight="1">
      <c r="A2" s="743" t="s">
        <v>2</v>
      </c>
      <c r="B2" s="743"/>
      <c r="C2" s="213"/>
      <c r="D2" s="743" t="s">
        <v>2</v>
      </c>
      <c r="E2" s="743"/>
      <c r="F2" s="743"/>
      <c r="G2" s="743"/>
    </row>
    <row r="3" spans="1:26" ht="13.5" customHeight="1">
      <c r="A3" s="743" t="s">
        <v>3</v>
      </c>
      <c r="B3" s="743"/>
      <c r="C3" s="213"/>
      <c r="D3" s="743" t="s">
        <v>4</v>
      </c>
      <c r="E3" s="743"/>
      <c r="F3" s="743"/>
      <c r="G3" s="743"/>
    </row>
    <row r="4" spans="1:26" ht="11.25" customHeight="1">
      <c r="A4" s="743" t="s">
        <v>2</v>
      </c>
      <c r="B4" s="743"/>
      <c r="C4" s="213"/>
      <c r="D4" s="743" t="s">
        <v>2</v>
      </c>
      <c r="E4" s="743"/>
      <c r="F4" s="743"/>
      <c r="G4" s="743"/>
    </row>
    <row r="5" spans="1:26" ht="11.25" customHeight="1">
      <c r="A5" s="220"/>
      <c r="B5" s="220"/>
      <c r="C5" s="213"/>
      <c r="D5" s="220"/>
      <c r="E5" s="220"/>
      <c r="F5" s="220"/>
      <c r="G5" s="220"/>
    </row>
    <row r="6" spans="1:26" ht="15.75" customHeight="1" thickBot="1">
      <c r="A6" s="744" t="s">
        <v>5</v>
      </c>
      <c r="B6" s="744"/>
      <c r="C6" s="744"/>
      <c r="D6" s="744"/>
      <c r="E6" s="744"/>
      <c r="F6" s="744"/>
      <c r="G6" s="744"/>
    </row>
    <row r="7" spans="1:26" ht="17.25" customHeight="1">
      <c r="A7" s="744" t="s">
        <v>6</v>
      </c>
      <c r="B7" s="744"/>
      <c r="C7" s="744"/>
      <c r="D7" s="744"/>
      <c r="E7" s="744"/>
      <c r="F7" s="744"/>
      <c r="G7" s="744"/>
      <c r="N7" s="758" t="s">
        <v>1591</v>
      </c>
      <c r="O7" s="759"/>
      <c r="R7" s="758" t="s">
        <v>1591</v>
      </c>
      <c r="S7" s="760"/>
      <c r="T7" s="71" t="s">
        <v>1439</v>
      </c>
      <c r="U7" s="72" t="s">
        <v>1437</v>
      </c>
      <c r="V7" s="72" t="s">
        <v>1438</v>
      </c>
      <c r="W7" s="72" t="s">
        <v>1436</v>
      </c>
      <c r="X7" s="72" t="s">
        <v>408</v>
      </c>
      <c r="Y7" s="750" t="s">
        <v>1609</v>
      </c>
    </row>
    <row r="8" spans="1:26" ht="12" customHeight="1">
      <c r="A8" s="215"/>
      <c r="B8" s="216"/>
      <c r="C8" s="217"/>
      <c r="D8" s="213"/>
      <c r="E8" s="217"/>
      <c r="N8" s="755" t="s">
        <v>1608</v>
      </c>
      <c r="O8" s="756"/>
      <c r="R8" s="755" t="s">
        <v>1607</v>
      </c>
      <c r="S8" s="757"/>
      <c r="T8" s="752" t="s">
        <v>1610</v>
      </c>
      <c r="U8" s="753"/>
      <c r="V8" s="753"/>
      <c r="W8" s="753"/>
      <c r="X8" s="754"/>
      <c r="Y8" s="751"/>
    </row>
    <row r="9" spans="1:26" ht="13.5" customHeight="1">
      <c r="A9" s="128" t="s">
        <v>2168</v>
      </c>
      <c r="B9" s="129" t="s">
        <v>2152</v>
      </c>
      <c r="C9" s="130">
        <v>2022</v>
      </c>
      <c r="D9" s="130"/>
      <c r="E9" s="214"/>
      <c r="F9" s="221" t="s">
        <v>2153</v>
      </c>
      <c r="G9" s="213" t="s">
        <v>2167</v>
      </c>
      <c r="N9" s="65" t="s">
        <v>436</v>
      </c>
      <c r="O9" s="66">
        <f>SUMIF('SUIVI JOURNALIER AVRIL'!CF:CF,N9,'SUIVI JOURNALIER AVRIL'!CD:CD)</f>
        <v>2035764.0909090908</v>
      </c>
      <c r="R9" s="65" t="s">
        <v>189</v>
      </c>
      <c r="S9" s="67">
        <f>SUMIF('SUIVI JOURNALIER AVRIL'!$E$345:$AY$345,AVRIL!R9,'SUIVI JOURNALIER AVRIL'!$E$344:$AY$344)</f>
        <v>491200</v>
      </c>
      <c r="T9" s="73">
        <f>SUMIF('SUIVI JOURNALIER AVRIL'!$C:$C,AVRIL!T$7,'SUIVI JOURNALIER AVRIL'!$E:$E)</f>
        <v>0</v>
      </c>
      <c r="U9" s="70">
        <f>SUMIF('SUIVI JOURNALIER AVRIL'!$C:$C,AVRIL!U$7,'SUIVI JOURNALIER AVRIL'!$E:$E)</f>
        <v>286000</v>
      </c>
      <c r="V9" s="70">
        <f>SUMIF('SUIVI JOURNALIER AVRIL'!$C:$C,AVRIL!V$7,'SUIVI JOURNALIER AVRIL'!$E:$E)</f>
        <v>0</v>
      </c>
      <c r="W9" s="70">
        <f>SUMIF('SUIVI JOURNALIER AVRIL'!$C:$C,AVRIL!W$7,'SUIVI JOURNALIER AVRIL'!$E:$E)</f>
        <v>0</v>
      </c>
      <c r="X9" s="70">
        <f>SUMIF('SUIVI JOURNALIER AVRIL'!$C:$C,AVRIL!X$7,'SUIVI JOURNALIER AVRIL'!$E:$E)</f>
        <v>205200</v>
      </c>
      <c r="Y9" s="74">
        <f>SUM(T9:X9)</f>
        <v>491200</v>
      </c>
      <c r="Z9" s="29">
        <f t="shared" ref="Z9:Z35" si="0">S9-Y9</f>
        <v>0</v>
      </c>
    </row>
    <row r="10" spans="1:26" ht="12.75" customHeight="1">
      <c r="A10" s="131" t="s">
        <v>2154</v>
      </c>
      <c r="B10" s="133"/>
      <c r="C10" s="132"/>
      <c r="D10" s="132"/>
      <c r="E10" s="214"/>
      <c r="F10" s="214"/>
      <c r="G10" s="214"/>
      <c r="N10" s="65" t="s">
        <v>1918</v>
      </c>
      <c r="O10" s="66">
        <f>SUMIF('SUIVI JOURNALIER AVRIL'!CF:CF,N10,'SUIVI JOURNALIER AVRIL'!CD:CD)</f>
        <v>4922108.0909090908</v>
      </c>
      <c r="R10" s="65" t="s">
        <v>190</v>
      </c>
      <c r="S10" s="67">
        <f>SUMIF('SUIVI JOURNALIER AVRIL'!$E$345:$AY$345,AVRIL!R10,'SUIVI JOURNALIER AVRIL'!$E$344:$AY$344)</f>
        <v>0</v>
      </c>
      <c r="T10" s="73">
        <f>SUMIF('SUIVI JOURNALIER AVRIL'!$C:$C,AVRIL!T$7,'SUIVI JOURNALIER AVRIL'!$H:$H)</f>
        <v>0</v>
      </c>
      <c r="U10" s="70">
        <f>SUMIF('SUIVI JOURNALIER AVRIL'!$C:$C,AVRIL!U$7,'SUIVI JOURNALIER AVRIL'!$H:$H)</f>
        <v>0</v>
      </c>
      <c r="V10" s="70">
        <f>SUMIF('SUIVI JOURNALIER AVRIL'!$C:$C,AVRIL!V$7,'SUIVI JOURNALIER AVRIL'!$H:$H)</f>
        <v>0</v>
      </c>
      <c r="W10" s="70">
        <f>SUMIF('SUIVI JOURNALIER AVRIL'!$C:$C,AVRIL!W$7,'SUIVI JOURNALIER AVRIL'!$H:$H)</f>
        <v>0</v>
      </c>
      <c r="X10" s="70">
        <f>SUMIF('SUIVI JOURNALIER AVRIL'!$C:$C,AVRIL!X$7,'SUIVI JOURNALIER AVRIL'!$H:$H)</f>
        <v>0</v>
      </c>
      <c r="Y10" s="74">
        <f t="shared" ref="Y10:Y36" si="1">SUM(T10:X10)</f>
        <v>0</v>
      </c>
      <c r="Z10" s="29">
        <f>S10-Y10</f>
        <v>0</v>
      </c>
    </row>
    <row r="11" spans="1:26" ht="12.75" customHeight="1" thickBot="1">
      <c r="A11" s="218"/>
      <c r="B11" s="219"/>
      <c r="C11" s="214"/>
      <c r="D11" s="214"/>
      <c r="E11" s="214"/>
      <c r="F11" s="214"/>
      <c r="G11" s="214"/>
      <c r="N11" s="65" t="s">
        <v>1594</v>
      </c>
      <c r="O11" s="66">
        <f>SUMIF('SUIVI JOURNALIER AVRIL'!CF:CF,N11,'SUIVI JOURNALIER AVRIL'!CD:CD)</f>
        <v>18497927.454545457</v>
      </c>
      <c r="R11" s="65" t="s">
        <v>191</v>
      </c>
      <c r="S11" s="67">
        <f>SUMIF('SUIVI JOURNALIER AVRIL'!$E$345:$AY$345,AVRIL!R11,'SUIVI JOURNALIER AVRIL'!$E$344:$AY$344)</f>
        <v>391174</v>
      </c>
      <c r="T11" s="73">
        <f>SUMIF('SUIVI JOURNALIER AVRIL'!$C:$C,AVRIL!T$7,'SUIVI JOURNALIER AVRIL'!$I:$I)</f>
        <v>391174</v>
      </c>
      <c r="U11" s="70">
        <f>SUMIF('SUIVI JOURNALIER AVRIL'!$C:$C,AVRIL!U$7,'SUIVI JOURNALIER AVRIL'!$I:$I)</f>
        <v>0</v>
      </c>
      <c r="V11" s="70">
        <f>SUMIF('SUIVI JOURNALIER AVRIL'!$C:$C,AVRIL!V$7,'SUIVI JOURNALIER AVRIL'!$I:$I)</f>
        <v>0</v>
      </c>
      <c r="W11" s="70">
        <f>SUMIF('SUIVI JOURNALIER AVRIL'!$C:$C,AVRIL!W$7,'SUIVI JOURNALIER AVRIL'!$I:$I)</f>
        <v>0</v>
      </c>
      <c r="X11" s="70">
        <f>SUMIF('SUIVI JOURNALIER AVRIL'!$C:$C,AVRIL!X$7,'SUIVI JOURNALIER AVRIL'!$I:$I)</f>
        <v>0</v>
      </c>
      <c r="Y11" s="74">
        <f t="shared" si="1"/>
        <v>391174</v>
      </c>
      <c r="Z11" s="29">
        <f t="shared" si="0"/>
        <v>0</v>
      </c>
    </row>
    <row r="12" spans="1:26" ht="12" customHeight="1">
      <c r="A12" s="745" t="s">
        <v>7</v>
      </c>
      <c r="B12" s="747" t="s">
        <v>8</v>
      </c>
      <c r="C12" s="748"/>
      <c r="D12" s="749"/>
      <c r="E12" s="740" t="s">
        <v>9</v>
      </c>
      <c r="F12" s="741"/>
      <c r="G12" s="742"/>
      <c r="N12" s="65" t="s">
        <v>1593</v>
      </c>
      <c r="O12" s="66">
        <f>SUMIF('SUIVI JOURNALIER AVRIL'!CF:CF,N12,'SUIVI JOURNALIER AVRIL'!CD:CD)</f>
        <v>2175170</v>
      </c>
      <c r="R12" s="65" t="s">
        <v>137</v>
      </c>
      <c r="S12" s="67">
        <f>SUMIF('SUIVI JOURNALIER AVRIL'!$E$345:$AY$345,AVRIL!R12,'SUIVI JOURNALIER AVRIL'!$E$344:$AY$344)</f>
        <v>96819278.545454532</v>
      </c>
      <c r="T12" s="73">
        <f>SUMIF('SUIVI JOURNALIER AVRIL'!$C:$C,AVRIL!T$7,'SUIVI JOURNALIER AVRIL'!$J:$J)</f>
        <v>1185587.0909090908</v>
      </c>
      <c r="U12" s="70">
        <f>SUMIF('SUIVI JOURNALIER AVRIL'!$C:$C,AVRIL!U$7,'SUIVI JOURNALIER AVRIL'!$J:$J)</f>
        <v>11230677</v>
      </c>
      <c r="V12" s="70">
        <f>SUMIF('SUIVI JOURNALIER AVRIL'!$C:$C,AVRIL!V$7,'SUIVI JOURNALIER AVRIL'!$J:$J)</f>
        <v>39354908.090909086</v>
      </c>
      <c r="W12" s="70">
        <f>SUMIF('SUIVI JOURNALIER AVRIL'!$C:$C,AVRIL!W$7,'SUIVI JOURNALIER AVRIL'!$J:$J)</f>
        <v>40658182.36363636</v>
      </c>
      <c r="X12" s="70">
        <f>SUMIF('SUIVI JOURNALIER AVRIL'!$C:$C,AVRIL!X$7,'SUIVI JOURNALIER AVRIL'!$J:$J)</f>
        <v>4378924</v>
      </c>
      <c r="Y12" s="74">
        <f t="shared" si="1"/>
        <v>96808278.545454532</v>
      </c>
      <c r="Z12" s="29">
        <f t="shared" si="0"/>
        <v>11000</v>
      </c>
    </row>
    <row r="13" spans="1:26" ht="12" customHeight="1" thickBot="1">
      <c r="A13" s="746"/>
      <c r="B13" s="200" t="s">
        <v>10</v>
      </c>
      <c r="C13" s="206" t="s">
        <v>2155</v>
      </c>
      <c r="D13" s="206" t="s">
        <v>178</v>
      </c>
      <c r="E13" s="201" t="s">
        <v>11</v>
      </c>
      <c r="F13" s="207" t="s">
        <v>2156</v>
      </c>
      <c r="G13" s="208" t="s">
        <v>178</v>
      </c>
      <c r="N13" s="65" t="s">
        <v>1597</v>
      </c>
      <c r="O13" s="66">
        <f>SUMIF('SUIVI JOURNALIER AVRIL'!CF:CF,N13,'SUIVI JOURNALIER AVRIL'!CD:CD)</f>
        <v>2955961.6363636362</v>
      </c>
      <c r="R13" s="65" t="s">
        <v>1997</v>
      </c>
      <c r="S13" s="67">
        <f>SUMIF('SUIVI JOURNALIER AVRIL'!$E$345:$AY$345,AVRIL!R13,'SUIVI JOURNALIER AVRIL'!$E$344:$AY$344)</f>
        <v>9673987.3636363633</v>
      </c>
      <c r="T13" s="73">
        <f>SUMIF('SUIVI JOURNALIER AVRIL'!$C:$C,AVRIL!T$7,'SUIVI JOURNALIER AVRIL'!$K:$K)</f>
        <v>0</v>
      </c>
      <c r="U13" s="70">
        <f>SUMIF('SUIVI JOURNALIER AVRIL'!$C:$C,AVRIL!U$7,'SUIVI JOURNALIER AVRIL'!$K:$K)</f>
        <v>55321.818181818177</v>
      </c>
      <c r="V13" s="70">
        <f>SUMIF('SUIVI JOURNALIER AVRIL'!$C:$C,AVRIL!V$7,'SUIVI JOURNALIER AVRIL'!$K:$K)</f>
        <v>0</v>
      </c>
      <c r="W13" s="70">
        <f>SUMIF('SUIVI JOURNALIER AVRIL'!$C:$C,AVRIL!W$7,'SUIVI JOURNALIER AVRIL'!$K:$K)</f>
        <v>9618665.5454545449</v>
      </c>
      <c r="X13" s="70">
        <f>SUMIF('SUIVI JOURNALIER AVRIL'!$C:$C,AVRIL!X$7,'SUIVI JOURNALIER AVRIL'!$K:$K)</f>
        <v>0</v>
      </c>
      <c r="Y13" s="74">
        <f t="shared" si="1"/>
        <v>9673987.3636363633</v>
      </c>
      <c r="Z13" s="29">
        <f t="shared" si="0"/>
        <v>0</v>
      </c>
    </row>
    <row r="14" spans="1:26" ht="12" customHeight="1" thickBot="1">
      <c r="A14" s="134" t="s">
        <v>12</v>
      </c>
      <c r="B14" s="135"/>
      <c r="C14" s="135"/>
      <c r="D14" s="135"/>
      <c r="E14" s="135"/>
      <c r="F14" s="135"/>
      <c r="G14" s="127"/>
      <c r="N14" s="65" t="s">
        <v>1596</v>
      </c>
      <c r="O14" s="66">
        <f>SUMIF('SUIVI JOURNALIER AVRIL'!CF:CF,N14,'SUIVI JOURNALIER AVRIL'!CD:CD)</f>
        <v>4036660.0909090908</v>
      </c>
      <c r="R14" s="65" t="s">
        <v>141</v>
      </c>
      <c r="S14" s="67">
        <f>SUMIF('SUIVI JOURNALIER AVRIL'!$E$345:$AY$345,AVRIL!R14,'SUIVI JOURNALIER AVRIL'!$E$344:$AY$344)</f>
        <v>21167173</v>
      </c>
      <c r="T14" s="73">
        <f>SUMIF('SUIVI JOURNALIER AVRIL'!$C:$C,AVRIL!T$7,'SUIVI JOURNALIER AVRIL'!$O:$O)</f>
        <v>1957305</v>
      </c>
      <c r="U14" s="70">
        <f>SUMIF('SUIVI JOURNALIER AVRIL'!$C:$C,AVRIL!U$7,'SUIVI JOURNALIER AVRIL'!$O:$O)</f>
        <v>4797839.7272727275</v>
      </c>
      <c r="V14" s="70">
        <f>SUMIF('SUIVI JOURNALIER AVRIL'!$C:$C,AVRIL!V$7,'SUIVI JOURNALIER AVRIL'!$O:$O)</f>
        <v>5060428.1818181816</v>
      </c>
      <c r="W14" s="70">
        <f>SUMIF('SUIVI JOURNALIER AVRIL'!$C:$C,AVRIL!W$7,'SUIVI JOURNALIER AVRIL'!$O:$O)</f>
        <v>7301789.0909090908</v>
      </c>
      <c r="X14" s="70">
        <f>SUMIF('SUIVI JOURNALIER AVRIL'!$C:$C,AVRIL!X$7,'SUIVI JOURNALIER AVRIL'!$O:$O)</f>
        <v>2049811</v>
      </c>
      <c r="Y14" s="74">
        <f t="shared" si="1"/>
        <v>21167173</v>
      </c>
      <c r="Z14" s="29">
        <f t="shared" si="0"/>
        <v>0</v>
      </c>
    </row>
    <row r="15" spans="1:26" ht="12" customHeight="1">
      <c r="A15" s="136" t="s">
        <v>13</v>
      </c>
      <c r="B15" s="209">
        <f>SUM(B16:B28)</f>
        <v>16983050.18181818</v>
      </c>
      <c r="C15" s="209">
        <f>SUM(C16:C28)</f>
        <v>3307262</v>
      </c>
      <c r="D15" s="209">
        <f>SUM(D16:D28)</f>
        <v>20290312.18181818</v>
      </c>
      <c r="E15" s="202">
        <f>B15</f>
        <v>16983050.18181818</v>
      </c>
      <c r="F15" s="202">
        <f>C15</f>
        <v>3307262</v>
      </c>
      <c r="G15" s="209">
        <f>D15</f>
        <v>20290312.18181818</v>
      </c>
      <c r="N15" s="65" t="s">
        <v>1595</v>
      </c>
      <c r="O15" s="66">
        <f>SUMIF('SUIVI JOURNALIER AVRIL'!CF:CF,N15,'SUIVI JOURNALIER AVRIL'!CD:CD)</f>
        <v>3047859.7272727275</v>
      </c>
      <c r="R15" s="65" t="s">
        <v>291</v>
      </c>
      <c r="S15" s="67">
        <f>SUMIF('SUIVI JOURNALIER AVRIL'!$E$345:$AY$345,AVRIL!R15,'SUIVI JOURNALIER AVRIL'!$E$344:$AY$344)</f>
        <v>1007500</v>
      </c>
      <c r="T15" s="73">
        <f>SUMIF('SUIVI JOURNALIER AVRIL'!$C:$C,AVRIL!T$7,'SUIVI JOURNALIER AVRIL'!$P:$P)</f>
        <v>0</v>
      </c>
      <c r="U15" s="70">
        <f>SUMIF('SUIVI JOURNALIER AVRIL'!$C:$C,AVRIL!U$7,'SUIVI JOURNALIER AVRIL'!$P:$P)</f>
        <v>0</v>
      </c>
      <c r="V15" s="70">
        <f>SUMIF('SUIVI JOURNALIER AVRIL'!$C:$C,AVRIL!V$7,'SUIVI JOURNALIER AVRIL'!$P:$P)</f>
        <v>1007500</v>
      </c>
      <c r="W15" s="70">
        <f>SUMIF('SUIVI JOURNALIER AVRIL'!$C:$C,AVRIL!W$7,'SUIVI JOURNALIER AVRIL'!$P:$P)</f>
        <v>0</v>
      </c>
      <c r="X15" s="70">
        <f>SUMIF('SUIVI JOURNALIER AVRIL'!$C:$C,AVRIL!X$7,'SUIVI JOURNALIER AVRIL'!$P:$P)</f>
        <v>0</v>
      </c>
      <c r="Y15" s="74">
        <f t="shared" si="1"/>
        <v>1007500</v>
      </c>
      <c r="Z15" s="29">
        <f t="shared" si="0"/>
        <v>0</v>
      </c>
    </row>
    <row r="16" spans="1:26" ht="12" customHeight="1">
      <c r="A16" s="137" t="s">
        <v>14</v>
      </c>
      <c r="B16" s="203">
        <f>'SUIVI JOURNALIER AVRIL'!W344+'SUIVI JOURNALIER AVRIL'!Z344</f>
        <v>13612735.09090909</v>
      </c>
      <c r="C16" s="139">
        <f>CONTROLES!W279</f>
        <v>2872016</v>
      </c>
      <c r="D16" s="210">
        <f>B16+C16</f>
        <v>16484751.09090909</v>
      </c>
      <c r="E16" s="203">
        <f>B16</f>
        <v>13612735.09090909</v>
      </c>
      <c r="F16" s="203">
        <f>C16</f>
        <v>2872016</v>
      </c>
      <c r="G16" s="210">
        <f>E16+F16</f>
        <v>16484751.09090909</v>
      </c>
      <c r="H16" t="s">
        <v>2031</v>
      </c>
      <c r="N16" s="65" t="s">
        <v>1008</v>
      </c>
      <c r="O16" s="66">
        <f>SUMIF('SUIVI JOURNALIER AVRIL'!CF:CF,N16,'SUIVI JOURNALIER AVRIL'!CD:CD)</f>
        <v>47256740.454545453</v>
      </c>
      <c r="R16" s="65" t="s">
        <v>130</v>
      </c>
      <c r="S16" s="67">
        <f>SUMIF('SUIVI JOURNALIER AVRIL'!$E$345:$AY$345,AVRIL!R16,'SUIVI JOURNALIER AVRIL'!$E$344:$AY$344)</f>
        <v>5031410</v>
      </c>
      <c r="T16" s="73">
        <f>SUMIF('SUIVI JOURNALIER AVRIL'!$C:$C,AVRIL!T$7,'SUIVI JOURNALIER AVRIL'!$Q:$Q)</f>
        <v>185019.09090909088</v>
      </c>
      <c r="U16" s="70">
        <f>SUMIF('SUIVI JOURNALIER AVRIL'!$C:$C,AVRIL!U$7,'SUIVI JOURNALIER AVRIL'!$Q:$Q)</f>
        <v>3889751.8181818179</v>
      </c>
      <c r="V16" s="70">
        <f>SUMIF('SUIVI JOURNALIER AVRIL'!$C:$C,AVRIL!V$7,'SUIVI JOURNALIER AVRIL'!$Q:$Q)</f>
        <v>0</v>
      </c>
      <c r="W16" s="70">
        <f>SUMIF('SUIVI JOURNALIER AVRIL'!$C:$C,AVRIL!W$7,'SUIVI JOURNALIER AVRIL'!$Q:$Q)</f>
        <v>0</v>
      </c>
      <c r="X16" s="70">
        <f>SUMIF('SUIVI JOURNALIER AVRIL'!$C:$C,AVRIL!X$7,'SUIVI JOURNALIER AVRIL'!$Q:$Q)</f>
        <v>956639.09090909082</v>
      </c>
      <c r="Y16" s="74">
        <f t="shared" si="1"/>
        <v>5031410</v>
      </c>
      <c r="Z16" s="29">
        <f t="shared" si="0"/>
        <v>0</v>
      </c>
    </row>
    <row r="17" spans="1:26" ht="12" customHeight="1">
      <c r="A17" s="140" t="s">
        <v>15</v>
      </c>
      <c r="B17" s="203">
        <v>0</v>
      </c>
      <c r="C17" s="139">
        <v>0</v>
      </c>
      <c r="D17" s="210">
        <f t="shared" ref="D17:D45" si="2">B17+C17</f>
        <v>0</v>
      </c>
      <c r="E17" s="203">
        <f t="shared" ref="E17:E30" si="3">B17</f>
        <v>0</v>
      </c>
      <c r="F17" s="203">
        <f t="shared" ref="F17:F28" si="4">C17</f>
        <v>0</v>
      </c>
      <c r="G17" s="210">
        <f t="shared" ref="G17:G28" si="5">E17+F17</f>
        <v>0</v>
      </c>
      <c r="N17" s="65" t="s">
        <v>766</v>
      </c>
      <c r="O17" s="66">
        <f>SUMIF('SUIVI JOURNALIER AVRIL'!CF:CF,N17,'SUIVI JOURNALIER AVRIL'!CD:CD)</f>
        <v>6800</v>
      </c>
      <c r="R17" s="65" t="s">
        <v>182</v>
      </c>
      <c r="S17" s="67">
        <f>SUMIF('SUIVI JOURNALIER AVRIL'!$E$345:$AY$345,AVRIL!R17,'SUIVI JOURNALIER AVRIL'!$E$344:$AY$344)</f>
        <v>0</v>
      </c>
      <c r="T17" s="73">
        <f>SUMIF('SUIVI JOURNALIER AVRIL'!$C:$C,AVRIL!T$7,'SUIVI JOURNALIER AVRIL'!$U:$U)</f>
        <v>0</v>
      </c>
      <c r="U17" s="70">
        <f>SUMIF('SUIVI JOURNALIER AVRIL'!$C:$C,AVRIL!U$7,'SUIVI JOURNALIER AVRIL'!$U:$U)</f>
        <v>0</v>
      </c>
      <c r="V17" s="70">
        <f>SUMIF('SUIVI JOURNALIER AVRIL'!$C:$C,AVRIL!V$7,'SUIVI JOURNALIER AVRIL'!$U:$U)</f>
        <v>0</v>
      </c>
      <c r="W17" s="70">
        <f>SUMIF('SUIVI JOURNALIER AVRIL'!$C:$C,AVRIL!W$7,'SUIVI JOURNALIER AVRIL'!$U:$U)</f>
        <v>0</v>
      </c>
      <c r="X17" s="70">
        <f>SUMIF('SUIVI JOURNALIER AVRIL'!$C:$C,AVRIL!X$7,'SUIVI JOURNALIER AVRIL'!$U:$U)</f>
        <v>0</v>
      </c>
      <c r="Y17" s="74">
        <f t="shared" si="1"/>
        <v>0</v>
      </c>
      <c r="Z17" s="29">
        <f t="shared" si="0"/>
        <v>0</v>
      </c>
    </row>
    <row r="18" spans="1:26" ht="12" customHeight="1">
      <c r="A18" s="137" t="s">
        <v>16</v>
      </c>
      <c r="B18" s="139">
        <v>0</v>
      </c>
      <c r="C18" s="139">
        <v>0</v>
      </c>
      <c r="D18" s="210">
        <f t="shared" si="2"/>
        <v>0</v>
      </c>
      <c r="E18" s="203">
        <f t="shared" si="3"/>
        <v>0</v>
      </c>
      <c r="F18" s="203">
        <f t="shared" si="4"/>
        <v>0</v>
      </c>
      <c r="G18" s="210">
        <f t="shared" si="5"/>
        <v>0</v>
      </c>
      <c r="N18" s="65" t="s">
        <v>1605</v>
      </c>
      <c r="O18" s="66">
        <f>SUMIF('SUIVI JOURNALIER AVRIL'!CF:CF,N18,'SUIVI JOURNALIER AVRIL'!CD:CD)</f>
        <v>2821699.3636363642</v>
      </c>
      <c r="R18" s="65" t="s">
        <v>181</v>
      </c>
      <c r="S18" s="67">
        <f>SUMIF('SUIVI JOURNALIER AVRIL'!$E$345:$AY$345,AVRIL!R18,'SUIVI JOURNALIER AVRIL'!$E$344:$AY$344)</f>
        <v>2362815.0909090908</v>
      </c>
      <c r="T18" s="73">
        <f>SUMIF('SUIVI JOURNALIER AVRIL'!$C:$C,AVRIL!T$7,'SUIVI JOURNALIER AVRIL'!$V:$V)</f>
        <v>0</v>
      </c>
      <c r="U18" s="70">
        <f>SUMIF('SUIVI JOURNALIER AVRIL'!$C:$C,AVRIL!U$7,'SUIVI JOURNALIER AVRIL'!$V:$V)</f>
        <v>221886</v>
      </c>
      <c r="V18" s="70">
        <f>SUMIF('SUIVI JOURNALIER AVRIL'!$C:$C,AVRIL!V$7,'SUIVI JOURNALIER AVRIL'!$V:$V)</f>
        <v>2140929.0909090908</v>
      </c>
      <c r="W18" s="70">
        <f>SUMIF('SUIVI JOURNALIER AVRIL'!$C:$C,AVRIL!W$7,'SUIVI JOURNALIER AVRIL'!$V:$V)</f>
        <v>0</v>
      </c>
      <c r="X18" s="70">
        <f>SUMIF('SUIVI JOURNALIER AVRIL'!$C:$C,AVRIL!X$7,'SUIVI JOURNALIER AVRIL'!$V:$V)</f>
        <v>0</v>
      </c>
      <c r="Y18" s="74">
        <f t="shared" si="1"/>
        <v>2362815.0909090908</v>
      </c>
      <c r="Z18" s="29">
        <f t="shared" si="0"/>
        <v>0</v>
      </c>
    </row>
    <row r="19" spans="1:26" ht="12" customHeight="1">
      <c r="A19" s="141" t="s">
        <v>17</v>
      </c>
      <c r="B19" s="203">
        <v>0</v>
      </c>
      <c r="C19" s="139">
        <v>0</v>
      </c>
      <c r="D19" s="210">
        <f t="shared" si="2"/>
        <v>0</v>
      </c>
      <c r="E19" s="203">
        <f t="shared" si="3"/>
        <v>0</v>
      </c>
      <c r="F19" s="203">
        <f t="shared" si="4"/>
        <v>0</v>
      </c>
      <c r="G19" s="210">
        <f t="shared" si="5"/>
        <v>0</v>
      </c>
      <c r="N19" s="65" t="s">
        <v>1604</v>
      </c>
      <c r="O19" s="66">
        <f>SUMIF('SUIVI JOURNALIER AVRIL'!CF:CF,N19,'SUIVI JOURNALIER AVRIL'!CD:CD)</f>
        <v>1501717.6363636362</v>
      </c>
      <c r="R19" s="65" t="s">
        <v>129</v>
      </c>
      <c r="S19" s="67">
        <f>SUMIF('SUIVI JOURNALIER AVRIL'!$E$345:$AY$345,AVRIL!R19,'SUIVI JOURNALIER AVRIL'!$E$344:$AY$344)</f>
        <v>13578984.181818182</v>
      </c>
      <c r="T19" s="73">
        <f>SUMIF('SUIVI JOURNALIER AVRIL'!$C:$C,AVRIL!T$7,'SUIVI JOURNALIER AVRIL'!$W:$W)</f>
        <v>1626348</v>
      </c>
      <c r="U19" s="70">
        <f>SUMIF('SUIVI JOURNALIER AVRIL'!$C:$C,AVRIL!U$7,'SUIVI JOURNALIER AVRIL'!$W:$W)</f>
        <v>838157.90909090906</v>
      </c>
      <c r="V19" s="70">
        <f>SUMIF('SUIVI JOURNALIER AVRIL'!$C:$C,AVRIL!V$7,'SUIVI JOURNALIER AVRIL'!$W:$W)</f>
        <v>3641789.7272727271</v>
      </c>
      <c r="W19" s="70">
        <f>SUMIF('SUIVI JOURNALIER AVRIL'!$C:$C,AVRIL!W$7,'SUIVI JOURNALIER AVRIL'!$W:$W)</f>
        <v>1211964</v>
      </c>
      <c r="X19" s="70">
        <f>SUMIF('SUIVI JOURNALIER AVRIL'!$C:$C,AVRIL!X$7,'SUIVI JOURNALIER AVRIL'!$W:$W)</f>
        <v>6260724.5454545449</v>
      </c>
      <c r="Y19" s="74">
        <f t="shared" si="1"/>
        <v>13578984.181818182</v>
      </c>
      <c r="Z19" s="29">
        <f t="shared" si="0"/>
        <v>0</v>
      </c>
    </row>
    <row r="20" spans="1:26" ht="12" customHeight="1">
      <c r="A20" s="141" t="s">
        <v>18</v>
      </c>
      <c r="B20" s="203">
        <v>0</v>
      </c>
      <c r="C20" s="139"/>
      <c r="D20" s="210">
        <f t="shared" si="2"/>
        <v>0</v>
      </c>
      <c r="E20" s="203">
        <f t="shared" si="3"/>
        <v>0</v>
      </c>
      <c r="F20" s="203">
        <f t="shared" si="4"/>
        <v>0</v>
      </c>
      <c r="G20" s="210">
        <f t="shared" si="5"/>
        <v>0</v>
      </c>
      <c r="N20" s="65" t="s">
        <v>1598</v>
      </c>
      <c r="O20" s="66">
        <f>SUMIF('SUIVI JOURNALIER AVRIL'!CF:CF,N20,'SUIVI JOURNALIER AVRIL'!CD:CD)</f>
        <v>58515948.43181818</v>
      </c>
      <c r="R20" s="65" t="s">
        <v>179</v>
      </c>
      <c r="S20" s="67">
        <f>SUMIF('SUIVI JOURNALIER AVRIL'!$E$345:$AY$345,AVRIL!R20,'SUIVI JOURNALIER AVRIL'!$E$344:$AY$344)</f>
        <v>0</v>
      </c>
      <c r="T20" s="73">
        <f>SUMIF('SUIVI JOURNALIER AVRIL'!$C:$C,AVRIL!T$7,'SUIVI JOURNALIER AVRIL'!$X:$X)</f>
        <v>0</v>
      </c>
      <c r="U20" s="70">
        <f>SUMIF('SUIVI JOURNALIER AVRIL'!$C:$C,AVRIL!U$7,'SUIVI JOURNALIER AVRIL'!$X:$X)</f>
        <v>0</v>
      </c>
      <c r="V20" s="70">
        <f>SUMIF('SUIVI JOURNALIER AVRIL'!$C:$C,AVRIL!V$7,'SUIVI JOURNALIER AVRIL'!$X:$X)</f>
        <v>0</v>
      </c>
      <c r="W20" s="70">
        <f>SUMIF('SUIVI JOURNALIER AVRIL'!$C:$C,AVRIL!W$7,'SUIVI JOURNALIER AVRIL'!$X:$X)</f>
        <v>0</v>
      </c>
      <c r="X20" s="70">
        <f>SUMIF('SUIVI JOURNALIER AVRIL'!$C:$C,AVRIL!X$7,'SUIVI JOURNALIER AVRIL'!$X:$X)</f>
        <v>0</v>
      </c>
      <c r="Y20" s="74">
        <f t="shared" si="1"/>
        <v>0</v>
      </c>
      <c r="Z20" s="29">
        <f t="shared" si="0"/>
        <v>0</v>
      </c>
    </row>
    <row r="21" spans="1:26" ht="12" customHeight="1">
      <c r="A21" s="141" t="s">
        <v>19</v>
      </c>
      <c r="B21" s="203">
        <f>'SUIVI JOURNALIER AVRIL'!AA344</f>
        <v>0</v>
      </c>
      <c r="C21" s="139">
        <f>CONTROLES!Z279</f>
        <v>0</v>
      </c>
      <c r="D21" s="210">
        <f t="shared" si="2"/>
        <v>0</v>
      </c>
      <c r="E21" s="203">
        <f t="shared" si="3"/>
        <v>0</v>
      </c>
      <c r="F21" s="203">
        <f t="shared" si="4"/>
        <v>0</v>
      </c>
      <c r="G21" s="210">
        <f t="shared" si="5"/>
        <v>0</v>
      </c>
      <c r="N21" s="65" t="s">
        <v>1602</v>
      </c>
      <c r="O21" s="66">
        <f>SUMIF('SUIVI JOURNALIER AVRIL'!CF:CF,N21,'SUIVI JOURNALIER AVRIL'!CD:CD)</f>
        <v>35373955.545454547</v>
      </c>
      <c r="R21" s="65" t="s">
        <v>180</v>
      </c>
      <c r="S21" s="67">
        <f>SUMIF('SUIVI JOURNALIER AVRIL'!$E$345:$AY$345,AVRIL!R21,'SUIVI JOURNALIER AVRIL'!$E$344:$AY$344)</f>
        <v>0</v>
      </c>
      <c r="T21" s="73">
        <f>SUMIF('SUIVI JOURNALIER AVRIL'!$C:$C,AVRIL!T$7,'SUIVI JOURNALIER AVRIL'!$Y:$Y)</f>
        <v>0</v>
      </c>
      <c r="U21" s="70">
        <f>SUMIF('SUIVI JOURNALIER AVRIL'!$C:$C,AVRIL!U$7,'SUIVI JOURNALIER AVRIL'!$Y:$Y)</f>
        <v>0</v>
      </c>
      <c r="V21" s="70">
        <f>SUMIF('SUIVI JOURNALIER AVRIL'!$C:$C,AVRIL!V$7,'SUIVI JOURNALIER AVRIL'!$Y:$Y)</f>
        <v>0</v>
      </c>
      <c r="W21" s="70">
        <f>SUMIF('SUIVI JOURNALIER AVRIL'!$C:$C,AVRIL!W$7,'SUIVI JOURNALIER AVRIL'!$Y:$Y)</f>
        <v>0</v>
      </c>
      <c r="X21" s="70">
        <f>SUMIF('SUIVI JOURNALIER AVRIL'!$C:$C,AVRIL!X$7,'SUIVI JOURNALIER AVRIL'!$Y:$Y)</f>
        <v>0</v>
      </c>
      <c r="Y21" s="74">
        <f t="shared" si="1"/>
        <v>0</v>
      </c>
      <c r="Z21" s="29">
        <f t="shared" si="0"/>
        <v>0</v>
      </c>
    </row>
    <row r="22" spans="1:26" ht="12" customHeight="1">
      <c r="A22" s="141" t="s">
        <v>20</v>
      </c>
      <c r="B22" s="203">
        <f>'SUIVI JOURNALIER AVRIL'!P344</f>
        <v>1007500</v>
      </c>
      <c r="C22" s="139">
        <v>0</v>
      </c>
      <c r="D22" s="210">
        <f t="shared" si="2"/>
        <v>1007500</v>
      </c>
      <c r="E22" s="203">
        <f t="shared" si="3"/>
        <v>1007500</v>
      </c>
      <c r="F22" s="203">
        <f t="shared" si="4"/>
        <v>0</v>
      </c>
      <c r="G22" s="210">
        <f t="shared" si="5"/>
        <v>1007500</v>
      </c>
      <c r="N22" s="65" t="s">
        <v>2123</v>
      </c>
      <c r="O22" s="66">
        <f>SUMIF('SUIVI JOURNALIER AVRIL'!CF:CF,N22,'SUIVI JOURNALIER AVRIL'!CD:CD)</f>
        <v>2647144.2727272725</v>
      </c>
      <c r="R22" s="65" t="s">
        <v>1589</v>
      </c>
      <c r="S22" s="67">
        <f>SUMIF('SUIVI JOURNALIER AVRIL'!$E$345:$AY$345,AVRIL!R22,'SUIVI JOURNALIER AVRIL'!$E$344:$AY$344)</f>
        <v>33750.909090909088</v>
      </c>
      <c r="T22" s="73">
        <f>SUMIF('SUIVI JOURNALIER AVRIL'!$C:$C,AVRIL!T$7,'SUIVI JOURNALIER AVRIL'!$Z:$Z)</f>
        <v>0</v>
      </c>
      <c r="U22" s="70">
        <f>SUMIF('SUIVI JOURNALIER AVRIL'!$C:$C,AVRIL!U$7,'SUIVI JOURNALIER AVRIL'!$Z:$Z)</f>
        <v>0</v>
      </c>
      <c r="V22" s="70">
        <f>SUMIF('SUIVI JOURNALIER AVRIL'!$C:$C,AVRIL!V$7,'SUIVI JOURNALIER AVRIL'!$Z:$Z)</f>
        <v>0</v>
      </c>
      <c r="W22" s="70">
        <f>SUMIF('SUIVI JOURNALIER AVRIL'!$C:$C,AVRIL!W$7,'SUIVI JOURNALIER AVRIL'!$Z:$Z)</f>
        <v>0</v>
      </c>
      <c r="X22" s="70">
        <f>SUMIF('SUIVI JOURNALIER AVRIL'!$C:$C,AVRIL!X$7,'SUIVI JOURNALIER AVRIL'!$Z:$Z)</f>
        <v>33750.909090909088</v>
      </c>
      <c r="Y22" s="74">
        <f t="shared" si="1"/>
        <v>33750.909090909088</v>
      </c>
      <c r="Z22" s="29">
        <f t="shared" si="0"/>
        <v>0</v>
      </c>
    </row>
    <row r="23" spans="1:26" ht="12" customHeight="1">
      <c r="A23" s="141" t="s">
        <v>21</v>
      </c>
      <c r="B23" s="203">
        <v>0</v>
      </c>
      <c r="C23" s="139">
        <v>0</v>
      </c>
      <c r="D23" s="210">
        <f t="shared" si="2"/>
        <v>0</v>
      </c>
      <c r="E23" s="203">
        <f t="shared" si="3"/>
        <v>0</v>
      </c>
      <c r="F23" s="203">
        <f t="shared" si="4"/>
        <v>0</v>
      </c>
      <c r="G23" s="210">
        <f t="shared" si="5"/>
        <v>0</v>
      </c>
      <c r="N23" s="65" t="s">
        <v>1599</v>
      </c>
      <c r="O23" s="66">
        <f>SUMIF('SUIVI JOURNALIER AVRIL'!CF:CF,N23,'SUIVI JOURNALIER AVRIL'!CD:CD)</f>
        <v>3240841.2727272725</v>
      </c>
      <c r="R23" s="65" t="s">
        <v>2126</v>
      </c>
      <c r="S23" s="67">
        <f>SUMIF('SUIVI JOURNALIER AVRIL'!$E$345:$AY$345,AVRIL!R23,'SUIVI JOURNALIER AVRIL'!$E$344:$AY$344)</f>
        <v>0</v>
      </c>
      <c r="T23" s="70">
        <f>SUMIF('SUIVI JOURNALIER AVRIL'!$C:$C,AVRIL!T$7,'SUIVI JOURNALIER AVRIL'!$AF:$AF)</f>
        <v>0</v>
      </c>
      <c r="U23" s="70">
        <f>SUMIF('SUIVI JOURNALIER AVRIL'!$C:$C,AVRIL!U$7,'SUIVI JOURNALIER AVRIL'!$AF:$AF)</f>
        <v>0</v>
      </c>
      <c r="V23" s="70">
        <f>SUMIF('SUIVI JOURNALIER AVRIL'!$C:$C,AVRIL!V$7,'SUIVI JOURNALIER AVRIL'!$AF:$AF)</f>
        <v>0</v>
      </c>
      <c r="W23" s="70">
        <f>SUMIF('SUIVI JOURNALIER AVRIL'!$C:$C,AVRIL!W$7,'SUIVI JOURNALIER AVRIL'!$AF:$AF)</f>
        <v>0</v>
      </c>
      <c r="X23" s="70">
        <f>SUMIF('SUIVI JOURNALIER AVRIL'!$C:$C,AVRIL!X$7,'SUIVI JOURNALIER AVRIL'!$AF:$AF)</f>
        <v>0</v>
      </c>
      <c r="Y23" s="74">
        <f t="shared" si="1"/>
        <v>0</v>
      </c>
      <c r="Z23" s="29">
        <f t="shared" si="0"/>
        <v>0</v>
      </c>
    </row>
    <row r="24" spans="1:26" ht="12" customHeight="1">
      <c r="A24" s="141" t="s">
        <v>22</v>
      </c>
      <c r="B24" s="203">
        <f>'SUIVI JOURNALIER AVRIL'!U344+'SUIVI JOURNALIER AVRIL'!X344</f>
        <v>0</v>
      </c>
      <c r="C24" s="139">
        <f>CONTROLES!U279+CONTROLES!X279</f>
        <v>0</v>
      </c>
      <c r="D24" s="210">
        <f t="shared" si="2"/>
        <v>0</v>
      </c>
      <c r="E24" s="203">
        <f t="shared" si="3"/>
        <v>0</v>
      </c>
      <c r="F24" s="203">
        <f t="shared" si="4"/>
        <v>0</v>
      </c>
      <c r="G24" s="210">
        <f t="shared" si="5"/>
        <v>0</v>
      </c>
      <c r="N24" s="65" t="s">
        <v>1600</v>
      </c>
      <c r="O24" s="66">
        <f>SUMIF('SUIVI JOURNALIER AVRIL'!CF:CF,N24,'SUIVI JOURNALIER AVRIL'!CD:CD)</f>
        <v>1749</v>
      </c>
      <c r="R24" s="65" t="s">
        <v>134</v>
      </c>
      <c r="S24" s="67">
        <f>SUMIF('SUIVI JOURNALIER AVRIL'!$E$345:$AY$345,AVRIL!R24,'SUIVI JOURNALIER AVRIL'!$E$344:$AY$344)</f>
        <v>10418401</v>
      </c>
      <c r="T24" s="73">
        <f>SUMIF('SUIVI JOURNALIER AVRIL'!$C:$C,AVRIL!T$7,'SUIVI JOURNALIER AVRIL'!$AE:$AE)</f>
        <v>1361999</v>
      </c>
      <c r="U24" s="70">
        <f>SUMIF('SUIVI JOURNALIER AVRIL'!$C:$C,AVRIL!U$7,'SUIVI JOURNALIER AVRIL'!$AE:$AE)</f>
        <v>8508955</v>
      </c>
      <c r="V24" s="70">
        <f>SUMIF('SUIVI JOURNALIER AVRIL'!$C:$C,AVRIL!V$7,'SUIVI JOURNALIER AVRIL'!$AE:$AE)</f>
        <v>0</v>
      </c>
      <c r="W24" s="70">
        <f>SUMIF('SUIVI JOURNALIER AVRIL'!$C:$C,AVRIL!W$7,'SUIVI JOURNALIER AVRIL'!$AE:$AE)</f>
        <v>547447</v>
      </c>
      <c r="X24" s="70">
        <f>SUMIF('SUIVI JOURNALIER AVRIL'!$C:$C,AVRIL!X$7,'SUIVI JOURNALIER AVRIL'!$AE:$AE)</f>
        <v>0</v>
      </c>
      <c r="Y24" s="74">
        <f t="shared" si="1"/>
        <v>10418401</v>
      </c>
      <c r="Z24" s="29">
        <f t="shared" si="0"/>
        <v>0</v>
      </c>
    </row>
    <row r="25" spans="1:26" ht="12" customHeight="1">
      <c r="A25" s="141" t="s">
        <v>23</v>
      </c>
      <c r="B25" s="203">
        <f>'SUIVI JOURNALIER AVRIL'!V344+'SUIVI JOURNALIER AVRIL'!Y344</f>
        <v>2362815.0909090908</v>
      </c>
      <c r="C25" s="139">
        <f>CONTROLES!V279+CONTROLES!Y279</f>
        <v>435246</v>
      </c>
      <c r="D25" s="210">
        <f>B25+C25</f>
        <v>2798061.0909090908</v>
      </c>
      <c r="E25" s="203">
        <f t="shared" si="3"/>
        <v>2362815.0909090908</v>
      </c>
      <c r="F25" s="203">
        <f t="shared" si="4"/>
        <v>435246</v>
      </c>
      <c r="G25" s="210">
        <f t="shared" si="5"/>
        <v>2798061.0909090908</v>
      </c>
      <c r="N25" s="65" t="s">
        <v>934</v>
      </c>
      <c r="O25" s="66">
        <f>SUMIF('SUIVI JOURNALIER AVRIL'!CF:CF,N25,'SUIVI JOURNALIER AVRIL'!CD:CD)</f>
        <v>0</v>
      </c>
      <c r="R25" s="65" t="s">
        <v>136</v>
      </c>
      <c r="S25" s="67">
        <f>SUMIF('SUIVI JOURNALIER AVRIL'!$E$345:$AY$345,AVRIL!R25,'SUIVI JOURNALIER AVRIL'!$E$344:$AY$344)</f>
        <v>783701</v>
      </c>
      <c r="T25" s="73">
        <f>SUMIF('SUIVI JOURNALIER AVRIL'!$C:$C,AVRIL!T$7,'SUIVI JOURNALIER AVRIL'!$AG:$AG)</f>
        <v>0</v>
      </c>
      <c r="U25" s="70">
        <f>SUMIF('SUIVI JOURNALIER AVRIL'!$C:$C,AVRIL!U$7,'SUIVI JOURNALIER AVRIL'!$AG:$AG)</f>
        <v>547501</v>
      </c>
      <c r="V25" s="70">
        <f>SUMIF('SUIVI JOURNALIER AVRIL'!$C:$C,AVRIL!V$7,'SUIVI JOURNALIER AVRIL'!$AG:$AG)</f>
        <v>144000</v>
      </c>
      <c r="W25" s="70">
        <f>SUMIF('SUIVI JOURNALIER AVRIL'!$C:$C,AVRIL!W$7,'SUIVI JOURNALIER AVRIL'!$AG:$AG)</f>
        <v>22000</v>
      </c>
      <c r="X25" s="70">
        <f>SUMIF('SUIVI JOURNALIER AVRIL'!$C:$C,AVRIL!X$7,'SUIVI JOURNALIER AVRIL'!$AG:$AG)</f>
        <v>70200</v>
      </c>
      <c r="Y25" s="74">
        <f t="shared" si="1"/>
        <v>783701</v>
      </c>
      <c r="Z25" s="29">
        <f t="shared" si="0"/>
        <v>0</v>
      </c>
    </row>
    <row r="26" spans="1:26" ht="12" customHeight="1">
      <c r="A26" s="140" t="s">
        <v>24</v>
      </c>
      <c r="B26" s="203">
        <v>0</v>
      </c>
      <c r="C26" s="139">
        <v>0</v>
      </c>
      <c r="D26" s="210">
        <f t="shared" si="2"/>
        <v>0</v>
      </c>
      <c r="E26" s="203">
        <f t="shared" si="3"/>
        <v>0</v>
      </c>
      <c r="F26" s="203">
        <f t="shared" si="4"/>
        <v>0</v>
      </c>
      <c r="G26" s="210">
        <f t="shared" si="5"/>
        <v>0</v>
      </c>
      <c r="N26" s="65" t="s">
        <v>433</v>
      </c>
      <c r="O26" s="66">
        <f>SUMIF('SUIVI JOURNALIER AVRIL'!CF:CF,N26,'SUIVI JOURNALIER AVRIL'!CD:CD)</f>
        <v>889473</v>
      </c>
      <c r="R26" s="65" t="s">
        <v>145</v>
      </c>
      <c r="S26" s="67">
        <f>SUMIF('SUIVI JOURNALIER AVRIL'!$E$345:$AY$345,AVRIL!R26,'SUIVI JOURNALIER AVRIL'!$E$344:$AY$344)</f>
        <v>18150000</v>
      </c>
      <c r="T26" s="73">
        <f>SUMIF('SUIVI JOURNALIER AVRIL'!$C:$C,AVRIL!T$7,'SUIVI JOURNALIER AVRIL'!$AH:$AH)</f>
        <v>0</v>
      </c>
      <c r="U26" s="70">
        <f>SUMIF('SUIVI JOURNALIER AVRIL'!$C:$C,AVRIL!U$7,'SUIVI JOURNALIER AVRIL'!$AH:$AH)</f>
        <v>0</v>
      </c>
      <c r="V26" s="70">
        <f>SUMIF('SUIVI JOURNALIER AVRIL'!$C:$C,AVRIL!V$7,'SUIVI JOURNALIER AVRIL'!$AH:$AH)</f>
        <v>0</v>
      </c>
      <c r="W26" s="70">
        <f>SUMIF('SUIVI JOURNALIER AVRIL'!$C:$C,AVRIL!W$7,'SUIVI JOURNALIER AVRIL'!$AH:$AH)</f>
        <v>18150000</v>
      </c>
      <c r="X26" s="70">
        <f>SUMIF('SUIVI JOURNALIER AVRIL'!$C:$C,AVRIL!X$7,'SUIVI JOURNALIER AVRIL'!$AH:$AH)</f>
        <v>0</v>
      </c>
      <c r="Y26" s="74">
        <f t="shared" si="1"/>
        <v>18150000</v>
      </c>
      <c r="Z26" s="29">
        <f t="shared" si="0"/>
        <v>0</v>
      </c>
    </row>
    <row r="27" spans="1:26" ht="12" customHeight="1">
      <c r="A27" s="140" t="s">
        <v>25</v>
      </c>
      <c r="B27" s="203">
        <v>0</v>
      </c>
      <c r="C27" s="139">
        <v>0</v>
      </c>
      <c r="D27" s="210">
        <f t="shared" si="2"/>
        <v>0</v>
      </c>
      <c r="E27" s="203">
        <f t="shared" si="3"/>
        <v>0</v>
      </c>
      <c r="F27" s="203">
        <f t="shared" si="4"/>
        <v>0</v>
      </c>
      <c r="G27" s="210">
        <f t="shared" si="5"/>
        <v>0</v>
      </c>
      <c r="N27" s="65" t="s">
        <v>1603</v>
      </c>
      <c r="O27" s="66">
        <f>SUMIF('SUIVI JOURNALIER AVRIL'!CF:CF,N27,'SUIVI JOURNALIER AVRIL'!CD:CD)</f>
        <v>1080588</v>
      </c>
      <c r="R27" s="65" t="s">
        <v>146</v>
      </c>
      <c r="S27" s="67">
        <f>SUMIF('SUIVI JOURNALIER AVRIL'!$E$345:$AY$345,AVRIL!R27,'SUIVI JOURNALIER AVRIL'!$E$344:$AY$344)</f>
        <v>606000</v>
      </c>
      <c r="T27" s="73">
        <f>SUMIF('SUIVI JOURNALIER AVRIL'!$C:$C,AVRIL!T$7,'SUIVI JOURNALIER AVRIL'!$AI:$AI)</f>
        <v>0</v>
      </c>
      <c r="U27" s="70">
        <f>SUMIF('SUIVI JOURNALIER AVRIL'!$C:$C,AVRIL!U$7,'SUIVI JOURNALIER AVRIL'!$AI:$AI)</f>
        <v>0</v>
      </c>
      <c r="V27" s="70">
        <f>SUMIF('SUIVI JOURNALIER AVRIL'!$C:$C,AVRIL!V$7,'SUIVI JOURNALIER AVRIL'!$AI:$AI)</f>
        <v>0</v>
      </c>
      <c r="W27" s="70">
        <f>SUMIF('SUIVI JOURNALIER AVRIL'!$C:$C,AVRIL!W$7,'SUIVI JOURNALIER AVRIL'!$AI:$AI)</f>
        <v>550000</v>
      </c>
      <c r="X27" s="70">
        <f>SUMIF('SUIVI JOURNALIER AVRIL'!$C:$C,AVRIL!X$7,'SUIVI JOURNALIER AVRIL'!$AI:$AI)</f>
        <v>56000</v>
      </c>
      <c r="Y27" s="74">
        <f t="shared" si="1"/>
        <v>606000</v>
      </c>
      <c r="Z27" s="29">
        <f t="shared" si="0"/>
        <v>0</v>
      </c>
    </row>
    <row r="28" spans="1:26" ht="12" customHeight="1">
      <c r="A28" s="142" t="s">
        <v>26</v>
      </c>
      <c r="B28" s="203">
        <v>0</v>
      </c>
      <c r="C28" s="139">
        <v>0</v>
      </c>
      <c r="D28" s="210">
        <f t="shared" si="2"/>
        <v>0</v>
      </c>
      <c r="E28" s="203">
        <f t="shared" si="3"/>
        <v>0</v>
      </c>
      <c r="F28" s="203">
        <f t="shared" si="4"/>
        <v>0</v>
      </c>
      <c r="G28" s="210">
        <f t="shared" si="5"/>
        <v>0</v>
      </c>
      <c r="N28" s="65" t="s">
        <v>1601</v>
      </c>
      <c r="O28" s="66">
        <f>SUMIF('SUIVI JOURNALIER AVRIL'!CF:CF,N28,'SUIVI JOURNALIER AVRIL'!CD:CD)</f>
        <v>8798598.2727272715</v>
      </c>
      <c r="R28" s="65" t="s">
        <v>147</v>
      </c>
      <c r="S28" s="67">
        <f>SUMIF('SUIVI JOURNALIER AVRIL'!$E$345:$AY$345,AVRIL!R28,'SUIVI JOURNALIER AVRIL'!$E$344:$AY$344)</f>
        <v>307149.25</v>
      </c>
      <c r="T28" s="73">
        <f>SUMIF('SUIVI JOURNALIER AVRIL'!$C:$C,AVRIL!T$7,'SUIVI JOURNALIER AVRIL'!$AJ:$AJ)</f>
        <v>0</v>
      </c>
      <c r="U28" s="70">
        <f>SUMIF('SUIVI JOURNALIER AVRIL'!$C:$C,AVRIL!U$7,'SUIVI JOURNALIER AVRIL'!$AJ:$AJ)</f>
        <v>0</v>
      </c>
      <c r="V28" s="70">
        <f>SUMIF('SUIVI JOURNALIER AVRIL'!$C:$C,AVRIL!V$7,'SUIVI JOURNALIER AVRIL'!$AJ:$AJ)</f>
        <v>0</v>
      </c>
      <c r="W28" s="70">
        <f>SUMIF('SUIVI JOURNALIER AVRIL'!$C:$C,AVRIL!W$7,'SUIVI JOURNALIER AVRIL'!$AJ:$AJ)</f>
        <v>307149.25</v>
      </c>
      <c r="X28" s="70">
        <f>SUMIF('SUIVI JOURNALIER AVRIL'!$C:$C,AVRIL!X$7,'SUIVI JOURNALIER AVRIL'!$AJ:$AJ)</f>
        <v>0</v>
      </c>
      <c r="Y28" s="74">
        <f>SUM(T28:X28)</f>
        <v>307149.25</v>
      </c>
      <c r="Z28" s="29">
        <f t="shared" si="0"/>
        <v>0</v>
      </c>
    </row>
    <row r="29" spans="1:26" ht="12" customHeight="1" thickBot="1">
      <c r="A29" s="143" t="s">
        <v>27</v>
      </c>
      <c r="B29" s="144">
        <f>SUM(B30:B36)</f>
        <v>107375639.90909089</v>
      </c>
      <c r="C29" s="144">
        <f>SUM(C30:C36)</f>
        <v>35631963.209090911</v>
      </c>
      <c r="D29" s="211">
        <f>SUM(D30:D36)</f>
        <v>143007603.11818179</v>
      </c>
      <c r="E29" s="204">
        <f t="shared" si="3"/>
        <v>107375639.90909089</v>
      </c>
      <c r="F29" s="204">
        <f>C29</f>
        <v>35631963.209090911</v>
      </c>
      <c r="G29" s="211">
        <f>D29</f>
        <v>143007603.11818179</v>
      </c>
      <c r="N29" s="68" t="s">
        <v>178</v>
      </c>
      <c r="O29" s="69">
        <f>SUM(O9:P28)</f>
        <v>199806706.34090909</v>
      </c>
      <c r="R29" s="65" t="s">
        <v>151</v>
      </c>
      <c r="S29" s="67">
        <f>SUMIF('SUIVI JOURNALIER AVRIL'!$E$345:$AY$345,AVRIL!R29,'SUIVI JOURNALIER AVRIL'!$E$344:$AY$344)</f>
        <v>18419851</v>
      </c>
      <c r="T29" s="73">
        <f>SUMIF('SUIVI JOURNALIER AVRIL'!$C:$C,AVRIL!T$7,'SUIVI JOURNALIER AVRIL'!$AN:$AN)</f>
        <v>250000</v>
      </c>
      <c r="U29" s="70">
        <f>SUMIF('SUIVI JOURNALIER AVRIL'!$C:$C,AVRIL!U$7,'SUIVI JOURNALIER AVRIL'!$AN:$AN)</f>
        <v>0</v>
      </c>
      <c r="V29" s="70">
        <f>SUMIF('SUIVI JOURNALIER AVRIL'!$C:$C,AVRIL!V$7,'SUIVI JOURNALIER AVRIL'!$AN:$AN)</f>
        <v>0</v>
      </c>
      <c r="W29" s="70">
        <f>SUMIF('SUIVI JOURNALIER AVRIL'!$C:$C,AVRIL!W$7,'SUIVI JOURNALIER AVRIL'!$AN:$AN)</f>
        <v>18169851</v>
      </c>
      <c r="X29" s="70">
        <f>SUMIF('SUIVI JOURNALIER AVRIL'!$C:$C,AVRIL!X$7,'SUIVI JOURNALIER AVRIL'!$AN:$AN)</f>
        <v>0</v>
      </c>
      <c r="Y29" s="74">
        <f t="shared" si="1"/>
        <v>18419851</v>
      </c>
      <c r="Z29" s="29">
        <f t="shared" si="0"/>
        <v>0</v>
      </c>
    </row>
    <row r="30" spans="1:26" ht="12" customHeight="1">
      <c r="A30" s="142" t="s">
        <v>28</v>
      </c>
      <c r="B30" s="138">
        <v>0</v>
      </c>
      <c r="C30" s="139">
        <v>0</v>
      </c>
      <c r="D30" s="210">
        <f t="shared" si="2"/>
        <v>0</v>
      </c>
      <c r="E30" s="203">
        <f t="shared" si="3"/>
        <v>0</v>
      </c>
      <c r="F30" s="203">
        <f>C30</f>
        <v>0</v>
      </c>
      <c r="G30" s="210">
        <f>D30</f>
        <v>0</v>
      </c>
      <c r="R30" s="65" t="s">
        <v>152</v>
      </c>
      <c r="S30" s="67">
        <f>SUMIF('SUIVI JOURNALIER AVRIL'!$E$345:$AY$345,AVRIL!R30,'SUIVI JOURNALIER AVRIL'!$E$344:$AY$344)</f>
        <v>0</v>
      </c>
      <c r="T30" s="73">
        <f>SUMIF('SUIVI JOURNALIER AVRIL'!$C:$C,AVRIL!T$7,'SUIVI JOURNALIER AVRIL'!$AO:$AO)</f>
        <v>0</v>
      </c>
      <c r="U30" s="70">
        <f>SUMIF('SUIVI JOURNALIER AVRIL'!$C:$C,AVRIL!U$7,'SUIVI JOURNALIER AVRIL'!$AO:$AO)</f>
        <v>0</v>
      </c>
      <c r="V30" s="70">
        <f>SUMIF('SUIVI JOURNALIER AVRIL'!$C:$C,AVRIL!V$7,'SUIVI JOURNALIER AVRIL'!$AO:$AO)</f>
        <v>0</v>
      </c>
      <c r="W30" s="70">
        <f>SUMIF('SUIVI JOURNALIER AVRIL'!$C:$C,AVRIL!W$7,'SUIVI JOURNALIER AVRIL'!$AO:$AO)</f>
        <v>0</v>
      </c>
      <c r="X30" s="70">
        <f>SUMIF('SUIVI JOURNALIER AVRIL'!$C:$C,AVRIL!X$7,'SUIVI JOURNALIER AVRIL'!$AO:$AO)</f>
        <v>0</v>
      </c>
      <c r="Y30" s="74">
        <f t="shared" si="1"/>
        <v>0</v>
      </c>
      <c r="Z30" s="29">
        <f t="shared" si="0"/>
        <v>0</v>
      </c>
    </row>
    <row r="31" spans="1:26" ht="12" customHeight="1">
      <c r="A31" s="142" t="s">
        <v>29</v>
      </c>
      <c r="B31" s="138">
        <v>0</v>
      </c>
      <c r="C31" s="139">
        <v>0</v>
      </c>
      <c r="D31" s="210">
        <f t="shared" si="2"/>
        <v>0</v>
      </c>
      <c r="E31" s="203">
        <f t="shared" ref="E31:E36" si="6">B31</f>
        <v>0</v>
      </c>
      <c r="F31" s="203">
        <f t="shared" ref="F31:F36" si="7">C31</f>
        <v>0</v>
      </c>
      <c r="G31" s="210">
        <f t="shared" ref="G31:G42" si="8">D31</f>
        <v>0</v>
      </c>
      <c r="R31" s="65" t="s">
        <v>156</v>
      </c>
      <c r="S31" s="67">
        <f>SUMIF('SUIVI JOURNALIER AVRIL'!$E$345:$AY$345,AVRIL!R31,'SUIVI JOURNALIER AVRIL'!$E$344:$AY$344)</f>
        <v>574891</v>
      </c>
      <c r="T31" s="73">
        <f>SUMIF('SUIVI JOURNALIER AVRIL'!$C:$C,AVRIL!T$7,'SUIVI JOURNALIER AVRIL'!$AT:$AT)</f>
        <v>0</v>
      </c>
      <c r="U31" s="70">
        <f>SUMIF('SUIVI JOURNALIER AVRIL'!$C:$C,AVRIL!U$7,'SUIVI JOURNALIER AVRIL'!$AT:$AT)</f>
        <v>265150</v>
      </c>
      <c r="V31" s="70">
        <f>SUMIF('SUIVI JOURNALIER AVRIL'!$C:$C,AVRIL!V$7,'SUIVI JOURNALIER AVRIL'!$AT:$AT)</f>
        <v>309741</v>
      </c>
      <c r="W31" s="70">
        <f>SUMIF('SUIVI JOURNALIER AVRIL'!$C:$C,AVRIL!W$7,'SUIVI JOURNALIER AVRIL'!$AT:$AT)</f>
        <v>0</v>
      </c>
      <c r="X31" s="70">
        <f>SUMIF('SUIVI JOURNALIER AVRIL'!$C:$C,AVRIL!X$7,'SUIVI JOURNALIER AVRIL'!$AT:$AT)</f>
        <v>0</v>
      </c>
      <c r="Y31" s="74">
        <f t="shared" si="1"/>
        <v>574891</v>
      </c>
      <c r="Z31" s="29">
        <f t="shared" si="0"/>
        <v>0</v>
      </c>
    </row>
    <row r="32" spans="1:26" ht="12" customHeight="1">
      <c r="A32" s="141" t="s">
        <v>30</v>
      </c>
      <c r="B32" s="138">
        <f>'SUIVI JOURNALIER AVRIL'!J344+'SUIVI JOURNALIER AVRIL'!K344</f>
        <v>106493265.90909089</v>
      </c>
      <c r="C32" s="139">
        <f>CONTROLES!I279+CONTROLES!J279</f>
        <v>35631963.209090911</v>
      </c>
      <c r="D32" s="210">
        <f>B32+C32</f>
        <v>142125229.11818179</v>
      </c>
      <c r="E32" s="203">
        <f t="shared" si="6"/>
        <v>106493265.90909089</v>
      </c>
      <c r="F32" s="203">
        <f t="shared" si="7"/>
        <v>35631963.209090911</v>
      </c>
      <c r="G32" s="210">
        <f t="shared" si="8"/>
        <v>142125229.11818179</v>
      </c>
      <c r="R32" s="65" t="s">
        <v>183</v>
      </c>
      <c r="S32" s="67">
        <f>SUMIF('SUIVI JOURNALIER AVRIL'!$E$345:$AY$345,AVRIL!R32,'SUIVI JOURNALIER AVRIL'!$E$344:$AY$344)</f>
        <v>0</v>
      </c>
      <c r="T32" s="73">
        <f>SUMIF('SUIVI JOURNALIER AVRIL'!$C:$C,AVRIL!T$7,'SUIVI JOURNALIER AVRIL'!$AU:$AU)</f>
        <v>0</v>
      </c>
      <c r="U32" s="70">
        <f>SUMIF('SUIVI JOURNALIER AVRIL'!$C:$C,AVRIL!U$7,'SUIVI JOURNALIER AVRIL'!$AU:$AU)</f>
        <v>0</v>
      </c>
      <c r="V32" s="70">
        <f>SUMIF('SUIVI JOURNALIER AVRIL'!$C:$C,AVRIL!V$7,'SUIVI JOURNALIER AVRIL'!$AU:$AU)</f>
        <v>0</v>
      </c>
      <c r="W32" s="70">
        <f>SUMIF('SUIVI JOURNALIER AVRIL'!$C:$C,AVRIL!W$7,'SUIVI JOURNALIER AVRIL'!$AU:$AU)</f>
        <v>0</v>
      </c>
      <c r="X32" s="70">
        <f>SUMIF('SUIVI JOURNALIER AVRIL'!$C:$C,AVRIL!X$7,'SUIVI JOURNALIER AVRIL'!$AU:$AU)</f>
        <v>0</v>
      </c>
      <c r="Y32" s="74">
        <f t="shared" si="1"/>
        <v>0</v>
      </c>
      <c r="Z32" s="29">
        <f t="shared" si="0"/>
        <v>0</v>
      </c>
    </row>
    <row r="33" spans="1:26" ht="12" customHeight="1">
      <c r="A33" s="142" t="s">
        <v>31</v>
      </c>
      <c r="B33" s="138">
        <v>0</v>
      </c>
      <c r="C33" s="139">
        <v>0</v>
      </c>
      <c r="D33" s="210">
        <f t="shared" si="2"/>
        <v>0</v>
      </c>
      <c r="E33" s="203">
        <f t="shared" si="6"/>
        <v>0</v>
      </c>
      <c r="F33" s="203">
        <f t="shared" si="7"/>
        <v>0</v>
      </c>
      <c r="G33" s="210">
        <f t="shared" si="8"/>
        <v>0</v>
      </c>
      <c r="R33" s="65" t="s">
        <v>157</v>
      </c>
      <c r="S33" s="67">
        <f>SUMIF('SUIVI JOURNALIER AVRIL'!$E$345:$AY$345,AVRIL!R33,'SUIVI JOURNALIER AVRIL'!$E$344:$AY$344)</f>
        <v>0</v>
      </c>
      <c r="T33" s="73">
        <f>SUMIF('SUIVI JOURNALIER AVRIL'!$C:$C,AVRIL!T$7,'SUIVI JOURNALIER AVRIL'!$AV:$AV)</f>
        <v>0</v>
      </c>
      <c r="U33" s="70">
        <f>SUMIF('SUIVI JOURNALIER AVRIL'!$C:$C,AVRIL!U$7,'SUIVI JOURNALIER AVRIL'!$AV:$AV)</f>
        <v>0</v>
      </c>
      <c r="V33" s="70">
        <f>SUMIF('SUIVI JOURNALIER AVRIL'!$C:$C,AVRIL!V$7,'SUIVI JOURNALIER AVRIL'!$AV:$AV)</f>
        <v>0</v>
      </c>
      <c r="W33" s="70">
        <f>SUMIF('SUIVI JOURNALIER AVRIL'!$C:$C,AVRIL!W$7,'SUIVI JOURNALIER AVRIL'!$AV:$AV)</f>
        <v>0</v>
      </c>
      <c r="X33" s="70">
        <f>SUMIF('SUIVI JOURNALIER AVRIL'!$C:$C,AVRIL!X$7,'SUIVI JOURNALIER AVRIL'!$AV:$AV)</f>
        <v>0</v>
      </c>
      <c r="Y33" s="74">
        <f t="shared" si="1"/>
        <v>0</v>
      </c>
      <c r="Z33" s="29">
        <f t="shared" si="0"/>
        <v>0</v>
      </c>
    </row>
    <row r="34" spans="1:26" ht="12" customHeight="1">
      <c r="A34" s="140" t="s">
        <v>32</v>
      </c>
      <c r="B34" s="138">
        <f>'SUIVI JOURNALIER AVRIL'!H344</f>
        <v>0</v>
      </c>
      <c r="C34" s="139">
        <v>0</v>
      </c>
      <c r="D34" s="210">
        <f t="shared" si="2"/>
        <v>0</v>
      </c>
      <c r="E34" s="203">
        <f t="shared" si="6"/>
        <v>0</v>
      </c>
      <c r="F34" s="203">
        <f t="shared" si="7"/>
        <v>0</v>
      </c>
      <c r="G34" s="210">
        <f t="shared" si="8"/>
        <v>0</v>
      </c>
      <c r="L34" s="29"/>
      <c r="R34" s="65" t="s">
        <v>158</v>
      </c>
      <c r="S34" s="67">
        <f>SUMIF('SUIVI JOURNALIER AVRIL'!$E$345:$AY$345,AVRIL!R34,'SUIVI JOURNALIER AVRIL'!$E$344:$AY$344)</f>
        <v>0</v>
      </c>
      <c r="T34" s="73">
        <f>SUMIF('SUIVI JOURNALIER AVRIL'!$C:$C,AVRIL!T$7,'SUIVI JOURNALIER AVRIL'!$AW:$AW)</f>
        <v>0</v>
      </c>
      <c r="U34" s="70">
        <f>SUMIF('SUIVI JOURNALIER AVRIL'!$C:$C,AVRIL!U$7,'SUIVI JOURNALIER AVRIL'!$AW:$AW)</f>
        <v>0</v>
      </c>
      <c r="V34" s="70">
        <f>SUMIF('SUIVI JOURNALIER AVRIL'!$C:$C,AVRIL!V$7,'SUIVI JOURNALIER AVRIL'!$AW:$AW)</f>
        <v>0</v>
      </c>
      <c r="W34" s="70">
        <f>SUMIF('SUIVI JOURNALIER AVRIL'!$C:$C,AVRIL!W$7,'SUIVI JOURNALIER AVRIL'!$AW:$AW)</f>
        <v>0</v>
      </c>
      <c r="X34" s="70">
        <f>SUMIF('SUIVI JOURNALIER AVRIL'!$C:$C,AVRIL!X$7,'SUIVI JOURNALIER AVRIL'!$AW:$AW)</f>
        <v>0</v>
      </c>
      <c r="Y34" s="74">
        <f t="shared" si="1"/>
        <v>0</v>
      </c>
      <c r="Z34" s="29">
        <f t="shared" si="0"/>
        <v>0</v>
      </c>
    </row>
    <row r="35" spans="1:26" ht="12" customHeight="1">
      <c r="A35" s="141" t="s">
        <v>33</v>
      </c>
      <c r="B35" s="138">
        <f>'SUIVI JOURNALIER AVRIL'!I344</f>
        <v>391174</v>
      </c>
      <c r="C35" s="139">
        <f>CONTROLES!H279</f>
        <v>0</v>
      </c>
      <c r="D35" s="210">
        <f t="shared" si="2"/>
        <v>391174</v>
      </c>
      <c r="E35" s="203">
        <f t="shared" si="6"/>
        <v>391174</v>
      </c>
      <c r="F35" s="203">
        <f t="shared" si="7"/>
        <v>0</v>
      </c>
      <c r="G35" s="210">
        <f t="shared" si="8"/>
        <v>391174</v>
      </c>
      <c r="R35" s="65" t="s">
        <v>159</v>
      </c>
      <c r="S35" s="67">
        <f>SUMIF('SUIVI JOURNALIER AVRIL'!$E$345:$AY$345,AVRIL!R35,'SUIVI JOURNALIER AVRIL'!$E$344:$AY$344)</f>
        <v>440</v>
      </c>
      <c r="T35" s="73">
        <f>SUMIF('SUIVI JOURNALIER AVRIL'!$C:$C,AVRIL!T$7,'SUIVI JOURNALIER AVRIL'!$AY:$AY)</f>
        <v>440</v>
      </c>
      <c r="U35" s="70">
        <f>SUMIF('SUIVI JOURNALIER AVRIL'!$C:$C,AVRIL!U$7,'SUIVI JOURNALIER AVRIL'!$AY:$AY)</f>
        <v>0</v>
      </c>
      <c r="V35" s="70">
        <f>SUMIF('SUIVI JOURNALIER AVRIL'!$C:$C,AVRIL!V$7,'SUIVI JOURNALIER AVRIL'!$AY:$AY)</f>
        <v>0</v>
      </c>
      <c r="W35" s="70">
        <f>SUMIF('SUIVI JOURNALIER AVRIL'!$C:$C,AVRIL!W$7,'SUIVI JOURNALIER AVRIL'!$AY:$AY)</f>
        <v>0</v>
      </c>
      <c r="X35" s="70">
        <f>SUMIF('SUIVI JOURNALIER AVRIL'!$C:$C,AVRIL!X$7,'SUIVI JOURNALIER AVRIL'!$AY:$AY)</f>
        <v>0</v>
      </c>
      <c r="Y35" s="74">
        <f t="shared" si="1"/>
        <v>440</v>
      </c>
      <c r="Z35" s="29">
        <f t="shared" si="0"/>
        <v>0</v>
      </c>
    </row>
    <row r="36" spans="1:26" ht="12" customHeight="1">
      <c r="A36" s="141" t="s">
        <v>2157</v>
      </c>
      <c r="B36" s="138">
        <f>'SUIVI JOURNALIER AVRIL'!E344</f>
        <v>491200</v>
      </c>
      <c r="C36" s="139">
        <f>CONTROLES!D279</f>
        <v>0</v>
      </c>
      <c r="D36" s="210">
        <f t="shared" si="2"/>
        <v>491200</v>
      </c>
      <c r="E36" s="203">
        <f t="shared" si="6"/>
        <v>491200</v>
      </c>
      <c r="F36" s="203">
        <f t="shared" si="7"/>
        <v>0</v>
      </c>
      <c r="G36" s="210">
        <f t="shared" si="8"/>
        <v>491200</v>
      </c>
      <c r="I36" s="6">
        <f>H44-'SUIVI JOURNALIER AVRIL'!CD344</f>
        <v>0</v>
      </c>
      <c r="N36" s="29"/>
      <c r="O36" s="29">
        <f ca="1">+S37-O29</f>
        <v>10999.999999970198</v>
      </c>
      <c r="R36" s="65" t="s">
        <v>161</v>
      </c>
      <c r="S36" s="67">
        <f ca="1">SUMIF('SUIVI JOURNALIER AVRIL'!$E$345:$BD$345,AVRIL!R36,'SUIVI JOURNALIER AVRIL'!$E$344:$AY$344)</f>
        <v>0</v>
      </c>
      <c r="T36" s="73">
        <f>SUMIF('SUIVI JOURNALIER AVRIL'!$C:$C,AVRIL!T$7,'SUIVI JOURNALIER AVRIL'!$BB:$BB)</f>
        <v>0</v>
      </c>
      <c r="U36" s="70">
        <f>SUMIF('SUIVI JOURNALIER AVRIL'!$C:$C,AVRIL!U$7,'SUIVI JOURNALIER AVRIL'!$BB:$BB)</f>
        <v>0</v>
      </c>
      <c r="V36" s="70">
        <f>SUMIF('SUIVI JOURNALIER AVRIL'!$C:$C,AVRIL!V$7,'SUIVI JOURNALIER AVRIL'!$BB:$BB)</f>
        <v>0</v>
      </c>
      <c r="W36" s="70">
        <f>SUMIF('SUIVI JOURNALIER AVRIL'!$C:$C,AVRIL!W$7,'SUIVI JOURNALIER AVRIL'!$BB:$BB)</f>
        <v>0</v>
      </c>
      <c r="X36" s="70">
        <f>SUMIF('SUIVI JOURNALIER AVRIL'!$C:$C,AVRIL!X$7,'SUIVI JOURNALIER AVRIL'!$BB:$BB)</f>
        <v>0</v>
      </c>
      <c r="Y36" s="74">
        <f t="shared" si="1"/>
        <v>0</v>
      </c>
      <c r="Z36" s="29">
        <f ca="1">S36-Y36</f>
        <v>0</v>
      </c>
    </row>
    <row r="37" spans="1:26" ht="12" customHeight="1" thickBot="1">
      <c r="A37" s="143" t="s">
        <v>34</v>
      </c>
      <c r="B37" s="144">
        <f>SUM(B38:B42)</f>
        <v>26198583</v>
      </c>
      <c r="C37" s="144">
        <f>SUM(C38:C42)</f>
        <v>12978981.272727273</v>
      </c>
      <c r="D37" s="211">
        <f>SUM(D38:D42)</f>
        <v>39177564.272727273</v>
      </c>
      <c r="E37" s="204">
        <f>B37</f>
        <v>26198583</v>
      </c>
      <c r="F37" s="204">
        <f>C37</f>
        <v>12978981.272727273</v>
      </c>
      <c r="G37" s="211">
        <f>D37</f>
        <v>39177564.272727273</v>
      </c>
      <c r="R37" s="68" t="s">
        <v>1609</v>
      </c>
      <c r="S37" s="69">
        <f ca="1">SUM(S9:S36)</f>
        <v>199817706.34090906</v>
      </c>
      <c r="T37" s="273">
        <f>SUM(T9:T36)</f>
        <v>6957872.1818181816</v>
      </c>
      <c r="U37" s="75">
        <f>SUM(U9:U36)</f>
        <v>30641240.272727273</v>
      </c>
      <c r="V37" s="75">
        <f>SUM(V9:V35)</f>
        <v>51659296.090909086</v>
      </c>
      <c r="W37" s="75">
        <f>SUM(W9:W35)</f>
        <v>96537048.25</v>
      </c>
      <c r="X37" s="75">
        <f>SUM(X9:X35)</f>
        <v>14011249.545454545</v>
      </c>
      <c r="Y37" s="69">
        <f>SUM(Y9:Y36)</f>
        <v>199806706.34090906</v>
      </c>
      <c r="Z37" s="29"/>
    </row>
    <row r="38" spans="1:26" ht="12" customHeight="1">
      <c r="A38" s="147" t="s">
        <v>2158</v>
      </c>
      <c r="B38" s="138">
        <f>'SUIVI JOURNALIER AVRIL'!Q344</f>
        <v>5031410</v>
      </c>
      <c r="C38" s="139">
        <f>+CONTROLES!P279</f>
        <v>0</v>
      </c>
      <c r="D38" s="210">
        <f t="shared" si="2"/>
        <v>5031410</v>
      </c>
      <c r="E38" s="203">
        <f t="shared" ref="E38:F42" si="9">B38</f>
        <v>5031410</v>
      </c>
      <c r="F38" s="203">
        <f t="shared" si="9"/>
        <v>0</v>
      </c>
      <c r="G38" s="210">
        <f t="shared" si="8"/>
        <v>5031410</v>
      </c>
    </row>
    <row r="39" spans="1:26" ht="12" customHeight="1">
      <c r="A39" s="147" t="s">
        <v>35</v>
      </c>
      <c r="B39" s="138">
        <f>'SUIVI JOURNALIER AVRIL'!O344</f>
        <v>21167173</v>
      </c>
      <c r="C39" s="139">
        <f>CONTROLES!O279</f>
        <v>12978981.272727273</v>
      </c>
      <c r="D39" s="210">
        <f>B39+C39</f>
        <v>34146154.272727273</v>
      </c>
      <c r="E39" s="203">
        <f t="shared" si="9"/>
        <v>21167173</v>
      </c>
      <c r="F39" s="203">
        <f t="shared" si="9"/>
        <v>12978981.272727273</v>
      </c>
      <c r="G39" s="210">
        <f t="shared" si="8"/>
        <v>34146154.272727273</v>
      </c>
    </row>
    <row r="40" spans="1:26" ht="12" customHeight="1">
      <c r="A40" s="147" t="s">
        <v>36</v>
      </c>
      <c r="B40" s="138">
        <v>0</v>
      </c>
      <c r="C40" s="139">
        <v>0</v>
      </c>
      <c r="D40" s="210">
        <f t="shared" si="2"/>
        <v>0</v>
      </c>
      <c r="E40" s="203">
        <f t="shared" si="9"/>
        <v>0</v>
      </c>
      <c r="F40" s="203">
        <f t="shared" si="9"/>
        <v>0</v>
      </c>
      <c r="G40" s="210">
        <f t="shared" si="8"/>
        <v>0</v>
      </c>
    </row>
    <row r="41" spans="1:26" ht="12" customHeight="1">
      <c r="A41" s="147" t="s">
        <v>37</v>
      </c>
      <c r="B41" s="138">
        <v>0</v>
      </c>
      <c r="C41" s="139">
        <v>0</v>
      </c>
      <c r="D41" s="210">
        <f t="shared" si="2"/>
        <v>0</v>
      </c>
      <c r="E41" s="203">
        <f t="shared" si="9"/>
        <v>0</v>
      </c>
      <c r="F41" s="203">
        <f t="shared" si="9"/>
        <v>0</v>
      </c>
      <c r="G41" s="210">
        <f t="shared" si="8"/>
        <v>0</v>
      </c>
    </row>
    <row r="42" spans="1:26" ht="12" customHeight="1" thickBot="1">
      <c r="A42" s="147" t="s">
        <v>26</v>
      </c>
      <c r="B42" s="138">
        <v>0</v>
      </c>
      <c r="C42" s="139">
        <v>0</v>
      </c>
      <c r="D42" s="210">
        <f t="shared" si="2"/>
        <v>0</v>
      </c>
      <c r="E42" s="203">
        <f t="shared" si="9"/>
        <v>0</v>
      </c>
      <c r="F42" s="203">
        <f t="shared" si="9"/>
        <v>0</v>
      </c>
      <c r="G42" s="210">
        <f t="shared" si="8"/>
        <v>0</v>
      </c>
      <c r="U42" s="225">
        <f ca="1">Y37-S37</f>
        <v>-11000</v>
      </c>
    </row>
    <row r="43" spans="1:26" ht="12" customHeight="1">
      <c r="A43" s="143" t="s">
        <v>38</v>
      </c>
      <c r="B43" s="144">
        <f>SUM(B44:B45)</f>
        <v>11202102</v>
      </c>
      <c r="C43" s="144">
        <f>SUM(C44:C45)</f>
        <v>1500000</v>
      </c>
      <c r="D43" s="226">
        <f>SUM(D44:D45)</f>
        <v>12702102</v>
      </c>
      <c r="E43" s="204">
        <f t="shared" ref="E43:G46" si="10">B43</f>
        <v>11202102</v>
      </c>
      <c r="F43" s="204">
        <f t="shared" si="10"/>
        <v>1500000</v>
      </c>
      <c r="G43" s="230">
        <f t="shared" si="10"/>
        <v>12702102</v>
      </c>
      <c r="H43" s="249" t="s">
        <v>2174</v>
      </c>
      <c r="I43" s="496">
        <f>pointage!E2</f>
        <v>284748209.07777774</v>
      </c>
      <c r="V43" s="29"/>
    </row>
    <row r="44" spans="1:26" ht="12" customHeight="1">
      <c r="A44" s="147" t="s">
        <v>39</v>
      </c>
      <c r="B44" s="138">
        <f>'SUIVI JOURNALIER AVRIL'!AG344</f>
        <v>783701</v>
      </c>
      <c r="C44" s="139">
        <f>CONTROLES!AF279</f>
        <v>0</v>
      </c>
      <c r="D44" s="210">
        <f t="shared" si="2"/>
        <v>783701</v>
      </c>
      <c r="E44" s="203">
        <f t="shared" si="10"/>
        <v>783701</v>
      </c>
      <c r="F44" s="203">
        <f t="shared" si="10"/>
        <v>0</v>
      </c>
      <c r="G44" s="231">
        <f t="shared" si="10"/>
        <v>783701</v>
      </c>
      <c r="H44" s="234">
        <f>+B46+B126</f>
        <v>199817706.34090906</v>
      </c>
      <c r="J44" s="235">
        <f>I43-I46</f>
        <v>-6.2161624431610107E-2</v>
      </c>
    </row>
    <row r="45" spans="1:26" ht="12" customHeight="1" thickBot="1">
      <c r="A45" s="147" t="s">
        <v>40</v>
      </c>
      <c r="B45" s="138">
        <f>'SUIVI JOURNALIER AVRIL'!AE344+'SUIVI JOURNALIER AVRIL'!AF344</f>
        <v>10418401</v>
      </c>
      <c r="C45" s="139">
        <f>CONTROLES!AE279</f>
        <v>1500000</v>
      </c>
      <c r="D45" s="210">
        <f t="shared" si="2"/>
        <v>11918401</v>
      </c>
      <c r="E45" s="203">
        <f t="shared" si="10"/>
        <v>10418401</v>
      </c>
      <c r="F45" s="203">
        <f t="shared" si="10"/>
        <v>1500000</v>
      </c>
      <c r="G45" s="231">
        <f t="shared" si="10"/>
        <v>11918401</v>
      </c>
      <c r="H45" s="234" t="s">
        <v>2134</v>
      </c>
      <c r="J45" s="6"/>
    </row>
    <row r="46" spans="1:26" ht="12" customHeight="1" thickBot="1">
      <c r="A46" s="148" t="s">
        <v>41</v>
      </c>
      <c r="B46" s="212">
        <f>SUM(B43,B37,B29,B15)</f>
        <v>161759375.09090906</v>
      </c>
      <c r="C46" s="212">
        <f>SUM(C43,C37,C29,C15)</f>
        <v>53418206.481818184</v>
      </c>
      <c r="D46" s="212">
        <f>SUM(D43,D37,D29,D15)</f>
        <v>215177581.57272726</v>
      </c>
      <c r="E46" s="205">
        <f>B46</f>
        <v>161759375.09090906</v>
      </c>
      <c r="F46" s="205">
        <f t="shared" si="10"/>
        <v>53418206.481818184</v>
      </c>
      <c r="G46" s="232">
        <f t="shared" si="10"/>
        <v>215177581.57272726</v>
      </c>
      <c r="H46" s="234">
        <f>F46+F126</f>
        <v>53418206.481818184</v>
      </c>
      <c r="I46" s="233">
        <f>H46+H44+H48+H50+H52+H54</f>
        <v>284748209.13993937</v>
      </c>
      <c r="K46" s="6"/>
    </row>
    <row r="47" spans="1:26" ht="12" customHeight="1" thickBot="1">
      <c r="A47" s="149" t="s">
        <v>42</v>
      </c>
      <c r="B47" s="151"/>
      <c r="C47" s="152"/>
      <c r="D47" s="152"/>
      <c r="E47" s="153"/>
      <c r="F47" s="152"/>
      <c r="G47" s="152"/>
      <c r="H47" s="234" t="s">
        <v>2175</v>
      </c>
      <c r="N47" s="29"/>
    </row>
    <row r="48" spans="1:26" ht="12" customHeight="1" thickBot="1">
      <c r="A48" s="154" t="s">
        <v>43</v>
      </c>
      <c r="B48" s="155">
        <f>'point sur les patentes'!G143</f>
        <v>254635.96849999996</v>
      </c>
      <c r="C48" s="139">
        <f>+CONTROLES!BF279</f>
        <v>21110.6</v>
      </c>
      <c r="D48" s="210">
        <f t="shared" ref="D48:D63" si="11">B48+C48</f>
        <v>275746.56849999994</v>
      </c>
      <c r="E48" s="156">
        <f>B48</f>
        <v>254635.96849999996</v>
      </c>
      <c r="F48" s="156">
        <f>C48</f>
        <v>21110.6</v>
      </c>
      <c r="G48" s="231">
        <f t="shared" ref="G48:G63" si="12">E48+F48</f>
        <v>275746.56849999994</v>
      </c>
      <c r="H48" s="234">
        <f>H64+H65+H148+H147</f>
        <v>20890376.949318185</v>
      </c>
    </row>
    <row r="49" spans="1:19" ht="12" customHeight="1" thickBot="1">
      <c r="A49" s="141" t="s">
        <v>44</v>
      </c>
      <c r="B49" s="138">
        <f>'point sur les patentes'!F143</f>
        <v>1017969.7230000002</v>
      </c>
      <c r="C49" s="139">
        <f>+CONTROLES!BE279</f>
        <v>84394.8</v>
      </c>
      <c r="D49" s="210">
        <f t="shared" si="11"/>
        <v>1102364.5230000003</v>
      </c>
      <c r="E49" s="156">
        <f t="shared" ref="E49:E63" si="13">B49</f>
        <v>1017969.7230000002</v>
      </c>
      <c r="F49" s="156">
        <f t="shared" ref="F49:F63" si="14">C49</f>
        <v>84394.8</v>
      </c>
      <c r="G49" s="231">
        <f t="shared" si="12"/>
        <v>1102364.5230000003</v>
      </c>
      <c r="H49" s="234" t="s">
        <v>2176</v>
      </c>
    </row>
    <row r="50" spans="1:19" ht="12" customHeight="1" thickBot="1">
      <c r="A50" s="141" t="s">
        <v>45</v>
      </c>
      <c r="B50" s="138">
        <f>'point sur les patentes'!L143</f>
        <v>145652</v>
      </c>
      <c r="C50" s="139">
        <f>CONTROLES!BK279</f>
        <v>0</v>
      </c>
      <c r="D50" s="210">
        <f t="shared" si="11"/>
        <v>145652</v>
      </c>
      <c r="E50" s="156">
        <f t="shared" si="13"/>
        <v>145652</v>
      </c>
      <c r="F50" s="156">
        <f t="shared" si="14"/>
        <v>0</v>
      </c>
      <c r="G50" s="231">
        <f t="shared" si="12"/>
        <v>145652</v>
      </c>
      <c r="H50" s="234">
        <f>G73</f>
        <v>1184018</v>
      </c>
      <c r="I50" s="6">
        <f>H48+H50+H52+H54</f>
        <v>31512296.317212127</v>
      </c>
      <c r="J50" s="29">
        <f>'SUIVI JOURNALIER AVRIL'!CC346+CONTROLES!BY285</f>
        <v>27560781.317212127</v>
      </c>
    </row>
    <row r="51" spans="1:19" ht="12" customHeight="1" thickBot="1">
      <c r="A51" s="141" t="s">
        <v>46</v>
      </c>
      <c r="B51" s="138">
        <f>'point sur les patentes'!K143</f>
        <v>509782</v>
      </c>
      <c r="C51" s="139">
        <v>0</v>
      </c>
      <c r="D51" s="210">
        <f t="shared" si="11"/>
        <v>509782</v>
      </c>
      <c r="E51" s="156">
        <f t="shared" si="13"/>
        <v>509782</v>
      </c>
      <c r="F51" s="156">
        <f t="shared" si="14"/>
        <v>0</v>
      </c>
      <c r="G51" s="231">
        <f t="shared" si="12"/>
        <v>509782</v>
      </c>
      <c r="H51" s="234" t="s">
        <v>2177</v>
      </c>
      <c r="S51" t="s">
        <v>1994</v>
      </c>
    </row>
    <row r="52" spans="1:19" ht="12" customHeight="1" thickBot="1">
      <c r="A52" s="141" t="s">
        <v>47</v>
      </c>
      <c r="B52" s="138">
        <f>'SUIVI JOURNALIER AVRIL'!BQ344+'point sur les patentes'!P143</f>
        <v>870783.3</v>
      </c>
      <c r="C52" s="139">
        <f>+CONTROLES!BM279</f>
        <v>43200</v>
      </c>
      <c r="D52" s="210">
        <f t="shared" si="11"/>
        <v>913983.3</v>
      </c>
      <c r="E52" s="156">
        <f t="shared" si="13"/>
        <v>870783.3</v>
      </c>
      <c r="F52" s="156">
        <f t="shared" si="14"/>
        <v>43200</v>
      </c>
      <c r="G52" s="231">
        <f t="shared" si="12"/>
        <v>913983.3</v>
      </c>
      <c r="H52" s="234">
        <f>H71+H72</f>
        <v>6838425.4084999999</v>
      </c>
      <c r="M52" s="28" t="s">
        <v>1440</v>
      </c>
      <c r="N52" s="25">
        <f>SUMIF('SUIVI JOURNALIER AVRIL'!C:C,AVRIL!M52,'SUIVI JOURNALIER AVRIL'!CD:CD)</f>
        <v>6957872.1818181816</v>
      </c>
      <c r="S52" s="29">
        <f>SUMIF('SUIVI JOURNALIER AVRIL'!C:C,AVRIL!M52,'SUIVI JOURNALIER AVRIL'!CG:CG)</f>
        <v>185019.09090909088</v>
      </c>
    </row>
    <row r="53" spans="1:19" ht="12" customHeight="1" thickBot="1">
      <c r="A53" s="141" t="s">
        <v>48</v>
      </c>
      <c r="B53" s="138">
        <f>'SUIVI JOURNALIER AVRIL'!M344</f>
        <v>6590182.4863636354</v>
      </c>
      <c r="C53" s="139">
        <f>CONTROLES!L279</f>
        <v>1912073.3603636362</v>
      </c>
      <c r="D53" s="210">
        <f t="shared" si="11"/>
        <v>8502255.8467272706</v>
      </c>
      <c r="E53" s="156">
        <f t="shared" si="13"/>
        <v>6590182.4863636354</v>
      </c>
      <c r="F53" s="156">
        <f t="shared" si="14"/>
        <v>1912073.3603636362</v>
      </c>
      <c r="G53" s="231">
        <f t="shared" si="12"/>
        <v>8502255.8467272706</v>
      </c>
      <c r="H53" s="234" t="s">
        <v>2178</v>
      </c>
      <c r="M53" s="28" t="s">
        <v>1432</v>
      </c>
      <c r="N53" s="25">
        <f>SUMIF('SUIVI JOURNALIER AVRIL'!C:C,AVRIL!M53,'SUIVI JOURNALIER AVRIL'!CD:CD)</f>
        <v>30641240.272727273</v>
      </c>
      <c r="S53" s="29">
        <f>SUMIF('SUIVI JOURNALIER AVRIL'!C:C,AVRIL!M53,'SUIVI JOURNALIER AVRIL'!CG:CG)</f>
        <v>3945073.6363636362</v>
      </c>
    </row>
    <row r="54" spans="1:19" ht="12" customHeight="1" thickBot="1">
      <c r="A54" s="141" t="s">
        <v>49</v>
      </c>
      <c r="B54" s="138">
        <v>0</v>
      </c>
      <c r="C54" s="139">
        <v>0</v>
      </c>
      <c r="D54" s="210">
        <f t="shared" si="11"/>
        <v>0</v>
      </c>
      <c r="E54" s="156">
        <f t="shared" si="13"/>
        <v>0</v>
      </c>
      <c r="F54" s="156">
        <f t="shared" si="14"/>
        <v>0</v>
      </c>
      <c r="G54" s="231">
        <f t="shared" si="12"/>
        <v>0</v>
      </c>
      <c r="H54" s="250">
        <f>+G72</f>
        <v>2599475.959393939</v>
      </c>
      <c r="J54" s="29">
        <f>J50-I50</f>
        <v>-3951515</v>
      </c>
      <c r="M54" s="28" t="s">
        <v>1434</v>
      </c>
      <c r="N54" s="25">
        <f>SUMIF('SUIVI JOURNALIER AVRIL'!C:C,AVRIL!M54,'SUIVI JOURNALIER AVRIL'!CD:CD)</f>
        <v>51659296.090909094</v>
      </c>
      <c r="S54" s="29">
        <f>SUMIF('SUIVI JOURNALIER AVRIL'!C:C,AVRIL!M54,'SUIVI JOURNALIER AVRIL'!CG:CG)</f>
        <v>0</v>
      </c>
    </row>
    <row r="55" spans="1:19" ht="12" customHeight="1" thickBot="1">
      <c r="A55" s="141" t="s">
        <v>50</v>
      </c>
      <c r="B55" s="138">
        <f>'SUIVI JOURNALIER AVRIL'!N344</f>
        <v>2977476.7287272732</v>
      </c>
      <c r="C55" s="139">
        <f>CONTROLES!N279</f>
        <v>863517.00145454542</v>
      </c>
      <c r="D55" s="210">
        <f t="shared" si="11"/>
        <v>3840993.7301818188</v>
      </c>
      <c r="E55" s="156">
        <f t="shared" si="13"/>
        <v>2977476.7287272732</v>
      </c>
      <c r="F55" s="156">
        <f t="shared" si="14"/>
        <v>863517.00145454542</v>
      </c>
      <c r="G55" s="210">
        <f t="shared" si="12"/>
        <v>3840993.7301818188</v>
      </c>
      <c r="M55" s="28" t="s">
        <v>1435</v>
      </c>
      <c r="N55" s="25">
        <f>SUMIF('SUIVI JOURNALIER AVRIL'!C:C,AVRIL!M55,'SUIVI JOURNALIER AVRIL'!CD:CD)</f>
        <v>96537048.249999985</v>
      </c>
      <c r="O55" s="29"/>
      <c r="S55" s="29">
        <f>SUMIF('SUIVI JOURNALIER AVRIL'!C:C,AVRIL!M55,'SUIVI JOURNALIER AVRIL'!CG:CG)</f>
        <v>9618665.5454545449</v>
      </c>
    </row>
    <row r="56" spans="1:19" ht="12" customHeight="1" thickBot="1">
      <c r="A56" s="141" t="s">
        <v>51</v>
      </c>
      <c r="B56" s="138">
        <f>'SUIVI JOURNALIER AVRIL'!AC344</f>
        <v>990484.11127272714</v>
      </c>
      <c r="C56" s="139">
        <f>CONTROLES!AB279</f>
        <v>169922.97399999999</v>
      </c>
      <c r="D56" s="210">
        <f t="shared" si="11"/>
        <v>1160407.0852727271</v>
      </c>
      <c r="E56" s="156">
        <f t="shared" si="13"/>
        <v>990484.11127272714</v>
      </c>
      <c r="F56" s="156">
        <f t="shared" si="14"/>
        <v>169922.97399999999</v>
      </c>
      <c r="G56" s="210">
        <f t="shared" si="12"/>
        <v>1160407.0852727271</v>
      </c>
      <c r="M56" s="28" t="s">
        <v>1433</v>
      </c>
      <c r="N56" s="25">
        <f>SUMIF('SUIVI JOURNALIER AVRIL'!C:C,AVRIL!M56,'SUIVI JOURNALIER AVRIL'!CD:CD)</f>
        <v>14011249.545454545</v>
      </c>
      <c r="O56" s="32" t="s">
        <v>1555</v>
      </c>
      <c r="P56" s="32" t="s">
        <v>1571</v>
      </c>
      <c r="S56" s="29">
        <f>SUMIF('SUIVI JOURNALIER AVRIL'!C:C,AVRIL!M56,'SUIVI JOURNALIER AVRIL'!CG:CG)</f>
        <v>990390</v>
      </c>
    </row>
    <row r="57" spans="1:19" ht="12" customHeight="1" thickBot="1">
      <c r="A57" s="141" t="s">
        <v>52</v>
      </c>
      <c r="B57" s="138">
        <v>0</v>
      </c>
      <c r="C57" s="139">
        <v>0</v>
      </c>
      <c r="D57" s="210">
        <f t="shared" si="11"/>
        <v>0</v>
      </c>
      <c r="E57" s="156">
        <f t="shared" si="13"/>
        <v>0</v>
      </c>
      <c r="F57" s="156">
        <f t="shared" si="14"/>
        <v>0</v>
      </c>
      <c r="G57" s="210">
        <f t="shared" si="12"/>
        <v>0</v>
      </c>
      <c r="M57" s="765">
        <f>+N52+N53+N54+N55+N56</f>
        <v>199806706.34090906</v>
      </c>
      <c r="N57" s="766"/>
      <c r="O57" s="54">
        <f>SUMIF(CONTROLES!$CA$2:$CA$278,CONTROLES!CB3,CONTROLES!$BY$2:$BY$278)</f>
        <v>33320734.209090911</v>
      </c>
      <c r="P57" s="54">
        <f>SUMIF(CONTROLES!$CA$2:$CA$278,CONTROLES!CB2,CONTROLES!$BY$2:$BY$278)</f>
        <v>20097472.272727273</v>
      </c>
      <c r="R57" s="29">
        <f>M57+O57+P57+Q57</f>
        <v>253224912.82272726</v>
      </c>
      <c r="S57" s="29">
        <f>SUM(S52:S56)</f>
        <v>14739148.272727272</v>
      </c>
    </row>
    <row r="58" spans="1:19" ht="12" customHeight="1" thickBot="1">
      <c r="A58" s="141" t="s">
        <v>53</v>
      </c>
      <c r="B58" s="138">
        <f>'SUIVI JOURNALIER AVRIL'!AD344</f>
        <v>447315.4050909091</v>
      </c>
      <c r="C58" s="139">
        <f>CONTROLES!AD279</f>
        <v>76738.956000000006</v>
      </c>
      <c r="D58" s="210">
        <f t="shared" si="11"/>
        <v>524054.36109090911</v>
      </c>
      <c r="E58" s="156">
        <f t="shared" si="13"/>
        <v>447315.4050909091</v>
      </c>
      <c r="F58" s="156">
        <f t="shared" si="14"/>
        <v>76738.956000000006</v>
      </c>
      <c r="G58" s="210">
        <f t="shared" si="12"/>
        <v>524054.36109090911</v>
      </c>
    </row>
    <row r="59" spans="1:19" ht="12" customHeight="1" thickBot="1">
      <c r="A59" s="141" t="s">
        <v>54</v>
      </c>
      <c r="B59" s="138">
        <f>'SUIVI JOURNALIER AVRIL'!S344</f>
        <v>1624777.1460000004</v>
      </c>
      <c r="C59" s="139">
        <f>CONTROLES!R279</f>
        <v>711696.83890909085</v>
      </c>
      <c r="D59" s="210">
        <f t="shared" si="11"/>
        <v>2336473.9849090911</v>
      </c>
      <c r="E59" s="156">
        <f t="shared" si="13"/>
        <v>1624777.1460000004</v>
      </c>
      <c r="F59" s="156">
        <f t="shared" si="14"/>
        <v>711696.83890909085</v>
      </c>
      <c r="G59" s="210">
        <f t="shared" si="12"/>
        <v>2336473.9849090911</v>
      </c>
      <c r="L59" s="6"/>
      <c r="N59" s="21" t="str">
        <f>IF(INT(K65)=INT(M57+O57+N51+P57+Q57),"OK","il y a probleme")</f>
        <v>il y a probleme</v>
      </c>
      <c r="Q59" s="29"/>
      <c r="R59" s="6"/>
    </row>
    <row r="60" spans="1:19" ht="12" customHeight="1" thickBot="1">
      <c r="A60" s="141" t="s">
        <v>55</v>
      </c>
      <c r="B60" s="138">
        <v>0</v>
      </c>
      <c r="C60" s="139">
        <v>0</v>
      </c>
      <c r="D60" s="210">
        <f t="shared" si="11"/>
        <v>0</v>
      </c>
      <c r="E60" s="156">
        <f t="shared" si="13"/>
        <v>0</v>
      </c>
      <c r="F60" s="156">
        <f t="shared" si="14"/>
        <v>0</v>
      </c>
      <c r="G60" s="210">
        <f t="shared" si="12"/>
        <v>0</v>
      </c>
      <c r="H60" s="6"/>
      <c r="R60" s="6"/>
    </row>
    <row r="61" spans="1:19" ht="12" customHeight="1" thickBot="1">
      <c r="A61" s="141" t="s">
        <v>56</v>
      </c>
      <c r="B61" s="138">
        <f>'SUIVI JOURNALIER AVRIL'!T344</f>
        <v>733770.32400000014</v>
      </c>
      <c r="C61" s="139">
        <f>CONTROLES!T279</f>
        <v>321411.47563636367</v>
      </c>
      <c r="D61" s="210">
        <f t="shared" si="11"/>
        <v>1055181.7996363638</v>
      </c>
      <c r="E61" s="156">
        <f t="shared" si="13"/>
        <v>733770.32400000014</v>
      </c>
      <c r="F61" s="156">
        <f t="shared" si="14"/>
        <v>321411.47563636367</v>
      </c>
      <c r="G61" s="210">
        <f t="shared" si="12"/>
        <v>1055181.7996363638</v>
      </c>
      <c r="H61" s="6">
        <f>H65-B64</f>
        <v>0</v>
      </c>
      <c r="N61" s="6">
        <f>R57-K65</f>
        <v>-11000</v>
      </c>
      <c r="Q61" s="6"/>
    </row>
    <row r="62" spans="1:19" ht="12" customHeight="1" thickBot="1">
      <c r="A62" s="141" t="s">
        <v>2173</v>
      </c>
      <c r="B62" s="138">
        <f>'SUIVI JOURNALIER AVRIL'!G344</f>
        <v>71500</v>
      </c>
      <c r="C62" s="139">
        <f>CONTROLES!F279</f>
        <v>0</v>
      </c>
      <c r="D62" s="210">
        <f t="shared" si="11"/>
        <v>71500</v>
      </c>
      <c r="E62" s="156">
        <f t="shared" si="13"/>
        <v>71500</v>
      </c>
      <c r="F62" s="156">
        <f t="shared" si="14"/>
        <v>0</v>
      </c>
      <c r="G62" s="210">
        <f t="shared" si="12"/>
        <v>71500</v>
      </c>
      <c r="N62" s="6"/>
    </row>
    <row r="63" spans="1:19" ht="12" customHeight="1">
      <c r="A63" s="141" t="s">
        <v>57</v>
      </c>
      <c r="B63" s="138">
        <v>0</v>
      </c>
      <c r="C63" s="139">
        <v>0</v>
      </c>
      <c r="D63" s="210">
        <f t="shared" si="11"/>
        <v>0</v>
      </c>
      <c r="E63" s="156">
        <f t="shared" si="13"/>
        <v>0</v>
      </c>
      <c r="F63" s="156">
        <f t="shared" si="14"/>
        <v>0</v>
      </c>
      <c r="G63" s="210">
        <f t="shared" si="12"/>
        <v>0</v>
      </c>
      <c r="H63" t="s">
        <v>2175</v>
      </c>
      <c r="J63" t="s">
        <v>184</v>
      </c>
      <c r="K63" s="320">
        <v>800000000</v>
      </c>
    </row>
    <row r="64" spans="1:19" ht="12" customHeight="1" thickBot="1">
      <c r="A64" s="157" t="s">
        <v>58</v>
      </c>
      <c r="B64" s="161">
        <f>SUM(B48:B63)</f>
        <v>16234329.192954546</v>
      </c>
      <c r="C64" s="163">
        <f>SUM(C48:C63)</f>
        <v>4204066.0063636359</v>
      </c>
      <c r="D64" s="163">
        <f>SUM(D48:D63)</f>
        <v>20438395.199318182</v>
      </c>
      <c r="E64" s="161">
        <f>B64</f>
        <v>16234329.192954546</v>
      </c>
      <c r="F64" s="161">
        <f>C64</f>
        <v>4204066.0063636359</v>
      </c>
      <c r="G64" s="163">
        <f>D64</f>
        <v>20438395.199318182</v>
      </c>
      <c r="H64" s="23">
        <f>CONTROLES!L279+CONTROLES!N279+CONTROLES!R279+CONTROLES!T279+CONTROLES!AB279+CONTROLES!AD279+CONTROLES!AP279+CONTROLES!AQ279+CONTROLES!BF279+CONTROLES!BE279+CONTROLES!BJ279+CONTROLES!BK279+CONTROLES!BM279+CONTROLES!BP279+CONTROLES!BR279+CONTROLES!BT279+CONTROLES!BV279</f>
        <v>4204066.0063636359</v>
      </c>
      <c r="I64" s="6">
        <f>F64-H64</f>
        <v>0</v>
      </c>
    </row>
    <row r="65" spans="1:14" ht="15.75" thickBot="1">
      <c r="A65" s="149" t="s">
        <v>59</v>
      </c>
      <c r="B65" s="149"/>
      <c r="C65" s="149"/>
      <c r="D65" s="149"/>
      <c r="E65" s="149"/>
      <c r="F65" s="149"/>
      <c r="G65" s="149"/>
      <c r="H65" s="225">
        <f>'SUIVI JOURNALIER AVRIL'!G344+'SUIVI JOURNALIER AVRIL'!M344+'SUIVI JOURNALIER AVRIL'!N344+'SUIVI JOURNALIER AVRIL'!S344+'SUIVI JOURNALIER AVRIL'!T344+'SUIVI JOURNALIER AVRIL'!AC344+'SUIVI JOURNALIER AVRIL'!AD344+'point sur les patentes'!G143+'point sur les patentes'!F143+'point sur les patentes'!K143+'point sur les patentes'!L143+'point sur les patentes'!P143+'SUIVI JOURNALIER AVRIL'!BQ344</f>
        <v>16234329.192954548</v>
      </c>
      <c r="J65" t="s">
        <v>185</v>
      </c>
      <c r="K65" s="33">
        <f>E46+F46+E126+F126</f>
        <v>253235912.82272726</v>
      </c>
      <c r="L65" s="6"/>
      <c r="N65" s="64"/>
    </row>
    <row r="66" spans="1:14" ht="12" customHeight="1">
      <c r="A66" s="141" t="s">
        <v>60</v>
      </c>
      <c r="B66" s="138">
        <f>+'SUIVI JOURNALIER AVRIL'!BG344+'point sur les patentes'!E143</f>
        <v>2762302.767</v>
      </c>
      <c r="C66" s="139">
        <f>+CONTROLES!BC279+CONTROLES!BD279</f>
        <v>120429.2</v>
      </c>
      <c r="D66" s="210">
        <f t="shared" ref="D66:D73" si="15">B66+C66</f>
        <v>2882731.9670000002</v>
      </c>
      <c r="E66" s="158">
        <f t="shared" ref="E66:F73" si="16">B66</f>
        <v>2762302.767</v>
      </c>
      <c r="F66" s="158">
        <f t="shared" si="16"/>
        <v>120429.2</v>
      </c>
      <c r="G66" s="210">
        <f>E66+F66</f>
        <v>2882731.9670000002</v>
      </c>
      <c r="N66" s="7"/>
    </row>
    <row r="67" spans="1:14" ht="12" customHeight="1">
      <c r="A67" s="141" t="s">
        <v>61</v>
      </c>
      <c r="B67" s="138">
        <f>'SUIVI JOURNALIER AVRIL'!BE344</f>
        <v>2615265</v>
      </c>
      <c r="C67" s="139">
        <f>CONTROLES!BA279</f>
        <v>62400</v>
      </c>
      <c r="D67" s="210">
        <f t="shared" si="15"/>
        <v>2677665</v>
      </c>
      <c r="E67" s="158">
        <f t="shared" si="16"/>
        <v>2615265</v>
      </c>
      <c r="F67" s="158">
        <f t="shared" si="16"/>
        <v>62400</v>
      </c>
      <c r="G67" s="210">
        <f>E67+F67</f>
        <v>2677665</v>
      </c>
      <c r="J67" t="s">
        <v>186</v>
      </c>
      <c r="K67" s="7">
        <f>K65/K63</f>
        <v>0.3165448910284091</v>
      </c>
      <c r="N67" s="63">
        <f>N65/K63</f>
        <v>0</v>
      </c>
    </row>
    <row r="68" spans="1:14" ht="12" customHeight="1">
      <c r="A68" s="141" t="s">
        <v>62</v>
      </c>
      <c r="B68" s="138">
        <f>'SUIVI JOURNALIER AVRIL'!BF344</f>
        <v>1221482</v>
      </c>
      <c r="C68" s="139">
        <f>CONTROLES!BB279</f>
        <v>15200</v>
      </c>
      <c r="D68" s="210">
        <f t="shared" si="15"/>
        <v>1236682</v>
      </c>
      <c r="E68" s="158">
        <f t="shared" si="16"/>
        <v>1221482</v>
      </c>
      <c r="F68" s="158">
        <f t="shared" si="16"/>
        <v>15200</v>
      </c>
      <c r="G68" s="210">
        <f>E68+F68</f>
        <v>1236682</v>
      </c>
    </row>
    <row r="69" spans="1:14" ht="12" customHeight="1">
      <c r="A69" s="141" t="s">
        <v>63</v>
      </c>
      <c r="B69" s="138">
        <f>'point sur les patentes'!H143</f>
        <v>38181.041499999992</v>
      </c>
      <c r="C69" s="139">
        <f>+CONTROLES!BG279</f>
        <v>3165.3999999999996</v>
      </c>
      <c r="D69" s="210">
        <f t="shared" si="15"/>
        <v>41346.441499999994</v>
      </c>
      <c r="E69" s="158">
        <f t="shared" si="16"/>
        <v>38181.041499999992</v>
      </c>
      <c r="F69" s="158">
        <f t="shared" si="16"/>
        <v>3165.3999999999996</v>
      </c>
      <c r="G69" s="210">
        <f>E69+F69</f>
        <v>41346.441499999994</v>
      </c>
    </row>
    <row r="70" spans="1:14" ht="12" customHeight="1">
      <c r="A70" s="141" t="s">
        <v>64</v>
      </c>
      <c r="B70" s="138">
        <f>+'point sur les patentes'!I143</f>
        <v>0</v>
      </c>
      <c r="C70" s="139">
        <f>+CONTROLES!BH279</f>
        <v>0</v>
      </c>
      <c r="D70" s="210">
        <f t="shared" si="15"/>
        <v>0</v>
      </c>
      <c r="E70" s="158">
        <f t="shared" si="16"/>
        <v>0</v>
      </c>
      <c r="F70" s="158">
        <f t="shared" si="16"/>
        <v>0</v>
      </c>
      <c r="G70" s="210">
        <f>E70+F70</f>
        <v>0</v>
      </c>
      <c r="H70" s="6" t="s">
        <v>2177</v>
      </c>
    </row>
    <row r="71" spans="1:14" ht="12" customHeight="1" thickBot="1">
      <c r="A71" s="159" t="s">
        <v>65</v>
      </c>
      <c r="B71" s="161">
        <f>SUM(B66:B70)</f>
        <v>6637230.8085000003</v>
      </c>
      <c r="C71" s="163">
        <f>SUM(C66:C70)</f>
        <v>201194.6</v>
      </c>
      <c r="D71" s="163">
        <f>SUM(D66:D70)</f>
        <v>6838425.4084999999</v>
      </c>
      <c r="E71" s="161">
        <f t="shared" si="16"/>
        <v>6637230.8085000003</v>
      </c>
      <c r="F71" s="161">
        <f t="shared" si="16"/>
        <v>201194.6</v>
      </c>
      <c r="G71" s="163">
        <f>D71</f>
        <v>6838425.4084999999</v>
      </c>
      <c r="H71" s="23">
        <f>CONTROLES!BA279+CONTROLES!BB279+CONTROLES!BC279+CONTROLES!BG279+CONTROLES!BH279+CONTROLES!BD279</f>
        <v>201194.59999999998</v>
      </c>
    </row>
    <row r="72" spans="1:14" ht="12" customHeight="1">
      <c r="A72" s="141" t="s">
        <v>66</v>
      </c>
      <c r="B72" s="510">
        <f>'SUIVI JOURNALIER AVRIL'!F344+'SUIVI JOURNALIER AVRIL'!L344+'SUIVI JOURNALIER AVRIL'!R344+'SUIVI JOURNALIER AVRIL'!AB344+'SUIVI JOURNALIER AVRIL'!AK344+'SUIVI JOURNALIER AVRIL'!AL344+'SUIVI JOURNALIER AVRIL'!AP344+'SUIVI JOURNALIER AVRIL'!BA344+'SUIVI JOURNALIER AVRIL'!BC344+'SUIVI JOURNALIER AVRIL'!BM344+'SUIVI JOURNALIER AVRIL'!BP344+'SUIVI JOURNALIER AVRIL'!BR344+'SUIVI JOURNALIER AVRIL'!BS344+'SUIVI JOURNALIER AVRIL'!BW344+'point sur les patentes'!J143+'point sur les patentes'!M143+'point sur les patentes'!Q143</f>
        <v>2115779.8575757574</v>
      </c>
      <c r="C72" s="139">
        <f>CONTROLES!E279+CONTROLES!K279+CONTROLES!Q279+CONTROLES!AA279+CONTROLES!AK279+CONTROLES!AO279+CONTROLES!AZ279+CONTROLES!BI279+CONTROLES!BL279+CONTROLES!BN279+CONTROLES!BO279+CONTROLES!BS279</f>
        <v>483696.10181818181</v>
      </c>
      <c r="D72" s="210">
        <f>B72+C72</f>
        <v>2599475.959393939</v>
      </c>
      <c r="E72" s="139">
        <f t="shared" si="16"/>
        <v>2115779.8575757574</v>
      </c>
      <c r="F72" s="139">
        <f t="shared" si="16"/>
        <v>483696.10181818181</v>
      </c>
      <c r="G72" s="210">
        <f>E72+F72</f>
        <v>2599475.959393939</v>
      </c>
      <c r="H72" s="225">
        <f>'SUIVI JOURNALIER AVRIL'!BE344+'SUIVI JOURNALIER AVRIL'!BF344+'SUIVI JOURNALIER AVRIL'!BG344+'point sur les patentes'!E143+'point sur les patentes'!H143+'point sur les patentes'!I143</f>
        <v>6637230.8085000003</v>
      </c>
    </row>
    <row r="73" spans="1:14" ht="12" customHeight="1">
      <c r="A73" s="137" t="s">
        <v>67</v>
      </c>
      <c r="B73" s="138">
        <f>+'SUIVI JOURNALIER AVRIL'!CA344+'point sur les patentes'!Z143</f>
        <v>2</v>
      </c>
      <c r="C73" s="139">
        <f>+CONTROLES!BW279</f>
        <v>1184016</v>
      </c>
      <c r="D73" s="210">
        <f t="shared" si="15"/>
        <v>1184018</v>
      </c>
      <c r="E73" s="139">
        <f t="shared" si="16"/>
        <v>2</v>
      </c>
      <c r="F73" s="139">
        <f t="shared" si="16"/>
        <v>1184016</v>
      </c>
      <c r="G73" s="210">
        <f>E73+F73</f>
        <v>1184018</v>
      </c>
      <c r="H73" t="s">
        <v>2178</v>
      </c>
    </row>
    <row r="74" spans="1:14" ht="12" customHeight="1" thickBot="1">
      <c r="A74" s="160" t="s">
        <v>68</v>
      </c>
      <c r="B74" s="161">
        <f>SUM(B46,B64,B71:B73)</f>
        <v>186746716.94993934</v>
      </c>
      <c r="C74" s="162">
        <f>SUM(C46,C64,C71:C73)</f>
        <v>59491179.190000005</v>
      </c>
      <c r="D74" s="163">
        <f>SUM(B74:C74)</f>
        <v>246237896.13993934</v>
      </c>
      <c r="E74" s="161">
        <f>B74</f>
        <v>186746716.94993934</v>
      </c>
      <c r="F74" s="162">
        <f>C74</f>
        <v>59491179.190000005</v>
      </c>
      <c r="G74" s="163">
        <f>SUM(E74:F74)</f>
        <v>246237896.13993934</v>
      </c>
      <c r="H74" s="23"/>
      <c r="L74" s="6"/>
    </row>
    <row r="75" spans="1:14" ht="12" customHeight="1">
      <c r="A75" s="743" t="s">
        <v>0</v>
      </c>
      <c r="B75" s="743"/>
      <c r="C75" s="213"/>
      <c r="D75" s="743" t="s">
        <v>1</v>
      </c>
      <c r="E75" s="743"/>
      <c r="F75" s="743"/>
      <c r="G75" s="743"/>
      <c r="H75" s="225"/>
      <c r="I75" s="29"/>
    </row>
    <row r="76" spans="1:14" ht="7.5" customHeight="1">
      <c r="A76" s="743" t="s">
        <v>2</v>
      </c>
      <c r="B76" s="743"/>
      <c r="C76" s="213"/>
      <c r="D76" s="743" t="s">
        <v>2</v>
      </c>
      <c r="E76" s="743"/>
      <c r="F76" s="743"/>
      <c r="G76" s="743"/>
    </row>
    <row r="77" spans="1:14" ht="12" customHeight="1">
      <c r="A77" s="743" t="s">
        <v>3</v>
      </c>
      <c r="B77" s="743"/>
      <c r="C77" s="213"/>
      <c r="D77" s="743" t="s">
        <v>4</v>
      </c>
      <c r="E77" s="743"/>
      <c r="F77" s="743"/>
      <c r="G77" s="743"/>
      <c r="K77" s="6"/>
      <c r="L77" s="6"/>
    </row>
    <row r="78" spans="1:14" ht="6" customHeight="1">
      <c r="A78" s="743" t="s">
        <v>2</v>
      </c>
      <c r="B78" s="743"/>
      <c r="C78" s="213"/>
      <c r="D78" s="743" t="s">
        <v>2</v>
      </c>
      <c r="E78" s="743"/>
      <c r="F78" s="743"/>
      <c r="G78" s="743"/>
      <c r="K78" s="6"/>
      <c r="L78" s="6"/>
    </row>
    <row r="79" spans="1:14" ht="12" customHeight="1"/>
    <row r="80" spans="1:14" ht="12" customHeight="1">
      <c r="A80" s="744" t="s">
        <v>5</v>
      </c>
      <c r="B80" s="744"/>
      <c r="C80" s="744"/>
      <c r="D80" s="744"/>
      <c r="E80" s="744"/>
      <c r="F80" s="744"/>
      <c r="G80" s="744"/>
      <c r="K80" s="6"/>
    </row>
    <row r="81" spans="1:7" ht="12" customHeight="1">
      <c r="A81" s="744" t="s">
        <v>69</v>
      </c>
      <c r="B81" s="744"/>
      <c r="C81" s="744"/>
      <c r="D81" s="744"/>
      <c r="E81" s="744"/>
      <c r="F81" s="744"/>
      <c r="G81" s="744"/>
    </row>
    <row r="82" spans="1:7" ht="12" customHeight="1"/>
    <row r="83" spans="1:7" ht="13.5" customHeight="1">
      <c r="A83" s="222" t="str">
        <f>+A9</f>
        <v>Structure: CRI EST</v>
      </c>
      <c r="B83" s="129" t="str">
        <f>+B9</f>
        <v xml:space="preserve">EXERCICE : </v>
      </c>
      <c r="C83" s="223">
        <f>+C9</f>
        <v>2022</v>
      </c>
      <c r="D83" s="223"/>
      <c r="E83" s="223"/>
      <c r="F83" s="221" t="str">
        <f>+F9</f>
        <v xml:space="preserve">MOIS : </v>
      </c>
      <c r="G83" s="213" t="str">
        <f>+G9</f>
        <v>AVRIL</v>
      </c>
    </row>
    <row r="84" spans="1:7" ht="12" customHeight="1" thickBot="1">
      <c r="A84" s="222" t="str">
        <f>+A10</f>
        <v>Unité : en fcfa</v>
      </c>
      <c r="B84" s="219"/>
      <c r="C84" s="214"/>
      <c r="D84" s="214"/>
      <c r="E84" s="214"/>
      <c r="F84" s="214"/>
      <c r="G84" s="214"/>
    </row>
    <row r="85" spans="1:7" ht="12" customHeight="1">
      <c r="A85" s="767" t="s">
        <v>7</v>
      </c>
      <c r="B85" s="164" t="s">
        <v>8</v>
      </c>
      <c r="C85" s="165"/>
      <c r="D85" s="166"/>
      <c r="E85" s="167" t="s">
        <v>9</v>
      </c>
      <c r="F85" s="165"/>
      <c r="G85" s="168"/>
    </row>
    <row r="86" spans="1:7" ht="12" customHeight="1" thickBot="1">
      <c r="A86" s="768"/>
      <c r="B86" s="169" t="s">
        <v>70</v>
      </c>
      <c r="C86" s="170"/>
      <c r="D86" s="171" t="s">
        <v>71</v>
      </c>
      <c r="E86" s="169" t="s">
        <v>70</v>
      </c>
      <c r="F86" s="170"/>
      <c r="G86" s="172" t="s">
        <v>71</v>
      </c>
    </row>
    <row r="87" spans="1:7" ht="12" customHeight="1" thickBot="1">
      <c r="A87" s="150" t="s">
        <v>12</v>
      </c>
      <c r="B87" s="153"/>
      <c r="C87" s="173"/>
      <c r="D87" s="173"/>
      <c r="E87" s="173"/>
      <c r="F87" s="173"/>
      <c r="G87" s="174"/>
    </row>
    <row r="88" spans="1:7" ht="12" customHeight="1">
      <c r="A88" s="175" t="s">
        <v>72</v>
      </c>
      <c r="B88" s="176">
        <f>SUM(B89:B94)</f>
        <v>574891</v>
      </c>
      <c r="C88" s="176">
        <f>SUM(C89:C94)</f>
        <v>0</v>
      </c>
      <c r="D88" s="178">
        <f>SUM(D89:D94)</f>
        <v>574891</v>
      </c>
      <c r="E88" s="176">
        <f>SUM(E89:E94)</f>
        <v>574891</v>
      </c>
      <c r="F88" s="177">
        <f>C88</f>
        <v>0</v>
      </c>
      <c r="G88" s="178">
        <f>SUM(G89:G94)</f>
        <v>574891</v>
      </c>
    </row>
    <row r="89" spans="1:7" ht="12" customHeight="1">
      <c r="A89" s="179" t="s">
        <v>73</v>
      </c>
      <c r="B89" s="180">
        <v>0</v>
      </c>
      <c r="C89" s="180"/>
      <c r="D89" s="182">
        <f>B89+C89</f>
        <v>0</v>
      </c>
      <c r="E89" s="180">
        <f t="shared" ref="E89:E94" si="17">B89</f>
        <v>0</v>
      </c>
      <c r="F89" s="181"/>
      <c r="G89" s="182">
        <f t="shared" ref="G89:G97" si="18">E89+F89</f>
        <v>0</v>
      </c>
    </row>
    <row r="90" spans="1:7" ht="12" customHeight="1">
      <c r="A90" s="179" t="s">
        <v>74</v>
      </c>
      <c r="B90" s="180">
        <v>0</v>
      </c>
      <c r="C90" s="180"/>
      <c r="D90" s="182">
        <f t="shared" ref="D90:D125" si="19">B90+C90</f>
        <v>0</v>
      </c>
      <c r="E90" s="180">
        <f t="shared" si="17"/>
        <v>0</v>
      </c>
      <c r="F90" s="181"/>
      <c r="G90" s="182">
        <f t="shared" si="18"/>
        <v>0</v>
      </c>
    </row>
    <row r="91" spans="1:7" ht="12" customHeight="1">
      <c r="A91" s="183" t="s">
        <v>75</v>
      </c>
      <c r="B91" s="180">
        <v>0</v>
      </c>
      <c r="C91" s="180"/>
      <c r="D91" s="182">
        <f t="shared" si="19"/>
        <v>0</v>
      </c>
      <c r="E91" s="180">
        <f t="shared" si="17"/>
        <v>0</v>
      </c>
      <c r="F91" s="181"/>
      <c r="G91" s="182">
        <f t="shared" si="18"/>
        <v>0</v>
      </c>
    </row>
    <row r="92" spans="1:7" ht="12" customHeight="1">
      <c r="A92" s="179" t="s">
        <v>76</v>
      </c>
      <c r="B92" s="180">
        <v>0</v>
      </c>
      <c r="C92" s="180"/>
      <c r="D92" s="182">
        <f t="shared" si="19"/>
        <v>0</v>
      </c>
      <c r="E92" s="180">
        <f t="shared" si="17"/>
        <v>0</v>
      </c>
      <c r="F92" s="181"/>
      <c r="G92" s="182">
        <f t="shared" si="18"/>
        <v>0</v>
      </c>
    </row>
    <row r="93" spans="1:7" ht="12" customHeight="1">
      <c r="A93" s="183" t="s">
        <v>77</v>
      </c>
      <c r="B93" s="180">
        <v>0</v>
      </c>
      <c r="C93" s="180"/>
      <c r="D93" s="182">
        <f t="shared" si="19"/>
        <v>0</v>
      </c>
      <c r="E93" s="180">
        <f t="shared" si="17"/>
        <v>0</v>
      </c>
      <c r="F93" s="181"/>
      <c r="G93" s="182">
        <f t="shared" si="18"/>
        <v>0</v>
      </c>
    </row>
    <row r="94" spans="1:7" ht="12" customHeight="1">
      <c r="A94" s="183" t="s">
        <v>78</v>
      </c>
      <c r="B94" s="180">
        <f>'SUIVI JOURNALIER AVRIL'!AT344</f>
        <v>574891</v>
      </c>
      <c r="C94" s="180">
        <f>CONTROLES!AS279</f>
        <v>0</v>
      </c>
      <c r="D94" s="182">
        <f t="shared" si="19"/>
        <v>574891</v>
      </c>
      <c r="E94" s="180">
        <f t="shared" si="17"/>
        <v>574891</v>
      </c>
      <c r="F94" s="181">
        <f>C94</f>
        <v>0</v>
      </c>
      <c r="G94" s="182">
        <f t="shared" si="18"/>
        <v>574891</v>
      </c>
    </row>
    <row r="95" spans="1:7" ht="12" customHeight="1">
      <c r="A95" s="184" t="s">
        <v>79</v>
      </c>
      <c r="B95" s="144">
        <f>SUM(B96:B97)</f>
        <v>0</v>
      </c>
      <c r="C95" s="144">
        <f>SUM(C96:C97)</f>
        <v>0</v>
      </c>
      <c r="D95" s="146">
        <f>SUM(D96:D97)</f>
        <v>0</v>
      </c>
      <c r="E95" s="144">
        <f>SUM(E96:E97)</f>
        <v>0</v>
      </c>
      <c r="F95" s="145"/>
      <c r="G95" s="146">
        <f>SUM(G96:G97)</f>
        <v>0</v>
      </c>
    </row>
    <row r="96" spans="1:7" ht="12" customHeight="1">
      <c r="A96" s="183" t="s">
        <v>80</v>
      </c>
      <c r="B96" s="180">
        <f>'SUIVI JOURNALIER AVRIL'!AU344</f>
        <v>0</v>
      </c>
      <c r="C96" s="180">
        <f>CONTROLES!AT279</f>
        <v>0</v>
      </c>
      <c r="D96" s="182">
        <f t="shared" si="19"/>
        <v>0</v>
      </c>
      <c r="E96" s="180">
        <f>B96</f>
        <v>0</v>
      </c>
      <c r="F96" s="181">
        <f>C96</f>
        <v>0</v>
      </c>
      <c r="G96" s="182">
        <f t="shared" si="18"/>
        <v>0</v>
      </c>
    </row>
    <row r="97" spans="1:7" ht="12" customHeight="1">
      <c r="A97" s="183" t="s">
        <v>81</v>
      </c>
      <c r="B97" s="180">
        <v>0</v>
      </c>
      <c r="C97" s="180">
        <v>0</v>
      </c>
      <c r="D97" s="182">
        <f t="shared" si="19"/>
        <v>0</v>
      </c>
      <c r="E97" s="180">
        <f>B97</f>
        <v>0</v>
      </c>
      <c r="F97" s="181">
        <f>C97</f>
        <v>0</v>
      </c>
      <c r="G97" s="182">
        <f t="shared" si="18"/>
        <v>0</v>
      </c>
    </row>
    <row r="98" spans="1:7" ht="12" customHeight="1">
      <c r="A98" s="185" t="s">
        <v>82</v>
      </c>
      <c r="B98" s="144">
        <f>SUM(B99:B107)</f>
        <v>0</v>
      </c>
      <c r="C98" s="144">
        <f>SUM(C99:C107)</f>
        <v>0</v>
      </c>
      <c r="D98" s="144">
        <f>SUM(D99:D107)</f>
        <v>0</v>
      </c>
      <c r="E98" s="144">
        <f>SUM(E99:E107)</f>
        <v>0</v>
      </c>
      <c r="F98" s="144">
        <f>SUM(F99:F107)</f>
        <v>0</v>
      </c>
      <c r="G98" s="146">
        <v>0</v>
      </c>
    </row>
    <row r="99" spans="1:7" ht="12" customHeight="1">
      <c r="A99" s="140" t="s">
        <v>83</v>
      </c>
      <c r="B99" s="186">
        <v>0</v>
      </c>
      <c r="C99" s="186">
        <f>CONTROLES!AT282</f>
        <v>0</v>
      </c>
      <c r="D99" s="182">
        <f t="shared" si="19"/>
        <v>0</v>
      </c>
      <c r="E99" s="186">
        <f>B99</f>
        <v>0</v>
      </c>
      <c r="F99" s="186">
        <f>C99</f>
        <v>0</v>
      </c>
      <c r="G99" s="182">
        <f t="shared" ref="G99:G107" si="20">E99+F99</f>
        <v>0</v>
      </c>
    </row>
    <row r="100" spans="1:7" ht="12" customHeight="1">
      <c r="A100" s="140" t="s">
        <v>84</v>
      </c>
      <c r="B100" s="186">
        <v>0</v>
      </c>
      <c r="C100" s="186">
        <f>CONTROLES!AT283</f>
        <v>0</v>
      </c>
      <c r="D100" s="182">
        <f t="shared" si="19"/>
        <v>0</v>
      </c>
      <c r="E100" s="186">
        <f t="shared" ref="E100:F107" si="21">B100</f>
        <v>0</v>
      </c>
      <c r="F100" s="186">
        <f t="shared" si="21"/>
        <v>0</v>
      </c>
      <c r="G100" s="182">
        <f t="shared" si="20"/>
        <v>0</v>
      </c>
    </row>
    <row r="101" spans="1:7" ht="12" customHeight="1">
      <c r="A101" s="140" t="s">
        <v>85</v>
      </c>
      <c r="B101" s="186">
        <v>0</v>
      </c>
      <c r="C101" s="186">
        <f>CONTROLES!AT284</f>
        <v>0</v>
      </c>
      <c r="D101" s="182">
        <f t="shared" si="19"/>
        <v>0</v>
      </c>
      <c r="E101" s="186">
        <f t="shared" si="21"/>
        <v>0</v>
      </c>
      <c r="F101" s="186">
        <f t="shared" si="21"/>
        <v>0</v>
      </c>
      <c r="G101" s="182">
        <f t="shared" si="20"/>
        <v>0</v>
      </c>
    </row>
    <row r="102" spans="1:7" ht="12" customHeight="1">
      <c r="A102" s="140" t="s">
        <v>86</v>
      </c>
      <c r="B102" s="186">
        <v>0</v>
      </c>
      <c r="C102" s="186">
        <f>CONTROLES!AT285</f>
        <v>0</v>
      </c>
      <c r="D102" s="182">
        <f t="shared" si="19"/>
        <v>0</v>
      </c>
      <c r="E102" s="186">
        <f t="shared" si="21"/>
        <v>0</v>
      </c>
      <c r="F102" s="186">
        <f t="shared" si="21"/>
        <v>0</v>
      </c>
      <c r="G102" s="182">
        <f t="shared" si="20"/>
        <v>0</v>
      </c>
    </row>
    <row r="103" spans="1:7" ht="12" customHeight="1">
      <c r="A103" s="140" t="s">
        <v>87</v>
      </c>
      <c r="B103" s="186">
        <v>0</v>
      </c>
      <c r="C103" s="186">
        <f>CONTROLES!AT286</f>
        <v>0</v>
      </c>
      <c r="D103" s="182">
        <f t="shared" si="19"/>
        <v>0</v>
      </c>
      <c r="E103" s="186">
        <f t="shared" si="21"/>
        <v>0</v>
      </c>
      <c r="F103" s="186">
        <f t="shared" si="21"/>
        <v>0</v>
      </c>
      <c r="G103" s="182">
        <f t="shared" si="20"/>
        <v>0</v>
      </c>
    </row>
    <row r="104" spans="1:7" ht="12" customHeight="1">
      <c r="A104" s="140" t="s">
        <v>88</v>
      </c>
      <c r="B104" s="186">
        <f>'SUIVI JOURNALIER AVRIL'!AV344</f>
        <v>0</v>
      </c>
      <c r="C104" s="186">
        <f>CONTROLES!AT287</f>
        <v>0</v>
      </c>
      <c r="D104" s="182">
        <f t="shared" si="19"/>
        <v>0</v>
      </c>
      <c r="E104" s="186">
        <f t="shared" si="21"/>
        <v>0</v>
      </c>
      <c r="F104" s="186">
        <f t="shared" si="21"/>
        <v>0</v>
      </c>
      <c r="G104" s="182">
        <f t="shared" si="20"/>
        <v>0</v>
      </c>
    </row>
    <row r="105" spans="1:7" ht="12" customHeight="1">
      <c r="A105" s="141" t="s">
        <v>89</v>
      </c>
      <c r="B105" s="186">
        <v>0</v>
      </c>
      <c r="C105" s="186">
        <f>CONTROLES!AT288</f>
        <v>0</v>
      </c>
      <c r="D105" s="182">
        <f t="shared" si="19"/>
        <v>0</v>
      </c>
      <c r="E105" s="186">
        <f t="shared" si="21"/>
        <v>0</v>
      </c>
      <c r="F105" s="186">
        <f t="shared" si="21"/>
        <v>0</v>
      </c>
      <c r="G105" s="182">
        <f t="shared" si="20"/>
        <v>0</v>
      </c>
    </row>
    <row r="106" spans="1:7" ht="12" customHeight="1">
      <c r="A106" s="141" t="s">
        <v>90</v>
      </c>
      <c r="B106" s="186">
        <v>0</v>
      </c>
      <c r="C106" s="186">
        <f>CONTROLES!AT289</f>
        <v>0</v>
      </c>
      <c r="D106" s="182">
        <f t="shared" si="19"/>
        <v>0</v>
      </c>
      <c r="E106" s="186">
        <f t="shared" si="21"/>
        <v>0</v>
      </c>
      <c r="F106" s="186">
        <f t="shared" si="21"/>
        <v>0</v>
      </c>
      <c r="G106" s="182">
        <f t="shared" si="20"/>
        <v>0</v>
      </c>
    </row>
    <row r="107" spans="1:7" ht="12" customHeight="1">
      <c r="A107" s="141" t="s">
        <v>2189</v>
      </c>
      <c r="B107" s="186">
        <f>+'SUIVI JOURNALIER AVRIL'!BB344</f>
        <v>0</v>
      </c>
      <c r="C107" s="186">
        <f>CONTROLES!AT290</f>
        <v>0</v>
      </c>
      <c r="D107" s="182">
        <f t="shared" si="19"/>
        <v>0</v>
      </c>
      <c r="E107" s="186">
        <f t="shared" si="21"/>
        <v>0</v>
      </c>
      <c r="F107" s="186">
        <f t="shared" si="21"/>
        <v>0</v>
      </c>
      <c r="G107" s="182">
        <f t="shared" si="20"/>
        <v>0</v>
      </c>
    </row>
    <row r="108" spans="1:7" ht="12" customHeight="1">
      <c r="A108" s="187" t="s">
        <v>91</v>
      </c>
      <c r="B108" s="224">
        <f>SUM(B109:B111)</f>
        <v>18419851</v>
      </c>
      <c r="C108" s="224">
        <f>SUM(C109:C111)</f>
        <v>0</v>
      </c>
      <c r="D108" s="224">
        <f>SUM(D109:D111)</f>
        <v>18419851</v>
      </c>
      <c r="E108" s="188">
        <f>B108</f>
        <v>18419851</v>
      </c>
      <c r="F108" s="224">
        <f>C108</f>
        <v>0</v>
      </c>
      <c r="G108" s="224">
        <f>D108</f>
        <v>18419851</v>
      </c>
    </row>
    <row r="109" spans="1:7" ht="12" customHeight="1">
      <c r="A109" s="190" t="s">
        <v>92</v>
      </c>
      <c r="B109" s="191">
        <f>'SUIVI JOURNALIER AVRIL'!AO344</f>
        <v>0</v>
      </c>
      <c r="C109" s="186"/>
      <c r="D109" s="182">
        <f t="shared" si="19"/>
        <v>0</v>
      </c>
      <c r="E109" s="191">
        <f t="shared" ref="E109:F111" si="22">B109</f>
        <v>0</v>
      </c>
      <c r="F109" s="191">
        <f t="shared" si="22"/>
        <v>0</v>
      </c>
      <c r="G109" s="182">
        <f>E109+F109</f>
        <v>0</v>
      </c>
    </row>
    <row r="110" spans="1:7" ht="12" customHeight="1">
      <c r="A110" s="190" t="s">
        <v>93</v>
      </c>
      <c r="B110" s="191">
        <f>'SUIVI JOURNALIER AVRIL'!AN344</f>
        <v>18419851</v>
      </c>
      <c r="C110" s="186">
        <f>CONTROLES!AM279</f>
        <v>0</v>
      </c>
      <c r="D110" s="182">
        <f t="shared" si="19"/>
        <v>18419851</v>
      </c>
      <c r="E110" s="191">
        <f t="shared" si="22"/>
        <v>18419851</v>
      </c>
      <c r="F110" s="191">
        <f t="shared" si="22"/>
        <v>0</v>
      </c>
      <c r="G110" s="182">
        <f>E110+F110</f>
        <v>18419851</v>
      </c>
    </row>
    <row r="111" spans="1:7" ht="12" customHeight="1">
      <c r="A111" s="190" t="s">
        <v>94</v>
      </c>
      <c r="B111" s="180">
        <v>0</v>
      </c>
      <c r="C111" s="186">
        <f>+CONTROLES!AN279</f>
        <v>0</v>
      </c>
      <c r="D111" s="182">
        <f t="shared" si="19"/>
        <v>0</v>
      </c>
      <c r="E111" s="191">
        <f t="shared" si="22"/>
        <v>0</v>
      </c>
      <c r="F111" s="191">
        <f t="shared" si="22"/>
        <v>0</v>
      </c>
      <c r="G111" s="182">
        <f>E111+F111</f>
        <v>0</v>
      </c>
    </row>
    <row r="112" spans="1:7" ht="12" customHeight="1">
      <c r="A112" s="187" t="s">
        <v>95</v>
      </c>
      <c r="B112" s="146">
        <f>SUM(B113:B119)</f>
        <v>19063149.25</v>
      </c>
      <c r="C112" s="146">
        <f>SUM(C113:C119)</f>
        <v>0</v>
      </c>
      <c r="D112" s="146">
        <f>SUM(D113:D119)</f>
        <v>19063149.25</v>
      </c>
      <c r="E112" s="144">
        <f>B112</f>
        <v>19063149.25</v>
      </c>
      <c r="F112" s="145">
        <f>+C112</f>
        <v>0</v>
      </c>
      <c r="G112" s="146">
        <f>D112</f>
        <v>19063149.25</v>
      </c>
    </row>
    <row r="113" spans="1:7" ht="12" customHeight="1">
      <c r="A113" s="140" t="s">
        <v>96</v>
      </c>
      <c r="B113" s="180">
        <v>0</v>
      </c>
      <c r="C113" s="186">
        <v>0</v>
      </c>
      <c r="D113" s="182">
        <f t="shared" si="19"/>
        <v>0</v>
      </c>
      <c r="E113" s="180">
        <f>B113</f>
        <v>0</v>
      </c>
      <c r="F113" s="180">
        <f>C113</f>
        <v>0</v>
      </c>
      <c r="G113" s="182">
        <f t="shared" ref="G113:G119" si="23">E113+F113</f>
        <v>0</v>
      </c>
    </row>
    <row r="114" spans="1:7" ht="12" customHeight="1">
      <c r="A114" s="140" t="s">
        <v>97</v>
      </c>
      <c r="B114" s="180">
        <f>'SUIVI JOURNALIER AVRIL'!AH344</f>
        <v>18150000</v>
      </c>
      <c r="C114" s="186">
        <f>CONTROLES!AG279</f>
        <v>0</v>
      </c>
      <c r="D114" s="182">
        <f t="shared" si="19"/>
        <v>18150000</v>
      </c>
      <c r="E114" s="180">
        <f t="shared" ref="E114:E119" si="24">B114</f>
        <v>18150000</v>
      </c>
      <c r="F114" s="180">
        <f t="shared" ref="F114:F119" si="25">C114</f>
        <v>0</v>
      </c>
      <c r="G114" s="182">
        <f t="shared" si="23"/>
        <v>18150000</v>
      </c>
    </row>
    <row r="115" spans="1:7" ht="12" customHeight="1">
      <c r="A115" s="140" t="s">
        <v>98</v>
      </c>
      <c r="B115" s="180">
        <f>'SUIVI JOURNALIER AVRIL'!AI344</f>
        <v>606000</v>
      </c>
      <c r="C115" s="186">
        <f>CONTROLES!AH279</f>
        <v>0</v>
      </c>
      <c r="D115" s="182">
        <f t="shared" si="19"/>
        <v>606000</v>
      </c>
      <c r="E115" s="180">
        <f t="shared" si="24"/>
        <v>606000</v>
      </c>
      <c r="F115" s="180">
        <f t="shared" si="25"/>
        <v>0</v>
      </c>
      <c r="G115" s="182">
        <f t="shared" si="23"/>
        <v>606000</v>
      </c>
    </row>
    <row r="116" spans="1:7" ht="12" customHeight="1">
      <c r="A116" s="140" t="s">
        <v>99</v>
      </c>
      <c r="B116" s="180">
        <v>0</v>
      </c>
      <c r="C116" s="186">
        <v>0</v>
      </c>
      <c r="D116" s="182">
        <f t="shared" si="19"/>
        <v>0</v>
      </c>
      <c r="E116" s="180">
        <f t="shared" si="24"/>
        <v>0</v>
      </c>
      <c r="F116" s="180">
        <f t="shared" si="25"/>
        <v>0</v>
      </c>
      <c r="G116" s="182">
        <f t="shared" si="23"/>
        <v>0</v>
      </c>
    </row>
    <row r="117" spans="1:7" ht="12" customHeight="1">
      <c r="A117" s="140" t="s">
        <v>100</v>
      </c>
      <c r="B117" s="180">
        <v>0</v>
      </c>
      <c r="C117" s="186">
        <v>0</v>
      </c>
      <c r="D117" s="182">
        <f t="shared" si="19"/>
        <v>0</v>
      </c>
      <c r="E117" s="180">
        <f t="shared" si="24"/>
        <v>0</v>
      </c>
      <c r="F117" s="180">
        <f t="shared" si="25"/>
        <v>0</v>
      </c>
      <c r="G117" s="182">
        <f t="shared" si="23"/>
        <v>0</v>
      </c>
    </row>
    <row r="118" spans="1:7" ht="12" customHeight="1">
      <c r="A118" s="140" t="s">
        <v>101</v>
      </c>
      <c r="B118" s="180">
        <f>'SUIVI JOURNALIER AVRIL'!AJ344</f>
        <v>307149.25</v>
      </c>
      <c r="C118" s="186">
        <v>0</v>
      </c>
      <c r="D118" s="182">
        <f t="shared" si="19"/>
        <v>307149.25</v>
      </c>
      <c r="E118" s="180">
        <f t="shared" si="24"/>
        <v>307149.25</v>
      </c>
      <c r="F118" s="180">
        <f t="shared" si="25"/>
        <v>0</v>
      </c>
      <c r="G118" s="182">
        <f t="shared" si="23"/>
        <v>307149.25</v>
      </c>
    </row>
    <row r="119" spans="1:7" ht="12" customHeight="1">
      <c r="A119" s="140" t="s">
        <v>102</v>
      </c>
      <c r="B119" s="180">
        <v>0</v>
      </c>
      <c r="C119" s="186">
        <v>0</v>
      </c>
      <c r="D119" s="182">
        <f t="shared" si="19"/>
        <v>0</v>
      </c>
      <c r="E119" s="180">
        <f t="shared" si="24"/>
        <v>0</v>
      </c>
      <c r="F119" s="180">
        <f t="shared" si="25"/>
        <v>0</v>
      </c>
      <c r="G119" s="182">
        <f t="shared" si="23"/>
        <v>0</v>
      </c>
    </row>
    <row r="120" spans="1:7" ht="12" customHeight="1">
      <c r="A120" s="187" t="s">
        <v>103</v>
      </c>
      <c r="B120" s="144">
        <f>SUM(B121:B125)</f>
        <v>440</v>
      </c>
      <c r="C120" s="144">
        <f>SUM(C121:C125)</f>
        <v>0</v>
      </c>
      <c r="D120" s="144">
        <f>SUM(D121:D125)</f>
        <v>440</v>
      </c>
      <c r="E120" s="144">
        <f t="shared" ref="E120:E125" si="26">B120</f>
        <v>440</v>
      </c>
      <c r="F120" s="145"/>
      <c r="G120" s="146">
        <f>D120</f>
        <v>440</v>
      </c>
    </row>
    <row r="121" spans="1:7" ht="12" customHeight="1">
      <c r="A121" s="140" t="s">
        <v>104</v>
      </c>
      <c r="B121" s="180">
        <v>0</v>
      </c>
      <c r="C121" s="186">
        <v>0</v>
      </c>
      <c r="D121" s="182">
        <f t="shared" si="19"/>
        <v>0</v>
      </c>
      <c r="E121" s="180">
        <f t="shared" si="26"/>
        <v>0</v>
      </c>
      <c r="F121" s="180">
        <f t="shared" ref="F121:F126" si="27">C121</f>
        <v>0</v>
      </c>
      <c r="G121" s="182">
        <f>E121+F121</f>
        <v>0</v>
      </c>
    </row>
    <row r="122" spans="1:7" ht="12" customHeight="1">
      <c r="A122" s="140" t="s">
        <v>105</v>
      </c>
      <c r="B122" s="180">
        <f>'SUIVI JOURNALIER AVRIL'!AW344</f>
        <v>0</v>
      </c>
      <c r="C122" s="186">
        <v>0</v>
      </c>
      <c r="D122" s="182">
        <f t="shared" si="19"/>
        <v>0</v>
      </c>
      <c r="E122" s="180">
        <f t="shared" si="26"/>
        <v>0</v>
      </c>
      <c r="F122" s="180">
        <f t="shared" si="27"/>
        <v>0</v>
      </c>
      <c r="G122" s="182">
        <f>E122+F122</f>
        <v>0</v>
      </c>
    </row>
    <row r="123" spans="1:7" ht="12" customHeight="1">
      <c r="A123" s="140" t="s">
        <v>106</v>
      </c>
      <c r="B123" s="180">
        <v>0</v>
      </c>
      <c r="C123" s="186">
        <v>0</v>
      </c>
      <c r="D123" s="182">
        <f t="shared" si="19"/>
        <v>0</v>
      </c>
      <c r="E123" s="180">
        <f t="shared" si="26"/>
        <v>0</v>
      </c>
      <c r="F123" s="180">
        <f t="shared" si="27"/>
        <v>0</v>
      </c>
      <c r="G123" s="182">
        <f>E123+F123</f>
        <v>0</v>
      </c>
    </row>
    <row r="124" spans="1:7" ht="12" customHeight="1">
      <c r="A124" s="140" t="s">
        <v>107</v>
      </c>
      <c r="B124" s="180">
        <f>'SUIVI JOURNALIER AVRIL'!AY344</f>
        <v>440</v>
      </c>
      <c r="C124" s="186">
        <f>CONTROLES!AW279</f>
        <v>0</v>
      </c>
      <c r="D124" s="182">
        <f t="shared" si="19"/>
        <v>440</v>
      </c>
      <c r="E124" s="180">
        <f t="shared" si="26"/>
        <v>440</v>
      </c>
      <c r="F124" s="180">
        <f t="shared" si="27"/>
        <v>0</v>
      </c>
      <c r="G124" s="182">
        <f>E124+F124</f>
        <v>440</v>
      </c>
    </row>
    <row r="125" spans="1:7" ht="12" customHeight="1">
      <c r="A125" s="140" t="s">
        <v>108</v>
      </c>
      <c r="B125" s="180">
        <v>0</v>
      </c>
      <c r="C125" s="186">
        <v>0</v>
      </c>
      <c r="D125" s="182">
        <f t="shared" si="19"/>
        <v>0</v>
      </c>
      <c r="E125" s="180">
        <f t="shared" si="26"/>
        <v>0</v>
      </c>
      <c r="F125" s="180">
        <f t="shared" si="27"/>
        <v>0</v>
      </c>
      <c r="G125" s="182">
        <f>E125+F125</f>
        <v>0</v>
      </c>
    </row>
    <row r="126" spans="1:7" ht="12" customHeight="1" thickBot="1">
      <c r="A126" s="236" t="s">
        <v>109</v>
      </c>
      <c r="B126" s="224">
        <f>SUM(B120,B112,B108,B98,B95,B88)</f>
        <v>38058331.25</v>
      </c>
      <c r="C126" s="224">
        <f>SUM(C120,C112,C108,C98,C95,C88)</f>
        <v>0</v>
      </c>
      <c r="D126" s="224">
        <f>SUM(D120,D112,D108,D98,D95,D88)</f>
        <v>38058331.25</v>
      </c>
      <c r="E126" s="194">
        <f>B126</f>
        <v>38058331.25</v>
      </c>
      <c r="F126" s="194">
        <f t="shared" si="27"/>
        <v>0</v>
      </c>
      <c r="G126" s="224">
        <f>D126</f>
        <v>38058331.25</v>
      </c>
    </row>
    <row r="127" spans="1:7" ht="15.75" thickBot="1">
      <c r="A127" s="149" t="s">
        <v>110</v>
      </c>
      <c r="B127" s="153"/>
      <c r="C127" s="149"/>
      <c r="D127" s="149"/>
      <c r="E127" s="153"/>
      <c r="F127" s="152"/>
      <c r="G127" s="152"/>
    </row>
    <row r="128" spans="1:7" ht="12" customHeight="1">
      <c r="A128" s="195" t="s">
        <v>111</v>
      </c>
      <c r="B128" s="227">
        <v>0</v>
      </c>
      <c r="C128" s="229">
        <v>0</v>
      </c>
      <c r="D128" s="182">
        <f t="shared" ref="D128:D149" si="28">B128+C128</f>
        <v>0</v>
      </c>
      <c r="E128" s="196">
        <f>B128</f>
        <v>0</v>
      </c>
      <c r="F128" s="196">
        <f>C128</f>
        <v>0</v>
      </c>
      <c r="G128" s="182">
        <f t="shared" ref="G128:G149" si="29">E128+F128</f>
        <v>0</v>
      </c>
    </row>
    <row r="129" spans="1:7" ht="12" customHeight="1">
      <c r="A129" s="137" t="s">
        <v>112</v>
      </c>
      <c r="B129" s="228">
        <v>0</v>
      </c>
      <c r="C129" s="197">
        <v>0</v>
      </c>
      <c r="D129" s="182">
        <f t="shared" si="28"/>
        <v>0</v>
      </c>
      <c r="E129" s="196">
        <f t="shared" ref="E129:F146" si="30">B129</f>
        <v>0</v>
      </c>
      <c r="F129" s="196">
        <f t="shared" si="30"/>
        <v>0</v>
      </c>
      <c r="G129" s="182">
        <f t="shared" si="29"/>
        <v>0</v>
      </c>
    </row>
    <row r="130" spans="1:7" ht="12" customHeight="1">
      <c r="A130" s="137" t="s">
        <v>113</v>
      </c>
      <c r="B130" s="228">
        <v>0</v>
      </c>
      <c r="C130" s="197">
        <v>0</v>
      </c>
      <c r="D130" s="182">
        <f t="shared" si="28"/>
        <v>0</v>
      </c>
      <c r="E130" s="196">
        <f t="shared" si="30"/>
        <v>0</v>
      </c>
      <c r="F130" s="196">
        <f t="shared" si="30"/>
        <v>0</v>
      </c>
      <c r="G130" s="182">
        <f t="shared" si="29"/>
        <v>0</v>
      </c>
    </row>
    <row r="131" spans="1:7" ht="12" customHeight="1">
      <c r="A131" s="137" t="s">
        <v>114</v>
      </c>
      <c r="B131" s="228">
        <v>0</v>
      </c>
      <c r="C131" s="197">
        <v>0</v>
      </c>
      <c r="D131" s="182">
        <f t="shared" si="28"/>
        <v>0</v>
      </c>
      <c r="E131" s="196">
        <f t="shared" si="30"/>
        <v>0</v>
      </c>
      <c r="F131" s="196">
        <f t="shared" si="30"/>
        <v>0</v>
      </c>
      <c r="G131" s="182">
        <f t="shared" si="29"/>
        <v>0</v>
      </c>
    </row>
    <row r="132" spans="1:7" ht="12" customHeight="1">
      <c r="A132" s="141" t="s">
        <v>115</v>
      </c>
      <c r="B132" s="191">
        <f>'SUIVI JOURNALIER AVRIL'!BT344</f>
        <v>51408</v>
      </c>
      <c r="C132" s="192">
        <f>CONTROLES!BP279</f>
        <v>0</v>
      </c>
      <c r="D132" s="182">
        <f t="shared" si="28"/>
        <v>51408</v>
      </c>
      <c r="E132" s="196">
        <f t="shared" si="30"/>
        <v>51408</v>
      </c>
      <c r="F132" s="196">
        <f t="shared" si="30"/>
        <v>0</v>
      </c>
      <c r="G132" s="182">
        <f t="shared" si="29"/>
        <v>51408</v>
      </c>
    </row>
    <row r="133" spans="1:7" ht="12" customHeight="1">
      <c r="A133" s="141" t="s">
        <v>116</v>
      </c>
      <c r="B133" s="191">
        <f>'SUIVI JOURNALIER AVRIL'!BU344</f>
        <v>51408</v>
      </c>
      <c r="C133" s="192">
        <f>CONTROLES!BQ279</f>
        <v>0</v>
      </c>
      <c r="D133" s="182">
        <f t="shared" si="28"/>
        <v>51408</v>
      </c>
      <c r="E133" s="196">
        <f t="shared" si="30"/>
        <v>51408</v>
      </c>
      <c r="F133" s="196">
        <f t="shared" si="30"/>
        <v>0</v>
      </c>
      <c r="G133" s="182">
        <f t="shared" si="29"/>
        <v>51408</v>
      </c>
    </row>
    <row r="134" spans="1:7" ht="12" customHeight="1">
      <c r="A134" s="141" t="s">
        <v>117</v>
      </c>
      <c r="B134" s="191">
        <f>'SUIVI JOURNALIER AVRIL'!BV344</f>
        <v>154224</v>
      </c>
      <c r="C134" s="192">
        <f>CONTROLES!BR279</f>
        <v>0</v>
      </c>
      <c r="D134" s="182">
        <f t="shared" si="28"/>
        <v>154224</v>
      </c>
      <c r="E134" s="196">
        <f t="shared" si="30"/>
        <v>154224</v>
      </c>
      <c r="F134" s="196">
        <f t="shared" si="30"/>
        <v>0</v>
      </c>
      <c r="G134" s="182">
        <f t="shared" si="29"/>
        <v>154224</v>
      </c>
    </row>
    <row r="135" spans="1:7" ht="12" customHeight="1">
      <c r="A135" s="141" t="s">
        <v>118</v>
      </c>
      <c r="B135" s="191">
        <f>'SUIVI JOURNALIER AVRIL'!BX344</f>
        <v>15362.1</v>
      </c>
      <c r="C135" s="192">
        <f>CONTROLES!BT279</f>
        <v>0</v>
      </c>
      <c r="D135" s="182">
        <f t="shared" si="28"/>
        <v>15362.1</v>
      </c>
      <c r="E135" s="196">
        <f t="shared" si="30"/>
        <v>15362.1</v>
      </c>
      <c r="F135" s="196">
        <f t="shared" si="30"/>
        <v>0</v>
      </c>
      <c r="G135" s="182">
        <f t="shared" si="29"/>
        <v>15362.1</v>
      </c>
    </row>
    <row r="136" spans="1:7" ht="12" customHeight="1">
      <c r="A136" s="141" t="s">
        <v>119</v>
      </c>
      <c r="B136" s="191">
        <f>'SUIVI JOURNALIER AVRIL'!BY344</f>
        <v>15362.1</v>
      </c>
      <c r="C136" s="192">
        <f>CONTROLES!BU279</f>
        <v>0</v>
      </c>
      <c r="D136" s="182">
        <f t="shared" si="28"/>
        <v>15362.1</v>
      </c>
      <c r="E136" s="196">
        <f t="shared" si="30"/>
        <v>15362.1</v>
      </c>
      <c r="F136" s="196">
        <f t="shared" si="30"/>
        <v>0</v>
      </c>
      <c r="G136" s="182">
        <f t="shared" si="29"/>
        <v>15362.1</v>
      </c>
    </row>
    <row r="137" spans="1:7" ht="12" customHeight="1">
      <c r="A137" s="141" t="s">
        <v>120</v>
      </c>
      <c r="B137" s="191">
        <f>'SUIVI JOURNALIER AVRIL'!BZ344</f>
        <v>46086.3</v>
      </c>
      <c r="C137" s="192">
        <f>+CONTROLES!BV279</f>
        <v>0</v>
      </c>
      <c r="D137" s="182">
        <f t="shared" si="28"/>
        <v>46086.3</v>
      </c>
      <c r="E137" s="196">
        <f t="shared" si="30"/>
        <v>46086.3</v>
      </c>
      <c r="F137" s="196">
        <f t="shared" si="30"/>
        <v>0</v>
      </c>
      <c r="G137" s="182">
        <f t="shared" si="29"/>
        <v>46086.3</v>
      </c>
    </row>
    <row r="138" spans="1:7" ht="12" customHeight="1">
      <c r="A138" s="198" t="s">
        <v>121</v>
      </c>
      <c r="B138" s="191">
        <f>'SUIVI JOURNALIER AVRIL'!AQ344</f>
        <v>0</v>
      </c>
      <c r="C138" s="192">
        <f>CONTROLES!AP279</f>
        <v>0</v>
      </c>
      <c r="D138" s="182">
        <f t="shared" si="28"/>
        <v>0</v>
      </c>
      <c r="E138" s="196">
        <f t="shared" si="30"/>
        <v>0</v>
      </c>
      <c r="F138" s="196">
        <f t="shared" si="30"/>
        <v>0</v>
      </c>
      <c r="G138" s="182">
        <f t="shared" si="29"/>
        <v>0</v>
      </c>
    </row>
    <row r="139" spans="1:7" ht="12" customHeight="1">
      <c r="A139" s="198" t="s">
        <v>122</v>
      </c>
      <c r="B139" s="191">
        <f>'SUIVI JOURNALIER AVRIL'!AR344</f>
        <v>0</v>
      </c>
      <c r="C139" s="192">
        <f>CONTROLES!AQ279</f>
        <v>0</v>
      </c>
      <c r="D139" s="182">
        <f t="shared" si="28"/>
        <v>0</v>
      </c>
      <c r="E139" s="196">
        <f>B139</f>
        <v>0</v>
      </c>
      <c r="F139" s="196">
        <f>C139</f>
        <v>0</v>
      </c>
      <c r="G139" s="182">
        <f t="shared" si="29"/>
        <v>0</v>
      </c>
    </row>
    <row r="140" spans="1:7" ht="12" customHeight="1">
      <c r="A140" s="198" t="s">
        <v>123</v>
      </c>
      <c r="B140" s="228">
        <v>0</v>
      </c>
      <c r="C140" s="193">
        <v>0</v>
      </c>
      <c r="D140" s="182">
        <f t="shared" si="28"/>
        <v>0</v>
      </c>
      <c r="E140" s="196">
        <f t="shared" si="30"/>
        <v>0</v>
      </c>
      <c r="F140" s="196">
        <f t="shared" si="30"/>
        <v>0</v>
      </c>
      <c r="G140" s="182">
        <f t="shared" si="29"/>
        <v>0</v>
      </c>
    </row>
    <row r="141" spans="1:7" ht="12" customHeight="1">
      <c r="A141" s="198" t="s">
        <v>2159</v>
      </c>
      <c r="B141" s="191">
        <f>'SUIVI JOURNALIER AVRIL'!AX344</f>
        <v>0</v>
      </c>
      <c r="C141" s="192"/>
      <c r="D141" s="182">
        <f t="shared" si="28"/>
        <v>0</v>
      </c>
      <c r="E141" s="196">
        <f t="shared" si="30"/>
        <v>0</v>
      </c>
      <c r="F141" s="196">
        <f t="shared" si="30"/>
        <v>0</v>
      </c>
      <c r="G141" s="182">
        <f t="shared" si="29"/>
        <v>0</v>
      </c>
    </row>
    <row r="142" spans="1:7" ht="12" customHeight="1">
      <c r="A142" s="198" t="s">
        <v>2160</v>
      </c>
      <c r="B142" s="191">
        <f>+'SUIVI JOURNALIER AVRIL'!AZ344</f>
        <v>0</v>
      </c>
      <c r="C142" s="192"/>
      <c r="D142" s="182">
        <f t="shared" si="28"/>
        <v>0</v>
      </c>
      <c r="E142" s="196">
        <f t="shared" si="30"/>
        <v>0</v>
      </c>
      <c r="F142" s="196">
        <f t="shared" si="30"/>
        <v>0</v>
      </c>
      <c r="G142" s="182">
        <f t="shared" si="29"/>
        <v>0</v>
      </c>
    </row>
    <row r="143" spans="1:7" ht="12" customHeight="1">
      <c r="A143" s="198" t="s">
        <v>2161</v>
      </c>
      <c r="B143" s="191">
        <v>0</v>
      </c>
      <c r="C143" s="192"/>
      <c r="D143" s="182">
        <f t="shared" si="28"/>
        <v>0</v>
      </c>
      <c r="E143" s="196">
        <f>B143</f>
        <v>0</v>
      </c>
      <c r="F143" s="196">
        <f t="shared" si="30"/>
        <v>0</v>
      </c>
      <c r="G143" s="182">
        <f t="shared" si="29"/>
        <v>0</v>
      </c>
    </row>
    <row r="144" spans="1:7" ht="12" customHeight="1">
      <c r="A144" s="198" t="s">
        <v>2162</v>
      </c>
      <c r="B144" s="191">
        <f>'SUIVI JOURNALIER AVRIL'!AM344</f>
        <v>118131.25</v>
      </c>
      <c r="C144" s="240">
        <f>CONTROLES!AL279</f>
        <v>0</v>
      </c>
      <c r="D144" s="182">
        <f t="shared" si="28"/>
        <v>118131.25</v>
      </c>
      <c r="E144" s="196">
        <f t="shared" si="30"/>
        <v>118131.25</v>
      </c>
      <c r="F144" s="196">
        <f t="shared" si="30"/>
        <v>0</v>
      </c>
      <c r="G144" s="182">
        <f t="shared" si="29"/>
        <v>118131.25</v>
      </c>
    </row>
    <row r="145" spans="1:11" ht="12" customHeight="1">
      <c r="A145" s="198" t="s">
        <v>2163</v>
      </c>
      <c r="B145" s="191">
        <v>0</v>
      </c>
      <c r="C145" s="192"/>
      <c r="D145" s="182">
        <f t="shared" si="28"/>
        <v>0</v>
      </c>
      <c r="E145" s="196">
        <f t="shared" si="30"/>
        <v>0</v>
      </c>
      <c r="F145" s="196">
        <f t="shared" si="30"/>
        <v>0</v>
      </c>
      <c r="G145" s="182">
        <f t="shared" si="29"/>
        <v>0</v>
      </c>
      <c r="H145" s="6">
        <f>H148-B147</f>
        <v>0</v>
      </c>
    </row>
    <row r="146" spans="1:11" ht="12" customHeight="1">
      <c r="A146" s="141" t="s">
        <v>124</v>
      </c>
      <c r="B146" s="191">
        <f>'SUIVI JOURNALIER AVRIL'!BD344</f>
        <v>0</v>
      </c>
      <c r="C146" s="192"/>
      <c r="D146" s="182">
        <f t="shared" si="28"/>
        <v>0</v>
      </c>
      <c r="E146" s="196">
        <f t="shared" si="30"/>
        <v>0</v>
      </c>
      <c r="F146" s="196">
        <f t="shared" si="30"/>
        <v>0</v>
      </c>
      <c r="G146" s="182">
        <f t="shared" si="29"/>
        <v>0</v>
      </c>
      <c r="H146" t="s">
        <v>2175</v>
      </c>
    </row>
    <row r="147" spans="1:11" ht="12" customHeight="1">
      <c r="A147" s="199" t="s">
        <v>58</v>
      </c>
      <c r="B147" s="188">
        <f>SUM(B128:B146)</f>
        <v>451981.74999999994</v>
      </c>
      <c r="C147" s="188">
        <f>SUM(C128:C146)</f>
        <v>0</v>
      </c>
      <c r="D147" s="189">
        <f>SUM(D128:D146)</f>
        <v>451981.74999999994</v>
      </c>
      <c r="E147" s="188">
        <f>B147</f>
        <v>451981.74999999994</v>
      </c>
      <c r="F147" s="188">
        <f>C147</f>
        <v>0</v>
      </c>
      <c r="G147" s="146">
        <f>D147</f>
        <v>451981.74999999994</v>
      </c>
      <c r="H147" s="23"/>
    </row>
    <row r="148" spans="1:11" ht="12" customHeight="1">
      <c r="A148" s="141" t="s">
        <v>125</v>
      </c>
      <c r="B148" s="191">
        <v>0</v>
      </c>
      <c r="C148" s="192"/>
      <c r="D148" s="182">
        <f t="shared" si="28"/>
        <v>0</v>
      </c>
      <c r="E148" s="191">
        <f t="shared" ref="E148:F150" si="31">B148</f>
        <v>0</v>
      </c>
      <c r="F148" s="191">
        <f t="shared" si="31"/>
        <v>0</v>
      </c>
      <c r="G148" s="182">
        <f t="shared" si="29"/>
        <v>0</v>
      </c>
      <c r="H148" s="225">
        <f>'SUIVI JOURNALIER AVRIL'!AM344+'SUIVI JOURNALIER AVRIL'!AQ344+'SUIVI JOURNALIER AVRIL'!AR344+'SUIVI JOURNALIER AVRIL'!BD344+'SUIVI JOURNALIER AVRIL'!BT344+'SUIVI JOURNALIER AVRIL'!BU344+'SUIVI JOURNALIER AVRIL'!BV344+'SUIVI JOURNALIER AVRIL'!BX344+'SUIVI JOURNALIER AVRIL'!BY344+'SUIVI JOURNALIER AVRIL'!BZ344+'SUIVI JOURNALIER AVRIL'!AZ344+'SUIVI JOURNALIER AVRIL'!AX344</f>
        <v>451981.74999999994</v>
      </c>
    </row>
    <row r="149" spans="1:11" ht="12" customHeight="1">
      <c r="A149" s="141" t="s">
        <v>126</v>
      </c>
      <c r="B149" s="191">
        <v>0</v>
      </c>
      <c r="C149" s="192"/>
      <c r="D149" s="182">
        <f t="shared" si="28"/>
        <v>0</v>
      </c>
      <c r="E149" s="191">
        <f t="shared" si="31"/>
        <v>0</v>
      </c>
      <c r="F149" s="191">
        <f t="shared" si="31"/>
        <v>0</v>
      </c>
      <c r="G149" s="182">
        <f t="shared" si="29"/>
        <v>0</v>
      </c>
      <c r="I149" s="6"/>
    </row>
    <row r="150" spans="1:11" ht="12" customHeight="1" thickBot="1">
      <c r="A150" s="160" t="s">
        <v>127</v>
      </c>
      <c r="B150" s="161">
        <f>SUM(B147,B126,B148,B149)</f>
        <v>38510313</v>
      </c>
      <c r="C150" s="224">
        <f>SUM(C147,C126,C148,C149)</f>
        <v>0</v>
      </c>
      <c r="D150" s="224">
        <f>SUM(D147,D126,D148,D149)</f>
        <v>38510313</v>
      </c>
      <c r="E150" s="161">
        <f t="shared" si="31"/>
        <v>38510313</v>
      </c>
      <c r="F150" s="224">
        <f t="shared" si="31"/>
        <v>0</v>
      </c>
      <c r="G150" s="224">
        <f>D150</f>
        <v>38510313</v>
      </c>
    </row>
    <row r="151" spans="1:11">
      <c r="I151" s="308" t="s">
        <v>2289</v>
      </c>
      <c r="J151" s="6">
        <f>E126+F126+E46+F46</f>
        <v>253235912.82272726</v>
      </c>
    </row>
    <row r="152" spans="1:11">
      <c r="B152" s="55" t="str">
        <f>+I151</f>
        <v>budgetaires</v>
      </c>
      <c r="C152" s="761">
        <f>+J151</f>
        <v>253235912.82272726</v>
      </c>
      <c r="D152" s="762"/>
      <c r="I152" s="308" t="s">
        <v>2290</v>
      </c>
      <c r="J152" s="6">
        <f>E147+F147+E64+E71+F64+F71+E72+E73+F72+F73</f>
        <v>31512296.317212127</v>
      </c>
      <c r="K152" s="307">
        <f>G74+G150</f>
        <v>284748209.13993931</v>
      </c>
    </row>
    <row r="153" spans="1:11">
      <c r="B153" s="55" t="str">
        <f>+I152</f>
        <v>non budgetaires</v>
      </c>
      <c r="C153" s="761">
        <f>+J152</f>
        <v>31512296.317212127</v>
      </c>
      <c r="D153" s="762"/>
      <c r="J153" s="307">
        <f>J151+J152</f>
        <v>284748209.13993937</v>
      </c>
      <c r="K153" s="6">
        <f>K152-J153</f>
        <v>0</v>
      </c>
    </row>
    <row r="154" spans="1:11">
      <c r="B154" s="321" t="s">
        <v>2633</v>
      </c>
      <c r="C154" s="763">
        <f>+C152+C153</f>
        <v>284748209.13993937</v>
      </c>
      <c r="D154" s="764"/>
    </row>
    <row r="156" spans="1:11">
      <c r="J156" s="29"/>
    </row>
    <row r="157" spans="1:11">
      <c r="D157" s="493"/>
    </row>
  </sheetData>
  <mergeCells count="34">
    <mergeCell ref="C152:D152"/>
    <mergeCell ref="C153:D153"/>
    <mergeCell ref="C154:D154"/>
    <mergeCell ref="M57:N57"/>
    <mergeCell ref="D78:G78"/>
    <mergeCell ref="A81:G81"/>
    <mergeCell ref="A85:A86"/>
    <mergeCell ref="D75:G75"/>
    <mergeCell ref="A75:B75"/>
    <mergeCell ref="A76:B76"/>
    <mergeCell ref="A78:B78"/>
    <mergeCell ref="D76:G76"/>
    <mergeCell ref="D77:G77"/>
    <mergeCell ref="A77:B77"/>
    <mergeCell ref="A80:G80"/>
    <mergeCell ref="Y7:Y8"/>
    <mergeCell ref="T8:X8"/>
    <mergeCell ref="N8:O8"/>
    <mergeCell ref="R8:S8"/>
    <mergeCell ref="N7:O7"/>
    <mergeCell ref="R7:S7"/>
    <mergeCell ref="E12:G12"/>
    <mergeCell ref="A4:B4"/>
    <mergeCell ref="A3:B3"/>
    <mergeCell ref="A2:B2"/>
    <mergeCell ref="A1:B1"/>
    <mergeCell ref="A7:G7"/>
    <mergeCell ref="A6:G6"/>
    <mergeCell ref="D1:G1"/>
    <mergeCell ref="D2:G2"/>
    <mergeCell ref="D3:G3"/>
    <mergeCell ref="D4:G4"/>
    <mergeCell ref="A12:A13"/>
    <mergeCell ref="B12:D12"/>
  </mergeCells>
  <pageMargins left="0.43307086614173229" right="0.27559055118110237" top="0.28000000000000003" bottom="0.25" header="0.72" footer="0.4"/>
  <pageSetup paperSize="9" scale="78" orientation="portrait" r:id="rId1"/>
  <rowBreaks count="1" manualBreakCount="1">
    <brk id="74" max="16383" man="1"/>
  </rowBreaks>
  <colBreaks count="1" manualBreakCount="1">
    <brk id="7" max="1048575" man="1"/>
  </colBreaks>
  <ignoredErrors>
    <ignoredError sqref="G95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sheetPr codeName="Feuil6"/>
  <dimension ref="A1:J97"/>
  <sheetViews>
    <sheetView topLeftCell="A81" workbookViewId="0">
      <selection activeCell="E104" sqref="E104"/>
    </sheetView>
  </sheetViews>
  <sheetFormatPr baseColWidth="10" defaultRowHeight="9"/>
  <cols>
    <col min="1" max="1" width="3.85546875" style="9" customWidth="1"/>
    <col min="2" max="2" width="13.85546875" style="9" customWidth="1"/>
    <col min="3" max="3" width="23.28515625" style="9" customWidth="1"/>
    <col min="4" max="4" width="14" style="9" customWidth="1"/>
    <col min="5" max="5" width="20" style="9" customWidth="1"/>
    <col min="6" max="6" width="13.140625" style="9" customWidth="1"/>
    <col min="7" max="7" width="12.42578125" style="9" bestFit="1" customWidth="1"/>
    <col min="8" max="16384" width="11.42578125" style="9"/>
  </cols>
  <sheetData>
    <row r="1" spans="1:6">
      <c r="A1" s="775" t="s">
        <v>260</v>
      </c>
      <c r="B1" s="775"/>
      <c r="C1" s="775"/>
      <c r="D1" s="16"/>
      <c r="E1" s="775" t="s">
        <v>1</v>
      </c>
      <c r="F1" s="775"/>
    </row>
    <row r="2" spans="1:6" ht="3.75" customHeight="1">
      <c r="A2" s="776" t="s">
        <v>265</v>
      </c>
      <c r="B2" s="776"/>
      <c r="C2" s="776"/>
      <c r="D2" s="16"/>
      <c r="E2" s="776" t="s">
        <v>265</v>
      </c>
      <c r="F2" s="776"/>
    </row>
    <row r="3" spans="1:6">
      <c r="A3" s="775" t="s">
        <v>261</v>
      </c>
      <c r="B3" s="775"/>
      <c r="C3" s="775"/>
      <c r="D3" s="16"/>
      <c r="E3" s="775" t="s">
        <v>263</v>
      </c>
      <c r="F3" s="775"/>
    </row>
    <row r="4" spans="1:6" ht="3.75" customHeight="1">
      <c r="A4" s="776" t="s">
        <v>265</v>
      </c>
      <c r="B4" s="776"/>
      <c r="C4" s="776"/>
      <c r="D4" s="16"/>
      <c r="E4" s="776" t="s">
        <v>265</v>
      </c>
      <c r="F4" s="776"/>
    </row>
    <row r="5" spans="1:6">
      <c r="A5" s="775" t="s">
        <v>262</v>
      </c>
      <c r="B5" s="775"/>
      <c r="C5" s="775"/>
      <c r="D5" s="16"/>
      <c r="E5" s="775" t="s">
        <v>264</v>
      </c>
      <c r="F5" s="775"/>
    </row>
    <row r="6" spans="1:6" ht="3.75" customHeight="1">
      <c r="A6" s="776" t="s">
        <v>265</v>
      </c>
      <c r="B6" s="776"/>
      <c r="C6" s="776"/>
      <c r="D6" s="16"/>
      <c r="E6" s="776" t="s">
        <v>265</v>
      </c>
      <c r="F6" s="776"/>
    </row>
    <row r="10" spans="1:6" ht="14.25" customHeight="1">
      <c r="A10" s="777" t="s">
        <v>233</v>
      </c>
      <c r="B10" s="778"/>
      <c r="C10" s="778"/>
      <c r="D10" s="778"/>
      <c r="E10" s="778"/>
      <c r="F10" s="779"/>
    </row>
    <row r="11" spans="1:6" ht="14.25" customHeight="1">
      <c r="A11" s="780" t="s">
        <v>234</v>
      </c>
      <c r="B11" s="781"/>
      <c r="C11" s="782" t="s">
        <v>2818</v>
      </c>
      <c r="D11" s="782"/>
      <c r="E11" s="782" t="s">
        <v>2908</v>
      </c>
      <c r="F11" s="783"/>
    </row>
    <row r="12" spans="1:6" ht="14.25" customHeight="1">
      <c r="A12" s="10" t="s">
        <v>192</v>
      </c>
      <c r="B12" s="10" t="s">
        <v>7</v>
      </c>
      <c r="C12" s="10" t="s">
        <v>193</v>
      </c>
      <c r="D12" s="10" t="s">
        <v>194</v>
      </c>
      <c r="E12" s="10" t="s">
        <v>256</v>
      </c>
      <c r="F12" s="10" t="s">
        <v>195</v>
      </c>
    </row>
    <row r="13" spans="1:6" ht="14.25" customHeight="1">
      <c r="A13" s="769" t="s">
        <v>235</v>
      </c>
      <c r="B13" s="770"/>
      <c r="C13" s="770"/>
      <c r="D13" s="770"/>
      <c r="E13" s="770"/>
      <c r="F13" s="771"/>
    </row>
    <row r="14" spans="1:6" ht="14.25" customHeight="1">
      <c r="A14" s="784">
        <v>1</v>
      </c>
      <c r="B14" s="791" t="s">
        <v>199</v>
      </c>
      <c r="C14" s="10" t="s">
        <v>200</v>
      </c>
      <c r="D14" s="18"/>
      <c r="E14" s="18">
        <f>D14</f>
        <v>0</v>
      </c>
      <c r="F14" s="17"/>
    </row>
    <row r="15" spans="1:6" ht="14.25" customHeight="1">
      <c r="A15" s="784"/>
      <c r="B15" s="792"/>
      <c r="C15" s="10" t="s">
        <v>198</v>
      </c>
      <c r="D15" s="18"/>
      <c r="E15" s="18">
        <f t="shared" ref="E15:E78" si="0">D15</f>
        <v>0</v>
      </c>
      <c r="F15" s="17"/>
    </row>
    <row r="16" spans="1:6" ht="14.25" customHeight="1">
      <c r="A16" s="784" t="s">
        <v>239</v>
      </c>
      <c r="B16" s="784"/>
      <c r="C16" s="784"/>
      <c r="D16" s="18">
        <f>D14+D15</f>
        <v>0</v>
      </c>
      <c r="E16" s="18">
        <f>E14+E15</f>
        <v>0</v>
      </c>
      <c r="F16" s="17"/>
    </row>
    <row r="17" spans="1:10" ht="14.25" customHeight="1">
      <c r="A17" s="784">
        <v>2</v>
      </c>
      <c r="B17" s="788" t="s">
        <v>196</v>
      </c>
      <c r="C17" s="10" t="s">
        <v>197</v>
      </c>
      <c r="D17" s="18">
        <v>0</v>
      </c>
      <c r="E17" s="18">
        <f t="shared" si="0"/>
        <v>0</v>
      </c>
      <c r="F17" s="17"/>
    </row>
    <row r="18" spans="1:10" ht="14.25" customHeight="1">
      <c r="A18" s="784"/>
      <c r="B18" s="790"/>
      <c r="C18" s="10" t="s">
        <v>198</v>
      </c>
      <c r="D18" s="18">
        <v>0</v>
      </c>
      <c r="E18" s="18">
        <f t="shared" si="0"/>
        <v>0</v>
      </c>
      <c r="F18" s="17"/>
    </row>
    <row r="19" spans="1:10" ht="14.25" customHeight="1">
      <c r="A19" s="784" t="s">
        <v>240</v>
      </c>
      <c r="B19" s="784"/>
      <c r="C19" s="784"/>
      <c r="D19" s="19">
        <f>D18+D17</f>
        <v>0</v>
      </c>
      <c r="E19" s="19">
        <f>E18+E17</f>
        <v>0</v>
      </c>
      <c r="F19" s="17"/>
    </row>
    <row r="20" spans="1:10" ht="14.25" customHeight="1">
      <c r="A20" s="784">
        <v>3</v>
      </c>
      <c r="B20" s="791" t="s">
        <v>201</v>
      </c>
      <c r="C20" s="10" t="s">
        <v>200</v>
      </c>
      <c r="D20" s="18">
        <f>CONTROLES!AO279+'SUIVI JOURNALIER AVRIL'!AP344</f>
        <v>0</v>
      </c>
      <c r="E20" s="18">
        <f t="shared" si="0"/>
        <v>0</v>
      </c>
      <c r="F20" s="17"/>
    </row>
    <row r="21" spans="1:10" ht="14.25" customHeight="1">
      <c r="A21" s="784"/>
      <c r="B21" s="798"/>
      <c r="C21" s="10" t="s">
        <v>198</v>
      </c>
      <c r="D21" s="18">
        <f>CONTROLES!AP279+'SUIVI JOURNALIER AVRIL'!AQ344</f>
        <v>0</v>
      </c>
      <c r="E21" s="18">
        <f t="shared" si="0"/>
        <v>0</v>
      </c>
      <c r="F21" s="17"/>
    </row>
    <row r="22" spans="1:10" ht="16.5">
      <c r="A22" s="784"/>
      <c r="B22" s="798"/>
      <c r="C22" s="12" t="s">
        <v>202</v>
      </c>
      <c r="D22" s="18">
        <f>CONTROLES!AQ279+'SUIVI JOURNALIER AVRIL'!AR344</f>
        <v>0</v>
      </c>
      <c r="E22" s="18">
        <f t="shared" si="0"/>
        <v>0</v>
      </c>
      <c r="F22" s="17"/>
    </row>
    <row r="23" spans="1:10" ht="14.25" customHeight="1">
      <c r="A23" s="784"/>
      <c r="B23" s="792"/>
      <c r="C23" s="10" t="s">
        <v>203</v>
      </c>
      <c r="D23" s="18">
        <f>CONTROLES!AN279+'SUIVI JOURNALIER AVRIL'!AO344</f>
        <v>0</v>
      </c>
      <c r="E23" s="18">
        <f t="shared" si="0"/>
        <v>0</v>
      </c>
      <c r="F23" s="17"/>
    </row>
    <row r="24" spans="1:10" ht="14.25" customHeight="1">
      <c r="A24" s="772" t="s">
        <v>241</v>
      </c>
      <c r="B24" s="773"/>
      <c r="C24" s="774"/>
      <c r="D24" s="19">
        <f>D23+D22+D21+D20</f>
        <v>0</v>
      </c>
      <c r="E24" s="19">
        <f>E23+E22+E21+E20</f>
        <v>0</v>
      </c>
      <c r="F24" s="17"/>
      <c r="J24" s="20"/>
    </row>
    <row r="25" spans="1:10" ht="14.25" customHeight="1">
      <c r="A25" s="784">
        <v>4</v>
      </c>
      <c r="B25" s="799" t="s">
        <v>204</v>
      </c>
      <c r="C25" s="10" t="s">
        <v>200</v>
      </c>
      <c r="D25" s="18">
        <f>CONTROLES!K279+'SUIVI JOURNALIER AVRIL'!L344</f>
        <v>1371331.5881818179</v>
      </c>
      <c r="E25" s="18">
        <f t="shared" si="0"/>
        <v>1371331.5881818179</v>
      </c>
      <c r="F25" s="17"/>
    </row>
    <row r="26" spans="1:10" ht="14.25" customHeight="1">
      <c r="A26" s="784"/>
      <c r="B26" s="800"/>
      <c r="C26" s="10" t="s">
        <v>198</v>
      </c>
      <c r="D26" s="18">
        <f>CONTROLES!L279+'SUIVI JOURNALIER AVRIL'!M344</f>
        <v>8502255.8467272706</v>
      </c>
      <c r="E26" s="18">
        <f t="shared" si="0"/>
        <v>8502255.8467272706</v>
      </c>
      <c r="F26" s="17"/>
    </row>
    <row r="27" spans="1:10" ht="14.25" customHeight="1">
      <c r="A27" s="784"/>
      <c r="B27" s="801"/>
      <c r="C27" s="10" t="s">
        <v>205</v>
      </c>
      <c r="D27" s="18">
        <f>CONTROLES!N279+'SUIVI JOURNALIER AVRIL'!N344</f>
        <v>3840993.7301818188</v>
      </c>
      <c r="E27" s="18">
        <f t="shared" si="0"/>
        <v>3840993.7301818188</v>
      </c>
      <c r="F27" s="17"/>
    </row>
    <row r="28" spans="1:10" ht="14.25" customHeight="1">
      <c r="A28" s="772" t="s">
        <v>242</v>
      </c>
      <c r="B28" s="773"/>
      <c r="C28" s="774"/>
      <c r="D28" s="19">
        <f>D25+D26+D27</f>
        <v>13714581.165090907</v>
      </c>
      <c r="E28" s="19">
        <f>E25+E26+E27</f>
        <v>13714581.165090907</v>
      </c>
      <c r="F28" s="17"/>
    </row>
    <row r="29" spans="1:10" ht="14.25" customHeight="1">
      <c r="A29" s="784">
        <v>5</v>
      </c>
      <c r="B29" s="799" t="s">
        <v>206</v>
      </c>
      <c r="C29" s="10" t="s">
        <v>197</v>
      </c>
      <c r="D29" s="18">
        <f>CONTROLES!AA279+'SUIVI JOURNALIER AVRIL'!AB344</f>
        <v>187162.86181818182</v>
      </c>
      <c r="E29" s="18">
        <f t="shared" si="0"/>
        <v>187162.86181818182</v>
      </c>
      <c r="F29" s="17"/>
    </row>
    <row r="30" spans="1:10" ht="14.25" customHeight="1">
      <c r="A30" s="784"/>
      <c r="B30" s="800"/>
      <c r="C30" s="10" t="s">
        <v>198</v>
      </c>
      <c r="D30" s="18">
        <f>CONTROLES!AB279+'SUIVI JOURNALIER AVRIL'!AC344</f>
        <v>1160407.0852727271</v>
      </c>
      <c r="E30" s="18">
        <f t="shared" si="0"/>
        <v>1160407.0852727271</v>
      </c>
      <c r="F30" s="17"/>
    </row>
    <row r="31" spans="1:10" ht="14.25" customHeight="1">
      <c r="A31" s="784"/>
      <c r="B31" s="801"/>
      <c r="C31" s="10" t="s">
        <v>205</v>
      </c>
      <c r="D31" s="18">
        <f>CONTROLES!AD279+'SUIVI JOURNALIER AVRIL'!AD344</f>
        <v>524054.36109090911</v>
      </c>
      <c r="E31" s="18">
        <f t="shared" si="0"/>
        <v>524054.36109090911</v>
      </c>
      <c r="F31" s="17"/>
    </row>
    <row r="32" spans="1:10" ht="14.25" customHeight="1">
      <c r="A32" s="772" t="s">
        <v>243</v>
      </c>
      <c r="B32" s="773"/>
      <c r="C32" s="774"/>
      <c r="D32" s="19">
        <f>D29+D30+D31</f>
        <v>1871624.3081818181</v>
      </c>
      <c r="E32" s="19">
        <f>E29+E30+E31</f>
        <v>1871624.3081818181</v>
      </c>
      <c r="F32" s="17"/>
    </row>
    <row r="33" spans="1:6" ht="14.25" customHeight="1">
      <c r="A33" s="784">
        <v>6</v>
      </c>
      <c r="B33" s="799" t="s">
        <v>207</v>
      </c>
      <c r="C33" s="10" t="s">
        <v>208</v>
      </c>
      <c r="D33" s="18">
        <f>CONTROLES!Q279+'SUIVI JOURNALIER AVRIL'!R344</f>
        <v>376850.64272727259</v>
      </c>
      <c r="E33" s="18">
        <f t="shared" si="0"/>
        <v>376850.64272727259</v>
      </c>
      <c r="F33" s="17"/>
    </row>
    <row r="34" spans="1:6" ht="14.25" customHeight="1">
      <c r="A34" s="784"/>
      <c r="B34" s="800"/>
      <c r="C34" s="10" t="s">
        <v>198</v>
      </c>
      <c r="D34" s="18">
        <f>CONTROLES!R279+'SUIVI JOURNALIER AVRIL'!S344</f>
        <v>2336473.9849090911</v>
      </c>
      <c r="E34" s="18">
        <f t="shared" si="0"/>
        <v>2336473.9849090911</v>
      </c>
      <c r="F34" s="17"/>
    </row>
    <row r="35" spans="1:6" ht="14.25" customHeight="1">
      <c r="A35" s="784"/>
      <c r="B35" s="801"/>
      <c r="C35" s="10" t="s">
        <v>205</v>
      </c>
      <c r="D35" s="18">
        <f>CONTROLES!T279+'SUIVI JOURNALIER AVRIL'!T344</f>
        <v>1055181.7996363638</v>
      </c>
      <c r="E35" s="18">
        <f t="shared" si="0"/>
        <v>1055181.7996363638</v>
      </c>
      <c r="F35" s="17"/>
    </row>
    <row r="36" spans="1:6" ht="14.25" customHeight="1">
      <c r="A36" s="772" t="s">
        <v>244</v>
      </c>
      <c r="B36" s="773"/>
      <c r="C36" s="774"/>
      <c r="D36" s="19">
        <f>D33+D34+D35</f>
        <v>3768506.4272727277</v>
      </c>
      <c r="E36" s="19">
        <f>E33+E34+E35</f>
        <v>3768506.4272727277</v>
      </c>
      <c r="F36" s="17"/>
    </row>
    <row r="37" spans="1:6" ht="14.25" customHeight="1">
      <c r="A37" s="784">
        <v>7</v>
      </c>
      <c r="B37" s="785" t="s">
        <v>209</v>
      </c>
      <c r="C37" s="10" t="s">
        <v>200</v>
      </c>
      <c r="D37" s="18">
        <f>CONTROLES!BI279+'point sur les patentes'!J143</f>
        <v>350625.5</v>
      </c>
      <c r="E37" s="18">
        <f t="shared" si="0"/>
        <v>350625.5</v>
      </c>
      <c r="F37" s="17"/>
    </row>
    <row r="38" spans="1:6" ht="14.25" customHeight="1">
      <c r="A38" s="784"/>
      <c r="B38" s="786"/>
      <c r="C38" s="10" t="s">
        <v>198</v>
      </c>
      <c r="D38" s="18">
        <f>CONTROLES!BF279+'point sur les patentes'!G143</f>
        <v>275746.56849999994</v>
      </c>
      <c r="E38" s="18">
        <f t="shared" si="0"/>
        <v>275746.56849999994</v>
      </c>
      <c r="F38" s="17"/>
    </row>
    <row r="39" spans="1:6" ht="14.25" customHeight="1">
      <c r="A39" s="784"/>
      <c r="B39" s="786"/>
      <c r="C39" s="10" t="s">
        <v>210</v>
      </c>
      <c r="D39" s="18">
        <f>CONTROLES!BE279+'point sur les patentes'!F143</f>
        <v>1102364.5230000003</v>
      </c>
      <c r="E39" s="18">
        <f t="shared" si="0"/>
        <v>1102364.5230000003</v>
      </c>
      <c r="F39" s="17"/>
    </row>
    <row r="40" spans="1:6" ht="14.25" customHeight="1">
      <c r="A40" s="784"/>
      <c r="B40" s="786"/>
      <c r="C40" s="10" t="s">
        <v>211</v>
      </c>
      <c r="D40" s="18">
        <f>CONTROLES!BD279+'point sur les patentes'!E143</f>
        <v>1378421.9670000002</v>
      </c>
      <c r="E40" s="18">
        <f t="shared" si="0"/>
        <v>1378421.9670000002</v>
      </c>
      <c r="F40" s="17"/>
    </row>
    <row r="41" spans="1:6" ht="14.25" customHeight="1">
      <c r="A41" s="784"/>
      <c r="B41" s="786"/>
      <c r="C41" s="10" t="s">
        <v>212</v>
      </c>
      <c r="D41" s="18">
        <f>CONTROLES!BG279+'point sur les patentes'!H143</f>
        <v>41346.441499999994</v>
      </c>
      <c r="E41" s="18">
        <f t="shared" si="0"/>
        <v>41346.441499999994</v>
      </c>
      <c r="F41" s="17"/>
    </row>
    <row r="42" spans="1:6" ht="14.25" customHeight="1">
      <c r="A42" s="784"/>
      <c r="B42" s="787"/>
      <c r="C42" s="10" t="s">
        <v>213</v>
      </c>
      <c r="D42" s="18">
        <f>CONTROLES!BH279+'point sur les patentes'!I143</f>
        <v>0</v>
      </c>
      <c r="E42" s="18">
        <f t="shared" si="0"/>
        <v>0</v>
      </c>
      <c r="F42" s="17"/>
    </row>
    <row r="43" spans="1:6" ht="14.25" customHeight="1">
      <c r="A43" s="772" t="s">
        <v>245</v>
      </c>
      <c r="B43" s="773"/>
      <c r="C43" s="774"/>
      <c r="D43" s="19">
        <f>D37+D38+D39+D40+D41+D42</f>
        <v>3148505.0000000005</v>
      </c>
      <c r="E43" s="19">
        <f>E37+E38+E39+E40+E41+E42</f>
        <v>3148505.0000000005</v>
      </c>
      <c r="F43" s="17"/>
    </row>
    <row r="44" spans="1:6" ht="14.25" customHeight="1">
      <c r="A44" s="784">
        <v>8</v>
      </c>
      <c r="B44" s="785" t="s">
        <v>214</v>
      </c>
      <c r="C44" s="10" t="s">
        <v>200</v>
      </c>
      <c r="D44" s="18">
        <f>CONTROLES!BL279+'point sur les patentes'!M143</f>
        <v>72826</v>
      </c>
      <c r="E44" s="18">
        <f t="shared" si="0"/>
        <v>72826</v>
      </c>
      <c r="F44" s="17"/>
    </row>
    <row r="45" spans="1:6" ht="14.25" customHeight="1">
      <c r="A45" s="784"/>
      <c r="B45" s="786"/>
      <c r="C45" s="10" t="s">
        <v>198</v>
      </c>
      <c r="D45" s="18">
        <f>CONTROLES!BK279+'point sur les patentes'!L143</f>
        <v>145652</v>
      </c>
      <c r="E45" s="18">
        <f t="shared" si="0"/>
        <v>145652</v>
      </c>
      <c r="F45" s="17"/>
    </row>
    <row r="46" spans="1:6" ht="14.25" customHeight="1">
      <c r="A46" s="784"/>
      <c r="B46" s="787"/>
      <c r="C46" s="10" t="s">
        <v>210</v>
      </c>
      <c r="D46" s="18">
        <f>CONTROLES!BJ279+'point sur les patentes'!K143</f>
        <v>509782</v>
      </c>
      <c r="E46" s="18">
        <f t="shared" si="0"/>
        <v>509782</v>
      </c>
      <c r="F46" s="17"/>
    </row>
    <row r="47" spans="1:6" ht="14.25" customHeight="1">
      <c r="A47" s="772" t="s">
        <v>246</v>
      </c>
      <c r="B47" s="773"/>
      <c r="C47" s="774"/>
      <c r="D47" s="19">
        <f>D44+D45+D46</f>
        <v>728260</v>
      </c>
      <c r="E47" s="19">
        <f>E44+E45+E46</f>
        <v>728260</v>
      </c>
      <c r="F47" s="17"/>
    </row>
    <row r="48" spans="1:6" ht="14.25" customHeight="1">
      <c r="A48" s="784">
        <v>9</v>
      </c>
      <c r="B48" s="788" t="s">
        <v>215</v>
      </c>
      <c r="C48" s="10" t="s">
        <v>200</v>
      </c>
      <c r="D48" s="18"/>
      <c r="E48" s="18">
        <f t="shared" si="0"/>
        <v>0</v>
      </c>
      <c r="F48" s="17"/>
    </row>
    <row r="49" spans="1:6" ht="14.25" customHeight="1">
      <c r="A49" s="784"/>
      <c r="B49" s="789"/>
      <c r="C49" s="10" t="s">
        <v>198</v>
      </c>
      <c r="D49" s="18"/>
      <c r="E49" s="18">
        <f t="shared" si="0"/>
        <v>0</v>
      </c>
      <c r="F49" s="17"/>
    </row>
    <row r="50" spans="1:6" ht="14.25" customHeight="1">
      <c r="A50" s="784"/>
      <c r="B50" s="789"/>
      <c r="C50" s="10" t="s">
        <v>210</v>
      </c>
      <c r="D50" s="18"/>
      <c r="E50" s="18">
        <f t="shared" si="0"/>
        <v>0</v>
      </c>
      <c r="F50" s="17"/>
    </row>
    <row r="51" spans="1:6" ht="14.25" customHeight="1">
      <c r="A51" s="784"/>
      <c r="B51" s="790"/>
      <c r="C51" s="10" t="s">
        <v>216</v>
      </c>
      <c r="D51" s="18"/>
      <c r="E51" s="18">
        <f t="shared" si="0"/>
        <v>0</v>
      </c>
      <c r="F51" s="17"/>
    </row>
    <row r="52" spans="1:6" ht="14.25" customHeight="1">
      <c r="A52" s="772" t="s">
        <v>247</v>
      </c>
      <c r="B52" s="773"/>
      <c r="C52" s="774"/>
      <c r="D52" s="19">
        <f>D48+D49+D50+D51</f>
        <v>0</v>
      </c>
      <c r="E52" s="19">
        <f>E48+E49+E50+E51</f>
        <v>0</v>
      </c>
      <c r="F52" s="17"/>
    </row>
    <row r="53" spans="1:6" ht="14.25" customHeight="1">
      <c r="A53" s="784">
        <v>10</v>
      </c>
      <c r="B53" s="788" t="s">
        <v>217</v>
      </c>
      <c r="C53" s="10" t="s">
        <v>200</v>
      </c>
      <c r="D53" s="18">
        <f>CONTROLES!BS279+'SUIVI JOURNALIER AVRIL'!BW344</f>
        <v>8534.5</v>
      </c>
      <c r="E53" s="18">
        <f t="shared" si="0"/>
        <v>8534.5</v>
      </c>
      <c r="F53" s="17"/>
    </row>
    <row r="54" spans="1:6" ht="14.25" customHeight="1">
      <c r="A54" s="784"/>
      <c r="B54" s="789"/>
      <c r="C54" s="10" t="s">
        <v>198</v>
      </c>
      <c r="D54" s="18">
        <f>CONTROLES!BT279+'SUIVI JOURNALIER AVRIL'!BX344</f>
        <v>15362.1</v>
      </c>
      <c r="E54" s="18">
        <f t="shared" si="0"/>
        <v>15362.1</v>
      </c>
      <c r="F54" s="17"/>
    </row>
    <row r="55" spans="1:6" ht="14.25" customHeight="1">
      <c r="A55" s="784"/>
      <c r="B55" s="789"/>
      <c r="C55" s="10" t="s">
        <v>210</v>
      </c>
      <c r="D55" s="18">
        <f>CONTROLES!BU279+'SUIVI JOURNALIER AVRIL'!BY344</f>
        <v>15362.1</v>
      </c>
      <c r="E55" s="18">
        <f t="shared" si="0"/>
        <v>15362.1</v>
      </c>
      <c r="F55" s="17"/>
    </row>
    <row r="56" spans="1:6" ht="14.25" customHeight="1">
      <c r="A56" s="784"/>
      <c r="B56" s="790"/>
      <c r="C56" s="10" t="s">
        <v>218</v>
      </c>
      <c r="D56" s="18">
        <f>CONTROLES!BV279+'SUIVI JOURNALIER AVRIL'!BZ344</f>
        <v>46086.3</v>
      </c>
      <c r="E56" s="18">
        <f t="shared" si="0"/>
        <v>46086.3</v>
      </c>
      <c r="F56" s="17"/>
    </row>
    <row r="57" spans="1:6" ht="14.25" customHeight="1">
      <c r="A57" s="772" t="s">
        <v>248</v>
      </c>
      <c r="B57" s="773"/>
      <c r="C57" s="774"/>
      <c r="D57" s="18">
        <f>D53+D54+D55+D56</f>
        <v>85345</v>
      </c>
      <c r="E57" s="18">
        <f>E53+E54+E55+E56</f>
        <v>85345</v>
      </c>
      <c r="F57" s="17"/>
    </row>
    <row r="58" spans="1:6" ht="14.25" customHeight="1">
      <c r="A58" s="784">
        <v>11</v>
      </c>
      <c r="B58" s="785" t="s">
        <v>219</v>
      </c>
      <c r="C58" s="10" t="s">
        <v>200</v>
      </c>
      <c r="D58" s="18">
        <f>CONTROLES!BO279+'SUIVI JOURNALIER AVRIL'!BS344</f>
        <v>28560</v>
      </c>
      <c r="E58" s="18">
        <f t="shared" si="0"/>
        <v>28560</v>
      </c>
      <c r="F58" s="17"/>
    </row>
    <row r="59" spans="1:6" ht="14.25" customHeight="1">
      <c r="A59" s="784"/>
      <c r="B59" s="786"/>
      <c r="C59" s="10" t="s">
        <v>198</v>
      </c>
      <c r="D59" s="18">
        <f>CONTROLES!BP279+'SUIVI JOURNALIER AVRIL'!BT344</f>
        <v>51408</v>
      </c>
      <c r="E59" s="18">
        <f t="shared" si="0"/>
        <v>51408</v>
      </c>
      <c r="F59" s="17"/>
    </row>
    <row r="60" spans="1:6" ht="14.25" customHeight="1">
      <c r="A60" s="784"/>
      <c r="B60" s="786"/>
      <c r="C60" s="10" t="s">
        <v>210</v>
      </c>
      <c r="D60" s="18">
        <f>CONTROLES!BQ279+'SUIVI JOURNALIER AVRIL'!BU344</f>
        <v>51408</v>
      </c>
      <c r="E60" s="18">
        <f t="shared" si="0"/>
        <v>51408</v>
      </c>
      <c r="F60" s="17"/>
    </row>
    <row r="61" spans="1:6" ht="14.25" customHeight="1">
      <c r="A61" s="784"/>
      <c r="B61" s="787"/>
      <c r="C61" s="10" t="s">
        <v>218</v>
      </c>
      <c r="D61" s="18">
        <f>CONTROLES!BR279+'SUIVI JOURNALIER AVRIL'!BV344</f>
        <v>154224</v>
      </c>
      <c r="E61" s="18">
        <f t="shared" si="0"/>
        <v>154224</v>
      </c>
      <c r="F61" s="17"/>
    </row>
    <row r="62" spans="1:6" ht="14.25" customHeight="1">
      <c r="A62" s="772" t="s">
        <v>249</v>
      </c>
      <c r="B62" s="773"/>
      <c r="C62" s="774"/>
      <c r="D62" s="19">
        <f>D58+D59+D60+D61</f>
        <v>285600</v>
      </c>
      <c r="E62" s="19">
        <f>E58+E59+E60+E61</f>
        <v>285600</v>
      </c>
      <c r="F62" s="17"/>
    </row>
    <row r="63" spans="1:6" ht="14.25" customHeight="1">
      <c r="A63" s="784">
        <v>12</v>
      </c>
      <c r="B63" s="788" t="s">
        <v>231</v>
      </c>
      <c r="C63" s="10" t="s">
        <v>200</v>
      </c>
      <c r="D63" s="18"/>
      <c r="E63" s="18">
        <f t="shared" si="0"/>
        <v>0</v>
      </c>
      <c r="F63" s="17"/>
    </row>
    <row r="64" spans="1:6" ht="14.25" customHeight="1">
      <c r="A64" s="784"/>
      <c r="B64" s="789"/>
      <c r="C64" s="10" t="s">
        <v>198</v>
      </c>
      <c r="D64" s="18"/>
      <c r="E64" s="18">
        <f t="shared" si="0"/>
        <v>0</v>
      </c>
      <c r="F64" s="17"/>
    </row>
    <row r="65" spans="1:6" ht="14.25" customHeight="1">
      <c r="A65" s="784"/>
      <c r="B65" s="789"/>
      <c r="C65" s="10" t="s">
        <v>210</v>
      </c>
      <c r="D65" s="18"/>
      <c r="E65" s="18">
        <f t="shared" si="0"/>
        <v>0</v>
      </c>
      <c r="F65" s="17"/>
    </row>
    <row r="66" spans="1:6" ht="14.25" customHeight="1">
      <c r="A66" s="784"/>
      <c r="B66" s="790"/>
      <c r="C66" s="10" t="s">
        <v>218</v>
      </c>
      <c r="D66" s="18"/>
      <c r="E66" s="18">
        <f t="shared" si="0"/>
        <v>0</v>
      </c>
      <c r="F66" s="17"/>
    </row>
    <row r="67" spans="1:6" ht="14.25" customHeight="1">
      <c r="A67" s="772" t="s">
        <v>250</v>
      </c>
      <c r="B67" s="773"/>
      <c r="C67" s="774"/>
      <c r="D67" s="19">
        <f>D63+D64+D65+D66</f>
        <v>0</v>
      </c>
      <c r="E67" s="19">
        <f>E63+E64+E65+E66</f>
        <v>0</v>
      </c>
      <c r="F67" s="17"/>
    </row>
    <row r="68" spans="1:6" ht="14.25" customHeight="1">
      <c r="A68" s="784">
        <v>13</v>
      </c>
      <c r="B68" s="796" t="s">
        <v>220</v>
      </c>
      <c r="C68" s="10" t="s">
        <v>200</v>
      </c>
      <c r="D68" s="18"/>
      <c r="E68" s="18">
        <f t="shared" si="0"/>
        <v>0</v>
      </c>
      <c r="F68" s="17"/>
    </row>
    <row r="69" spans="1:6" ht="14.25" customHeight="1">
      <c r="A69" s="784"/>
      <c r="B69" s="797"/>
      <c r="C69" s="10" t="s">
        <v>221</v>
      </c>
      <c r="D69" s="18"/>
      <c r="E69" s="18">
        <f t="shared" si="0"/>
        <v>0</v>
      </c>
      <c r="F69" s="17"/>
    </row>
    <row r="70" spans="1:6" ht="14.25" customHeight="1">
      <c r="A70" s="772" t="s">
        <v>251</v>
      </c>
      <c r="B70" s="773"/>
      <c r="C70" s="774"/>
      <c r="D70" s="19">
        <f>D68+D69</f>
        <v>0</v>
      </c>
      <c r="E70" s="19">
        <f>E68+E69</f>
        <v>0</v>
      </c>
      <c r="F70" s="17"/>
    </row>
    <row r="71" spans="1:6" ht="14.25" customHeight="1">
      <c r="A71" s="784">
        <v>14</v>
      </c>
      <c r="B71" s="788" t="s">
        <v>232</v>
      </c>
      <c r="C71" s="10" t="s">
        <v>200</v>
      </c>
      <c r="D71" s="18">
        <f>CONTROLES!AZ279+'SUIVI JOURNALIER AVRIL'!BD344</f>
        <v>0</v>
      </c>
      <c r="E71" s="18">
        <f t="shared" si="0"/>
        <v>0</v>
      </c>
      <c r="F71" s="17"/>
    </row>
    <row r="72" spans="1:6" ht="14.25" customHeight="1">
      <c r="A72" s="784"/>
      <c r="B72" s="790"/>
      <c r="C72" s="10" t="s">
        <v>210</v>
      </c>
      <c r="D72" s="18">
        <f>CONTROLES!AY279+'SUIVI JOURNALIER AVRIL'!BB344</f>
        <v>0</v>
      </c>
      <c r="E72" s="18">
        <f t="shared" si="0"/>
        <v>0</v>
      </c>
      <c r="F72" s="17"/>
    </row>
    <row r="73" spans="1:6" ht="14.25" customHeight="1">
      <c r="A73" s="772" t="s">
        <v>252</v>
      </c>
      <c r="B73" s="773"/>
      <c r="C73" s="774"/>
      <c r="D73" s="19">
        <f>D71+D72</f>
        <v>0</v>
      </c>
      <c r="E73" s="19">
        <f>E71+E72</f>
        <v>0</v>
      </c>
      <c r="F73" s="17"/>
    </row>
    <row r="74" spans="1:6" ht="14.25" customHeight="1">
      <c r="A74" s="784">
        <v>15</v>
      </c>
      <c r="B74" s="785" t="s">
        <v>222</v>
      </c>
      <c r="C74" s="10" t="s">
        <v>200</v>
      </c>
      <c r="D74" s="18">
        <f>CONTROLES!E279+'SUIVI JOURNALIER AVRIL'!F344</f>
        <v>51300</v>
      </c>
      <c r="E74" s="18">
        <f t="shared" si="0"/>
        <v>51300</v>
      </c>
      <c r="F74" s="17"/>
    </row>
    <row r="75" spans="1:6" ht="14.25" customHeight="1">
      <c r="A75" s="784"/>
      <c r="B75" s="786"/>
      <c r="C75" s="10" t="s">
        <v>221</v>
      </c>
      <c r="D75" s="18">
        <f>CONTROLES!F279+'SUIVI JOURNALIER AVRIL'!G344</f>
        <v>71500</v>
      </c>
      <c r="E75" s="18">
        <f t="shared" si="0"/>
        <v>71500</v>
      </c>
      <c r="F75" s="17"/>
    </row>
    <row r="76" spans="1:6" ht="14.25" customHeight="1">
      <c r="A76" s="784"/>
      <c r="B76" s="787"/>
      <c r="C76" s="10" t="s">
        <v>203</v>
      </c>
      <c r="D76" s="18">
        <f>CONTROLES!D279+'SUIVI JOURNALIER AVRIL'!E344</f>
        <v>491200</v>
      </c>
      <c r="E76" s="18">
        <f t="shared" si="0"/>
        <v>491200</v>
      </c>
      <c r="F76" s="17"/>
    </row>
    <row r="77" spans="1:6" ht="14.25" customHeight="1">
      <c r="A77" s="772" t="s">
        <v>253</v>
      </c>
      <c r="B77" s="773"/>
      <c r="C77" s="774"/>
      <c r="D77" s="19">
        <f>D74+D75+D76</f>
        <v>614000</v>
      </c>
      <c r="E77" s="19">
        <f>E74+E75+E76</f>
        <v>614000</v>
      </c>
      <c r="F77" s="17"/>
    </row>
    <row r="78" spans="1:6" ht="14.25" customHeight="1">
      <c r="A78" s="784">
        <v>16</v>
      </c>
      <c r="B78" s="788" t="s">
        <v>223</v>
      </c>
      <c r="C78" s="10" t="s">
        <v>200</v>
      </c>
      <c r="D78" s="18"/>
      <c r="E78" s="18">
        <f t="shared" si="0"/>
        <v>0</v>
      </c>
      <c r="F78" s="17"/>
    </row>
    <row r="79" spans="1:6" ht="16.5" customHeight="1">
      <c r="A79" s="784"/>
      <c r="B79" s="789"/>
      <c r="C79" s="12" t="s">
        <v>224</v>
      </c>
      <c r="D79" s="18"/>
      <c r="E79" s="18">
        <f t="shared" ref="E79:E84" si="1">D79</f>
        <v>0</v>
      </c>
      <c r="F79" s="17"/>
    </row>
    <row r="80" spans="1:6" ht="14.25" customHeight="1">
      <c r="A80" s="784"/>
      <c r="B80" s="790"/>
      <c r="C80" s="10" t="s">
        <v>203</v>
      </c>
      <c r="D80" s="18"/>
      <c r="E80" s="18">
        <f t="shared" si="1"/>
        <v>0</v>
      </c>
      <c r="F80" s="17"/>
    </row>
    <row r="81" spans="1:10" ht="14.25" customHeight="1">
      <c r="A81" s="772" t="s">
        <v>254</v>
      </c>
      <c r="B81" s="773"/>
      <c r="C81" s="774"/>
      <c r="D81" s="19">
        <f>D78+D79+D80</f>
        <v>0</v>
      </c>
      <c r="E81" s="19">
        <f>E78+E79+E80</f>
        <v>0</v>
      </c>
      <c r="F81" s="17"/>
    </row>
    <row r="82" spans="1:10" ht="14.25" customHeight="1">
      <c r="A82" s="784">
        <v>17</v>
      </c>
      <c r="B82" s="788" t="s">
        <v>225</v>
      </c>
      <c r="C82" s="10" t="s">
        <v>200</v>
      </c>
      <c r="D82" s="18">
        <f>CONTROLES!AK279+'SUIVI JOURNALIER AVRIL'!AL344</f>
        <v>23630.25</v>
      </c>
      <c r="E82" s="18">
        <f t="shared" si="1"/>
        <v>23630.25</v>
      </c>
      <c r="F82" s="17"/>
    </row>
    <row r="83" spans="1:10" ht="14.25" customHeight="1">
      <c r="A83" s="784"/>
      <c r="B83" s="789"/>
      <c r="C83" s="10" t="s">
        <v>221</v>
      </c>
      <c r="D83" s="18">
        <f>CONTROLES!AL279+'SUIVI JOURNALIER AVRIL'!AM344</f>
        <v>118131.25</v>
      </c>
      <c r="E83" s="18">
        <f t="shared" si="1"/>
        <v>118131.25</v>
      </c>
      <c r="F83" s="17"/>
    </row>
    <row r="84" spans="1:10" ht="14.25" customHeight="1">
      <c r="A84" s="784"/>
      <c r="B84" s="790"/>
      <c r="C84" s="10" t="s">
        <v>203</v>
      </c>
      <c r="D84" s="18">
        <f>CONTROLES!AI279+'SUIVI JOURNALIER AVRIL'!AJ344</f>
        <v>307149.25</v>
      </c>
      <c r="E84" s="18">
        <f t="shared" si="1"/>
        <v>307149.25</v>
      </c>
      <c r="F84" s="17"/>
    </row>
    <row r="85" spans="1:10" ht="14.25" customHeight="1">
      <c r="A85" s="772" t="s">
        <v>255</v>
      </c>
      <c r="B85" s="773"/>
      <c r="C85" s="774"/>
      <c r="D85" s="19">
        <f>D82+D83+D84</f>
        <v>448910.75</v>
      </c>
      <c r="E85" s="19">
        <f>E82+E83+E84</f>
        <v>448910.75</v>
      </c>
      <c r="F85" s="17"/>
    </row>
    <row r="86" spans="1:10" ht="14.25" customHeight="1">
      <c r="A86" s="772" t="s">
        <v>257</v>
      </c>
      <c r="B86" s="773"/>
      <c r="C86" s="774"/>
      <c r="D86" s="19">
        <f>D83+D79+D75+D72+D69+D66+D65+D64+D61+D60+D59+D56+D55+D54+D51+D50+D49+D46+D45+D42+D41+D40+D39+D38+D35+D34+D31+D30+D27+D26+D22+D21+D18+D15</f>
        <v>21396162.057818182</v>
      </c>
      <c r="E86" s="19">
        <f>E83+E79+E75+E72+E69+E66+E65+E64+E61+E60+E59+E56+E55+E54+E51+E50+E49+E46+E45+E42+E41+E40+E39+E38+E35+E34+E31+E30+E27+E26+E22+E21+E18+E15</f>
        <v>21396162.057818182</v>
      </c>
      <c r="F86" s="17"/>
    </row>
    <row r="87" spans="1:10" ht="14.25" customHeight="1">
      <c r="A87" s="793" t="s">
        <v>237</v>
      </c>
      <c r="B87" s="794"/>
      <c r="C87" s="795"/>
      <c r="D87" s="19">
        <f>D85+D81+D77+D73+D70+D67+D62+D57+D52+D47+D43+D36+D32+D28+D24+D19+D16</f>
        <v>24665332.650545456</v>
      </c>
      <c r="E87" s="19">
        <f>E85+E81+E77+E73+E70+E67+E62+E57+E52+E47+E43+E36+E32+E28+E24+E19+E16</f>
        <v>24665332.650545456</v>
      </c>
      <c r="F87" s="17"/>
      <c r="G87" s="271">
        <f>+AVRIL!H48</f>
        <v>20890376.949318185</v>
      </c>
      <c r="H87" s="269">
        <f>+D86-G87</f>
        <v>505785.10849999636</v>
      </c>
    </row>
    <row r="88" spans="1:10" ht="14.25" customHeight="1">
      <c r="A88" s="769" t="s">
        <v>236</v>
      </c>
      <c r="B88" s="770"/>
      <c r="C88" s="770"/>
      <c r="D88" s="770"/>
      <c r="E88" s="770"/>
      <c r="F88" s="771"/>
    </row>
    <row r="89" spans="1:10" ht="15" customHeight="1">
      <c r="A89" s="11">
        <v>18</v>
      </c>
      <c r="B89" s="13" t="s">
        <v>226</v>
      </c>
      <c r="C89" s="10" t="s">
        <v>227</v>
      </c>
      <c r="D89" s="18">
        <f>'SUIVI JOURNALIER AVRIL'!BG344+CONTROLES!BC279+'point sur les patentes'!E143</f>
        <v>2777202.767</v>
      </c>
      <c r="E89" s="18">
        <f>D89</f>
        <v>2777202.767</v>
      </c>
      <c r="F89" s="14"/>
    </row>
    <row r="90" spans="1:10" ht="15" customHeight="1">
      <c r="A90" s="11">
        <v>19</v>
      </c>
      <c r="B90" s="13" t="s">
        <v>228</v>
      </c>
      <c r="C90" s="10" t="s">
        <v>229</v>
      </c>
      <c r="D90" s="18">
        <f>CONTROLES!BA279+'SUIVI JOURNALIER AVRIL'!BE344</f>
        <v>2677665</v>
      </c>
      <c r="E90" s="18">
        <f>D90</f>
        <v>2677665</v>
      </c>
      <c r="F90" s="14"/>
      <c r="I90" s="9" t="s">
        <v>2653</v>
      </c>
      <c r="J90" s="20"/>
    </row>
    <row r="91" spans="1:10" ht="15" customHeight="1">
      <c r="A91" s="11">
        <v>20</v>
      </c>
      <c r="B91" s="13" t="s">
        <v>230</v>
      </c>
      <c r="C91" s="10" t="s">
        <v>162</v>
      </c>
      <c r="D91" s="18">
        <f>CONTROLES!BB279+'SUIVI JOURNALIER AVRIL'!BF344</f>
        <v>1236682</v>
      </c>
      <c r="E91" s="18">
        <f>D91</f>
        <v>1236682</v>
      </c>
      <c r="F91" s="14"/>
      <c r="I91" s="9" t="s">
        <v>2287</v>
      </c>
    </row>
    <row r="92" spans="1:10" ht="14.25" customHeight="1">
      <c r="A92" s="793" t="s">
        <v>238</v>
      </c>
      <c r="B92" s="794"/>
      <c r="C92" s="795"/>
      <c r="D92" s="19">
        <f>D91+D90+D89</f>
        <v>6691549.767</v>
      </c>
      <c r="E92" s="19">
        <f>E91+E90+E89</f>
        <v>6691549.767</v>
      </c>
      <c r="F92" s="14"/>
      <c r="G92" s="270">
        <f>+AVRIL!H52</f>
        <v>6838425.4084999999</v>
      </c>
      <c r="I92" s="20">
        <f>+G92-E92</f>
        <v>146875.64149999991</v>
      </c>
    </row>
    <row r="95" spans="1:10">
      <c r="A95" s="15" t="s">
        <v>258</v>
      </c>
      <c r="B95" s="15"/>
      <c r="C95" s="15"/>
    </row>
    <row r="96" spans="1:10">
      <c r="A96" s="15"/>
      <c r="B96" s="15"/>
      <c r="C96" s="15"/>
    </row>
    <row r="97" spans="1:3">
      <c r="A97" s="15" t="s">
        <v>259</v>
      </c>
      <c r="B97" s="15"/>
      <c r="C97" s="15"/>
    </row>
  </sheetData>
  <mergeCells count="72">
    <mergeCell ref="B14:B15"/>
    <mergeCell ref="A87:C87"/>
    <mergeCell ref="A92:C92"/>
    <mergeCell ref="B63:B66"/>
    <mergeCell ref="B68:B69"/>
    <mergeCell ref="B71:B72"/>
    <mergeCell ref="B74:B76"/>
    <mergeCell ref="B78:B80"/>
    <mergeCell ref="B82:B84"/>
    <mergeCell ref="B17:B18"/>
    <mergeCell ref="B20:B23"/>
    <mergeCell ref="B25:B27"/>
    <mergeCell ref="B29:B31"/>
    <mergeCell ref="B33:B35"/>
    <mergeCell ref="B37:B42"/>
    <mergeCell ref="A71:A72"/>
    <mergeCell ref="A74:A76"/>
    <mergeCell ref="A78:A80"/>
    <mergeCell ref="A82:A84"/>
    <mergeCell ref="A67:C67"/>
    <mergeCell ref="A70:C70"/>
    <mergeCell ref="A73:C73"/>
    <mergeCell ref="A77:C77"/>
    <mergeCell ref="A81:C81"/>
    <mergeCell ref="A19:C19"/>
    <mergeCell ref="A24:C24"/>
    <mergeCell ref="A28:C28"/>
    <mergeCell ref="A32:C32"/>
    <mergeCell ref="A85:C85"/>
    <mergeCell ref="A36:C36"/>
    <mergeCell ref="A43:C43"/>
    <mergeCell ref="A47:C47"/>
    <mergeCell ref="A52:C52"/>
    <mergeCell ref="A57:C57"/>
    <mergeCell ref="A62:C62"/>
    <mergeCell ref="B44:B46"/>
    <mergeCell ref="B48:B51"/>
    <mergeCell ref="B53:B56"/>
    <mergeCell ref="B58:B61"/>
    <mergeCell ref="A68:A69"/>
    <mergeCell ref="C11:D11"/>
    <mergeCell ref="E11:F11"/>
    <mergeCell ref="A13:F13"/>
    <mergeCell ref="A63:A66"/>
    <mergeCell ref="A14:A15"/>
    <mergeCell ref="A17:A18"/>
    <mergeCell ref="A20:A23"/>
    <mergeCell ref="A25:A27"/>
    <mergeCell ref="A29:A31"/>
    <mergeCell ref="A33:A35"/>
    <mergeCell ref="A37:A42"/>
    <mergeCell ref="A44:A46"/>
    <mergeCell ref="A48:A51"/>
    <mergeCell ref="A53:A56"/>
    <mergeCell ref="A58:A61"/>
    <mergeCell ref="A16:C16"/>
    <mergeCell ref="A88:F88"/>
    <mergeCell ref="A86:C86"/>
    <mergeCell ref="E1:F1"/>
    <mergeCell ref="E2:F2"/>
    <mergeCell ref="E3:F3"/>
    <mergeCell ref="E4:F4"/>
    <mergeCell ref="E5:F5"/>
    <mergeCell ref="E6:F6"/>
    <mergeCell ref="A1:C1"/>
    <mergeCell ref="A2:C2"/>
    <mergeCell ref="A3:C3"/>
    <mergeCell ref="A4:C4"/>
    <mergeCell ref="A5:C5"/>
    <mergeCell ref="A6:C6"/>
    <mergeCell ref="A10:F10"/>
    <mergeCell ref="A11:B11"/>
  </mergeCells>
  <printOptions horizontalCentered="1"/>
  <pageMargins left="0.23622047244094491" right="0.11811023622047245" top="0.74803149606299213" bottom="0.74803149606299213" header="0.31496062992125984" footer="0.31496062992125984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Feuil7"/>
  <dimension ref="A1:AB143"/>
  <sheetViews>
    <sheetView workbookViewId="0">
      <selection activeCell="A9" sqref="A9:B9"/>
    </sheetView>
  </sheetViews>
  <sheetFormatPr baseColWidth="10" defaultRowHeight="15"/>
  <cols>
    <col min="1" max="1" width="75.140625" bestFit="1" customWidth="1"/>
    <col min="2" max="2" width="16.28515625" customWidth="1"/>
    <col min="3" max="3" width="5.5703125" bestFit="1" customWidth="1"/>
    <col min="4" max="4" width="11.42578125" style="31"/>
    <col min="5" max="27" width="11.42578125" style="29"/>
    <col min="28" max="28" width="12.28515625" style="29" bestFit="1" customWidth="1"/>
    <col min="29" max="29" width="13.85546875" customWidth="1"/>
  </cols>
  <sheetData>
    <row r="1" spans="1:28" ht="15.75" thickBot="1">
      <c r="A1" s="2" t="s">
        <v>1441</v>
      </c>
      <c r="B1" s="2" t="s">
        <v>391</v>
      </c>
      <c r="C1" s="30" t="s">
        <v>187</v>
      </c>
      <c r="D1" s="445" t="s">
        <v>188</v>
      </c>
      <c r="E1" s="81" t="s">
        <v>266</v>
      </c>
      <c r="F1" s="81" t="s">
        <v>164</v>
      </c>
      <c r="G1" s="81" t="s">
        <v>165</v>
      </c>
      <c r="H1" s="81" t="s">
        <v>166</v>
      </c>
      <c r="I1" s="81" t="s">
        <v>213</v>
      </c>
      <c r="J1" s="81" t="s">
        <v>176</v>
      </c>
      <c r="K1" s="81" t="s">
        <v>167</v>
      </c>
      <c r="L1" s="81" t="s">
        <v>168</v>
      </c>
      <c r="M1" s="81" t="s">
        <v>176</v>
      </c>
      <c r="N1" s="81" t="s">
        <v>158</v>
      </c>
      <c r="O1" s="81" t="s">
        <v>2032</v>
      </c>
      <c r="P1" s="81" t="s">
        <v>169</v>
      </c>
      <c r="Q1" s="81" t="s">
        <v>176</v>
      </c>
      <c r="R1" s="81" t="s">
        <v>267</v>
      </c>
      <c r="S1" s="81" t="s">
        <v>170</v>
      </c>
      <c r="T1" s="81" t="s">
        <v>171</v>
      </c>
      <c r="U1" s="81" t="s">
        <v>172</v>
      </c>
      <c r="V1" s="81" t="s">
        <v>268</v>
      </c>
      <c r="W1" s="81" t="s">
        <v>173</v>
      </c>
      <c r="X1" s="81" t="s">
        <v>174</v>
      </c>
      <c r="Y1" s="81" t="s">
        <v>175</v>
      </c>
      <c r="Z1" s="81" t="s">
        <v>177</v>
      </c>
      <c r="AA1" s="81" t="s">
        <v>178</v>
      </c>
    </row>
    <row r="2" spans="1:28">
      <c r="A2" s="309" t="s">
        <v>563</v>
      </c>
      <c r="B2" s="309" t="s">
        <v>564</v>
      </c>
      <c r="C2" s="42" t="str">
        <f>VLOOKUP(A2,'vs mars'!B:AC,28,FALSE)</f>
        <v>ug4</v>
      </c>
      <c r="D2" s="8"/>
      <c r="E2" s="119">
        <v>137238.06419999999</v>
      </c>
      <c r="F2" s="119">
        <v>109753.3098</v>
      </c>
      <c r="G2" s="119">
        <v>27453.803100000001</v>
      </c>
      <c r="H2" s="119">
        <v>4116.5228999999999</v>
      </c>
      <c r="I2" s="119"/>
      <c r="J2" s="119">
        <v>36951.300000000003</v>
      </c>
      <c r="K2" s="119">
        <v>0</v>
      </c>
      <c r="L2" s="119">
        <v>0</v>
      </c>
      <c r="M2" s="119">
        <v>0</v>
      </c>
      <c r="N2" s="119"/>
      <c r="O2" s="119"/>
      <c r="P2" s="119">
        <v>48600</v>
      </c>
      <c r="Q2" s="119">
        <v>5400</v>
      </c>
      <c r="R2" s="119"/>
      <c r="S2" s="119"/>
      <c r="T2" s="119"/>
      <c r="U2" s="119"/>
      <c r="V2" s="119"/>
      <c r="W2" s="119"/>
      <c r="X2" s="119"/>
      <c r="Y2" s="120"/>
      <c r="Z2" s="120"/>
      <c r="AA2" s="121">
        <f t="shared" ref="AA2:AA65" si="0">SUM(E2:Z2)</f>
        <v>369513</v>
      </c>
      <c r="AB2" s="29">
        <v>130569964.66431095</v>
      </c>
    </row>
    <row r="3" spans="1:28">
      <c r="A3" s="309" t="s">
        <v>2199</v>
      </c>
      <c r="B3" s="309" t="s">
        <v>2213</v>
      </c>
      <c r="C3" s="42" t="str">
        <f>VLOOKUP(A3,'vs mars'!B:AC,28,FALSE)</f>
        <v>ug2</v>
      </c>
      <c r="D3" s="8"/>
      <c r="E3" s="119">
        <v>52764.6</v>
      </c>
      <c r="F3" s="119">
        <v>42197.4</v>
      </c>
      <c r="G3" s="119">
        <v>10555.3</v>
      </c>
      <c r="H3" s="119">
        <v>1582.6999999999998</v>
      </c>
      <c r="I3" s="119"/>
      <c r="J3" s="119">
        <v>14150</v>
      </c>
      <c r="K3" s="119">
        <v>169092</v>
      </c>
      <c r="L3" s="119">
        <v>48312</v>
      </c>
      <c r="M3" s="119">
        <v>24156</v>
      </c>
      <c r="N3" s="119"/>
      <c r="O3" s="119"/>
      <c r="P3" s="119">
        <v>18225</v>
      </c>
      <c r="Q3" s="119">
        <v>2025</v>
      </c>
      <c r="R3" s="119"/>
      <c r="S3" s="119"/>
      <c r="T3" s="119"/>
      <c r="U3" s="119"/>
      <c r="V3" s="119"/>
      <c r="W3" s="119"/>
      <c r="X3" s="119"/>
      <c r="Y3" s="120"/>
      <c r="Z3" s="120"/>
      <c r="AA3" s="121">
        <f t="shared" si="0"/>
        <v>383060</v>
      </c>
      <c r="AB3" s="29">
        <v>50000000</v>
      </c>
    </row>
    <row r="4" spans="1:28">
      <c r="A4" s="309" t="s">
        <v>372</v>
      </c>
      <c r="B4" s="309" t="s">
        <v>631</v>
      </c>
      <c r="C4" s="42" t="str">
        <f>VLOOKUP(A4,'vs mars'!B:AC,28,FALSE)</f>
        <v>ug4</v>
      </c>
      <c r="D4" s="8"/>
      <c r="E4" s="119">
        <v>679545.97200000007</v>
      </c>
      <c r="F4" s="119">
        <v>543452.86800000002</v>
      </c>
      <c r="G4" s="119">
        <v>135939.84599999999</v>
      </c>
      <c r="H4" s="119">
        <v>20383.313999999998</v>
      </c>
      <c r="I4" s="119"/>
      <c r="J4" s="119">
        <v>162258</v>
      </c>
      <c r="K4" s="119">
        <v>0</v>
      </c>
      <c r="L4" s="119">
        <v>0</v>
      </c>
      <c r="M4" s="119">
        <v>0</v>
      </c>
      <c r="N4" s="119"/>
      <c r="O4" s="119"/>
      <c r="P4" s="119">
        <v>72900</v>
      </c>
      <c r="Q4" s="119">
        <v>8100</v>
      </c>
      <c r="R4" s="119"/>
      <c r="S4" s="119"/>
      <c r="T4" s="119"/>
      <c r="U4" s="119"/>
      <c r="V4" s="119"/>
      <c r="W4" s="119"/>
      <c r="X4" s="119"/>
      <c r="Y4" s="120"/>
      <c r="Z4" s="120"/>
      <c r="AA4" s="121">
        <f t="shared" si="0"/>
        <v>1622580</v>
      </c>
      <c r="AB4" s="29">
        <v>573349823.32155478</v>
      </c>
    </row>
    <row r="5" spans="1:28">
      <c r="A5" s="309" t="s">
        <v>3108</v>
      </c>
      <c r="B5" s="309" t="s">
        <v>730</v>
      </c>
      <c r="C5" s="660" t="s">
        <v>1437</v>
      </c>
      <c r="D5" s="8"/>
      <c r="E5" s="119">
        <v>52764.6</v>
      </c>
      <c r="F5" s="119">
        <v>42197.4</v>
      </c>
      <c r="G5" s="119">
        <v>10555.3</v>
      </c>
      <c r="H5" s="119">
        <v>1582.6999999999998</v>
      </c>
      <c r="I5" s="119"/>
      <c r="J5" s="119">
        <v>14150</v>
      </c>
      <c r="K5" s="119">
        <v>169092</v>
      </c>
      <c r="L5" s="119">
        <v>48312</v>
      </c>
      <c r="M5" s="119">
        <v>24156</v>
      </c>
      <c r="N5" s="119"/>
      <c r="O5" s="119"/>
      <c r="P5" s="119">
        <v>18225</v>
      </c>
      <c r="Q5" s="119">
        <v>2025</v>
      </c>
      <c r="R5" s="119"/>
      <c r="S5" s="119"/>
      <c r="T5" s="119"/>
      <c r="U5" s="119"/>
      <c r="V5" s="119"/>
      <c r="W5" s="119"/>
      <c r="X5" s="119"/>
      <c r="Y5" s="120"/>
      <c r="Z5" s="120"/>
      <c r="AA5" s="121">
        <f t="shared" si="0"/>
        <v>383060</v>
      </c>
      <c r="AB5" s="29">
        <v>50000000</v>
      </c>
    </row>
    <row r="6" spans="1:28">
      <c r="A6" s="309" t="s">
        <v>2353</v>
      </c>
      <c r="B6" s="309" t="s">
        <v>2298</v>
      </c>
      <c r="C6" s="42" t="str">
        <f>VLOOKUP(A6,'vs mars'!B:AC,28,FALSE)</f>
        <v>ug1</v>
      </c>
      <c r="D6" s="8"/>
      <c r="E6" s="119">
        <v>52764.6</v>
      </c>
      <c r="F6" s="119">
        <v>42197.4</v>
      </c>
      <c r="G6" s="119">
        <v>10555.3</v>
      </c>
      <c r="H6" s="119">
        <v>1582.6999999999998</v>
      </c>
      <c r="I6" s="119"/>
      <c r="J6" s="119">
        <v>14150</v>
      </c>
      <c r="K6" s="119">
        <v>0</v>
      </c>
      <c r="L6" s="119">
        <v>0</v>
      </c>
      <c r="M6" s="119">
        <v>0</v>
      </c>
      <c r="N6" s="119"/>
      <c r="O6" s="119"/>
      <c r="P6" s="119">
        <v>18225</v>
      </c>
      <c r="Q6" s="119">
        <v>2025</v>
      </c>
      <c r="R6" s="119"/>
      <c r="S6" s="119"/>
      <c r="T6" s="119"/>
      <c r="U6" s="119"/>
      <c r="V6" s="119"/>
      <c r="W6" s="119"/>
      <c r="X6" s="119"/>
      <c r="Y6" s="120"/>
      <c r="Z6" s="120"/>
      <c r="AA6" s="121">
        <f t="shared" si="0"/>
        <v>141500</v>
      </c>
      <c r="AB6" s="29">
        <v>50000000</v>
      </c>
    </row>
    <row r="7" spans="1:28">
      <c r="A7" s="309" t="s">
        <v>3109</v>
      </c>
      <c r="B7" s="309" t="s">
        <v>3110</v>
      </c>
      <c r="C7" s="660" t="s">
        <v>1437</v>
      </c>
      <c r="D7" s="8"/>
      <c r="E7" s="119">
        <v>55224.139800000004</v>
      </c>
      <c r="F7" s="119">
        <v>44164.366200000004</v>
      </c>
      <c r="G7" s="119">
        <v>11047.3189</v>
      </c>
      <c r="H7" s="119">
        <v>1656.4750999999999</v>
      </c>
      <c r="I7" s="119"/>
      <c r="J7" s="119">
        <v>14704.7</v>
      </c>
      <c r="K7" s="119">
        <v>0</v>
      </c>
      <c r="L7" s="119">
        <v>0</v>
      </c>
      <c r="M7" s="119">
        <v>0</v>
      </c>
      <c r="N7" s="119"/>
      <c r="O7" s="119"/>
      <c r="P7" s="119">
        <v>18225</v>
      </c>
      <c r="Q7" s="119">
        <v>2025</v>
      </c>
      <c r="R7" s="119"/>
      <c r="S7" s="119"/>
      <c r="T7" s="119"/>
      <c r="U7" s="119"/>
      <c r="V7" s="119"/>
      <c r="W7" s="119"/>
      <c r="X7" s="119"/>
      <c r="Y7" s="120"/>
      <c r="Z7" s="120"/>
      <c r="AA7" s="121">
        <f t="shared" si="0"/>
        <v>147047</v>
      </c>
      <c r="AB7" s="29">
        <v>51960070.671378091</v>
      </c>
    </row>
    <row r="8" spans="1:28">
      <c r="A8" s="1" t="s">
        <v>3119</v>
      </c>
      <c r="B8" s="77" t="s">
        <v>2631</v>
      </c>
      <c r="C8" s="660" t="s">
        <v>408</v>
      </c>
      <c r="D8" s="8"/>
      <c r="E8" s="119">
        <v>52764.6</v>
      </c>
      <c r="F8" s="119">
        <v>42197.4</v>
      </c>
      <c r="G8" s="119">
        <v>10555.3</v>
      </c>
      <c r="H8" s="119">
        <v>1582.6999999999998</v>
      </c>
      <c r="I8" s="119"/>
      <c r="J8" s="119">
        <v>14150</v>
      </c>
      <c r="K8" s="119">
        <v>0</v>
      </c>
      <c r="L8" s="119">
        <v>0</v>
      </c>
      <c r="M8" s="119">
        <v>0</v>
      </c>
      <c r="N8" s="119"/>
      <c r="O8" s="119"/>
      <c r="P8" s="119">
        <v>18225</v>
      </c>
      <c r="Q8" s="119">
        <v>2025</v>
      </c>
      <c r="R8" s="119"/>
      <c r="S8" s="119"/>
      <c r="T8" s="119"/>
      <c r="U8" s="119"/>
      <c r="V8" s="119"/>
      <c r="W8" s="119"/>
      <c r="X8" s="119"/>
      <c r="Y8" s="120"/>
      <c r="Z8" s="120"/>
      <c r="AA8" s="121">
        <f t="shared" ref="AA8:AA10" si="1">SUM(E8:Z8)</f>
        <v>141500</v>
      </c>
      <c r="AB8" s="29">
        <v>50000000</v>
      </c>
    </row>
    <row r="9" spans="1:28">
      <c r="A9" s="309" t="s">
        <v>2356</v>
      </c>
      <c r="B9" s="309" t="s">
        <v>2568</v>
      </c>
      <c r="C9" s="660" t="s">
        <v>408</v>
      </c>
      <c r="D9" s="8"/>
      <c r="E9" s="119">
        <v>52764.6</v>
      </c>
      <c r="F9" s="119">
        <v>42197.4</v>
      </c>
      <c r="G9" s="119">
        <v>10555.3</v>
      </c>
      <c r="H9" s="119">
        <v>1582.6999999999998</v>
      </c>
      <c r="I9" s="119"/>
      <c r="J9" s="119">
        <v>14150</v>
      </c>
      <c r="K9" s="119">
        <v>0</v>
      </c>
      <c r="L9" s="119">
        <v>0</v>
      </c>
      <c r="M9" s="119">
        <v>0</v>
      </c>
      <c r="N9" s="119"/>
      <c r="O9" s="119"/>
      <c r="P9" s="119">
        <v>18225</v>
      </c>
      <c r="Q9" s="119">
        <v>2025</v>
      </c>
      <c r="R9" s="119"/>
      <c r="S9" s="119"/>
      <c r="T9" s="119"/>
      <c r="U9" s="119"/>
      <c r="V9" s="119"/>
      <c r="W9" s="119"/>
      <c r="X9" s="119"/>
      <c r="Y9" s="120"/>
      <c r="Z9" s="120"/>
      <c r="AA9" s="121">
        <f t="shared" si="1"/>
        <v>141500</v>
      </c>
      <c r="AB9" s="29">
        <v>50000000</v>
      </c>
    </row>
    <row r="10" spans="1:28">
      <c r="A10" s="77" t="s">
        <v>3120</v>
      </c>
      <c r="B10" s="77" t="s">
        <v>2631</v>
      </c>
      <c r="C10" s="660" t="s">
        <v>408</v>
      </c>
      <c r="D10" s="8"/>
      <c r="E10" s="119">
        <v>52764.6</v>
      </c>
      <c r="F10" s="119">
        <v>42197.4</v>
      </c>
      <c r="G10" s="119">
        <v>10555.3</v>
      </c>
      <c r="H10" s="119">
        <v>1582.6999999999998</v>
      </c>
      <c r="I10" s="119"/>
      <c r="J10" s="119">
        <v>14150</v>
      </c>
      <c r="K10" s="119">
        <v>0</v>
      </c>
      <c r="L10" s="119">
        <v>0</v>
      </c>
      <c r="M10" s="119">
        <v>0</v>
      </c>
      <c r="N10" s="119"/>
      <c r="O10" s="119"/>
      <c r="P10" s="119">
        <v>18225</v>
      </c>
      <c r="Q10" s="119">
        <v>2025</v>
      </c>
      <c r="R10" s="119"/>
      <c r="S10" s="119"/>
      <c r="T10" s="119"/>
      <c r="U10" s="119"/>
      <c r="V10" s="119"/>
      <c r="W10" s="119"/>
      <c r="X10" s="119"/>
      <c r="Y10" s="120"/>
      <c r="Z10" s="120"/>
      <c r="AA10" s="121">
        <f t="shared" si="1"/>
        <v>141500</v>
      </c>
      <c r="AB10" s="29">
        <v>50000000</v>
      </c>
    </row>
    <row r="11" spans="1:28">
      <c r="A11" s="309" t="s">
        <v>378</v>
      </c>
      <c r="B11" s="309" t="s">
        <v>786</v>
      </c>
      <c r="C11" s="42" t="str">
        <f>VLOOKUP(A11,'vs mars'!B:AC,28,FALSE)</f>
        <v>ug4</v>
      </c>
      <c r="D11" s="8"/>
      <c r="E11" s="119">
        <v>84296.991000000009</v>
      </c>
      <c r="F11" s="119">
        <v>67414.77900000001</v>
      </c>
      <c r="G11" s="119">
        <v>16863.200499999999</v>
      </c>
      <c r="H11" s="119">
        <v>2528.5295000000001</v>
      </c>
      <c r="I11" s="119"/>
      <c r="J11" s="119">
        <v>23511.5</v>
      </c>
      <c r="K11" s="119"/>
      <c r="L11" s="119"/>
      <c r="M11" s="119"/>
      <c r="N11" s="119"/>
      <c r="O11" s="119"/>
      <c r="P11" s="119">
        <v>36450</v>
      </c>
      <c r="Q11" s="119">
        <v>4050</v>
      </c>
      <c r="R11" s="119"/>
      <c r="S11" s="119"/>
      <c r="T11" s="119"/>
      <c r="U11" s="119"/>
      <c r="V11" s="119"/>
      <c r="W11" s="119"/>
      <c r="X11" s="119"/>
      <c r="Y11" s="120"/>
      <c r="Z11" s="120"/>
      <c r="AA11" s="121">
        <f t="shared" si="0"/>
        <v>235115.00000000003</v>
      </c>
      <c r="AB11" s="29">
        <v>83079505.300353348</v>
      </c>
    </row>
    <row r="12" spans="1:28">
      <c r="A12" s="309" t="s">
        <v>566</v>
      </c>
      <c r="B12" s="41" t="str">
        <f>VLOOKUP(A12,'vs mars'!B:D,3,FALSE)</f>
        <v>M081200043685H</v>
      </c>
      <c r="C12" s="42" t="str">
        <f>VLOOKUP(A12,'vs mars'!B:AC,28,FALSE)</f>
        <v>ug2</v>
      </c>
      <c r="D12" s="8"/>
      <c r="E12" s="119"/>
      <c r="F12" s="119"/>
      <c r="G12" s="119"/>
      <c r="H12" s="119"/>
      <c r="I12" s="119"/>
      <c r="J12" s="119"/>
      <c r="K12" s="119">
        <v>171598</v>
      </c>
      <c r="L12" s="119">
        <v>49028</v>
      </c>
      <c r="M12" s="119">
        <v>24514</v>
      </c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20"/>
      <c r="Z12" s="120"/>
      <c r="AA12" s="121">
        <f t="shared" si="0"/>
        <v>245140</v>
      </c>
    </row>
    <row r="13" spans="1:28">
      <c r="A13" s="1"/>
      <c r="B13" s="41" t="e">
        <f>VLOOKUP(A13,'vs mars'!B:D,3,FALSE)</f>
        <v>#N/A</v>
      </c>
      <c r="C13" s="42" t="e">
        <f>VLOOKUP(A13,'vs mars'!B:AC,28,FALSE)</f>
        <v>#N/A</v>
      </c>
      <c r="D13" s="8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20"/>
      <c r="Z13" s="120"/>
      <c r="AA13" s="121">
        <f t="shared" si="0"/>
        <v>0</v>
      </c>
    </row>
    <row r="14" spans="1:28">
      <c r="A14" s="1"/>
      <c r="B14" s="41" t="e">
        <f>VLOOKUP(A14,'vs mars'!B:D,3,FALSE)</f>
        <v>#N/A</v>
      </c>
      <c r="C14" s="42" t="e">
        <f>VLOOKUP(A14,'vs mars'!B:AC,28,FALSE)</f>
        <v>#N/A</v>
      </c>
      <c r="D14" s="8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20"/>
      <c r="Z14" s="120"/>
      <c r="AA14" s="121">
        <f t="shared" si="0"/>
        <v>0</v>
      </c>
    </row>
    <row r="15" spans="1:28">
      <c r="A15" s="1"/>
      <c r="B15" s="41" t="e">
        <f>VLOOKUP(A15,'vs mars'!B:D,3,FALSE)</f>
        <v>#N/A</v>
      </c>
      <c r="C15" s="42" t="e">
        <f>VLOOKUP(A15,'vs mars'!B:AC,28,FALSE)</f>
        <v>#N/A</v>
      </c>
      <c r="D15" s="8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20"/>
      <c r="Z15" s="120"/>
      <c r="AA15" s="121">
        <f t="shared" si="0"/>
        <v>0</v>
      </c>
    </row>
    <row r="16" spans="1:28">
      <c r="A16" s="1"/>
      <c r="B16" s="41" t="e">
        <f>VLOOKUP(A16,'vs mars'!B:D,3,FALSE)</f>
        <v>#N/A</v>
      </c>
      <c r="C16" s="42" t="e">
        <f>VLOOKUP(A16,'vs mars'!B:AC,28,FALSE)</f>
        <v>#N/A</v>
      </c>
      <c r="D16" s="8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20"/>
      <c r="Z16" s="120"/>
      <c r="AA16" s="121">
        <f t="shared" si="0"/>
        <v>0</v>
      </c>
    </row>
    <row r="17" spans="1:27">
      <c r="A17" s="1"/>
      <c r="B17" s="41" t="e">
        <f>VLOOKUP(A17,'vs mars'!B:D,3,FALSE)</f>
        <v>#N/A</v>
      </c>
      <c r="C17" s="42" t="e">
        <f>VLOOKUP(A17,'vs mars'!B:AC,28,FALSE)</f>
        <v>#N/A</v>
      </c>
      <c r="D17" s="8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20"/>
      <c r="Z17" s="120"/>
      <c r="AA17" s="121">
        <f t="shared" si="0"/>
        <v>0</v>
      </c>
    </row>
    <row r="18" spans="1:27">
      <c r="A18" s="1"/>
      <c r="B18" s="41" t="e">
        <f>VLOOKUP(A18,'vs mars'!B:D,3,FALSE)</f>
        <v>#N/A</v>
      </c>
      <c r="C18" s="42" t="e">
        <f>VLOOKUP(A18,'vs mars'!B:AC,28,FALSE)</f>
        <v>#N/A</v>
      </c>
      <c r="D18" s="8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20"/>
      <c r="Z18" s="120"/>
      <c r="AA18" s="121">
        <f t="shared" si="0"/>
        <v>0</v>
      </c>
    </row>
    <row r="19" spans="1:27">
      <c r="A19" s="1"/>
      <c r="B19" s="41" t="e">
        <f>VLOOKUP(A19,'vs mars'!B:D,3,FALSE)</f>
        <v>#N/A</v>
      </c>
      <c r="C19" s="42" t="e">
        <f>VLOOKUP(A19,'vs mars'!B:AC,28,FALSE)</f>
        <v>#N/A</v>
      </c>
      <c r="D19" s="8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20"/>
      <c r="Z19" s="120"/>
      <c r="AA19" s="121">
        <f t="shared" si="0"/>
        <v>0</v>
      </c>
    </row>
    <row r="20" spans="1:27">
      <c r="A20" s="1"/>
      <c r="B20" s="41" t="e">
        <f>VLOOKUP(A20,'vs mars'!B:D,3,FALSE)</f>
        <v>#N/A</v>
      </c>
      <c r="C20" s="42" t="e">
        <f>VLOOKUP(A20,'vs mars'!B:AC,28,FALSE)</f>
        <v>#N/A</v>
      </c>
      <c r="D20" s="8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20"/>
      <c r="Z20" s="120"/>
      <c r="AA20" s="121">
        <f t="shared" si="0"/>
        <v>0</v>
      </c>
    </row>
    <row r="21" spans="1:27">
      <c r="A21" s="1"/>
      <c r="B21" s="41" t="e">
        <f>VLOOKUP(A21,'vs mars'!B:D,3,FALSE)</f>
        <v>#N/A</v>
      </c>
      <c r="C21" s="42" t="e">
        <f>VLOOKUP(A21,'vs mars'!B:AC,28,FALSE)</f>
        <v>#N/A</v>
      </c>
      <c r="D21" s="8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20"/>
      <c r="Z21" s="120"/>
      <c r="AA21" s="121">
        <f t="shared" si="0"/>
        <v>0</v>
      </c>
    </row>
    <row r="22" spans="1:27">
      <c r="A22" s="1"/>
      <c r="B22" s="41" t="e">
        <f>VLOOKUP(A22,'vs mars'!B:D,3,FALSE)</f>
        <v>#N/A</v>
      </c>
      <c r="C22" s="42" t="e">
        <f>VLOOKUP(A22,'vs mars'!B:AC,28,FALSE)</f>
        <v>#N/A</v>
      </c>
      <c r="D22" s="8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20"/>
      <c r="Z22" s="120"/>
      <c r="AA22" s="121">
        <f t="shared" si="0"/>
        <v>0</v>
      </c>
    </row>
    <row r="23" spans="1:27">
      <c r="A23" s="1"/>
      <c r="B23" s="41" t="e">
        <f>VLOOKUP(A23,'vs mars'!B:D,3,FALSE)</f>
        <v>#N/A</v>
      </c>
      <c r="C23" s="42" t="e">
        <f>VLOOKUP(A23,'vs mars'!B:AC,28,FALSE)</f>
        <v>#N/A</v>
      </c>
      <c r="D23" s="8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20"/>
      <c r="Z23" s="120"/>
      <c r="AA23" s="121">
        <f t="shared" si="0"/>
        <v>0</v>
      </c>
    </row>
    <row r="24" spans="1:27">
      <c r="A24" s="1"/>
      <c r="B24" s="41" t="e">
        <f>VLOOKUP(A24,'vs mars'!B:D,3,FALSE)</f>
        <v>#N/A</v>
      </c>
      <c r="C24" s="42" t="e">
        <f>VLOOKUP(A24,'vs mars'!B:AC,28,FALSE)</f>
        <v>#N/A</v>
      </c>
      <c r="D24" s="8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20"/>
      <c r="Z24" s="120"/>
      <c r="AA24" s="121">
        <f t="shared" si="0"/>
        <v>0</v>
      </c>
    </row>
    <row r="25" spans="1:27">
      <c r="A25" s="1"/>
      <c r="B25" s="41" t="e">
        <f>VLOOKUP(A25,'vs mars'!B:D,3,FALSE)</f>
        <v>#N/A</v>
      </c>
      <c r="C25" s="42" t="e">
        <f>VLOOKUP(A25,'vs mars'!B:AC,28,FALSE)</f>
        <v>#N/A</v>
      </c>
      <c r="D25" s="8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20"/>
      <c r="Z25" s="120"/>
      <c r="AA25" s="121">
        <f t="shared" si="0"/>
        <v>0</v>
      </c>
    </row>
    <row r="26" spans="1:27">
      <c r="A26" s="1"/>
      <c r="B26" s="41" t="e">
        <f>VLOOKUP(A26,'vs mars'!B:D,3,FALSE)</f>
        <v>#N/A</v>
      </c>
      <c r="C26" s="42" t="e">
        <f>VLOOKUP(A26,'vs mars'!B:AC,28,FALSE)</f>
        <v>#N/A</v>
      </c>
      <c r="D26" s="8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20"/>
      <c r="Z26" s="120"/>
      <c r="AA26" s="121">
        <f t="shared" si="0"/>
        <v>0</v>
      </c>
    </row>
    <row r="27" spans="1:27">
      <c r="A27" s="1"/>
      <c r="B27" s="41" t="e">
        <f>VLOOKUP(A27,'vs mars'!B:D,3,FALSE)</f>
        <v>#N/A</v>
      </c>
      <c r="C27" s="42" t="e">
        <f>VLOOKUP(A27,'vs mars'!B:AC,28,FALSE)</f>
        <v>#N/A</v>
      </c>
      <c r="D27" s="8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20"/>
      <c r="Z27" s="120"/>
      <c r="AA27" s="121">
        <f t="shared" si="0"/>
        <v>0</v>
      </c>
    </row>
    <row r="28" spans="1:27">
      <c r="A28" s="1"/>
      <c r="B28" s="41" t="e">
        <f>VLOOKUP(A28,'vs mars'!B:D,3,FALSE)</f>
        <v>#N/A</v>
      </c>
      <c r="C28" s="42" t="e">
        <f>VLOOKUP(A28,'vs mars'!B:AC,28,FALSE)</f>
        <v>#N/A</v>
      </c>
      <c r="D28" s="8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20"/>
      <c r="Z28" s="120"/>
      <c r="AA28" s="121">
        <f t="shared" si="0"/>
        <v>0</v>
      </c>
    </row>
    <row r="29" spans="1:27">
      <c r="A29" s="1"/>
      <c r="B29" s="41" t="e">
        <f>VLOOKUP(A29,'vs mars'!B:D,3,FALSE)</f>
        <v>#N/A</v>
      </c>
      <c r="C29" s="42" t="e">
        <f>VLOOKUP(A29,'vs mars'!B:AC,28,FALSE)</f>
        <v>#N/A</v>
      </c>
      <c r="D29" s="8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20"/>
      <c r="Z29" s="120"/>
      <c r="AA29" s="121">
        <f t="shared" si="0"/>
        <v>0</v>
      </c>
    </row>
    <row r="30" spans="1:27">
      <c r="A30" s="1"/>
      <c r="B30" s="41" t="e">
        <f>VLOOKUP(A30,'vs mars'!B:D,3,FALSE)</f>
        <v>#N/A</v>
      </c>
      <c r="C30" s="42" t="e">
        <f>VLOOKUP(A30,'vs mars'!B:AC,28,FALSE)</f>
        <v>#N/A</v>
      </c>
      <c r="D30" s="8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20"/>
      <c r="Z30" s="120"/>
      <c r="AA30" s="121">
        <f t="shared" si="0"/>
        <v>0</v>
      </c>
    </row>
    <row r="31" spans="1:27">
      <c r="A31" s="1"/>
      <c r="B31" s="41" t="e">
        <f>VLOOKUP(A31,'vs mars'!B:D,3,FALSE)</f>
        <v>#N/A</v>
      </c>
      <c r="C31" s="42" t="e">
        <f>VLOOKUP(A31,'vs mars'!B:AC,28,FALSE)</f>
        <v>#N/A</v>
      </c>
      <c r="D31" s="8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20"/>
      <c r="Z31" s="120"/>
      <c r="AA31" s="121">
        <f t="shared" si="0"/>
        <v>0</v>
      </c>
    </row>
    <row r="32" spans="1:27">
      <c r="A32" s="1"/>
      <c r="B32" s="41" t="e">
        <f>VLOOKUP(A32,'vs mars'!B:D,3,FALSE)</f>
        <v>#N/A</v>
      </c>
      <c r="C32" s="42" t="e">
        <f>VLOOKUP(A32,'vs mars'!B:AC,28,FALSE)</f>
        <v>#N/A</v>
      </c>
      <c r="D32" s="8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20"/>
      <c r="Z32" s="120"/>
      <c r="AA32" s="121">
        <f t="shared" si="0"/>
        <v>0</v>
      </c>
    </row>
    <row r="33" spans="1:27">
      <c r="A33" s="1"/>
      <c r="B33" s="41" t="e">
        <f>VLOOKUP(A33,'vs mars'!B:D,3,FALSE)</f>
        <v>#N/A</v>
      </c>
      <c r="C33" s="42" t="e">
        <f>VLOOKUP(A33,'vs mars'!B:AC,28,FALSE)</f>
        <v>#N/A</v>
      </c>
      <c r="D33" s="8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20"/>
      <c r="Z33" s="120"/>
      <c r="AA33" s="121">
        <f t="shared" si="0"/>
        <v>0</v>
      </c>
    </row>
    <row r="34" spans="1:27">
      <c r="A34" s="1"/>
      <c r="B34" s="41" t="e">
        <f>VLOOKUP(A34,'vs mars'!B:D,3,FALSE)</f>
        <v>#N/A</v>
      </c>
      <c r="C34" s="42" t="e">
        <f>VLOOKUP(A34,'vs mars'!B:AC,28,FALSE)</f>
        <v>#N/A</v>
      </c>
      <c r="D34" s="8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20"/>
      <c r="Z34" s="120"/>
      <c r="AA34" s="121">
        <f t="shared" si="0"/>
        <v>0</v>
      </c>
    </row>
    <row r="35" spans="1:27">
      <c r="A35" s="1"/>
      <c r="B35" s="41" t="e">
        <f>VLOOKUP(A35,'vs mars'!B:D,3,FALSE)</f>
        <v>#N/A</v>
      </c>
      <c r="C35" s="42" t="e">
        <f>VLOOKUP(A35,'vs mars'!B:AC,28,FALSE)</f>
        <v>#N/A</v>
      </c>
      <c r="D35" s="8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20"/>
      <c r="Z35" s="120"/>
      <c r="AA35" s="121">
        <f t="shared" si="0"/>
        <v>0</v>
      </c>
    </row>
    <row r="36" spans="1:27">
      <c r="A36" s="1"/>
      <c r="B36" s="41" t="e">
        <f>VLOOKUP(A36,'vs mars'!B:D,3,FALSE)</f>
        <v>#N/A</v>
      </c>
      <c r="C36" s="42" t="e">
        <f>VLOOKUP(A36,'vs mars'!B:AC,28,FALSE)</f>
        <v>#N/A</v>
      </c>
      <c r="D36" s="8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20"/>
      <c r="Z36" s="120"/>
      <c r="AA36" s="121">
        <f t="shared" si="0"/>
        <v>0</v>
      </c>
    </row>
    <row r="37" spans="1:27">
      <c r="A37" s="1"/>
      <c r="B37" s="41" t="e">
        <f>VLOOKUP(A37,'vs mars'!B:D,3,FALSE)</f>
        <v>#N/A</v>
      </c>
      <c r="C37" s="42" t="e">
        <f>VLOOKUP(A37,'vs mars'!B:AC,28,FALSE)</f>
        <v>#N/A</v>
      </c>
      <c r="D37" s="8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20"/>
      <c r="Z37" s="120"/>
      <c r="AA37" s="121">
        <f t="shared" si="0"/>
        <v>0</v>
      </c>
    </row>
    <row r="38" spans="1:27">
      <c r="A38" s="1"/>
      <c r="B38" s="41" t="e">
        <f>VLOOKUP(A38,'vs mars'!B:D,3,FALSE)</f>
        <v>#N/A</v>
      </c>
      <c r="C38" s="42" t="e">
        <f>VLOOKUP(A38,'vs mars'!B:AC,28,FALSE)</f>
        <v>#N/A</v>
      </c>
      <c r="D38" s="8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20"/>
      <c r="Z38" s="120"/>
      <c r="AA38" s="121">
        <f t="shared" si="0"/>
        <v>0</v>
      </c>
    </row>
    <row r="39" spans="1:27">
      <c r="A39" s="1"/>
      <c r="B39" s="41" t="e">
        <f>VLOOKUP(A39,'vs mars'!B:D,3,FALSE)</f>
        <v>#N/A</v>
      </c>
      <c r="C39" s="42" t="e">
        <f>VLOOKUP(A39,'vs mars'!B:AC,28,FALSE)</f>
        <v>#N/A</v>
      </c>
      <c r="D39" s="8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20"/>
      <c r="Z39" s="120"/>
      <c r="AA39" s="121">
        <f t="shared" si="0"/>
        <v>0</v>
      </c>
    </row>
    <row r="40" spans="1:27">
      <c r="A40" s="1"/>
      <c r="B40" s="41" t="e">
        <f>VLOOKUP(A40,'vs mars'!B:D,3,FALSE)</f>
        <v>#N/A</v>
      </c>
      <c r="C40" s="42" t="e">
        <f>VLOOKUP(A40,'vs mars'!B:AC,28,FALSE)</f>
        <v>#N/A</v>
      </c>
      <c r="D40" s="8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20"/>
      <c r="Z40" s="120"/>
      <c r="AA40" s="121">
        <f t="shared" si="0"/>
        <v>0</v>
      </c>
    </row>
    <row r="41" spans="1:27">
      <c r="A41" s="1"/>
      <c r="B41" s="41" t="e">
        <f>VLOOKUP(A41,'vs mars'!B:D,3,FALSE)</f>
        <v>#N/A</v>
      </c>
      <c r="C41" s="42" t="e">
        <f>VLOOKUP(A41,'vs mars'!B:AC,28,FALSE)</f>
        <v>#N/A</v>
      </c>
      <c r="D41" s="8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20"/>
      <c r="Z41" s="120"/>
      <c r="AA41" s="121">
        <f t="shared" si="0"/>
        <v>0</v>
      </c>
    </row>
    <row r="42" spans="1:27">
      <c r="A42" s="1"/>
      <c r="B42" s="41" t="e">
        <f>VLOOKUP(A42,'vs mars'!B:D,3,FALSE)</f>
        <v>#N/A</v>
      </c>
      <c r="C42" s="42" t="e">
        <f>VLOOKUP(A42,'vs mars'!B:AC,28,FALSE)</f>
        <v>#N/A</v>
      </c>
      <c r="D42" s="8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20"/>
      <c r="Z42" s="120"/>
      <c r="AA42" s="121">
        <f t="shared" si="0"/>
        <v>0</v>
      </c>
    </row>
    <row r="43" spans="1:27">
      <c r="A43" s="1"/>
      <c r="B43" s="41" t="e">
        <f>VLOOKUP(A43,'vs mars'!B:D,3,FALSE)</f>
        <v>#N/A</v>
      </c>
      <c r="C43" s="42" t="e">
        <f>VLOOKUP(A43,'vs mars'!B:AC,28,FALSE)</f>
        <v>#N/A</v>
      </c>
      <c r="D43" s="8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20"/>
      <c r="Z43" s="120"/>
      <c r="AA43" s="121">
        <f t="shared" si="0"/>
        <v>0</v>
      </c>
    </row>
    <row r="44" spans="1:27">
      <c r="A44" s="1"/>
      <c r="B44" s="41" t="e">
        <f>VLOOKUP(A44,'vs mars'!B:D,3,FALSE)</f>
        <v>#N/A</v>
      </c>
      <c r="C44" s="42" t="e">
        <f>VLOOKUP(A44,'vs mars'!B:AC,28,FALSE)</f>
        <v>#N/A</v>
      </c>
      <c r="D44" s="8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20"/>
      <c r="Z44" s="120"/>
      <c r="AA44" s="121">
        <f t="shared" si="0"/>
        <v>0</v>
      </c>
    </row>
    <row r="45" spans="1:27">
      <c r="A45" s="1"/>
      <c r="B45" s="41" t="e">
        <f>VLOOKUP(A45,'vs mars'!B:D,3,FALSE)</f>
        <v>#N/A</v>
      </c>
      <c r="C45" s="42" t="e">
        <f>VLOOKUP(A45,'vs mars'!B:AC,28,FALSE)</f>
        <v>#N/A</v>
      </c>
      <c r="D45" s="8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20"/>
      <c r="Z45" s="120"/>
      <c r="AA45" s="121">
        <f t="shared" si="0"/>
        <v>0</v>
      </c>
    </row>
    <row r="46" spans="1:27">
      <c r="A46" s="1"/>
      <c r="B46" s="41" t="e">
        <f>VLOOKUP(A46,'vs mars'!B:D,3,FALSE)</f>
        <v>#N/A</v>
      </c>
      <c r="C46" s="42" t="e">
        <f>VLOOKUP(A46,'vs mars'!B:AC,28,FALSE)</f>
        <v>#N/A</v>
      </c>
      <c r="D46" s="8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20"/>
      <c r="Z46" s="120"/>
      <c r="AA46" s="121">
        <f t="shared" si="0"/>
        <v>0</v>
      </c>
    </row>
    <row r="47" spans="1:27">
      <c r="A47" s="1"/>
      <c r="B47" s="41" t="e">
        <f>VLOOKUP(A47,'vs mars'!B:D,3,FALSE)</f>
        <v>#N/A</v>
      </c>
      <c r="C47" s="42" t="e">
        <f>VLOOKUP(A47,'vs mars'!B:AC,28,FALSE)</f>
        <v>#N/A</v>
      </c>
      <c r="D47" s="8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20"/>
      <c r="Z47" s="120"/>
      <c r="AA47" s="121">
        <f t="shared" si="0"/>
        <v>0</v>
      </c>
    </row>
    <row r="48" spans="1:27">
      <c r="A48" s="1"/>
      <c r="B48" s="41" t="e">
        <f>VLOOKUP(A48,'vs mars'!B:D,3,FALSE)</f>
        <v>#N/A</v>
      </c>
      <c r="C48" s="42" t="e">
        <f>VLOOKUP(A48,'vs mars'!B:AC,28,FALSE)</f>
        <v>#N/A</v>
      </c>
      <c r="D48" s="8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20"/>
      <c r="Z48" s="120"/>
      <c r="AA48" s="121">
        <f t="shared" si="0"/>
        <v>0</v>
      </c>
    </row>
    <row r="49" spans="1:27">
      <c r="A49" s="1"/>
      <c r="B49" s="41" t="e">
        <f>VLOOKUP(A49,'vs mars'!B:D,3,FALSE)</f>
        <v>#N/A</v>
      </c>
      <c r="C49" s="42" t="e">
        <f>VLOOKUP(A49,'vs mars'!B:AC,28,FALSE)</f>
        <v>#N/A</v>
      </c>
      <c r="D49" s="8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20"/>
      <c r="Z49" s="120"/>
      <c r="AA49" s="121">
        <f t="shared" si="0"/>
        <v>0</v>
      </c>
    </row>
    <row r="50" spans="1:27">
      <c r="A50" s="1"/>
      <c r="B50" s="41" t="e">
        <f>VLOOKUP(A50,'vs mars'!B:D,3,FALSE)</f>
        <v>#N/A</v>
      </c>
      <c r="C50" s="42" t="e">
        <f>VLOOKUP(A50,'vs mars'!B:AC,28,FALSE)</f>
        <v>#N/A</v>
      </c>
      <c r="D50" s="8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20"/>
      <c r="Z50" s="120"/>
      <c r="AA50" s="121">
        <f t="shared" si="0"/>
        <v>0</v>
      </c>
    </row>
    <row r="51" spans="1:27">
      <c r="A51" s="1"/>
      <c r="B51" s="41" t="e">
        <f>VLOOKUP(A51,'vs mars'!B:D,3,FALSE)</f>
        <v>#N/A</v>
      </c>
      <c r="C51" s="42" t="e">
        <f>VLOOKUP(A51,'vs mars'!B:AC,28,FALSE)</f>
        <v>#N/A</v>
      </c>
      <c r="D51" s="8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20"/>
      <c r="Z51" s="120"/>
      <c r="AA51" s="121">
        <f t="shared" si="0"/>
        <v>0</v>
      </c>
    </row>
    <row r="52" spans="1:27">
      <c r="A52" s="1"/>
      <c r="B52" s="41" t="e">
        <f>VLOOKUP(A52,'vs mars'!B:D,3,FALSE)</f>
        <v>#N/A</v>
      </c>
      <c r="C52" s="42" t="e">
        <f>VLOOKUP(A52,'vs mars'!B:AC,28,FALSE)</f>
        <v>#N/A</v>
      </c>
      <c r="D52" s="8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20"/>
      <c r="Z52" s="120"/>
      <c r="AA52" s="121">
        <f t="shared" si="0"/>
        <v>0</v>
      </c>
    </row>
    <row r="53" spans="1:27">
      <c r="A53" s="1"/>
      <c r="B53" s="41" t="e">
        <f>VLOOKUP(A53,'vs mars'!B:D,3,FALSE)</f>
        <v>#N/A</v>
      </c>
      <c r="C53" s="42" t="e">
        <f>VLOOKUP(A53,'vs mars'!B:AC,28,FALSE)</f>
        <v>#N/A</v>
      </c>
      <c r="D53" s="8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20"/>
      <c r="Z53" s="120"/>
      <c r="AA53" s="121">
        <f t="shared" si="0"/>
        <v>0</v>
      </c>
    </row>
    <row r="54" spans="1:27">
      <c r="A54" s="1"/>
      <c r="B54" s="41" t="e">
        <f>VLOOKUP(A54,'vs mars'!B:D,3,FALSE)</f>
        <v>#N/A</v>
      </c>
      <c r="C54" s="42" t="e">
        <f>VLOOKUP(A54,'vs mars'!B:AC,28,FALSE)</f>
        <v>#N/A</v>
      </c>
      <c r="D54" s="8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20"/>
      <c r="Z54" s="120"/>
      <c r="AA54" s="121">
        <f t="shared" si="0"/>
        <v>0</v>
      </c>
    </row>
    <row r="55" spans="1:27">
      <c r="A55" s="1"/>
      <c r="B55" s="41" t="e">
        <f>VLOOKUP(A55,'vs mars'!B:D,3,FALSE)</f>
        <v>#N/A</v>
      </c>
      <c r="C55" s="42" t="e">
        <f>VLOOKUP(A55,'vs mars'!B:AC,28,FALSE)</f>
        <v>#N/A</v>
      </c>
      <c r="D55" s="8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20"/>
      <c r="Z55" s="120"/>
      <c r="AA55" s="121">
        <f t="shared" si="0"/>
        <v>0</v>
      </c>
    </row>
    <row r="56" spans="1:27">
      <c r="A56" s="1"/>
      <c r="B56" s="41" t="e">
        <f>VLOOKUP(A56,'vs mars'!B:D,3,FALSE)</f>
        <v>#N/A</v>
      </c>
      <c r="C56" s="42" t="e">
        <f>VLOOKUP(A56,'vs mars'!B:AC,28,FALSE)</f>
        <v>#N/A</v>
      </c>
      <c r="D56" s="8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20"/>
      <c r="Z56" s="120"/>
      <c r="AA56" s="121">
        <f t="shared" si="0"/>
        <v>0</v>
      </c>
    </row>
    <row r="57" spans="1:27">
      <c r="A57" s="1"/>
      <c r="B57" s="41" t="e">
        <f>VLOOKUP(A57,'vs mars'!B:D,3,FALSE)</f>
        <v>#N/A</v>
      </c>
      <c r="C57" s="42" t="e">
        <f>VLOOKUP(A57,'vs mars'!B:AC,28,FALSE)</f>
        <v>#N/A</v>
      </c>
      <c r="D57" s="8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20"/>
      <c r="Z57" s="120"/>
      <c r="AA57" s="121">
        <f t="shared" si="0"/>
        <v>0</v>
      </c>
    </row>
    <row r="58" spans="1:27">
      <c r="A58" s="1"/>
      <c r="B58" s="41" t="e">
        <f>VLOOKUP(A58,'vs mars'!B:D,3,FALSE)</f>
        <v>#N/A</v>
      </c>
      <c r="C58" s="42" t="e">
        <f>VLOOKUP(A58,'vs mars'!B:AC,28,FALSE)</f>
        <v>#N/A</v>
      </c>
      <c r="D58" s="8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20"/>
      <c r="Z58" s="120"/>
      <c r="AA58" s="121">
        <f t="shared" si="0"/>
        <v>0</v>
      </c>
    </row>
    <row r="59" spans="1:27">
      <c r="A59" s="1"/>
      <c r="B59" s="41" t="e">
        <f>VLOOKUP(A59,'vs mars'!B:D,3,FALSE)</f>
        <v>#N/A</v>
      </c>
      <c r="C59" s="42" t="e">
        <f>VLOOKUP(A59,'vs mars'!B:AC,28,FALSE)</f>
        <v>#N/A</v>
      </c>
      <c r="D59" s="8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20"/>
      <c r="Z59" s="120"/>
      <c r="AA59" s="121">
        <f t="shared" si="0"/>
        <v>0</v>
      </c>
    </row>
    <row r="60" spans="1:27">
      <c r="A60" s="1"/>
      <c r="B60" s="41" t="e">
        <f>VLOOKUP(A60,'vs mars'!B:D,3,FALSE)</f>
        <v>#N/A</v>
      </c>
      <c r="C60" s="42" t="e">
        <f>VLOOKUP(A60,'vs mars'!B:AC,28,FALSE)</f>
        <v>#N/A</v>
      </c>
      <c r="D60" s="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20"/>
      <c r="Z60" s="120"/>
      <c r="AA60" s="121">
        <f t="shared" si="0"/>
        <v>0</v>
      </c>
    </row>
    <row r="61" spans="1:27">
      <c r="A61" s="1"/>
      <c r="B61" s="41" t="e">
        <f>VLOOKUP(A61,'vs mars'!B:D,3,FALSE)</f>
        <v>#N/A</v>
      </c>
      <c r="C61" s="42" t="e">
        <f>VLOOKUP(A61,'vs mars'!B:AC,28,FALSE)</f>
        <v>#N/A</v>
      </c>
      <c r="D61" s="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20"/>
      <c r="Z61" s="120"/>
      <c r="AA61" s="121">
        <f t="shared" si="0"/>
        <v>0</v>
      </c>
    </row>
    <row r="62" spans="1:27">
      <c r="A62" s="1"/>
      <c r="B62" s="41" t="e">
        <f>VLOOKUP(A62,'vs mars'!B:D,3,FALSE)</f>
        <v>#N/A</v>
      </c>
      <c r="C62" s="42" t="e">
        <f>VLOOKUP(A62,'vs mars'!B:AC,28,FALSE)</f>
        <v>#N/A</v>
      </c>
      <c r="D62" s="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20"/>
      <c r="Z62" s="120"/>
      <c r="AA62" s="121">
        <f t="shared" si="0"/>
        <v>0</v>
      </c>
    </row>
    <row r="63" spans="1:27">
      <c r="A63" s="1"/>
      <c r="B63" s="41" t="e">
        <f>VLOOKUP(A63,'vs mars'!B:D,3,FALSE)</f>
        <v>#N/A</v>
      </c>
      <c r="C63" s="42" t="e">
        <f>VLOOKUP(A63,'vs mars'!B:AC,28,FALSE)</f>
        <v>#N/A</v>
      </c>
      <c r="D63" s="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20"/>
      <c r="Z63" s="120"/>
      <c r="AA63" s="121">
        <f t="shared" si="0"/>
        <v>0</v>
      </c>
    </row>
    <row r="64" spans="1:27">
      <c r="A64" s="1"/>
      <c r="B64" s="41" t="e">
        <f>VLOOKUP(A64,'vs mars'!B:D,3,FALSE)</f>
        <v>#N/A</v>
      </c>
      <c r="C64" s="42" t="e">
        <f>VLOOKUP(A64,'vs mars'!B:AC,28,FALSE)</f>
        <v>#N/A</v>
      </c>
      <c r="D64" s="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20"/>
      <c r="Z64" s="120"/>
      <c r="AA64" s="121">
        <f t="shared" si="0"/>
        <v>0</v>
      </c>
    </row>
    <row r="65" spans="1:27">
      <c r="A65" s="1"/>
      <c r="B65" s="41" t="e">
        <f>VLOOKUP(A65,'vs mars'!B:D,3,FALSE)</f>
        <v>#N/A</v>
      </c>
      <c r="C65" s="42" t="e">
        <f>VLOOKUP(A65,'vs mars'!B:AC,28,FALSE)</f>
        <v>#N/A</v>
      </c>
      <c r="D65" s="8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20"/>
      <c r="Z65" s="120"/>
      <c r="AA65" s="121">
        <f t="shared" si="0"/>
        <v>0</v>
      </c>
    </row>
    <row r="66" spans="1:27">
      <c r="A66" s="1"/>
      <c r="B66" s="41" t="e">
        <f>VLOOKUP(A66,'vs mars'!B:D,3,FALSE)</f>
        <v>#N/A</v>
      </c>
      <c r="C66" s="42" t="e">
        <f>VLOOKUP(A66,'vs mars'!B:AC,28,FALSE)</f>
        <v>#N/A</v>
      </c>
      <c r="D66" s="8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20"/>
      <c r="Z66" s="120"/>
      <c r="AA66" s="121">
        <f t="shared" ref="AA66:AA88" si="2">SUM(E66:Z66)</f>
        <v>0</v>
      </c>
    </row>
    <row r="67" spans="1:27">
      <c r="A67" s="1"/>
      <c r="B67" s="41" t="e">
        <f>VLOOKUP(A67,'vs mars'!B:D,3,FALSE)</f>
        <v>#N/A</v>
      </c>
      <c r="C67" s="42" t="e">
        <f>VLOOKUP(A67,'vs mars'!B:AC,28,FALSE)</f>
        <v>#N/A</v>
      </c>
      <c r="D67" s="8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20"/>
      <c r="Z67" s="120"/>
      <c r="AA67" s="121">
        <f t="shared" si="2"/>
        <v>0</v>
      </c>
    </row>
    <row r="68" spans="1:27">
      <c r="A68" s="1"/>
      <c r="B68" s="41" t="e">
        <f>VLOOKUP(A68,'vs mars'!B:D,3,FALSE)</f>
        <v>#N/A</v>
      </c>
      <c r="C68" s="42" t="e">
        <f>VLOOKUP(A68,'vs mars'!B:AC,28,FALSE)</f>
        <v>#N/A</v>
      </c>
      <c r="D68" s="8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20"/>
      <c r="Z68" s="120"/>
      <c r="AA68" s="121">
        <f t="shared" si="2"/>
        <v>0</v>
      </c>
    </row>
    <row r="69" spans="1:27">
      <c r="A69" s="1"/>
      <c r="B69" s="41" t="e">
        <f>VLOOKUP(A69,'vs mars'!B:D,3,FALSE)</f>
        <v>#N/A</v>
      </c>
      <c r="C69" s="42" t="e">
        <f>VLOOKUP(A69,'vs mars'!B:AC,28,FALSE)</f>
        <v>#N/A</v>
      </c>
      <c r="D69" s="8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20"/>
      <c r="Z69" s="120"/>
      <c r="AA69" s="121">
        <f t="shared" si="2"/>
        <v>0</v>
      </c>
    </row>
    <row r="70" spans="1:27">
      <c r="A70" s="1"/>
      <c r="B70" s="41" t="e">
        <f>VLOOKUP(A70,'vs mars'!B:D,3,FALSE)</f>
        <v>#N/A</v>
      </c>
      <c r="C70" s="42" t="e">
        <f>VLOOKUP(A70,'vs mars'!B:AC,28,FALSE)</f>
        <v>#N/A</v>
      </c>
      <c r="D70" s="8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20"/>
      <c r="Z70" s="120"/>
      <c r="AA70" s="121">
        <f t="shared" si="2"/>
        <v>0</v>
      </c>
    </row>
    <row r="71" spans="1:27">
      <c r="A71" s="1"/>
      <c r="B71" s="41" t="e">
        <f>VLOOKUP(A71,'vs mars'!B:D,3,FALSE)</f>
        <v>#N/A</v>
      </c>
      <c r="C71" s="42" t="e">
        <f>VLOOKUP(A71,'vs mars'!B:AC,28,FALSE)</f>
        <v>#N/A</v>
      </c>
      <c r="D71" s="8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20"/>
      <c r="Z71" s="120"/>
      <c r="AA71" s="121">
        <f t="shared" si="2"/>
        <v>0</v>
      </c>
    </row>
    <row r="72" spans="1:27">
      <c r="A72" s="1"/>
      <c r="B72" s="41" t="e">
        <f>VLOOKUP(A72,'vs mars'!B:D,3,FALSE)</f>
        <v>#N/A</v>
      </c>
      <c r="C72" s="42" t="e">
        <f>VLOOKUP(A72,'vs mars'!B:AC,28,FALSE)</f>
        <v>#N/A</v>
      </c>
      <c r="D72" s="8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20"/>
      <c r="Z72" s="120"/>
      <c r="AA72" s="121">
        <f t="shared" si="2"/>
        <v>0</v>
      </c>
    </row>
    <row r="73" spans="1:27">
      <c r="A73" s="1"/>
      <c r="B73" s="41" t="e">
        <f>VLOOKUP(A73,'vs mars'!B:D,3,FALSE)</f>
        <v>#N/A</v>
      </c>
      <c r="C73" s="42" t="e">
        <f>VLOOKUP(A73,'vs mars'!B:AC,28,FALSE)</f>
        <v>#N/A</v>
      </c>
      <c r="D73" s="8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20"/>
      <c r="Z73" s="120"/>
      <c r="AA73" s="121">
        <f t="shared" si="2"/>
        <v>0</v>
      </c>
    </row>
    <row r="74" spans="1:27">
      <c r="A74" s="1"/>
      <c r="B74" s="41" t="e">
        <f>VLOOKUP(A74,'vs mars'!B:D,3,FALSE)</f>
        <v>#N/A</v>
      </c>
      <c r="C74" s="42" t="e">
        <f>VLOOKUP(A74,'vs mars'!B:AC,28,FALSE)</f>
        <v>#N/A</v>
      </c>
      <c r="D74" s="8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20"/>
      <c r="Z74" s="120"/>
      <c r="AA74" s="121">
        <f t="shared" si="2"/>
        <v>0</v>
      </c>
    </row>
    <row r="75" spans="1:27">
      <c r="A75" s="1"/>
      <c r="B75" s="41" t="e">
        <f>VLOOKUP(A75,'vs mars'!B:D,3,FALSE)</f>
        <v>#N/A</v>
      </c>
      <c r="C75" s="42" t="e">
        <f>VLOOKUP(A75,'vs mars'!B:AC,28,FALSE)</f>
        <v>#N/A</v>
      </c>
      <c r="D75" s="8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20"/>
      <c r="Z75" s="120"/>
      <c r="AA75" s="121">
        <f t="shared" si="2"/>
        <v>0</v>
      </c>
    </row>
    <row r="76" spans="1:27">
      <c r="A76" s="1"/>
      <c r="B76" s="41" t="e">
        <f>VLOOKUP(A76,'vs mars'!B:D,3,FALSE)</f>
        <v>#N/A</v>
      </c>
      <c r="C76" s="42" t="e">
        <f>VLOOKUP(A76,'vs mars'!B:AC,28,FALSE)</f>
        <v>#N/A</v>
      </c>
      <c r="D76" s="8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20"/>
      <c r="Z76" s="120"/>
      <c r="AA76" s="121">
        <f t="shared" si="2"/>
        <v>0</v>
      </c>
    </row>
    <row r="77" spans="1:27">
      <c r="A77" s="1"/>
      <c r="B77" s="41" t="e">
        <f>VLOOKUP(A77,'vs mars'!B:D,3,FALSE)</f>
        <v>#N/A</v>
      </c>
      <c r="C77" s="42" t="e">
        <f>VLOOKUP(A77,'vs mars'!B:AC,28,FALSE)</f>
        <v>#N/A</v>
      </c>
      <c r="D77" s="8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20"/>
      <c r="Z77" s="120"/>
      <c r="AA77" s="121">
        <f t="shared" si="2"/>
        <v>0</v>
      </c>
    </row>
    <row r="78" spans="1:27">
      <c r="A78" s="1"/>
      <c r="B78" s="41" t="e">
        <f>VLOOKUP(A78,'vs mars'!B:D,3,FALSE)</f>
        <v>#N/A</v>
      </c>
      <c r="C78" s="42" t="e">
        <f>VLOOKUP(A78,'vs mars'!B:AC,28,FALSE)</f>
        <v>#N/A</v>
      </c>
      <c r="D78" s="8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20"/>
      <c r="Z78" s="120"/>
      <c r="AA78" s="121">
        <f t="shared" si="2"/>
        <v>0</v>
      </c>
    </row>
    <row r="79" spans="1:27">
      <c r="A79" s="1"/>
      <c r="B79" s="41" t="e">
        <f>VLOOKUP(A79,'vs mars'!B:D,3,FALSE)</f>
        <v>#N/A</v>
      </c>
      <c r="C79" s="42" t="e">
        <f>VLOOKUP(A79,'vs mars'!B:AC,28,FALSE)</f>
        <v>#N/A</v>
      </c>
      <c r="D79" s="8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20"/>
      <c r="Z79" s="120"/>
      <c r="AA79" s="121">
        <f t="shared" si="2"/>
        <v>0</v>
      </c>
    </row>
    <row r="80" spans="1:27">
      <c r="A80" s="1"/>
      <c r="B80" s="41" t="e">
        <f>VLOOKUP(A80,'vs mars'!B:D,3,FALSE)</f>
        <v>#N/A</v>
      </c>
      <c r="C80" s="42" t="e">
        <f>VLOOKUP(A80,'vs mars'!B:AC,28,FALSE)</f>
        <v>#N/A</v>
      </c>
      <c r="D80" s="8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20"/>
      <c r="Z80" s="120"/>
      <c r="AA80" s="121">
        <f t="shared" si="2"/>
        <v>0</v>
      </c>
    </row>
    <row r="81" spans="1:27">
      <c r="A81" s="1"/>
      <c r="B81" s="41" t="e">
        <f>VLOOKUP(A81,'vs mars'!B:D,3,FALSE)</f>
        <v>#N/A</v>
      </c>
      <c r="C81" s="42" t="e">
        <f>VLOOKUP(A81,'vs mars'!B:AC,28,FALSE)</f>
        <v>#N/A</v>
      </c>
      <c r="D81" s="8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20"/>
      <c r="Z81" s="120"/>
      <c r="AA81" s="121">
        <f t="shared" si="2"/>
        <v>0</v>
      </c>
    </row>
    <row r="82" spans="1:27">
      <c r="A82" s="1"/>
      <c r="B82" s="41" t="e">
        <f>VLOOKUP(A82,'vs mars'!B:D,3,FALSE)</f>
        <v>#N/A</v>
      </c>
      <c r="C82" s="42" t="e">
        <f>VLOOKUP(A82,'vs mars'!B:AC,28,FALSE)</f>
        <v>#N/A</v>
      </c>
      <c r="D82" s="8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20"/>
      <c r="Z82" s="120"/>
      <c r="AA82" s="121">
        <f t="shared" si="2"/>
        <v>0</v>
      </c>
    </row>
    <row r="83" spans="1:27">
      <c r="A83" s="1"/>
      <c r="B83" s="41" t="e">
        <f>VLOOKUP(A83,'vs mars'!B:D,3,FALSE)</f>
        <v>#N/A</v>
      </c>
      <c r="C83" s="42" t="e">
        <f>VLOOKUP(A83,'vs mars'!B:AC,28,FALSE)</f>
        <v>#N/A</v>
      </c>
      <c r="D83" s="8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20"/>
      <c r="Z83" s="120"/>
      <c r="AA83" s="121">
        <f t="shared" si="2"/>
        <v>0</v>
      </c>
    </row>
    <row r="84" spans="1:27">
      <c r="A84" s="1"/>
      <c r="B84" s="41" t="e">
        <f>VLOOKUP(A84,'vs mars'!B:D,3,FALSE)</f>
        <v>#N/A</v>
      </c>
      <c r="C84" s="42" t="e">
        <f>VLOOKUP(A84,'vs mars'!B:AC,28,FALSE)</f>
        <v>#N/A</v>
      </c>
      <c r="D84" s="8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20"/>
      <c r="Z84" s="120"/>
      <c r="AA84" s="121">
        <f t="shared" si="2"/>
        <v>0</v>
      </c>
    </row>
    <row r="85" spans="1:27">
      <c r="A85" s="1"/>
      <c r="B85" s="41" t="e">
        <f>VLOOKUP(A85,'vs mars'!B:D,3,FALSE)</f>
        <v>#N/A</v>
      </c>
      <c r="C85" s="42" t="e">
        <f>VLOOKUP(A85,'vs mars'!B:AC,28,FALSE)</f>
        <v>#N/A</v>
      </c>
      <c r="D85" s="8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20"/>
      <c r="Z85" s="120"/>
      <c r="AA85" s="121">
        <f t="shared" si="2"/>
        <v>0</v>
      </c>
    </row>
    <row r="86" spans="1:27">
      <c r="A86" s="1"/>
      <c r="B86" s="41" t="e">
        <f>VLOOKUP(A86,'vs mars'!B:D,3,FALSE)</f>
        <v>#N/A</v>
      </c>
      <c r="C86" s="42" t="e">
        <f>VLOOKUP(A86,'vs mars'!B:AC,28,FALSE)</f>
        <v>#N/A</v>
      </c>
      <c r="D86" s="8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20"/>
      <c r="Z86" s="120"/>
      <c r="AA86" s="121">
        <f t="shared" si="2"/>
        <v>0</v>
      </c>
    </row>
    <row r="87" spans="1:27">
      <c r="A87" s="1"/>
      <c r="B87" s="41" t="e">
        <f>VLOOKUP(A87,'vs mars'!B:D,3,FALSE)</f>
        <v>#N/A</v>
      </c>
      <c r="C87" s="42" t="e">
        <f>VLOOKUP(A87,'vs mars'!B:AC,28,FALSE)</f>
        <v>#N/A</v>
      </c>
      <c r="D87" s="8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20"/>
      <c r="Z87" s="120"/>
      <c r="AA87" s="121">
        <f t="shared" si="2"/>
        <v>0</v>
      </c>
    </row>
    <row r="88" spans="1:27">
      <c r="A88" s="1"/>
      <c r="B88" s="41" t="e">
        <f>VLOOKUP(A88,'vs mars'!B:D,3,FALSE)</f>
        <v>#N/A</v>
      </c>
      <c r="C88" s="42" t="e">
        <f>VLOOKUP(A88,'vs mars'!B:AC,28,FALSE)</f>
        <v>#N/A</v>
      </c>
      <c r="D88" s="8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20"/>
      <c r="Z88" s="120"/>
      <c r="AA88" s="121">
        <f t="shared" si="2"/>
        <v>0</v>
      </c>
    </row>
    <row r="89" spans="1:27">
      <c r="A89" s="1"/>
      <c r="B89" s="41" t="e">
        <f>VLOOKUP(A89,'vs mars'!B:D,3,FALSE)</f>
        <v>#N/A</v>
      </c>
      <c r="C89" s="42" t="e">
        <f>VLOOKUP(A89,'vs mars'!B:AC,28,FALSE)</f>
        <v>#N/A</v>
      </c>
      <c r="D89" s="8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20"/>
      <c r="Z89" s="120"/>
      <c r="AA89" s="121">
        <f t="shared" ref="AA89:AA128" si="3">SUM(E89:Z89)</f>
        <v>0</v>
      </c>
    </row>
    <row r="90" spans="1:27">
      <c r="A90" s="1"/>
      <c r="B90" s="41" t="e">
        <f>VLOOKUP(A90,'vs mars'!B:D,3,FALSE)</f>
        <v>#N/A</v>
      </c>
      <c r="C90" s="42" t="e">
        <f>VLOOKUP(A90,'vs mars'!B:AC,28,FALSE)</f>
        <v>#N/A</v>
      </c>
      <c r="D90" s="8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20"/>
      <c r="Z90" s="120"/>
      <c r="AA90" s="121">
        <f t="shared" si="3"/>
        <v>0</v>
      </c>
    </row>
    <row r="91" spans="1:27">
      <c r="A91" s="1"/>
      <c r="B91" s="41" t="e">
        <f>VLOOKUP(A91,'vs mars'!B:D,3,FALSE)</f>
        <v>#N/A</v>
      </c>
      <c r="C91" s="42" t="e">
        <f>VLOOKUP(A91,'vs mars'!B:AC,28,FALSE)</f>
        <v>#N/A</v>
      </c>
      <c r="D91" s="8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20"/>
      <c r="Z91" s="120"/>
      <c r="AA91" s="121">
        <f t="shared" si="3"/>
        <v>0</v>
      </c>
    </row>
    <row r="92" spans="1:27">
      <c r="A92" s="1"/>
      <c r="B92" s="41" t="e">
        <f>VLOOKUP(A92,'vs mars'!B:D,3,FALSE)</f>
        <v>#N/A</v>
      </c>
      <c r="C92" s="42" t="e">
        <f>VLOOKUP(A92,'vs mars'!B:AC,28,FALSE)</f>
        <v>#N/A</v>
      </c>
      <c r="D92" s="8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20"/>
      <c r="Z92" s="120"/>
      <c r="AA92" s="121">
        <f t="shared" si="3"/>
        <v>0</v>
      </c>
    </row>
    <row r="93" spans="1:27">
      <c r="A93" s="1"/>
      <c r="B93" s="41" t="e">
        <f>VLOOKUP(A93,'vs mars'!B:D,3,FALSE)</f>
        <v>#N/A</v>
      </c>
      <c r="C93" s="42" t="e">
        <f>VLOOKUP(A93,'vs mars'!B:AC,28,FALSE)</f>
        <v>#N/A</v>
      </c>
      <c r="D93" s="8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20"/>
      <c r="Z93" s="120"/>
      <c r="AA93" s="121">
        <f t="shared" si="3"/>
        <v>0</v>
      </c>
    </row>
    <row r="94" spans="1:27">
      <c r="A94" s="1"/>
      <c r="B94" s="41" t="e">
        <f>VLOOKUP(A94,'vs mars'!B:D,3,FALSE)</f>
        <v>#N/A</v>
      </c>
      <c r="C94" s="42" t="e">
        <f>VLOOKUP(A94,'vs mars'!B:AC,28,FALSE)</f>
        <v>#N/A</v>
      </c>
      <c r="D94" s="8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20"/>
      <c r="Z94" s="120"/>
      <c r="AA94" s="121">
        <f t="shared" si="3"/>
        <v>0</v>
      </c>
    </row>
    <row r="95" spans="1:27">
      <c r="A95" s="1"/>
      <c r="B95" s="41" t="e">
        <f>VLOOKUP(A95,'vs mars'!B:D,3,FALSE)</f>
        <v>#N/A</v>
      </c>
      <c r="C95" s="42" t="e">
        <f>VLOOKUP(A95,'vs mars'!B:AC,28,FALSE)</f>
        <v>#N/A</v>
      </c>
      <c r="D95" s="8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20"/>
      <c r="Z95" s="120"/>
      <c r="AA95" s="121">
        <f t="shared" si="3"/>
        <v>0</v>
      </c>
    </row>
    <row r="96" spans="1:27">
      <c r="A96" s="1"/>
      <c r="B96" s="41" t="e">
        <f>VLOOKUP(A96,'vs mars'!B:D,3,FALSE)</f>
        <v>#N/A</v>
      </c>
      <c r="C96" s="42" t="e">
        <f>VLOOKUP(A96,'vs mars'!B:AC,28,FALSE)</f>
        <v>#N/A</v>
      </c>
      <c r="D96" s="8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20"/>
      <c r="Z96" s="120"/>
      <c r="AA96" s="121">
        <f t="shared" si="3"/>
        <v>0</v>
      </c>
    </row>
    <row r="97" spans="1:27">
      <c r="A97" s="1"/>
      <c r="B97" s="41" t="e">
        <f>VLOOKUP(A97,'vs mars'!B:D,3,FALSE)</f>
        <v>#N/A</v>
      </c>
      <c r="C97" s="42" t="e">
        <f>VLOOKUP(A97,'vs mars'!B:AC,28,FALSE)</f>
        <v>#N/A</v>
      </c>
      <c r="D97" s="8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20"/>
      <c r="Z97" s="120"/>
      <c r="AA97" s="121">
        <f t="shared" si="3"/>
        <v>0</v>
      </c>
    </row>
    <row r="98" spans="1:27">
      <c r="A98" s="1"/>
      <c r="B98" s="41" t="e">
        <f>VLOOKUP(A98,'vs mars'!B:D,3,FALSE)</f>
        <v>#N/A</v>
      </c>
      <c r="C98" s="42" t="e">
        <f>VLOOKUP(A98,'vs mars'!B:AC,28,FALSE)</f>
        <v>#N/A</v>
      </c>
      <c r="D98" s="8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20"/>
      <c r="Z98" s="120"/>
      <c r="AA98" s="121">
        <f t="shared" si="3"/>
        <v>0</v>
      </c>
    </row>
    <row r="99" spans="1:27">
      <c r="A99" s="1"/>
      <c r="B99" s="41" t="e">
        <f>VLOOKUP(A99,'vs mars'!B:D,3,FALSE)</f>
        <v>#N/A</v>
      </c>
      <c r="C99" s="42" t="e">
        <f>VLOOKUP(A99,'vs mars'!B:AC,28,FALSE)</f>
        <v>#N/A</v>
      </c>
      <c r="D99" s="8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20"/>
      <c r="Z99" s="120"/>
      <c r="AA99" s="121">
        <f t="shared" si="3"/>
        <v>0</v>
      </c>
    </row>
    <row r="100" spans="1:27">
      <c r="A100" s="1"/>
      <c r="B100" s="41" t="e">
        <f>VLOOKUP(A100,'vs mars'!B:D,3,FALSE)</f>
        <v>#N/A</v>
      </c>
      <c r="C100" s="42" t="e">
        <f>VLOOKUP(A100,'vs mars'!B:AC,28,FALSE)</f>
        <v>#N/A</v>
      </c>
      <c r="D100" s="8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20"/>
      <c r="Z100" s="120"/>
      <c r="AA100" s="121">
        <f t="shared" si="3"/>
        <v>0</v>
      </c>
    </row>
    <row r="101" spans="1:27">
      <c r="A101" s="1"/>
      <c r="B101" s="41" t="e">
        <f>VLOOKUP(A101,'vs mars'!B:D,3,FALSE)</f>
        <v>#N/A</v>
      </c>
      <c r="C101" s="42" t="e">
        <f>VLOOKUP(A101,'vs mars'!B:AC,28,FALSE)</f>
        <v>#N/A</v>
      </c>
      <c r="D101" s="8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20"/>
      <c r="Z101" s="120"/>
      <c r="AA101" s="121">
        <f t="shared" si="3"/>
        <v>0</v>
      </c>
    </row>
    <row r="102" spans="1:27">
      <c r="A102" s="1"/>
      <c r="B102" s="41" t="e">
        <f>VLOOKUP(A102,'vs mars'!B:D,3,FALSE)</f>
        <v>#N/A</v>
      </c>
      <c r="C102" s="42" t="e">
        <f>VLOOKUP(A102,'vs mars'!B:AC,28,FALSE)</f>
        <v>#N/A</v>
      </c>
      <c r="D102" s="8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20"/>
      <c r="Z102" s="120"/>
      <c r="AA102" s="121">
        <f t="shared" si="3"/>
        <v>0</v>
      </c>
    </row>
    <row r="103" spans="1:27">
      <c r="A103" s="1"/>
      <c r="B103" s="41" t="e">
        <f>VLOOKUP(A103,'vs mars'!B:D,3,FALSE)</f>
        <v>#N/A</v>
      </c>
      <c r="C103" s="42" t="e">
        <f>VLOOKUP(A103,'vs mars'!B:AC,28,FALSE)</f>
        <v>#N/A</v>
      </c>
      <c r="D103" s="8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20"/>
      <c r="Z103" s="120"/>
      <c r="AA103" s="121">
        <f t="shared" si="3"/>
        <v>0</v>
      </c>
    </row>
    <row r="104" spans="1:27">
      <c r="A104" s="1"/>
      <c r="B104" s="41" t="e">
        <f>VLOOKUP(A104,'vs mars'!B:D,3,FALSE)</f>
        <v>#N/A</v>
      </c>
      <c r="C104" s="42" t="e">
        <f>VLOOKUP(A104,'vs mars'!B:AC,28,FALSE)</f>
        <v>#N/A</v>
      </c>
      <c r="D104" s="8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20"/>
      <c r="Z104" s="120"/>
      <c r="AA104" s="121">
        <f t="shared" si="3"/>
        <v>0</v>
      </c>
    </row>
    <row r="105" spans="1:27">
      <c r="A105" s="1"/>
      <c r="B105" s="41" t="e">
        <f>VLOOKUP(A105,'vs mars'!B:D,3,FALSE)</f>
        <v>#N/A</v>
      </c>
      <c r="C105" s="42" t="e">
        <f>VLOOKUP(A105,'vs mars'!B:AC,28,FALSE)</f>
        <v>#N/A</v>
      </c>
      <c r="D105" s="8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20"/>
      <c r="Z105" s="120"/>
      <c r="AA105" s="121">
        <f t="shared" si="3"/>
        <v>0</v>
      </c>
    </row>
    <row r="106" spans="1:27">
      <c r="A106" s="1"/>
      <c r="B106" s="41" t="e">
        <f>VLOOKUP(A106,'vs mars'!B:D,3,FALSE)</f>
        <v>#N/A</v>
      </c>
      <c r="C106" s="42" t="e">
        <f>VLOOKUP(A106,'vs mars'!B:AC,28,FALSE)</f>
        <v>#N/A</v>
      </c>
      <c r="D106" s="8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20"/>
      <c r="Z106" s="120"/>
      <c r="AA106" s="121">
        <f t="shared" si="3"/>
        <v>0</v>
      </c>
    </row>
    <row r="107" spans="1:27">
      <c r="A107" s="1"/>
      <c r="B107" s="41" t="e">
        <f>VLOOKUP(A107,'vs mars'!B:D,3,FALSE)</f>
        <v>#N/A</v>
      </c>
      <c r="C107" s="42" t="e">
        <f>VLOOKUP(A107,'vs mars'!B:AC,28,FALSE)</f>
        <v>#N/A</v>
      </c>
      <c r="D107" s="8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20"/>
      <c r="Z107" s="120"/>
      <c r="AA107" s="121">
        <f t="shared" si="3"/>
        <v>0</v>
      </c>
    </row>
    <row r="108" spans="1:27">
      <c r="A108" s="1"/>
      <c r="B108" s="41" t="e">
        <f>VLOOKUP(A108,'vs mars'!B:D,3,FALSE)</f>
        <v>#N/A</v>
      </c>
      <c r="C108" s="42" t="e">
        <f>VLOOKUP(A108,'vs mars'!B:AC,28,FALSE)</f>
        <v>#N/A</v>
      </c>
      <c r="D108" s="8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20"/>
      <c r="Z108" s="120"/>
      <c r="AA108" s="121">
        <f t="shared" si="3"/>
        <v>0</v>
      </c>
    </row>
    <row r="109" spans="1:27">
      <c r="A109" s="1"/>
      <c r="B109" s="41" t="e">
        <f>VLOOKUP(A109,'vs mars'!B:D,3,FALSE)</f>
        <v>#N/A</v>
      </c>
      <c r="C109" s="42" t="e">
        <f>VLOOKUP(A109,'vs mars'!B:AC,28,FALSE)</f>
        <v>#N/A</v>
      </c>
      <c r="D109" s="8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20"/>
      <c r="Z109" s="120"/>
      <c r="AA109" s="121">
        <f t="shared" si="3"/>
        <v>0</v>
      </c>
    </row>
    <row r="110" spans="1:27">
      <c r="A110" s="1"/>
      <c r="B110" s="41" t="e">
        <f>VLOOKUP(A110,'vs mars'!B:D,3,FALSE)</f>
        <v>#N/A</v>
      </c>
      <c r="C110" s="42" t="e">
        <f>VLOOKUP(A110,'vs mars'!B:AC,28,FALSE)</f>
        <v>#N/A</v>
      </c>
      <c r="D110" s="8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20"/>
      <c r="Z110" s="120"/>
      <c r="AA110" s="121">
        <f t="shared" si="3"/>
        <v>0</v>
      </c>
    </row>
    <row r="111" spans="1:27">
      <c r="A111" s="1"/>
      <c r="B111" s="41" t="e">
        <f>VLOOKUP(A111,'vs mars'!B:D,3,FALSE)</f>
        <v>#N/A</v>
      </c>
      <c r="C111" s="42" t="e">
        <f>VLOOKUP(A111,'vs mars'!B:AC,28,FALSE)</f>
        <v>#N/A</v>
      </c>
      <c r="D111" s="8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20"/>
      <c r="Z111" s="120"/>
      <c r="AA111" s="121">
        <f t="shared" si="3"/>
        <v>0</v>
      </c>
    </row>
    <row r="112" spans="1:27">
      <c r="A112" s="1"/>
      <c r="B112" s="41" t="e">
        <f>VLOOKUP(A112,'vs mars'!B:D,3,FALSE)</f>
        <v>#N/A</v>
      </c>
      <c r="C112" s="42" t="e">
        <f>VLOOKUP(A112,'vs mars'!B:AC,28,FALSE)</f>
        <v>#N/A</v>
      </c>
      <c r="D112" s="8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20"/>
      <c r="Z112" s="120"/>
      <c r="AA112" s="121">
        <f t="shared" si="3"/>
        <v>0</v>
      </c>
    </row>
    <row r="113" spans="1:27">
      <c r="A113" s="1"/>
      <c r="B113" s="41" t="e">
        <f>VLOOKUP(A113,'vs mars'!B:D,3,FALSE)</f>
        <v>#N/A</v>
      </c>
      <c r="C113" s="42" t="e">
        <f>VLOOKUP(A113,'vs mars'!B:AC,28,FALSE)</f>
        <v>#N/A</v>
      </c>
      <c r="D113" s="8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20"/>
      <c r="Z113" s="120"/>
      <c r="AA113" s="121">
        <f t="shared" si="3"/>
        <v>0</v>
      </c>
    </row>
    <row r="114" spans="1:27">
      <c r="A114" s="1"/>
      <c r="B114" s="41" t="e">
        <f>VLOOKUP(A114,'vs mars'!B:D,3,FALSE)</f>
        <v>#N/A</v>
      </c>
      <c r="C114" s="42" t="e">
        <f>VLOOKUP(A114,'vs mars'!B:AC,28,FALSE)</f>
        <v>#N/A</v>
      </c>
      <c r="D114" s="8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20"/>
      <c r="Z114" s="120"/>
      <c r="AA114" s="121">
        <f t="shared" si="3"/>
        <v>0</v>
      </c>
    </row>
    <row r="115" spans="1:27">
      <c r="A115" s="1"/>
      <c r="B115" s="41" t="e">
        <f>VLOOKUP(A115,'vs mars'!B:D,3,FALSE)</f>
        <v>#N/A</v>
      </c>
      <c r="C115" s="42" t="e">
        <f>VLOOKUP(A115,'vs mars'!B:AC,28,FALSE)</f>
        <v>#N/A</v>
      </c>
      <c r="D115" s="8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20"/>
      <c r="Z115" s="120"/>
      <c r="AA115" s="121">
        <f t="shared" si="3"/>
        <v>0</v>
      </c>
    </row>
    <row r="116" spans="1:27">
      <c r="A116" s="1"/>
      <c r="B116" s="41" t="e">
        <f>VLOOKUP(A116,'vs mars'!B:D,3,FALSE)</f>
        <v>#N/A</v>
      </c>
      <c r="C116" s="42" t="e">
        <f>VLOOKUP(A116,'vs mars'!B:AC,28,FALSE)</f>
        <v>#N/A</v>
      </c>
      <c r="D116" s="8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20"/>
      <c r="Z116" s="120"/>
      <c r="AA116" s="121">
        <f t="shared" si="3"/>
        <v>0</v>
      </c>
    </row>
    <row r="117" spans="1:27">
      <c r="A117" s="1"/>
      <c r="B117" s="41" t="e">
        <f>VLOOKUP(A117,'vs mars'!B:D,3,FALSE)</f>
        <v>#N/A</v>
      </c>
      <c r="C117" s="42" t="e">
        <f>VLOOKUP(A117,'vs mars'!B:AC,28,FALSE)</f>
        <v>#N/A</v>
      </c>
      <c r="D117" s="8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20"/>
      <c r="Z117" s="120"/>
      <c r="AA117" s="121">
        <f t="shared" si="3"/>
        <v>0</v>
      </c>
    </row>
    <row r="118" spans="1:27">
      <c r="A118" s="1"/>
      <c r="B118" s="41" t="e">
        <f>VLOOKUP(A118,'vs mars'!B:D,3,FALSE)</f>
        <v>#N/A</v>
      </c>
      <c r="C118" s="42" t="e">
        <f>VLOOKUP(A118,'vs mars'!B:AC,28,FALSE)</f>
        <v>#N/A</v>
      </c>
      <c r="D118" s="8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20"/>
      <c r="Z118" s="120"/>
      <c r="AA118" s="121">
        <f t="shared" si="3"/>
        <v>0</v>
      </c>
    </row>
    <row r="119" spans="1:27">
      <c r="A119" s="1"/>
      <c r="B119" s="41" t="e">
        <f>VLOOKUP(A119,'vs mars'!B:D,3,FALSE)</f>
        <v>#N/A</v>
      </c>
      <c r="C119" s="42" t="e">
        <f>VLOOKUP(A119,'vs mars'!B:AC,28,FALSE)</f>
        <v>#N/A</v>
      </c>
      <c r="D119" s="8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20"/>
      <c r="Z119" s="120"/>
      <c r="AA119" s="121">
        <f t="shared" si="3"/>
        <v>0</v>
      </c>
    </row>
    <row r="120" spans="1:27">
      <c r="A120" s="1"/>
      <c r="B120" s="41" t="e">
        <f>VLOOKUP(A120,'vs mars'!B:D,3,FALSE)</f>
        <v>#N/A</v>
      </c>
      <c r="C120" s="42" t="e">
        <f>VLOOKUP(A120,'vs mars'!B:AC,28,FALSE)</f>
        <v>#N/A</v>
      </c>
      <c r="D120" s="8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20"/>
      <c r="Z120" s="120"/>
      <c r="AA120" s="121">
        <f t="shared" si="3"/>
        <v>0</v>
      </c>
    </row>
    <row r="121" spans="1:27">
      <c r="A121" s="1"/>
      <c r="B121" s="41" t="e">
        <f>VLOOKUP(A121,'vs mars'!B:D,3,FALSE)</f>
        <v>#N/A</v>
      </c>
      <c r="C121" s="42" t="e">
        <f>VLOOKUP(A121,'vs mars'!B:AC,28,FALSE)</f>
        <v>#N/A</v>
      </c>
      <c r="D121" s="8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20"/>
      <c r="Z121" s="120"/>
      <c r="AA121" s="121">
        <f t="shared" si="3"/>
        <v>0</v>
      </c>
    </row>
    <row r="122" spans="1:27">
      <c r="A122" s="1"/>
      <c r="B122" s="41" t="e">
        <f>VLOOKUP(A122,'vs mars'!B:D,3,FALSE)</f>
        <v>#N/A</v>
      </c>
      <c r="C122" s="42" t="e">
        <f>VLOOKUP(A122,'vs mars'!B:AC,28,FALSE)</f>
        <v>#N/A</v>
      </c>
      <c r="D122" s="8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20"/>
      <c r="Z122" s="120"/>
      <c r="AA122" s="121">
        <f t="shared" si="3"/>
        <v>0</v>
      </c>
    </row>
    <row r="123" spans="1:27">
      <c r="A123" s="1"/>
      <c r="B123" s="41" t="e">
        <f>VLOOKUP(A123,'vs mars'!B:D,3,FALSE)</f>
        <v>#N/A</v>
      </c>
      <c r="C123" s="42" t="e">
        <f>VLOOKUP(A123,'vs mars'!B:AC,28,FALSE)</f>
        <v>#N/A</v>
      </c>
      <c r="D123" s="8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20"/>
      <c r="Z123" s="120"/>
      <c r="AA123" s="121">
        <f t="shared" si="3"/>
        <v>0</v>
      </c>
    </row>
    <row r="124" spans="1:27">
      <c r="A124" s="1"/>
      <c r="B124" s="41" t="e">
        <f>VLOOKUP(A124,'vs mars'!B:D,3,FALSE)</f>
        <v>#N/A</v>
      </c>
      <c r="C124" s="42" t="e">
        <f>VLOOKUP(A124,'vs mars'!B:AC,28,FALSE)</f>
        <v>#N/A</v>
      </c>
      <c r="D124" s="8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20"/>
      <c r="Z124" s="120"/>
      <c r="AA124" s="121">
        <f t="shared" si="3"/>
        <v>0</v>
      </c>
    </row>
    <row r="125" spans="1:27">
      <c r="A125" s="1"/>
      <c r="B125" s="41" t="e">
        <f>VLOOKUP(A125,'vs mars'!B:D,3,FALSE)</f>
        <v>#N/A</v>
      </c>
      <c r="C125" s="42" t="e">
        <f>VLOOKUP(A125,'vs mars'!B:AC,28,FALSE)</f>
        <v>#N/A</v>
      </c>
      <c r="D125" s="8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20"/>
      <c r="Z125" s="120"/>
      <c r="AA125" s="121">
        <f t="shared" si="3"/>
        <v>0</v>
      </c>
    </row>
    <row r="126" spans="1:27">
      <c r="A126" s="1"/>
      <c r="B126" s="41" t="e">
        <f>VLOOKUP(A126,'vs mars'!B:D,3,FALSE)</f>
        <v>#N/A</v>
      </c>
      <c r="C126" s="42" t="e">
        <f>VLOOKUP(A126,'vs mars'!B:AC,28,FALSE)</f>
        <v>#N/A</v>
      </c>
      <c r="D126" s="8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20"/>
      <c r="Z126" s="120"/>
      <c r="AA126" s="121">
        <f t="shared" si="3"/>
        <v>0</v>
      </c>
    </row>
    <row r="127" spans="1:27">
      <c r="A127" s="1"/>
      <c r="B127" s="41" t="e">
        <f>VLOOKUP(A127,'vs mars'!B:D,3,FALSE)</f>
        <v>#N/A</v>
      </c>
      <c r="C127" s="42" t="e">
        <f>VLOOKUP(A127,'vs mars'!B:AC,28,FALSE)</f>
        <v>#N/A</v>
      </c>
      <c r="D127" s="8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20"/>
      <c r="Z127" s="120"/>
      <c r="AA127" s="121">
        <f t="shared" si="3"/>
        <v>0</v>
      </c>
    </row>
    <row r="128" spans="1:27">
      <c r="A128" s="1"/>
      <c r="B128" s="41" t="e">
        <f>VLOOKUP(A128,'vs mars'!B:D,3,FALSE)</f>
        <v>#N/A</v>
      </c>
      <c r="C128" s="42" t="e">
        <f>VLOOKUP(A128,'vs mars'!B:AC,28,FALSE)</f>
        <v>#N/A</v>
      </c>
      <c r="D128" s="8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20"/>
      <c r="Z128" s="120"/>
      <c r="AA128" s="121">
        <f t="shared" si="3"/>
        <v>0</v>
      </c>
    </row>
    <row r="129" spans="1:27">
      <c r="A129" s="1"/>
      <c r="B129" s="41" t="e">
        <f>VLOOKUP(A129,'vs mars'!B:D,3,FALSE)</f>
        <v>#N/A</v>
      </c>
      <c r="C129" s="42" t="e">
        <f>VLOOKUP(A129,'vs mars'!B:AC,28,FALSE)</f>
        <v>#N/A</v>
      </c>
      <c r="D129" s="8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20"/>
      <c r="Z129" s="120"/>
      <c r="AA129" s="121">
        <f t="shared" ref="AA129:AA135" si="4">SUM(E129:Z129)</f>
        <v>0</v>
      </c>
    </row>
    <row r="130" spans="1:27">
      <c r="A130" s="1"/>
      <c r="B130" s="41" t="e">
        <f>VLOOKUP(A130,'vs mars'!B:D,3,FALSE)</f>
        <v>#N/A</v>
      </c>
      <c r="C130" s="42" t="e">
        <f>VLOOKUP(A130,'vs mars'!B:AC,28,FALSE)</f>
        <v>#N/A</v>
      </c>
      <c r="D130" s="8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20"/>
      <c r="Z130" s="120"/>
      <c r="AA130" s="121">
        <f t="shared" si="4"/>
        <v>0</v>
      </c>
    </row>
    <row r="131" spans="1:27">
      <c r="A131" s="1"/>
      <c r="B131" s="41" t="e">
        <f>VLOOKUP(A131,'vs mars'!B:D,3,FALSE)</f>
        <v>#N/A</v>
      </c>
      <c r="C131" s="42" t="e">
        <f>VLOOKUP(A131,'vs mars'!B:AC,28,FALSE)</f>
        <v>#N/A</v>
      </c>
      <c r="D131" s="8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20"/>
      <c r="Z131" s="120"/>
      <c r="AA131" s="121">
        <f t="shared" si="4"/>
        <v>0</v>
      </c>
    </row>
    <row r="132" spans="1:27">
      <c r="A132" s="1"/>
      <c r="B132" s="41" t="e">
        <f>VLOOKUP(A132,'vs mars'!B:D,3,FALSE)</f>
        <v>#N/A</v>
      </c>
      <c r="C132" s="42" t="e">
        <f>VLOOKUP(A132,'vs mars'!B:AC,28,FALSE)</f>
        <v>#N/A</v>
      </c>
      <c r="D132" s="8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20"/>
      <c r="Z132" s="120"/>
      <c r="AA132" s="121">
        <f t="shared" si="4"/>
        <v>0</v>
      </c>
    </row>
    <row r="133" spans="1:27">
      <c r="A133" s="1"/>
      <c r="B133" s="41" t="e">
        <f>VLOOKUP(A133,'vs mars'!B:D,3,FALSE)</f>
        <v>#N/A</v>
      </c>
      <c r="C133" s="42" t="e">
        <f>VLOOKUP(A133,'vs mars'!B:AC,28,FALSE)</f>
        <v>#N/A</v>
      </c>
      <c r="D133" s="8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20"/>
      <c r="Z133" s="120"/>
      <c r="AA133" s="121">
        <f t="shared" si="4"/>
        <v>0</v>
      </c>
    </row>
    <row r="134" spans="1:27">
      <c r="A134" s="1"/>
      <c r="B134" s="41" t="e">
        <f>VLOOKUP(A134,'vs mars'!B:D,3,FALSE)</f>
        <v>#N/A</v>
      </c>
      <c r="C134" s="42" t="e">
        <f>VLOOKUP(A134,'vs mars'!B:AC,28,FALSE)</f>
        <v>#N/A</v>
      </c>
      <c r="D134" s="8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20"/>
      <c r="Z134" s="120"/>
      <c r="AA134" s="121">
        <f t="shared" si="4"/>
        <v>0</v>
      </c>
    </row>
    <row r="135" spans="1:27">
      <c r="A135" s="1"/>
      <c r="B135" s="41" t="e">
        <f>VLOOKUP(A135,'vs mars'!B:D,3,FALSE)</f>
        <v>#N/A</v>
      </c>
      <c r="C135" s="42" t="e">
        <f>VLOOKUP(A135,'vs mars'!B:AC,28,FALSE)</f>
        <v>#N/A</v>
      </c>
      <c r="D135" s="8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20"/>
      <c r="Z135" s="120"/>
      <c r="AA135" s="121">
        <f t="shared" si="4"/>
        <v>0</v>
      </c>
    </row>
    <row r="136" spans="1:27">
      <c r="A136" s="1"/>
      <c r="B136" s="41" t="e">
        <f>VLOOKUP(A136,'vs mars'!B:D,3,FALSE)</f>
        <v>#N/A</v>
      </c>
      <c r="C136" s="42" t="e">
        <f>VLOOKUP(A136,'vs mars'!B:AC,28,FALSE)</f>
        <v>#N/A</v>
      </c>
      <c r="D136" s="8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20"/>
      <c r="Z136" s="120"/>
      <c r="AA136" s="121">
        <f t="shared" ref="AA136:AA141" si="5">SUM(E136:Z136)</f>
        <v>0</v>
      </c>
    </row>
    <row r="137" spans="1:27">
      <c r="A137" s="1"/>
      <c r="B137" s="41" t="e">
        <f>VLOOKUP(A137,'vs mars'!B:D,3,FALSE)</f>
        <v>#N/A</v>
      </c>
      <c r="C137" s="42" t="e">
        <f>VLOOKUP(A137,'vs mars'!B:AC,28,FALSE)</f>
        <v>#N/A</v>
      </c>
      <c r="D137" s="8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20"/>
      <c r="Z137" s="120"/>
      <c r="AA137" s="121">
        <f t="shared" si="5"/>
        <v>0</v>
      </c>
    </row>
    <row r="138" spans="1:27">
      <c r="A138" s="1"/>
      <c r="B138" s="41" t="e">
        <f>VLOOKUP(A138,'vs mars'!B:D,3,FALSE)</f>
        <v>#N/A</v>
      </c>
      <c r="C138" s="42" t="e">
        <f>VLOOKUP(A138,'vs mars'!B:AC,28,FALSE)</f>
        <v>#N/A</v>
      </c>
      <c r="D138" s="8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20"/>
      <c r="Z138" s="120"/>
      <c r="AA138" s="121">
        <f t="shared" si="5"/>
        <v>0</v>
      </c>
    </row>
    <row r="139" spans="1:27">
      <c r="A139" s="1"/>
      <c r="B139" s="41" t="e">
        <f>VLOOKUP(A139,'vs mars'!B:D,3,FALSE)</f>
        <v>#N/A</v>
      </c>
      <c r="C139" s="42" t="e">
        <f>VLOOKUP(A139,'vs mars'!B:AC,28,FALSE)</f>
        <v>#N/A</v>
      </c>
      <c r="D139" s="8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20"/>
      <c r="Z139" s="120"/>
      <c r="AA139" s="121">
        <f t="shared" si="5"/>
        <v>0</v>
      </c>
    </row>
    <row r="140" spans="1:27">
      <c r="A140" s="1"/>
      <c r="B140" s="41" t="e">
        <f>VLOOKUP(A140,'vs mars'!B:D,3,FALSE)</f>
        <v>#N/A</v>
      </c>
      <c r="C140" s="42" t="e">
        <f>VLOOKUP(A140,'vs mars'!B:AC,28,FALSE)</f>
        <v>#N/A</v>
      </c>
      <c r="D140" s="8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20"/>
      <c r="Z140" s="120"/>
      <c r="AA140" s="121">
        <f t="shared" si="5"/>
        <v>0</v>
      </c>
    </row>
    <row r="141" spans="1:27">
      <c r="A141" s="1"/>
      <c r="B141" s="41" t="e">
        <f>VLOOKUP(A141,'vs mars'!B:D,3,FALSE)</f>
        <v>#N/A</v>
      </c>
      <c r="C141" s="42" t="e">
        <f>VLOOKUP(A141,'vs mars'!B:AC,28,FALSE)</f>
        <v>#N/A</v>
      </c>
      <c r="D141" s="8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20"/>
      <c r="Z141" s="120"/>
      <c r="AA141" s="121">
        <f t="shared" si="5"/>
        <v>0</v>
      </c>
    </row>
    <row r="142" spans="1:27" ht="15.75" thickBot="1">
      <c r="A142" s="1"/>
      <c r="B142" s="41" t="e">
        <f>VLOOKUP(A142,'vs mars'!B:D,3,FALSE)</f>
        <v>#N/A</v>
      </c>
      <c r="C142" s="42" t="e">
        <f>VLOOKUP(A142,'vs mars'!B:AC,28,FALSE)</f>
        <v>#N/A</v>
      </c>
      <c r="D142" s="8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1">
        <f>SUM(E142:Z142)</f>
        <v>0</v>
      </c>
    </row>
    <row r="143" spans="1:27" ht="15.75" thickBot="1">
      <c r="A143" s="2" t="s">
        <v>178</v>
      </c>
      <c r="B143" s="2"/>
      <c r="C143" s="30"/>
      <c r="D143" s="2"/>
      <c r="E143" s="122">
        <f t="shared" ref="E143:AA143" si="6">SUM(E2:E142)</f>
        <v>1272892.7670000002</v>
      </c>
      <c r="F143" s="122">
        <f t="shared" si="6"/>
        <v>1017969.7230000002</v>
      </c>
      <c r="G143" s="122">
        <f t="shared" si="6"/>
        <v>254635.96849999996</v>
      </c>
      <c r="H143" s="122">
        <f t="shared" si="6"/>
        <v>38181.041499999992</v>
      </c>
      <c r="I143" s="122">
        <f t="shared" si="6"/>
        <v>0</v>
      </c>
      <c r="J143" s="122">
        <f t="shared" si="6"/>
        <v>322325.5</v>
      </c>
      <c r="K143" s="122">
        <f t="shared" si="6"/>
        <v>509782</v>
      </c>
      <c r="L143" s="122">
        <f t="shared" si="6"/>
        <v>145652</v>
      </c>
      <c r="M143" s="122">
        <f t="shared" si="6"/>
        <v>72826</v>
      </c>
      <c r="N143" s="122">
        <f t="shared" si="6"/>
        <v>0</v>
      </c>
      <c r="O143" s="122">
        <f t="shared" si="6"/>
        <v>0</v>
      </c>
      <c r="P143" s="122">
        <f t="shared" si="6"/>
        <v>285525</v>
      </c>
      <c r="Q143" s="122">
        <f t="shared" si="6"/>
        <v>31725</v>
      </c>
      <c r="R143" s="122">
        <f t="shared" si="6"/>
        <v>0</v>
      </c>
      <c r="S143" s="122">
        <f t="shared" si="6"/>
        <v>0</v>
      </c>
      <c r="T143" s="122">
        <f t="shared" si="6"/>
        <v>0</v>
      </c>
      <c r="U143" s="122">
        <f t="shared" si="6"/>
        <v>0</v>
      </c>
      <c r="V143" s="122">
        <f t="shared" si="6"/>
        <v>0</v>
      </c>
      <c r="W143" s="122">
        <f t="shared" si="6"/>
        <v>0</v>
      </c>
      <c r="X143" s="122">
        <f t="shared" si="6"/>
        <v>0</v>
      </c>
      <c r="Y143" s="122">
        <f t="shared" si="6"/>
        <v>0</v>
      </c>
      <c r="Z143" s="122">
        <f t="shared" si="6"/>
        <v>0</v>
      </c>
      <c r="AA143" s="122">
        <f t="shared" si="6"/>
        <v>3951515</v>
      </c>
    </row>
  </sheetData>
  <autoFilter ref="A1:AA14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Feuil8"/>
  <dimension ref="A1:XFD349"/>
  <sheetViews>
    <sheetView topLeftCell="A134" workbookViewId="0">
      <selection activeCell="B134" sqref="B134"/>
    </sheetView>
  </sheetViews>
  <sheetFormatPr baseColWidth="10" defaultRowHeight="15"/>
  <cols>
    <col min="1" max="1" width="4" bestFit="1" customWidth="1"/>
    <col min="2" max="2" width="68.140625" style="76" bestFit="1" customWidth="1"/>
    <col min="3" max="3" width="25.5703125" style="76" bestFit="1" customWidth="1"/>
    <col min="4" max="4" width="11.42578125" style="76"/>
    <col min="5" max="5" width="8.42578125" style="76" bestFit="1" customWidth="1"/>
    <col min="6" max="6" width="9.28515625" style="76" bestFit="1" customWidth="1"/>
    <col min="7" max="7" width="2.85546875" style="76" bestFit="1" customWidth="1"/>
    <col min="8" max="8" width="3.7109375" style="76" bestFit="1" customWidth="1"/>
    <col min="9" max="9" width="3.42578125" style="76" bestFit="1" customWidth="1"/>
    <col min="10" max="10" width="4.28515625" style="76" bestFit="1" customWidth="1"/>
    <col min="11" max="11" width="3" style="76" bestFit="1" customWidth="1"/>
    <col min="12" max="12" width="3.85546875" style="76" bestFit="1" customWidth="1"/>
    <col min="13" max="13" width="2.85546875" style="76" bestFit="1" customWidth="1"/>
    <col min="14" max="14" width="3.85546875" style="76" bestFit="1" customWidth="1"/>
    <col min="15" max="15" width="3.5703125" style="76" bestFit="1" customWidth="1"/>
    <col min="16" max="16" width="8.28515625" style="76" bestFit="1" customWidth="1"/>
    <col min="17" max="17" width="3.7109375" style="76" bestFit="1" customWidth="1"/>
    <col min="18" max="18" width="5.85546875" style="76" bestFit="1" customWidth="1"/>
    <col min="19" max="19" width="4.140625" style="76" bestFit="1" customWidth="1"/>
    <col min="20" max="20" width="2.7109375" style="76" bestFit="1" customWidth="1"/>
    <col min="21" max="16384" width="11.42578125" style="76"/>
  </cols>
  <sheetData>
    <row r="1" spans="1:5">
      <c r="B1" s="76" t="s">
        <v>1592</v>
      </c>
      <c r="C1" s="76" t="s">
        <v>2196</v>
      </c>
      <c r="D1" s="76" t="s">
        <v>1933</v>
      </c>
    </row>
    <row r="2" spans="1:5" ht="12">
      <c r="A2" s="76" t="s">
        <v>1611</v>
      </c>
      <c r="B2" s="76" t="s">
        <v>275</v>
      </c>
      <c r="C2" s="76" t="s">
        <v>1598</v>
      </c>
      <c r="D2" s="76" t="s">
        <v>1436</v>
      </c>
      <c r="E2" s="76">
        <v>1</v>
      </c>
    </row>
    <row r="3" spans="1:5" ht="12">
      <c r="A3" s="76" t="s">
        <v>1612</v>
      </c>
      <c r="B3" s="76" t="s">
        <v>2313</v>
      </c>
      <c r="C3" s="76" t="s">
        <v>1601</v>
      </c>
      <c r="D3" s="76" t="s">
        <v>408</v>
      </c>
      <c r="E3" s="76">
        <v>1</v>
      </c>
    </row>
    <row r="4" spans="1:5" ht="12">
      <c r="A4" s="76" t="s">
        <v>903</v>
      </c>
      <c r="B4" s="76" t="s">
        <v>2314</v>
      </c>
      <c r="C4" s="76" t="s">
        <v>1598</v>
      </c>
      <c r="D4" s="76" t="s">
        <v>1436</v>
      </c>
      <c r="E4" s="76">
        <v>1</v>
      </c>
    </row>
    <row r="5" spans="1:5" ht="12">
      <c r="A5" s="76" t="s">
        <v>1613</v>
      </c>
      <c r="B5" s="76" t="s">
        <v>271</v>
      </c>
      <c r="C5" s="76" t="s">
        <v>1599</v>
      </c>
      <c r="D5" s="76" t="s">
        <v>408</v>
      </c>
      <c r="E5" s="76">
        <v>1</v>
      </c>
    </row>
    <row r="6" spans="1:5" ht="12">
      <c r="A6" s="76" t="s">
        <v>1614</v>
      </c>
      <c r="B6" s="76" t="s">
        <v>313</v>
      </c>
      <c r="C6" s="76" t="s">
        <v>1600</v>
      </c>
      <c r="D6" s="76" t="s">
        <v>408</v>
      </c>
      <c r="E6" s="76">
        <v>1</v>
      </c>
    </row>
    <row r="7" spans="1:5" ht="12">
      <c r="A7" s="76" t="s">
        <v>1615</v>
      </c>
      <c r="B7" s="76" t="s">
        <v>297</v>
      </c>
      <c r="C7" s="76" t="s">
        <v>2123</v>
      </c>
      <c r="D7" s="76" t="s">
        <v>1436</v>
      </c>
      <c r="E7" s="76">
        <v>1</v>
      </c>
    </row>
    <row r="8" spans="1:5" ht="12">
      <c r="A8" s="76" t="s">
        <v>1616</v>
      </c>
      <c r="B8" s="76" t="s">
        <v>276</v>
      </c>
      <c r="C8" s="76" t="s">
        <v>1598</v>
      </c>
      <c r="D8" s="76" t="s">
        <v>1436</v>
      </c>
      <c r="E8" s="76">
        <v>1</v>
      </c>
    </row>
    <row r="9" spans="1:5" ht="12">
      <c r="A9" s="76" t="s">
        <v>1617</v>
      </c>
      <c r="B9" s="76" t="s">
        <v>387</v>
      </c>
      <c r="C9" s="76" t="s">
        <v>766</v>
      </c>
      <c r="D9" s="76" t="s">
        <v>1438</v>
      </c>
      <c r="E9" s="76">
        <v>1</v>
      </c>
    </row>
    <row r="10" spans="1:5" ht="12">
      <c r="A10" s="76" t="s">
        <v>1618</v>
      </c>
      <c r="B10" s="76" t="s">
        <v>390</v>
      </c>
      <c r="C10" s="76" t="s">
        <v>934</v>
      </c>
      <c r="D10" s="76" t="s">
        <v>408</v>
      </c>
      <c r="E10" s="76">
        <v>1</v>
      </c>
    </row>
    <row r="11" spans="1:5" ht="12">
      <c r="A11" s="76" t="s">
        <v>1619</v>
      </c>
      <c r="B11" s="76" t="s">
        <v>280</v>
      </c>
      <c r="C11" s="76" t="s">
        <v>1598</v>
      </c>
      <c r="D11" s="76" t="s">
        <v>1436</v>
      </c>
      <c r="E11" s="76">
        <v>1</v>
      </c>
    </row>
    <row r="12" spans="1:5" ht="12">
      <c r="A12" s="76" t="s">
        <v>1620</v>
      </c>
      <c r="B12" s="76" t="s">
        <v>2315</v>
      </c>
      <c r="C12" s="76" t="s">
        <v>1598</v>
      </c>
      <c r="D12" s="76" t="s">
        <v>1436</v>
      </c>
      <c r="E12" s="76">
        <v>1</v>
      </c>
    </row>
    <row r="13" spans="1:5" ht="12">
      <c r="A13" s="76" t="s">
        <v>1621</v>
      </c>
      <c r="B13" s="76" t="s">
        <v>273</v>
      </c>
      <c r="C13" s="76" t="s">
        <v>436</v>
      </c>
      <c r="D13" s="76" t="s">
        <v>1439</v>
      </c>
      <c r="E13" s="76">
        <v>1</v>
      </c>
    </row>
    <row r="14" spans="1:5" ht="12">
      <c r="A14" s="76" t="s">
        <v>1622</v>
      </c>
      <c r="B14" s="76" t="s">
        <v>309</v>
      </c>
      <c r="C14" s="76" t="s">
        <v>1601</v>
      </c>
      <c r="D14" s="76" t="s">
        <v>408</v>
      </c>
      <c r="E14" s="76">
        <v>1</v>
      </c>
    </row>
    <row r="15" spans="1:5" ht="12">
      <c r="A15" s="76" t="s">
        <v>1623</v>
      </c>
      <c r="B15" s="76" t="s">
        <v>2316</v>
      </c>
      <c r="C15" s="76" t="s">
        <v>1595</v>
      </c>
      <c r="D15" s="76" t="s">
        <v>1437</v>
      </c>
      <c r="E15" s="76">
        <v>1</v>
      </c>
    </row>
    <row r="16" spans="1:5" ht="12">
      <c r="A16" s="76" t="s">
        <v>1624</v>
      </c>
      <c r="B16" s="76" t="s">
        <v>440</v>
      </c>
      <c r="C16" s="76" t="s">
        <v>766</v>
      </c>
      <c r="D16" s="76" t="s">
        <v>1438</v>
      </c>
      <c r="E16" s="76">
        <v>1</v>
      </c>
    </row>
    <row r="17" spans="1:5" ht="12">
      <c r="A17" s="76" t="s">
        <v>1458</v>
      </c>
      <c r="B17" s="76" t="s">
        <v>2317</v>
      </c>
      <c r="C17" s="76" t="s">
        <v>1599</v>
      </c>
      <c r="D17" s="76" t="s">
        <v>408</v>
      </c>
      <c r="E17" s="76">
        <v>1</v>
      </c>
    </row>
    <row r="18" spans="1:5" ht="12">
      <c r="A18" s="76" t="s">
        <v>1630</v>
      </c>
      <c r="B18" s="76" t="s">
        <v>444</v>
      </c>
      <c r="C18" s="76" t="s">
        <v>1599</v>
      </c>
      <c r="D18" s="76" t="s">
        <v>408</v>
      </c>
      <c r="E18" s="76">
        <v>1</v>
      </c>
    </row>
    <row r="19" spans="1:5" ht="12">
      <c r="A19" s="76" t="s">
        <v>910</v>
      </c>
      <c r="B19" s="76" t="s">
        <v>1626</v>
      </c>
      <c r="C19" s="76" t="s">
        <v>1602</v>
      </c>
      <c r="D19" s="76" t="s">
        <v>1436</v>
      </c>
      <c r="E19" s="76">
        <v>1</v>
      </c>
    </row>
    <row r="20" spans="1:5" ht="12">
      <c r="A20" s="76" t="s">
        <v>1631</v>
      </c>
      <c r="B20" s="76" t="s">
        <v>2318</v>
      </c>
      <c r="C20" s="76" t="s">
        <v>1601</v>
      </c>
      <c r="D20" s="76" t="s">
        <v>408</v>
      </c>
      <c r="E20" s="76">
        <v>1</v>
      </c>
    </row>
    <row r="21" spans="1:5" ht="12">
      <c r="A21" s="76" t="s">
        <v>1632</v>
      </c>
      <c r="B21" s="76" t="s">
        <v>1946</v>
      </c>
      <c r="C21" s="76" t="s">
        <v>1601</v>
      </c>
      <c r="D21" s="76" t="s">
        <v>408</v>
      </c>
      <c r="E21" s="76">
        <v>1</v>
      </c>
    </row>
    <row r="22" spans="1:5" ht="12">
      <c r="A22" s="76" t="s">
        <v>1633</v>
      </c>
      <c r="B22" s="76" t="s">
        <v>447</v>
      </c>
      <c r="C22" s="76" t="s">
        <v>1599</v>
      </c>
      <c r="D22" s="76" t="s">
        <v>408</v>
      </c>
      <c r="E22" s="76">
        <v>1</v>
      </c>
    </row>
    <row r="23" spans="1:5" ht="12">
      <c r="A23" s="76" t="s">
        <v>1634</v>
      </c>
      <c r="B23" s="76" t="s">
        <v>367</v>
      </c>
      <c r="C23" s="76" t="s">
        <v>2123</v>
      </c>
      <c r="D23" s="76" t="s">
        <v>1436</v>
      </c>
      <c r="E23" s="76">
        <v>1</v>
      </c>
    </row>
    <row r="24" spans="1:5" ht="12">
      <c r="A24" s="76" t="s">
        <v>1635</v>
      </c>
      <c r="B24" s="76" t="s">
        <v>452</v>
      </c>
      <c r="C24" s="76" t="s">
        <v>1599</v>
      </c>
      <c r="D24" s="76" t="s">
        <v>408</v>
      </c>
      <c r="E24" s="76">
        <v>1</v>
      </c>
    </row>
    <row r="25" spans="1:5" ht="12">
      <c r="A25" s="76" t="s">
        <v>1639</v>
      </c>
      <c r="B25" s="76" t="s">
        <v>320</v>
      </c>
      <c r="C25" s="76" t="s">
        <v>1602</v>
      </c>
      <c r="D25" s="76" t="s">
        <v>1436</v>
      </c>
      <c r="E25" s="76">
        <v>1</v>
      </c>
    </row>
    <row r="26" spans="1:5" ht="12">
      <c r="A26" s="76" t="s">
        <v>1640</v>
      </c>
      <c r="B26" s="76" t="s">
        <v>1560</v>
      </c>
      <c r="C26" s="76" t="s">
        <v>1601</v>
      </c>
      <c r="D26" s="76" t="s">
        <v>408</v>
      </c>
      <c r="E26" s="76">
        <v>1</v>
      </c>
    </row>
    <row r="27" spans="1:5" ht="12">
      <c r="A27" s="76" t="s">
        <v>1641</v>
      </c>
      <c r="B27" s="76" t="s">
        <v>459</v>
      </c>
      <c r="C27" s="76" t="s">
        <v>1599</v>
      </c>
      <c r="D27" s="76" t="s">
        <v>408</v>
      </c>
      <c r="E27" s="76">
        <v>1</v>
      </c>
    </row>
    <row r="28" spans="1:5" ht="12">
      <c r="A28" s="76" t="s">
        <v>1643</v>
      </c>
      <c r="B28" s="76" t="s">
        <v>462</v>
      </c>
      <c r="C28" s="76" t="s">
        <v>1599</v>
      </c>
      <c r="D28" s="76" t="s">
        <v>408</v>
      </c>
      <c r="E28" s="76">
        <v>1</v>
      </c>
    </row>
    <row r="29" spans="1:5" ht="12">
      <c r="A29" s="76" t="s">
        <v>1644</v>
      </c>
      <c r="B29" s="76" t="s">
        <v>465</v>
      </c>
      <c r="C29" s="76" t="s">
        <v>1599</v>
      </c>
      <c r="D29" s="76" t="s">
        <v>408</v>
      </c>
      <c r="E29" s="76">
        <v>1</v>
      </c>
    </row>
    <row r="30" spans="1:5" ht="12">
      <c r="A30" s="76" t="s">
        <v>1645</v>
      </c>
      <c r="B30" s="76" t="s">
        <v>467</v>
      </c>
      <c r="C30" s="76" t="s">
        <v>1599</v>
      </c>
      <c r="D30" s="76" t="s">
        <v>408</v>
      </c>
      <c r="E30" s="76">
        <v>1</v>
      </c>
    </row>
    <row r="31" spans="1:5" ht="12">
      <c r="A31" s="76" t="s">
        <v>1646</v>
      </c>
      <c r="B31" s="76" t="s">
        <v>470</v>
      </c>
      <c r="C31" s="76" t="s">
        <v>1599</v>
      </c>
      <c r="D31" s="76" t="s">
        <v>408</v>
      </c>
      <c r="E31" s="76">
        <v>1</v>
      </c>
    </row>
    <row r="32" spans="1:5" ht="12">
      <c r="A32" s="76" t="s">
        <v>1647</v>
      </c>
      <c r="B32" s="76" t="s">
        <v>304</v>
      </c>
      <c r="C32" s="76" t="s">
        <v>1602</v>
      </c>
      <c r="D32" s="76" t="s">
        <v>1436</v>
      </c>
      <c r="E32" s="76">
        <v>1</v>
      </c>
    </row>
    <row r="33" spans="1:5" ht="12">
      <c r="A33" s="76" t="s">
        <v>1648</v>
      </c>
      <c r="B33" s="76" t="s">
        <v>475</v>
      </c>
      <c r="C33" s="76" t="s">
        <v>436</v>
      </c>
      <c r="D33" s="76" t="s">
        <v>1439</v>
      </c>
      <c r="E33" s="76">
        <v>1</v>
      </c>
    </row>
    <row r="34" spans="1:5" ht="12">
      <c r="A34" s="76" t="s">
        <v>1649</v>
      </c>
      <c r="B34" s="76" t="s">
        <v>479</v>
      </c>
      <c r="C34" s="76" t="s">
        <v>1601</v>
      </c>
      <c r="D34" s="76" t="s">
        <v>408</v>
      </c>
      <c r="E34" s="76">
        <v>1</v>
      </c>
    </row>
    <row r="35" spans="1:5" ht="12">
      <c r="A35" s="76" t="s">
        <v>1651</v>
      </c>
      <c r="B35" s="76" t="s">
        <v>2197</v>
      </c>
      <c r="C35" s="76" t="s">
        <v>1918</v>
      </c>
      <c r="D35" s="76" t="s">
        <v>1439</v>
      </c>
      <c r="E35" s="76">
        <v>1</v>
      </c>
    </row>
    <row r="36" spans="1:5" ht="12">
      <c r="A36" s="76" t="s">
        <v>1652</v>
      </c>
      <c r="B36" s="76" t="s">
        <v>2302</v>
      </c>
      <c r="C36" s="76" t="s">
        <v>2123</v>
      </c>
      <c r="D36" s="76" t="s">
        <v>1436</v>
      </c>
      <c r="E36" s="76">
        <v>1</v>
      </c>
    </row>
    <row r="37" spans="1:5" ht="12">
      <c r="A37" s="76" t="s">
        <v>1503</v>
      </c>
      <c r="B37" s="76" t="s">
        <v>1579</v>
      </c>
      <c r="C37" s="76" t="s">
        <v>1594</v>
      </c>
      <c r="D37" s="76" t="s">
        <v>1437</v>
      </c>
      <c r="E37" s="76">
        <v>1</v>
      </c>
    </row>
    <row r="38" spans="1:5" ht="12">
      <c r="A38" s="76" t="s">
        <v>1653</v>
      </c>
      <c r="B38" s="76" t="s">
        <v>2319</v>
      </c>
      <c r="C38" s="76" t="s">
        <v>1602</v>
      </c>
      <c r="D38" s="76" t="s">
        <v>1436</v>
      </c>
      <c r="E38" s="76">
        <v>1</v>
      </c>
    </row>
    <row r="39" spans="1:5" ht="12">
      <c r="A39" s="76" t="s">
        <v>1232</v>
      </c>
      <c r="B39" s="76" t="s">
        <v>337</v>
      </c>
      <c r="C39" s="76" t="s">
        <v>1008</v>
      </c>
      <c r="D39" s="76" t="s">
        <v>1438</v>
      </c>
      <c r="E39" s="76">
        <v>1</v>
      </c>
    </row>
    <row r="40" spans="1:5" ht="12">
      <c r="A40" s="76" t="s">
        <v>1495</v>
      </c>
      <c r="B40" s="76" t="s">
        <v>486</v>
      </c>
      <c r="C40" s="76" t="s">
        <v>1008</v>
      </c>
      <c r="D40" s="76" t="s">
        <v>1438</v>
      </c>
      <c r="E40" s="76">
        <v>1</v>
      </c>
    </row>
    <row r="41" spans="1:5" ht="12">
      <c r="A41" s="76" t="s">
        <v>1654</v>
      </c>
      <c r="B41" s="76" t="s">
        <v>312</v>
      </c>
      <c r="C41" s="76" t="s">
        <v>1008</v>
      </c>
      <c r="D41" s="76" t="s">
        <v>1438</v>
      </c>
      <c r="E41" s="76">
        <v>1</v>
      </c>
    </row>
    <row r="42" spans="1:5" ht="12">
      <c r="A42" s="76" t="s">
        <v>1655</v>
      </c>
      <c r="B42" s="76" t="s">
        <v>489</v>
      </c>
      <c r="C42" s="76" t="s">
        <v>1008</v>
      </c>
      <c r="D42" s="76" t="s">
        <v>1438</v>
      </c>
      <c r="E42" s="76">
        <v>1</v>
      </c>
    </row>
    <row r="43" spans="1:5" ht="12">
      <c r="A43" s="76" t="s">
        <v>1656</v>
      </c>
      <c r="B43" s="76" t="s">
        <v>491</v>
      </c>
      <c r="C43" s="76" t="s">
        <v>1008</v>
      </c>
      <c r="D43" s="76" t="s">
        <v>1438</v>
      </c>
      <c r="E43" s="76">
        <v>1</v>
      </c>
    </row>
    <row r="44" spans="1:5" ht="12">
      <c r="A44" s="76" t="s">
        <v>1014</v>
      </c>
      <c r="B44" s="76" t="s">
        <v>338</v>
      </c>
      <c r="C44" s="76" t="s">
        <v>1008</v>
      </c>
      <c r="D44" s="76" t="s">
        <v>1438</v>
      </c>
      <c r="E44" s="76">
        <v>1</v>
      </c>
    </row>
    <row r="45" spans="1:5" ht="12">
      <c r="A45" s="76" t="s">
        <v>1657</v>
      </c>
      <c r="B45" s="76" t="s">
        <v>339</v>
      </c>
      <c r="C45" s="76" t="s">
        <v>1008</v>
      </c>
      <c r="D45" s="76" t="s">
        <v>1438</v>
      </c>
      <c r="E45" s="76">
        <v>1</v>
      </c>
    </row>
    <row r="46" spans="1:5" ht="12">
      <c r="A46" s="76" t="s">
        <v>1658</v>
      </c>
      <c r="B46" s="76" t="s">
        <v>340</v>
      </c>
      <c r="C46" s="76" t="s">
        <v>1008</v>
      </c>
      <c r="D46" s="76" t="s">
        <v>1438</v>
      </c>
      <c r="E46" s="76">
        <v>1</v>
      </c>
    </row>
    <row r="47" spans="1:5" ht="12">
      <c r="A47" s="76" t="s">
        <v>1192</v>
      </c>
      <c r="B47" s="76" t="s">
        <v>341</v>
      </c>
      <c r="C47" s="76" t="s">
        <v>1008</v>
      </c>
      <c r="D47" s="76" t="s">
        <v>1438</v>
      </c>
      <c r="E47" s="76">
        <v>1</v>
      </c>
    </row>
    <row r="48" spans="1:5" ht="12">
      <c r="A48" s="76" t="s">
        <v>1659</v>
      </c>
      <c r="B48" s="76" t="s">
        <v>318</v>
      </c>
      <c r="C48" s="76" t="s">
        <v>1008</v>
      </c>
      <c r="D48" s="76" t="s">
        <v>1438</v>
      </c>
      <c r="E48" s="76">
        <v>1</v>
      </c>
    </row>
    <row r="49" spans="1:5" ht="12">
      <c r="A49" s="76" t="s">
        <v>1660</v>
      </c>
      <c r="B49" s="76" t="s">
        <v>342</v>
      </c>
      <c r="C49" s="76" t="s">
        <v>1008</v>
      </c>
      <c r="D49" s="76" t="s">
        <v>1438</v>
      </c>
      <c r="E49" s="76">
        <v>1</v>
      </c>
    </row>
    <row r="50" spans="1:5" ht="12">
      <c r="A50" s="76" t="s">
        <v>1661</v>
      </c>
      <c r="B50" s="76" t="s">
        <v>343</v>
      </c>
      <c r="C50" s="76" t="s">
        <v>1008</v>
      </c>
      <c r="D50" s="76" t="s">
        <v>1438</v>
      </c>
      <c r="E50" s="76">
        <v>1</v>
      </c>
    </row>
    <row r="51" spans="1:5" ht="12">
      <c r="A51" s="76" t="s">
        <v>1196</v>
      </c>
      <c r="B51" s="76" t="s">
        <v>344</v>
      </c>
      <c r="C51" s="76" t="s">
        <v>1008</v>
      </c>
      <c r="D51" s="76" t="s">
        <v>1438</v>
      </c>
      <c r="E51" s="76">
        <v>1</v>
      </c>
    </row>
    <row r="52" spans="1:5" ht="12">
      <c r="A52" s="76" t="s">
        <v>1662</v>
      </c>
      <c r="B52" s="76" t="s">
        <v>345</v>
      </c>
      <c r="C52" s="76" t="s">
        <v>1008</v>
      </c>
      <c r="D52" s="76" t="s">
        <v>1438</v>
      </c>
      <c r="E52" s="76">
        <v>1</v>
      </c>
    </row>
    <row r="53" spans="1:5" ht="12">
      <c r="A53" s="76" t="s">
        <v>1663</v>
      </c>
      <c r="B53" s="76" t="s">
        <v>346</v>
      </c>
      <c r="C53" s="76" t="s">
        <v>1008</v>
      </c>
      <c r="D53" s="76" t="s">
        <v>1438</v>
      </c>
      <c r="E53" s="76">
        <v>1</v>
      </c>
    </row>
    <row r="54" spans="1:5" ht="12">
      <c r="A54" s="76" t="s">
        <v>1664</v>
      </c>
      <c r="B54" s="76" t="s">
        <v>347</v>
      </c>
      <c r="C54" s="76" t="s">
        <v>1008</v>
      </c>
      <c r="D54" s="76" t="s">
        <v>1438</v>
      </c>
      <c r="E54" s="76">
        <v>1</v>
      </c>
    </row>
    <row r="55" spans="1:5" ht="12">
      <c r="A55" s="76" t="s">
        <v>1665</v>
      </c>
      <c r="B55" s="76" t="s">
        <v>348</v>
      </c>
      <c r="C55" s="76" t="s">
        <v>1008</v>
      </c>
      <c r="D55" s="76" t="s">
        <v>1438</v>
      </c>
      <c r="E55" s="76">
        <v>1</v>
      </c>
    </row>
    <row r="56" spans="1:5" ht="12">
      <c r="A56" s="76" t="s">
        <v>1313</v>
      </c>
      <c r="B56" s="76" t="s">
        <v>349</v>
      </c>
      <c r="C56" s="76" t="s">
        <v>1008</v>
      </c>
      <c r="D56" s="76" t="s">
        <v>1438</v>
      </c>
      <c r="E56" s="76">
        <v>1</v>
      </c>
    </row>
    <row r="57" spans="1:5" ht="12">
      <c r="A57" s="76" t="s">
        <v>1666</v>
      </c>
      <c r="B57" s="76" t="s">
        <v>319</v>
      </c>
      <c r="C57" s="76" t="s">
        <v>1008</v>
      </c>
      <c r="D57" s="76" t="s">
        <v>1438</v>
      </c>
      <c r="E57" s="76">
        <v>1</v>
      </c>
    </row>
    <row r="58" spans="1:5" ht="12">
      <c r="A58" s="76" t="s">
        <v>1667</v>
      </c>
      <c r="B58" s="76" t="s">
        <v>350</v>
      </c>
      <c r="C58" s="76" t="s">
        <v>1008</v>
      </c>
      <c r="D58" s="76" t="s">
        <v>1438</v>
      </c>
      <c r="E58" s="76">
        <v>1</v>
      </c>
    </row>
    <row r="59" spans="1:5" ht="12">
      <c r="A59" s="76" t="s">
        <v>1668</v>
      </c>
      <c r="B59" s="76" t="s">
        <v>351</v>
      </c>
      <c r="C59" s="76" t="s">
        <v>1008</v>
      </c>
      <c r="D59" s="76" t="s">
        <v>1438</v>
      </c>
      <c r="E59" s="76">
        <v>1</v>
      </c>
    </row>
    <row r="60" spans="1:5" ht="12">
      <c r="A60" s="76" t="s">
        <v>1669</v>
      </c>
      <c r="B60" s="76" t="s">
        <v>352</v>
      </c>
      <c r="C60" s="76" t="s">
        <v>1008</v>
      </c>
      <c r="D60" s="76" t="s">
        <v>1438</v>
      </c>
      <c r="E60" s="76">
        <v>1</v>
      </c>
    </row>
    <row r="61" spans="1:5" ht="12">
      <c r="A61" s="76" t="s">
        <v>1150</v>
      </c>
      <c r="B61" s="76" t="s">
        <v>353</v>
      </c>
      <c r="C61" s="76" t="s">
        <v>1008</v>
      </c>
      <c r="D61" s="76" t="s">
        <v>1438</v>
      </c>
      <c r="E61" s="76">
        <v>1</v>
      </c>
    </row>
    <row r="62" spans="1:5" ht="12">
      <c r="A62" s="76" t="s">
        <v>1670</v>
      </c>
      <c r="B62" s="76" t="s">
        <v>354</v>
      </c>
      <c r="C62" s="76" t="s">
        <v>1008</v>
      </c>
      <c r="D62" s="76" t="s">
        <v>1438</v>
      </c>
      <c r="E62" s="76">
        <v>1</v>
      </c>
    </row>
    <row r="63" spans="1:5" ht="12">
      <c r="A63" s="76" t="s">
        <v>1122</v>
      </c>
      <c r="B63" s="76" t="s">
        <v>520</v>
      </c>
      <c r="C63" s="76" t="s">
        <v>1008</v>
      </c>
      <c r="D63" s="76" t="s">
        <v>1438</v>
      </c>
      <c r="E63" s="76">
        <v>1</v>
      </c>
    </row>
    <row r="64" spans="1:5" ht="12">
      <c r="A64" s="76" t="s">
        <v>1376</v>
      </c>
      <c r="B64" s="76" t="s">
        <v>355</v>
      </c>
      <c r="C64" s="76" t="s">
        <v>1008</v>
      </c>
      <c r="D64" s="76" t="s">
        <v>1438</v>
      </c>
      <c r="E64" s="76">
        <v>1</v>
      </c>
    </row>
    <row r="65" spans="1:5" ht="12">
      <c r="A65" s="76" t="s">
        <v>1170</v>
      </c>
      <c r="B65" s="76" t="s">
        <v>356</v>
      </c>
      <c r="C65" s="76" t="s">
        <v>1008</v>
      </c>
      <c r="D65" s="76" t="s">
        <v>1438</v>
      </c>
      <c r="E65" s="76">
        <v>1</v>
      </c>
    </row>
    <row r="66" spans="1:5" ht="12">
      <c r="A66" s="76" t="s">
        <v>1671</v>
      </c>
      <c r="B66" s="76" t="s">
        <v>525</v>
      </c>
      <c r="C66" s="76" t="s">
        <v>1008</v>
      </c>
      <c r="D66" s="76" t="s">
        <v>1438</v>
      </c>
      <c r="E66" s="76">
        <v>1</v>
      </c>
    </row>
    <row r="67" spans="1:5" ht="12">
      <c r="A67" s="76" t="s">
        <v>1672</v>
      </c>
      <c r="B67" s="76" t="s">
        <v>357</v>
      </c>
      <c r="C67" s="76" t="s">
        <v>1008</v>
      </c>
      <c r="D67" s="76" t="s">
        <v>1438</v>
      </c>
      <c r="E67" s="76">
        <v>1</v>
      </c>
    </row>
    <row r="68" spans="1:5" ht="12">
      <c r="A68" s="76" t="s">
        <v>1673</v>
      </c>
      <c r="B68" s="76" t="s">
        <v>358</v>
      </c>
      <c r="C68" s="76" t="s">
        <v>1008</v>
      </c>
      <c r="D68" s="76" t="s">
        <v>1438</v>
      </c>
      <c r="E68" s="76">
        <v>1</v>
      </c>
    </row>
    <row r="69" spans="1:5" ht="12">
      <c r="A69" s="76" t="s">
        <v>1674</v>
      </c>
      <c r="B69" s="76" t="s">
        <v>359</v>
      </c>
      <c r="C69" s="76" t="s">
        <v>1008</v>
      </c>
      <c r="D69" s="76" t="s">
        <v>1438</v>
      </c>
      <c r="E69" s="76">
        <v>1</v>
      </c>
    </row>
    <row r="70" spans="1:5" ht="12">
      <c r="A70" s="76" t="s">
        <v>939</v>
      </c>
      <c r="B70" s="76" t="s">
        <v>360</v>
      </c>
      <c r="C70" s="76" t="s">
        <v>1008</v>
      </c>
      <c r="D70" s="76" t="s">
        <v>1438</v>
      </c>
      <c r="E70" s="76">
        <v>1</v>
      </c>
    </row>
    <row r="71" spans="1:5" ht="12">
      <c r="A71" s="76" t="s">
        <v>1167</v>
      </c>
      <c r="B71" s="76" t="s">
        <v>361</v>
      </c>
      <c r="C71" s="76" t="s">
        <v>1008</v>
      </c>
      <c r="D71" s="76" t="s">
        <v>1438</v>
      </c>
      <c r="E71" s="76">
        <v>1</v>
      </c>
    </row>
    <row r="72" spans="1:5" ht="12">
      <c r="A72" s="76" t="s">
        <v>1675</v>
      </c>
      <c r="B72" s="76" t="s">
        <v>533</v>
      </c>
      <c r="C72" s="76" t="s">
        <v>1918</v>
      </c>
      <c r="D72" s="76" t="s">
        <v>1439</v>
      </c>
      <c r="E72" s="76">
        <v>1</v>
      </c>
    </row>
    <row r="73" spans="1:5" ht="12">
      <c r="A73" s="76" t="s">
        <v>1676</v>
      </c>
      <c r="B73" s="76" t="s">
        <v>380</v>
      </c>
      <c r="C73" s="76" t="s">
        <v>1595</v>
      </c>
      <c r="D73" s="76" t="s">
        <v>1437</v>
      </c>
      <c r="E73" s="76">
        <v>1</v>
      </c>
    </row>
    <row r="74" spans="1:5" ht="12">
      <c r="A74" s="76" t="s">
        <v>1677</v>
      </c>
      <c r="B74" s="76" t="s">
        <v>2203</v>
      </c>
      <c r="C74" s="76" t="s">
        <v>433</v>
      </c>
      <c r="D74" s="76" t="s">
        <v>408</v>
      </c>
      <c r="E74" s="76">
        <v>1</v>
      </c>
    </row>
    <row r="75" spans="1:5" ht="12">
      <c r="A75" s="76" t="s">
        <v>1678</v>
      </c>
      <c r="B75" s="76" t="s">
        <v>2263</v>
      </c>
      <c r="C75" s="76" t="s">
        <v>1601</v>
      </c>
      <c r="D75" s="76" t="s">
        <v>408</v>
      </c>
      <c r="E75" s="76">
        <v>1</v>
      </c>
    </row>
    <row r="76" spans="1:5" ht="12">
      <c r="A76" s="76" t="s">
        <v>1679</v>
      </c>
      <c r="B76" s="76" t="s">
        <v>288</v>
      </c>
      <c r="C76" s="76" t="s">
        <v>436</v>
      </c>
      <c r="D76" s="76" t="s">
        <v>1439</v>
      </c>
      <c r="E76" s="76">
        <v>1</v>
      </c>
    </row>
    <row r="77" spans="1:5" ht="12">
      <c r="A77" s="76" t="s">
        <v>1680</v>
      </c>
      <c r="B77" s="76" t="s">
        <v>292</v>
      </c>
      <c r="C77" s="76" t="s">
        <v>1598</v>
      </c>
      <c r="D77" s="76" t="s">
        <v>1436</v>
      </c>
      <c r="E77" s="76">
        <v>1</v>
      </c>
    </row>
    <row r="78" spans="1:5" ht="12">
      <c r="A78" s="76" t="s">
        <v>1681</v>
      </c>
      <c r="B78" s="76" t="s">
        <v>2320</v>
      </c>
      <c r="C78" s="76" t="s">
        <v>1599</v>
      </c>
      <c r="D78" s="76" t="s">
        <v>408</v>
      </c>
      <c r="E78" s="76">
        <v>1</v>
      </c>
    </row>
    <row r="79" spans="1:5" ht="12">
      <c r="A79" s="76" t="s">
        <v>1682</v>
      </c>
      <c r="B79" s="76" t="s">
        <v>2321</v>
      </c>
      <c r="C79" s="76" t="s">
        <v>1593</v>
      </c>
      <c r="D79" s="76" t="s">
        <v>1437</v>
      </c>
      <c r="E79" s="76">
        <v>1</v>
      </c>
    </row>
    <row r="80" spans="1:5" ht="12">
      <c r="A80" s="76" t="s">
        <v>1683</v>
      </c>
      <c r="B80" s="76" t="s">
        <v>306</v>
      </c>
      <c r="C80" s="76" t="s">
        <v>1598</v>
      </c>
      <c r="D80" s="76" t="s">
        <v>1436</v>
      </c>
      <c r="E80" s="76">
        <v>1</v>
      </c>
    </row>
    <row r="81" spans="1:5" ht="12">
      <c r="A81" s="76" t="s">
        <v>1684</v>
      </c>
      <c r="B81" s="76" t="s">
        <v>330</v>
      </c>
      <c r="C81" s="76" t="s">
        <v>1601</v>
      </c>
      <c r="D81" s="76" t="s">
        <v>408</v>
      </c>
      <c r="E81" s="76">
        <v>1</v>
      </c>
    </row>
    <row r="82" spans="1:5" ht="12">
      <c r="A82" s="76" t="s">
        <v>1685</v>
      </c>
      <c r="B82" s="76" t="s">
        <v>2322</v>
      </c>
      <c r="C82" s="76" t="s">
        <v>1593</v>
      </c>
      <c r="D82" s="76" t="s">
        <v>1437</v>
      </c>
      <c r="E82" s="76">
        <v>1</v>
      </c>
    </row>
    <row r="83" spans="1:5" ht="12">
      <c r="A83" s="76" t="s">
        <v>1686</v>
      </c>
      <c r="B83" s="76" t="s">
        <v>406</v>
      </c>
      <c r="C83" s="76" t="s">
        <v>1603</v>
      </c>
      <c r="D83" s="76" t="s">
        <v>408</v>
      </c>
      <c r="E83" s="76">
        <v>1</v>
      </c>
    </row>
    <row r="84" spans="1:5" ht="12">
      <c r="A84" s="76" t="s">
        <v>1691</v>
      </c>
      <c r="B84" s="76" t="s">
        <v>2741</v>
      </c>
      <c r="C84" s="76" t="s">
        <v>1599</v>
      </c>
      <c r="D84" s="76" t="s">
        <v>408</v>
      </c>
      <c r="E84" s="76">
        <v>1</v>
      </c>
    </row>
    <row r="85" spans="1:5" ht="12">
      <c r="A85" s="76" t="s">
        <v>1692</v>
      </c>
      <c r="B85" s="76" t="s">
        <v>2323</v>
      </c>
      <c r="C85" s="76" t="s">
        <v>1598</v>
      </c>
      <c r="D85" s="76" t="s">
        <v>1436</v>
      </c>
      <c r="E85" s="76">
        <v>1</v>
      </c>
    </row>
    <row r="86" spans="1:5" ht="12">
      <c r="A86" s="76" t="s">
        <v>1133</v>
      </c>
      <c r="B86" s="76" t="s">
        <v>550</v>
      </c>
      <c r="C86" s="76" t="s">
        <v>1599</v>
      </c>
      <c r="D86" s="76" t="s">
        <v>408</v>
      </c>
      <c r="E86" s="76">
        <v>1</v>
      </c>
    </row>
    <row r="87" spans="1:5" ht="12">
      <c r="A87" s="76" t="s">
        <v>1693</v>
      </c>
      <c r="B87" s="76" t="s">
        <v>1460</v>
      </c>
      <c r="C87" s="76" t="s">
        <v>1601</v>
      </c>
      <c r="D87" s="76" t="s">
        <v>408</v>
      </c>
      <c r="E87" s="76">
        <v>1</v>
      </c>
    </row>
    <row r="88" spans="1:5" ht="12">
      <c r="A88" s="76" t="s">
        <v>1694</v>
      </c>
      <c r="B88" s="76" t="s">
        <v>2324</v>
      </c>
      <c r="C88" s="76" t="s">
        <v>1601</v>
      </c>
      <c r="D88" s="76" t="s">
        <v>408</v>
      </c>
      <c r="E88" s="76">
        <v>1</v>
      </c>
    </row>
    <row r="89" spans="1:5" ht="12">
      <c r="A89" s="76" t="s">
        <v>1695</v>
      </c>
      <c r="B89" s="76" t="s">
        <v>2306</v>
      </c>
      <c r="C89" s="76" t="s">
        <v>1597</v>
      </c>
      <c r="D89" s="76" t="s">
        <v>1437</v>
      </c>
      <c r="E89" s="76">
        <v>1</v>
      </c>
    </row>
    <row r="90" spans="1:5" ht="12">
      <c r="A90" s="76" t="s">
        <v>1696</v>
      </c>
      <c r="B90" s="76" t="s">
        <v>2033</v>
      </c>
      <c r="C90" s="76" t="s">
        <v>1601</v>
      </c>
      <c r="D90" s="76" t="s">
        <v>408</v>
      </c>
      <c r="E90" s="76">
        <v>1</v>
      </c>
    </row>
    <row r="91" spans="1:5" ht="12">
      <c r="A91" s="76" t="s">
        <v>1698</v>
      </c>
      <c r="B91" s="76" t="s">
        <v>368</v>
      </c>
      <c r="C91" s="76" t="s">
        <v>2123</v>
      </c>
      <c r="D91" s="76" t="s">
        <v>1436</v>
      </c>
      <c r="E91" s="76">
        <v>1</v>
      </c>
    </row>
    <row r="92" spans="1:5" ht="12">
      <c r="A92" s="76" t="s">
        <v>1699</v>
      </c>
      <c r="B92" s="76" t="s">
        <v>1590</v>
      </c>
      <c r="C92" s="76" t="s">
        <v>2123</v>
      </c>
      <c r="D92" s="76" t="s">
        <v>1436</v>
      </c>
      <c r="E92" s="76">
        <v>1</v>
      </c>
    </row>
    <row r="93" spans="1:5" ht="12">
      <c r="A93" s="76" t="s">
        <v>1701</v>
      </c>
      <c r="B93" s="76" t="s">
        <v>2311</v>
      </c>
      <c r="C93" s="76" t="s">
        <v>1594</v>
      </c>
      <c r="D93" s="76" t="s">
        <v>1432</v>
      </c>
      <c r="E93" s="76">
        <v>1</v>
      </c>
    </row>
    <row r="94" spans="1:5">
      <c r="A94" s="76" t="s">
        <v>1145</v>
      </c>
      <c r="B94" s="317" t="s">
        <v>2283</v>
      </c>
      <c r="C94" s="76" t="s">
        <v>1601</v>
      </c>
      <c r="D94" s="76" t="s">
        <v>408</v>
      </c>
      <c r="E94" s="76">
        <v>1</v>
      </c>
    </row>
    <row r="95" spans="1:5" ht="12">
      <c r="A95" s="76" t="s">
        <v>1702</v>
      </c>
      <c r="B95" s="76" t="s">
        <v>557</v>
      </c>
      <c r="C95" s="76" t="s">
        <v>1599</v>
      </c>
      <c r="D95" s="76" t="s">
        <v>408</v>
      </c>
      <c r="E95" s="76">
        <v>1</v>
      </c>
    </row>
    <row r="96" spans="1:5" ht="12">
      <c r="A96" s="76" t="s">
        <v>1703</v>
      </c>
      <c r="B96" s="76" t="s">
        <v>287</v>
      </c>
      <c r="C96" s="76" t="s">
        <v>1598</v>
      </c>
      <c r="D96" s="76" t="s">
        <v>1436</v>
      </c>
      <c r="E96" s="76">
        <v>1</v>
      </c>
    </row>
    <row r="97" spans="1:5" ht="12">
      <c r="A97" s="76" t="s">
        <v>932</v>
      </c>
      <c r="B97" s="76" t="s">
        <v>563</v>
      </c>
      <c r="C97" s="76" t="s">
        <v>1602</v>
      </c>
      <c r="D97" s="76" t="s">
        <v>1436</v>
      </c>
      <c r="E97" s="76">
        <v>1</v>
      </c>
    </row>
    <row r="98" spans="1:5" ht="12">
      <c r="A98" s="76" t="s">
        <v>1704</v>
      </c>
      <c r="B98" s="76" t="s">
        <v>1466</v>
      </c>
      <c r="C98" s="76" t="s">
        <v>1602</v>
      </c>
      <c r="D98" s="76" t="s">
        <v>1436</v>
      </c>
      <c r="E98" s="76">
        <v>1</v>
      </c>
    </row>
    <row r="99" spans="1:5" ht="12">
      <c r="A99" s="76" t="s">
        <v>1705</v>
      </c>
      <c r="B99" s="76" t="s">
        <v>2027</v>
      </c>
      <c r="C99" s="76" t="s">
        <v>1599</v>
      </c>
      <c r="D99" s="76" t="s">
        <v>408</v>
      </c>
      <c r="E99" s="76">
        <v>1</v>
      </c>
    </row>
    <row r="100" spans="1:5" ht="12">
      <c r="A100" s="76" t="s">
        <v>1706</v>
      </c>
      <c r="B100" s="76" t="s">
        <v>2059</v>
      </c>
      <c r="C100" s="76" t="s">
        <v>1595</v>
      </c>
      <c r="D100" s="76" t="s">
        <v>1437</v>
      </c>
      <c r="E100" s="76">
        <v>1</v>
      </c>
    </row>
    <row r="101" spans="1:5" ht="12">
      <c r="A101" s="76" t="s">
        <v>1707</v>
      </c>
      <c r="B101" s="76" t="s">
        <v>279</v>
      </c>
      <c r="C101" s="76" t="s">
        <v>1602</v>
      </c>
      <c r="D101" s="76" t="s">
        <v>1436</v>
      </c>
      <c r="E101" s="76">
        <v>1</v>
      </c>
    </row>
    <row r="102" spans="1:5" ht="12">
      <c r="A102" s="76" t="s">
        <v>1708</v>
      </c>
      <c r="B102" s="76" t="s">
        <v>2325</v>
      </c>
      <c r="C102" s="76" t="s">
        <v>1595</v>
      </c>
      <c r="D102" s="76" t="s">
        <v>1437</v>
      </c>
      <c r="E102" s="76">
        <v>1</v>
      </c>
    </row>
    <row r="103" spans="1:5" ht="12">
      <c r="A103" s="76" t="s">
        <v>1709</v>
      </c>
      <c r="B103" s="76" t="s">
        <v>566</v>
      </c>
      <c r="C103" s="76" t="s">
        <v>1596</v>
      </c>
      <c r="D103" s="76" t="s">
        <v>1437</v>
      </c>
      <c r="E103" s="76">
        <v>1</v>
      </c>
    </row>
    <row r="104" spans="1:5" ht="12">
      <c r="A104" s="76" t="s">
        <v>1710</v>
      </c>
      <c r="B104" s="76" t="s">
        <v>1471</v>
      </c>
      <c r="C104" s="76" t="s">
        <v>1918</v>
      </c>
      <c r="D104" s="76" t="s">
        <v>1439</v>
      </c>
      <c r="E104" s="76">
        <v>1</v>
      </c>
    </row>
    <row r="105" spans="1:5" ht="12">
      <c r="A105" s="76" t="s">
        <v>1296</v>
      </c>
      <c r="B105" s="76" t="s">
        <v>2130</v>
      </c>
      <c r="C105" s="76" t="s">
        <v>1602</v>
      </c>
      <c r="D105" s="76" t="s">
        <v>1436</v>
      </c>
      <c r="E105" s="76">
        <v>1</v>
      </c>
    </row>
    <row r="106" spans="1:5" ht="12">
      <c r="A106" s="76" t="s">
        <v>1711</v>
      </c>
      <c r="B106" s="76" t="s">
        <v>1477</v>
      </c>
      <c r="C106" s="76" t="s">
        <v>1601</v>
      </c>
      <c r="D106" s="76" t="s">
        <v>408</v>
      </c>
      <c r="E106" s="76">
        <v>1</v>
      </c>
    </row>
    <row r="107" spans="1:5" ht="12">
      <c r="A107" s="76" t="s">
        <v>1713</v>
      </c>
      <c r="B107" s="76" t="s">
        <v>1582</v>
      </c>
      <c r="C107" s="76" t="s">
        <v>1594</v>
      </c>
      <c r="D107" s="76" t="s">
        <v>1437</v>
      </c>
      <c r="E107" s="76">
        <v>1</v>
      </c>
    </row>
    <row r="108" spans="1:5" ht="12">
      <c r="A108" s="76" t="s">
        <v>1714</v>
      </c>
      <c r="B108" s="76" t="s">
        <v>370</v>
      </c>
      <c r="C108" s="76" t="s">
        <v>2123</v>
      </c>
      <c r="D108" s="76" t="s">
        <v>1436</v>
      </c>
      <c r="E108" s="76">
        <v>1</v>
      </c>
    </row>
    <row r="109" spans="1:5" ht="12">
      <c r="A109" s="76" t="s">
        <v>1715</v>
      </c>
      <c r="B109" s="76" t="s">
        <v>2190</v>
      </c>
      <c r="C109" s="76" t="s">
        <v>1597</v>
      </c>
      <c r="D109" s="76" t="s">
        <v>1437</v>
      </c>
      <c r="E109" s="76">
        <v>1</v>
      </c>
    </row>
    <row r="110" spans="1:5" ht="12">
      <c r="A110" s="76" t="s">
        <v>1716</v>
      </c>
      <c r="B110" s="76" t="s">
        <v>2326</v>
      </c>
      <c r="C110" s="76" t="s">
        <v>1918</v>
      </c>
      <c r="D110" s="76" t="s">
        <v>1439</v>
      </c>
      <c r="E110" s="76">
        <v>1</v>
      </c>
    </row>
    <row r="111" spans="1:5" ht="12">
      <c r="A111" s="76" t="s">
        <v>1720</v>
      </c>
      <c r="B111" s="76" t="s">
        <v>308</v>
      </c>
      <c r="C111" s="76" t="s">
        <v>1593</v>
      </c>
      <c r="D111" s="76" t="s">
        <v>1437</v>
      </c>
      <c r="E111" s="76">
        <v>1</v>
      </c>
    </row>
    <row r="112" spans="1:5" ht="12">
      <c r="A112" s="76" t="s">
        <v>1722</v>
      </c>
      <c r="B112" s="76" t="s">
        <v>1482</v>
      </c>
      <c r="C112" s="76" t="s">
        <v>934</v>
      </c>
      <c r="D112" s="76" t="s">
        <v>408</v>
      </c>
      <c r="E112" s="76">
        <v>1</v>
      </c>
    </row>
    <row r="113" spans="1:5" ht="12">
      <c r="A113" s="76" t="s">
        <v>1723</v>
      </c>
      <c r="B113" s="76" t="s">
        <v>2195</v>
      </c>
      <c r="C113" s="76" t="s">
        <v>1601</v>
      </c>
      <c r="D113" s="76" t="s">
        <v>408</v>
      </c>
      <c r="E113" s="76">
        <v>1</v>
      </c>
    </row>
    <row r="114" spans="1:5" ht="12">
      <c r="A114" s="76" t="s">
        <v>1537</v>
      </c>
      <c r="B114" s="76" t="s">
        <v>290</v>
      </c>
      <c r="C114" s="76" t="s">
        <v>2123</v>
      </c>
      <c r="D114" s="76" t="s">
        <v>1436</v>
      </c>
      <c r="E114" s="76">
        <v>1</v>
      </c>
    </row>
    <row r="115" spans="1:5" ht="12">
      <c r="A115" s="76" t="s">
        <v>1724</v>
      </c>
      <c r="B115" s="76" t="s">
        <v>371</v>
      </c>
      <c r="C115" s="76" t="s">
        <v>2123</v>
      </c>
      <c r="D115" s="76" t="s">
        <v>1436</v>
      </c>
      <c r="E115" s="76">
        <v>1</v>
      </c>
    </row>
    <row r="116" spans="1:5" ht="12">
      <c r="A116" s="76" t="s">
        <v>1725</v>
      </c>
      <c r="B116" s="76" t="s">
        <v>2063</v>
      </c>
      <c r="C116" s="76" t="s">
        <v>1601</v>
      </c>
      <c r="D116" s="76" t="s">
        <v>408</v>
      </c>
      <c r="E116" s="76">
        <v>1</v>
      </c>
    </row>
    <row r="117" spans="1:5" ht="12">
      <c r="A117" s="76" t="s">
        <v>1726</v>
      </c>
      <c r="B117" s="76" t="s">
        <v>2327</v>
      </c>
      <c r="C117" s="76" t="s">
        <v>1918</v>
      </c>
      <c r="D117" s="76" t="s">
        <v>1439</v>
      </c>
      <c r="E117" s="76">
        <v>1</v>
      </c>
    </row>
    <row r="118" spans="1:5" ht="12">
      <c r="A118" s="76" t="s">
        <v>1727</v>
      </c>
      <c r="B118" s="76" t="s">
        <v>310</v>
      </c>
      <c r="C118" s="76" t="s">
        <v>1595</v>
      </c>
      <c r="D118" s="76" t="s">
        <v>1437</v>
      </c>
      <c r="E118" s="76">
        <v>1</v>
      </c>
    </row>
    <row r="119" spans="1:5" ht="12">
      <c r="A119" s="76" t="s">
        <v>949</v>
      </c>
      <c r="B119" s="76" t="s">
        <v>2295</v>
      </c>
      <c r="C119" s="76" t="s">
        <v>1603</v>
      </c>
      <c r="D119" s="76" t="s">
        <v>408</v>
      </c>
      <c r="E119" s="76">
        <v>1</v>
      </c>
    </row>
    <row r="120" spans="1:5" ht="12">
      <c r="A120" s="76" t="s">
        <v>1728</v>
      </c>
      <c r="B120" s="76" t="s">
        <v>365</v>
      </c>
      <c r="C120" s="76" t="s">
        <v>1602</v>
      </c>
      <c r="D120" s="76" t="s">
        <v>1436</v>
      </c>
      <c r="E120" s="76">
        <v>1</v>
      </c>
    </row>
    <row r="121" spans="1:5" ht="12">
      <c r="A121" s="76" t="s">
        <v>1729</v>
      </c>
      <c r="B121" s="76" t="s">
        <v>381</v>
      </c>
      <c r="C121" s="76" t="s">
        <v>1597</v>
      </c>
      <c r="D121" s="76" t="s">
        <v>1437</v>
      </c>
      <c r="E121" s="76">
        <v>1</v>
      </c>
    </row>
    <row r="122" spans="1:5" ht="12">
      <c r="A122" s="76" t="s">
        <v>973</v>
      </c>
      <c r="B122" s="76" t="s">
        <v>2328</v>
      </c>
      <c r="C122" s="76" t="s">
        <v>1598</v>
      </c>
      <c r="D122" s="76" t="s">
        <v>1436</v>
      </c>
      <c r="E122" s="76">
        <v>1</v>
      </c>
    </row>
    <row r="123" spans="1:5" ht="12">
      <c r="A123" s="76" t="s">
        <v>1730</v>
      </c>
      <c r="B123" s="76" t="s">
        <v>363</v>
      </c>
      <c r="C123" s="76" t="s">
        <v>1596</v>
      </c>
      <c r="D123" s="76" t="s">
        <v>1437</v>
      </c>
      <c r="E123" s="76">
        <v>1</v>
      </c>
    </row>
    <row r="124" spans="1:5" ht="12">
      <c r="A124" s="76" t="s">
        <v>1731</v>
      </c>
      <c r="B124" s="76" t="s">
        <v>1565</v>
      </c>
      <c r="C124" s="76" t="s">
        <v>1599</v>
      </c>
      <c r="D124" s="76" t="s">
        <v>408</v>
      </c>
      <c r="E124" s="76">
        <v>1</v>
      </c>
    </row>
    <row r="125" spans="1:5" ht="12">
      <c r="A125" s="76" t="s">
        <v>1732</v>
      </c>
      <c r="B125" s="76" t="s">
        <v>284</v>
      </c>
      <c r="C125" s="76" t="s">
        <v>1603</v>
      </c>
      <c r="D125" s="76" t="s">
        <v>408</v>
      </c>
      <c r="E125" s="76">
        <v>1</v>
      </c>
    </row>
    <row r="126" spans="1:5" ht="12">
      <c r="A126" s="76" t="s">
        <v>1733</v>
      </c>
      <c r="B126" s="76" t="s">
        <v>2028</v>
      </c>
      <c r="C126" s="76" t="s">
        <v>1598</v>
      </c>
      <c r="D126" s="76" t="s">
        <v>1436</v>
      </c>
      <c r="E126" s="76">
        <v>1</v>
      </c>
    </row>
    <row r="127" spans="1:5" ht="12">
      <c r="A127" s="76" t="s">
        <v>1734</v>
      </c>
      <c r="B127" s="76" t="s">
        <v>2329</v>
      </c>
      <c r="C127" s="76" t="s">
        <v>433</v>
      </c>
      <c r="D127" s="76" t="s">
        <v>408</v>
      </c>
      <c r="E127" s="76">
        <v>1</v>
      </c>
    </row>
    <row r="128" spans="1:5" ht="12">
      <c r="A128" s="76" t="s">
        <v>1735</v>
      </c>
      <c r="B128" s="76" t="s">
        <v>1954</v>
      </c>
      <c r="C128" s="76" t="s">
        <v>1601</v>
      </c>
      <c r="D128" s="76" t="s">
        <v>408</v>
      </c>
      <c r="E128" s="76">
        <v>1</v>
      </c>
    </row>
    <row r="129" spans="1:5" ht="12">
      <c r="A129" s="76" t="s">
        <v>1736</v>
      </c>
      <c r="B129" s="76" t="s">
        <v>2330</v>
      </c>
      <c r="C129" s="76" t="s">
        <v>1598</v>
      </c>
      <c r="D129" s="76" t="s">
        <v>1436</v>
      </c>
      <c r="E129" s="76">
        <v>1</v>
      </c>
    </row>
    <row r="130" spans="1:5" ht="12">
      <c r="A130" s="76" t="s">
        <v>1737</v>
      </c>
      <c r="B130" s="76" t="s">
        <v>321</v>
      </c>
      <c r="C130" s="76" t="s">
        <v>1598</v>
      </c>
      <c r="D130" s="76" t="s">
        <v>1436</v>
      </c>
      <c r="E130" s="76">
        <v>1</v>
      </c>
    </row>
    <row r="131" spans="1:5" ht="12">
      <c r="A131" s="76" t="s">
        <v>1738</v>
      </c>
      <c r="B131" s="76" t="s">
        <v>2300</v>
      </c>
      <c r="C131" s="76" t="s">
        <v>1598</v>
      </c>
      <c r="D131" s="76" t="s">
        <v>1436</v>
      </c>
      <c r="E131" s="76">
        <v>1</v>
      </c>
    </row>
    <row r="132" spans="1:5" ht="12">
      <c r="A132" s="76" t="s">
        <v>1739</v>
      </c>
      <c r="B132" s="76" t="s">
        <v>1717</v>
      </c>
      <c r="C132" s="76" t="s">
        <v>2123</v>
      </c>
      <c r="D132" s="76" t="s">
        <v>1436</v>
      </c>
      <c r="E132" s="76">
        <v>1</v>
      </c>
    </row>
    <row r="133" spans="1:5" ht="12">
      <c r="A133" s="76" t="s">
        <v>1094</v>
      </c>
      <c r="B133" s="76" t="s">
        <v>1489</v>
      </c>
      <c r="C133" s="76" t="s">
        <v>1598</v>
      </c>
      <c r="D133" s="76" t="s">
        <v>1436</v>
      </c>
      <c r="E133" s="76">
        <v>1</v>
      </c>
    </row>
    <row r="134" spans="1:5" ht="12">
      <c r="A134" s="76" t="s">
        <v>1740</v>
      </c>
      <c r="B134" s="76" t="s">
        <v>592</v>
      </c>
      <c r="C134" s="76" t="s">
        <v>1599</v>
      </c>
      <c r="D134" s="76" t="s">
        <v>408</v>
      </c>
      <c r="E134" s="76">
        <v>1</v>
      </c>
    </row>
    <row r="135" spans="1:5" ht="12">
      <c r="A135" s="76" t="s">
        <v>1741</v>
      </c>
      <c r="B135" s="76" t="s">
        <v>595</v>
      </c>
      <c r="C135" s="76" t="s">
        <v>1594</v>
      </c>
      <c r="D135" s="76" t="s">
        <v>1437</v>
      </c>
      <c r="E135" s="76">
        <v>1</v>
      </c>
    </row>
    <row r="136" spans="1:5" ht="12">
      <c r="A136" s="76" t="s">
        <v>1742</v>
      </c>
      <c r="B136" s="76" t="s">
        <v>598</v>
      </c>
      <c r="C136" s="76" t="s">
        <v>1599</v>
      </c>
      <c r="D136" s="76" t="s">
        <v>408</v>
      </c>
      <c r="E136" s="76">
        <v>1</v>
      </c>
    </row>
    <row r="137" spans="1:5" ht="12">
      <c r="A137" s="76" t="s">
        <v>1745</v>
      </c>
      <c r="B137" s="76" t="s">
        <v>601</v>
      </c>
      <c r="C137" s="76" t="s">
        <v>1599</v>
      </c>
      <c r="D137" s="76" t="s">
        <v>408</v>
      </c>
      <c r="E137" s="76">
        <v>1</v>
      </c>
    </row>
    <row r="138" spans="1:5" ht="12">
      <c r="A138" s="76" t="s">
        <v>1746</v>
      </c>
      <c r="B138" s="76" t="s">
        <v>382</v>
      </c>
      <c r="C138" s="76" t="s">
        <v>1593</v>
      </c>
      <c r="D138" s="76" t="s">
        <v>1437</v>
      </c>
      <c r="E138" s="76">
        <v>1</v>
      </c>
    </row>
    <row r="139" spans="1:5" ht="12">
      <c r="A139" s="76" t="s">
        <v>1747</v>
      </c>
      <c r="B139" s="76" t="s">
        <v>2635</v>
      </c>
      <c r="C139" s="76" t="s">
        <v>1601</v>
      </c>
      <c r="D139" s="76" t="s">
        <v>408</v>
      </c>
      <c r="E139" s="76">
        <v>1</v>
      </c>
    </row>
    <row r="140" spans="1:5" ht="12">
      <c r="A140" s="76" t="s">
        <v>1748</v>
      </c>
      <c r="B140" s="76" t="s">
        <v>606</v>
      </c>
      <c r="C140" s="76" t="s">
        <v>1601</v>
      </c>
      <c r="D140" s="76" t="s">
        <v>408</v>
      </c>
      <c r="E140" s="76">
        <v>1</v>
      </c>
    </row>
    <row r="141" spans="1:5" ht="12">
      <c r="A141" s="76" t="s">
        <v>1749</v>
      </c>
      <c r="B141" s="76" t="s">
        <v>609</v>
      </c>
      <c r="C141" s="76" t="s">
        <v>1597</v>
      </c>
      <c r="D141" s="76" t="s">
        <v>1437</v>
      </c>
      <c r="E141" s="76">
        <v>1</v>
      </c>
    </row>
    <row r="142" spans="1:5" ht="12">
      <c r="A142" s="76" t="s">
        <v>958</v>
      </c>
      <c r="B142" s="76" t="s">
        <v>612</v>
      </c>
      <c r="C142" s="76" t="s">
        <v>1601</v>
      </c>
      <c r="D142" s="76" t="s">
        <v>408</v>
      </c>
      <c r="E142" s="76">
        <v>1</v>
      </c>
    </row>
    <row r="143" spans="1:5" ht="12">
      <c r="A143" s="76" t="s">
        <v>1750</v>
      </c>
      <c r="B143" s="76" t="s">
        <v>615</v>
      </c>
      <c r="C143" s="76" t="s">
        <v>1599</v>
      </c>
      <c r="D143" s="76" t="s">
        <v>408</v>
      </c>
      <c r="E143" s="76">
        <v>1</v>
      </c>
    </row>
    <row r="144" spans="1:5" ht="12">
      <c r="A144" s="76" t="s">
        <v>1743</v>
      </c>
      <c r="B144" s="76" t="s">
        <v>2199</v>
      </c>
      <c r="C144" s="76" t="s">
        <v>1594</v>
      </c>
      <c r="D144" s="76" t="s">
        <v>1437</v>
      </c>
      <c r="E144" s="76">
        <v>1</v>
      </c>
    </row>
    <row r="145" spans="1:5" ht="12">
      <c r="A145" s="76" t="s">
        <v>1751</v>
      </c>
      <c r="B145" s="76" t="s">
        <v>2128</v>
      </c>
      <c r="C145" s="76" t="s">
        <v>1601</v>
      </c>
      <c r="D145" s="76" t="s">
        <v>408</v>
      </c>
      <c r="E145" s="76">
        <v>1</v>
      </c>
    </row>
    <row r="146" spans="1:5" ht="12">
      <c r="A146" s="76" t="s">
        <v>1752</v>
      </c>
      <c r="B146" s="76" t="s">
        <v>302</v>
      </c>
      <c r="C146" s="76" t="s">
        <v>1594</v>
      </c>
      <c r="D146" s="76" t="s">
        <v>1437</v>
      </c>
      <c r="E146" s="76">
        <v>1</v>
      </c>
    </row>
    <row r="147" spans="1:5" ht="12">
      <c r="A147" s="76" t="s">
        <v>1753</v>
      </c>
      <c r="B147" s="76" t="s">
        <v>1570</v>
      </c>
      <c r="C147" s="76" t="s">
        <v>1593</v>
      </c>
      <c r="D147" s="76" t="s">
        <v>1437</v>
      </c>
      <c r="E147" s="76">
        <v>1</v>
      </c>
    </row>
    <row r="148" spans="1:5" ht="12">
      <c r="A148" s="76" t="s">
        <v>1754</v>
      </c>
      <c r="B148" s="76" t="s">
        <v>322</v>
      </c>
      <c r="C148" s="76" t="s">
        <v>1602</v>
      </c>
      <c r="D148" s="76" t="s">
        <v>1436</v>
      </c>
      <c r="E148" s="76">
        <v>1</v>
      </c>
    </row>
    <row r="149" spans="1:5" ht="12">
      <c r="A149" s="76" t="s">
        <v>1755</v>
      </c>
      <c r="B149" s="76" t="s">
        <v>624</v>
      </c>
      <c r="C149" s="76" t="s">
        <v>1599</v>
      </c>
      <c r="D149" s="76" t="s">
        <v>408</v>
      </c>
      <c r="E149" s="76">
        <v>1</v>
      </c>
    </row>
    <row r="150" spans="1:5" ht="12">
      <c r="A150" s="76" t="s">
        <v>1083</v>
      </c>
      <c r="B150" s="76" t="s">
        <v>2331</v>
      </c>
      <c r="C150" s="76" t="s">
        <v>1595</v>
      </c>
      <c r="D150" s="76" t="s">
        <v>1437</v>
      </c>
      <c r="E150" s="76">
        <v>1</v>
      </c>
    </row>
    <row r="151" spans="1:5" ht="12">
      <c r="A151" s="76" t="s">
        <v>1067</v>
      </c>
      <c r="B151" s="76" t="s">
        <v>2332</v>
      </c>
      <c r="C151" s="76" t="s">
        <v>1601</v>
      </c>
      <c r="D151" s="76" t="s">
        <v>408</v>
      </c>
      <c r="E151" s="76">
        <v>1</v>
      </c>
    </row>
    <row r="152" spans="1:5" ht="12">
      <c r="A152" s="76" t="s">
        <v>1756</v>
      </c>
      <c r="B152" s="76" t="s">
        <v>626</v>
      </c>
      <c r="C152" s="76" t="s">
        <v>1595</v>
      </c>
      <c r="D152" s="76" t="s">
        <v>1437</v>
      </c>
      <c r="E152" s="76">
        <v>1</v>
      </c>
    </row>
    <row r="153" spans="1:5" ht="12">
      <c r="A153" s="76" t="s">
        <v>1757</v>
      </c>
      <c r="B153" s="76" t="s">
        <v>372</v>
      </c>
      <c r="C153" s="76" t="s">
        <v>1602</v>
      </c>
      <c r="D153" s="76" t="s">
        <v>1436</v>
      </c>
      <c r="E153" s="76">
        <v>1</v>
      </c>
    </row>
    <row r="154" spans="1:5" ht="12">
      <c r="A154" s="76" t="s">
        <v>1758</v>
      </c>
      <c r="B154" s="76" t="s">
        <v>633</v>
      </c>
      <c r="C154" s="76" t="s">
        <v>1599</v>
      </c>
      <c r="D154" s="76" t="s">
        <v>408</v>
      </c>
      <c r="E154" s="76">
        <v>1</v>
      </c>
    </row>
    <row r="155" spans="1:5" ht="12">
      <c r="A155" s="76" t="s">
        <v>1759</v>
      </c>
      <c r="B155" s="76" t="s">
        <v>2740</v>
      </c>
      <c r="C155" s="76" t="s">
        <v>1599</v>
      </c>
      <c r="D155" s="76" t="s">
        <v>408</v>
      </c>
      <c r="E155" s="76">
        <v>1</v>
      </c>
    </row>
    <row r="156" spans="1:5" ht="12">
      <c r="A156" s="76" t="s">
        <v>1760</v>
      </c>
      <c r="B156" s="76" t="s">
        <v>638</v>
      </c>
      <c r="C156" s="76" t="s">
        <v>1599</v>
      </c>
      <c r="D156" s="76" t="s">
        <v>408</v>
      </c>
      <c r="E156" s="76">
        <v>1</v>
      </c>
    </row>
    <row r="157" spans="1:5" ht="12">
      <c r="A157" s="76" t="s">
        <v>1764</v>
      </c>
      <c r="B157" s="76" t="s">
        <v>2333</v>
      </c>
      <c r="C157" s="76" t="s">
        <v>1595</v>
      </c>
      <c r="D157" s="76" t="s">
        <v>1437</v>
      </c>
      <c r="E157" s="76">
        <v>1</v>
      </c>
    </row>
    <row r="158" spans="1:5" ht="12">
      <c r="A158" s="76" t="s">
        <v>1765</v>
      </c>
      <c r="B158" s="76" t="s">
        <v>641</v>
      </c>
      <c r="C158" s="76" t="s">
        <v>1599</v>
      </c>
      <c r="D158" s="76" t="s">
        <v>408</v>
      </c>
      <c r="E158" s="76">
        <v>1</v>
      </c>
    </row>
    <row r="159" spans="1:5" ht="12">
      <c r="A159" s="76" t="s">
        <v>1766</v>
      </c>
      <c r="B159" s="76" t="s">
        <v>1497</v>
      </c>
      <c r="C159" s="76" t="s">
        <v>1601</v>
      </c>
      <c r="D159" s="76" t="s">
        <v>408</v>
      </c>
      <c r="E159" s="76">
        <v>1</v>
      </c>
    </row>
    <row r="160" spans="1:5" ht="12">
      <c r="A160" s="76" t="s">
        <v>1767</v>
      </c>
      <c r="B160" s="76" t="s">
        <v>2074</v>
      </c>
      <c r="C160" s="76" t="s">
        <v>1601</v>
      </c>
      <c r="D160" s="76" t="s">
        <v>408</v>
      </c>
      <c r="E160" s="76">
        <v>1</v>
      </c>
    </row>
    <row r="161" spans="1:5" ht="12">
      <c r="A161" s="76" t="s">
        <v>1768</v>
      </c>
      <c r="B161" s="76" t="s">
        <v>2334</v>
      </c>
      <c r="C161" s="76" t="s">
        <v>1595</v>
      </c>
      <c r="D161" s="76" t="s">
        <v>1437</v>
      </c>
      <c r="E161" s="76">
        <v>1</v>
      </c>
    </row>
    <row r="162" spans="1:5" ht="12">
      <c r="A162" s="76" t="s">
        <v>1770</v>
      </c>
      <c r="B162" s="76" t="s">
        <v>2335</v>
      </c>
      <c r="C162" s="76" t="s">
        <v>1601</v>
      </c>
      <c r="D162" s="76" t="s">
        <v>408</v>
      </c>
      <c r="E162" s="76">
        <v>1</v>
      </c>
    </row>
    <row r="163" spans="1:5" ht="12">
      <c r="A163" s="76" t="s">
        <v>1771</v>
      </c>
      <c r="B163" s="76" t="s">
        <v>2336</v>
      </c>
      <c r="C163" s="76" t="s">
        <v>1599</v>
      </c>
      <c r="D163" s="76" t="s">
        <v>408</v>
      </c>
      <c r="E163" s="76">
        <v>1</v>
      </c>
    </row>
    <row r="164" spans="1:5" ht="12">
      <c r="A164" s="76" t="s">
        <v>1775</v>
      </c>
      <c r="B164" s="76" t="s">
        <v>644</v>
      </c>
      <c r="C164" s="76" t="s">
        <v>1599</v>
      </c>
      <c r="D164" s="76" t="s">
        <v>408</v>
      </c>
      <c r="E164" s="76">
        <v>1</v>
      </c>
    </row>
    <row r="165" spans="1:5" ht="12">
      <c r="A165" s="76" t="s">
        <v>1776</v>
      </c>
      <c r="B165" s="76" t="s">
        <v>2337</v>
      </c>
      <c r="C165" s="76" t="s">
        <v>1595</v>
      </c>
      <c r="D165" s="76" t="s">
        <v>1437</v>
      </c>
      <c r="E165" s="76">
        <v>1</v>
      </c>
    </row>
    <row r="166" spans="1:5" ht="12">
      <c r="A166" s="76" t="s">
        <v>1777</v>
      </c>
      <c r="B166" s="76" t="s">
        <v>647</v>
      </c>
      <c r="C166" s="76" t="s">
        <v>1599</v>
      </c>
      <c r="D166" s="76" t="s">
        <v>408</v>
      </c>
      <c r="E166" s="76">
        <v>1</v>
      </c>
    </row>
    <row r="167" spans="1:5" ht="12">
      <c r="A167" s="76" t="s">
        <v>1778</v>
      </c>
      <c r="B167" s="76" t="s">
        <v>650</v>
      </c>
      <c r="C167" s="76" t="s">
        <v>1599</v>
      </c>
      <c r="D167" s="76" t="s">
        <v>408</v>
      </c>
      <c r="E167" s="76">
        <v>1</v>
      </c>
    </row>
    <row r="168" spans="1:5" ht="12">
      <c r="A168" s="76" t="s">
        <v>1779</v>
      </c>
      <c r="B168" s="76" t="s">
        <v>653</v>
      </c>
      <c r="C168" s="76" t="s">
        <v>1599</v>
      </c>
      <c r="D168" s="76" t="s">
        <v>408</v>
      </c>
      <c r="E168" s="76">
        <v>1</v>
      </c>
    </row>
    <row r="169" spans="1:5" ht="12">
      <c r="A169" s="76" t="s">
        <v>1780</v>
      </c>
      <c r="B169" s="76" t="s">
        <v>2338</v>
      </c>
      <c r="C169" s="76" t="s">
        <v>1601</v>
      </c>
      <c r="D169" s="76" t="s">
        <v>408</v>
      </c>
      <c r="E169" s="76">
        <v>1</v>
      </c>
    </row>
    <row r="170" spans="1:5" ht="12">
      <c r="A170" s="76" t="s">
        <v>1781</v>
      </c>
      <c r="B170" s="76" t="s">
        <v>331</v>
      </c>
      <c r="C170" s="76" t="s">
        <v>1599</v>
      </c>
      <c r="D170" s="76" t="s">
        <v>408</v>
      </c>
      <c r="E170" s="76">
        <v>1</v>
      </c>
    </row>
    <row r="171" spans="1:5" ht="12">
      <c r="A171" s="76" t="s">
        <v>1239</v>
      </c>
      <c r="B171" s="76" t="s">
        <v>658</v>
      </c>
      <c r="C171" s="76" t="s">
        <v>1599</v>
      </c>
      <c r="D171" s="76" t="s">
        <v>408</v>
      </c>
      <c r="E171" s="76">
        <v>1</v>
      </c>
    </row>
    <row r="172" spans="1:5" ht="12">
      <c r="A172" s="76" t="s">
        <v>1782</v>
      </c>
      <c r="B172" s="76" t="s">
        <v>2339</v>
      </c>
      <c r="C172" s="76" t="s">
        <v>1601</v>
      </c>
      <c r="D172" s="76" t="s">
        <v>408</v>
      </c>
      <c r="E172" s="76">
        <v>1</v>
      </c>
    </row>
    <row r="173" spans="1:5" ht="12">
      <c r="A173" s="76" t="s">
        <v>1783</v>
      </c>
      <c r="B173" s="76" t="s">
        <v>311</v>
      </c>
      <c r="C173" s="76" t="s">
        <v>2123</v>
      </c>
      <c r="D173" s="76" t="s">
        <v>1436</v>
      </c>
      <c r="E173" s="76">
        <v>1</v>
      </c>
    </row>
    <row r="174" spans="1:5" ht="12">
      <c r="A174" s="76" t="s">
        <v>1784</v>
      </c>
      <c r="B174" s="76" t="s">
        <v>663</v>
      </c>
      <c r="C174" s="76" t="s">
        <v>1597</v>
      </c>
      <c r="D174" s="76" t="s">
        <v>1437</v>
      </c>
      <c r="E174" s="76">
        <v>1</v>
      </c>
    </row>
    <row r="175" spans="1:5" ht="12">
      <c r="A175" s="76" t="s">
        <v>1174</v>
      </c>
      <c r="B175" s="76" t="s">
        <v>666</v>
      </c>
      <c r="C175" s="76" t="s">
        <v>1599</v>
      </c>
      <c r="D175" s="76" t="s">
        <v>408</v>
      </c>
      <c r="E175" s="76">
        <v>1</v>
      </c>
    </row>
    <row r="176" spans="1:5" ht="12">
      <c r="A176" s="76" t="s">
        <v>1785</v>
      </c>
      <c r="B176" s="76" t="s">
        <v>669</v>
      </c>
      <c r="C176" s="76" t="s">
        <v>1599</v>
      </c>
      <c r="D176" s="76" t="s">
        <v>408</v>
      </c>
      <c r="E176" s="76">
        <v>1</v>
      </c>
    </row>
    <row r="177" spans="1:5" ht="12">
      <c r="A177" s="76" t="s">
        <v>1786</v>
      </c>
      <c r="B177" s="76" t="s">
        <v>332</v>
      </c>
      <c r="C177" s="76" t="s">
        <v>1601</v>
      </c>
      <c r="D177" s="76" t="s">
        <v>408</v>
      </c>
      <c r="E177" s="76">
        <v>1</v>
      </c>
    </row>
    <row r="178" spans="1:5" ht="12">
      <c r="A178" s="76" t="s">
        <v>1787</v>
      </c>
      <c r="B178" s="76" t="s">
        <v>2030</v>
      </c>
      <c r="C178" s="76" t="s">
        <v>1601</v>
      </c>
      <c r="D178" s="76" t="s">
        <v>408</v>
      </c>
      <c r="E178" s="76">
        <v>1</v>
      </c>
    </row>
    <row r="179" spans="1:5" ht="12">
      <c r="A179" s="76" t="s">
        <v>1788</v>
      </c>
      <c r="B179" s="76" t="s">
        <v>1504</v>
      </c>
      <c r="C179" s="76" t="s">
        <v>1596</v>
      </c>
      <c r="D179" s="76" t="s">
        <v>1437</v>
      </c>
      <c r="E179" s="76">
        <v>1</v>
      </c>
    </row>
    <row r="180" spans="1:5" ht="12">
      <c r="A180" s="76" t="s">
        <v>1789</v>
      </c>
      <c r="B180" s="76" t="s">
        <v>2340</v>
      </c>
      <c r="C180" s="76" t="s">
        <v>1595</v>
      </c>
      <c r="D180" s="76" t="s">
        <v>1437</v>
      </c>
      <c r="E180" s="76">
        <v>1</v>
      </c>
    </row>
    <row r="181" spans="1:5" ht="12">
      <c r="A181" s="76" t="s">
        <v>1790</v>
      </c>
      <c r="B181" s="76" t="s">
        <v>676</v>
      </c>
      <c r="C181" s="76" t="s">
        <v>1594</v>
      </c>
      <c r="D181" s="76" t="s">
        <v>1437</v>
      </c>
      <c r="E181" s="76">
        <v>1</v>
      </c>
    </row>
    <row r="182" spans="1:5" ht="12">
      <c r="A182" s="76" t="s">
        <v>1791</v>
      </c>
      <c r="B182" s="76" t="s">
        <v>1508</v>
      </c>
      <c r="C182" s="76" t="s">
        <v>1601</v>
      </c>
      <c r="D182" s="76" t="s">
        <v>408</v>
      </c>
      <c r="E182" s="76">
        <v>1</v>
      </c>
    </row>
    <row r="183" spans="1:5" ht="12">
      <c r="A183" s="76" t="s">
        <v>1792</v>
      </c>
      <c r="B183" s="76" t="s">
        <v>2137</v>
      </c>
      <c r="C183" s="76" t="s">
        <v>2123</v>
      </c>
      <c r="D183" s="76" t="s">
        <v>1436</v>
      </c>
      <c r="E183" s="76">
        <v>1</v>
      </c>
    </row>
    <row r="184" spans="1:5" ht="12">
      <c r="A184" s="76" t="s">
        <v>1793</v>
      </c>
      <c r="B184" s="76" t="s">
        <v>388</v>
      </c>
      <c r="C184" s="76" t="s">
        <v>433</v>
      </c>
      <c r="D184" s="76" t="s">
        <v>408</v>
      </c>
      <c r="E184" s="76">
        <v>1</v>
      </c>
    </row>
    <row r="185" spans="1:5" ht="12">
      <c r="A185" s="76" t="s">
        <v>1794</v>
      </c>
      <c r="B185" s="76" t="s">
        <v>2341</v>
      </c>
      <c r="C185" s="76" t="s">
        <v>1595</v>
      </c>
      <c r="D185" s="76" t="s">
        <v>1437</v>
      </c>
      <c r="E185" s="76">
        <v>1</v>
      </c>
    </row>
    <row r="186" spans="1:5" ht="12">
      <c r="A186" s="76" t="s">
        <v>1795</v>
      </c>
      <c r="B186" s="76" t="s">
        <v>2342</v>
      </c>
      <c r="C186" s="76" t="s">
        <v>1601</v>
      </c>
      <c r="D186" s="76" t="s">
        <v>408</v>
      </c>
      <c r="E186" s="76">
        <v>1</v>
      </c>
    </row>
    <row r="187" spans="1:5" ht="12">
      <c r="A187" s="76" t="s">
        <v>1796</v>
      </c>
      <c r="B187" s="76" t="s">
        <v>2034</v>
      </c>
      <c r="C187" s="76" t="s">
        <v>1595</v>
      </c>
      <c r="D187" s="76" t="s">
        <v>1437</v>
      </c>
      <c r="E187" s="76">
        <v>1</v>
      </c>
    </row>
    <row r="188" spans="1:5" ht="12">
      <c r="A188" s="76" t="s">
        <v>1797</v>
      </c>
      <c r="B188" s="76" t="s">
        <v>364</v>
      </c>
      <c r="C188" s="76" t="s">
        <v>1602</v>
      </c>
      <c r="D188" s="76" t="s">
        <v>1436</v>
      </c>
      <c r="E188" s="76">
        <v>1</v>
      </c>
    </row>
    <row r="189" spans="1:5" ht="12">
      <c r="A189" s="76" t="s">
        <v>1798</v>
      </c>
      <c r="B189" s="76" t="s">
        <v>2343</v>
      </c>
      <c r="C189" s="76" t="s">
        <v>1605</v>
      </c>
      <c r="D189" s="76" t="s">
        <v>1438</v>
      </c>
      <c r="E189" s="76">
        <v>1</v>
      </c>
    </row>
    <row r="190" spans="1:5" ht="12">
      <c r="A190" s="76" t="s">
        <v>1799</v>
      </c>
      <c r="B190" s="76" t="s">
        <v>1995</v>
      </c>
      <c r="C190" s="76" t="s">
        <v>1605</v>
      </c>
      <c r="D190" s="76" t="s">
        <v>1438</v>
      </c>
      <c r="E190" s="76">
        <v>1</v>
      </c>
    </row>
    <row r="191" spans="1:5" ht="12">
      <c r="A191" s="76" t="s">
        <v>1800</v>
      </c>
      <c r="B191" s="76" t="s">
        <v>1514</v>
      </c>
      <c r="C191" s="76" t="s">
        <v>1605</v>
      </c>
      <c r="D191" s="76" t="s">
        <v>1438</v>
      </c>
      <c r="E191" s="76">
        <v>1</v>
      </c>
    </row>
    <row r="192" spans="1:5" ht="12">
      <c r="A192" s="76" t="s">
        <v>1801</v>
      </c>
      <c r="B192" s="76" t="s">
        <v>1515</v>
      </c>
      <c r="C192" s="76" t="s">
        <v>1605</v>
      </c>
      <c r="D192" s="76" t="s">
        <v>1438</v>
      </c>
      <c r="E192" s="76">
        <v>1</v>
      </c>
    </row>
    <row r="193" spans="1:5" ht="12">
      <c r="A193" s="76" t="s">
        <v>1802</v>
      </c>
      <c r="B193" s="76" t="s">
        <v>1518</v>
      </c>
      <c r="C193" s="76" t="s">
        <v>1605</v>
      </c>
      <c r="D193" s="76" t="s">
        <v>1438</v>
      </c>
      <c r="E193" s="76">
        <v>1</v>
      </c>
    </row>
    <row r="194" spans="1:5" ht="12">
      <c r="A194" s="76" t="s">
        <v>1803</v>
      </c>
      <c r="B194" s="76" t="s">
        <v>1899</v>
      </c>
      <c r="C194" s="76" t="s">
        <v>1602</v>
      </c>
      <c r="D194" s="76" t="s">
        <v>1436</v>
      </c>
      <c r="E194" s="76">
        <v>1</v>
      </c>
    </row>
    <row r="195" spans="1:5" ht="12">
      <c r="A195" s="76" t="s">
        <v>1416</v>
      </c>
      <c r="B195" s="76" t="s">
        <v>688</v>
      </c>
      <c r="C195" s="76" t="s">
        <v>1599</v>
      </c>
      <c r="D195" s="76" t="s">
        <v>408</v>
      </c>
      <c r="E195" s="76">
        <v>1</v>
      </c>
    </row>
    <row r="196" spans="1:5" ht="12">
      <c r="A196" s="76" t="s">
        <v>1804</v>
      </c>
      <c r="B196" s="76" t="s">
        <v>314</v>
      </c>
      <c r="C196" s="76" t="s">
        <v>1601</v>
      </c>
      <c r="D196" s="76" t="s">
        <v>408</v>
      </c>
      <c r="E196" s="76">
        <v>1</v>
      </c>
    </row>
    <row r="197" spans="1:5" ht="12">
      <c r="A197" s="76" t="s">
        <v>1805</v>
      </c>
      <c r="B197" s="76" t="s">
        <v>694</v>
      </c>
      <c r="C197" s="76" t="s">
        <v>1600</v>
      </c>
      <c r="D197" s="76" t="s">
        <v>408</v>
      </c>
      <c r="E197" s="76">
        <v>1</v>
      </c>
    </row>
    <row r="198" spans="1:5" ht="12">
      <c r="A198" s="76" t="s">
        <v>1806</v>
      </c>
      <c r="B198" s="76" t="s">
        <v>2344</v>
      </c>
      <c r="C198" s="76" t="s">
        <v>1595</v>
      </c>
      <c r="D198" s="76" t="s">
        <v>1437</v>
      </c>
      <c r="E198" s="76">
        <v>1</v>
      </c>
    </row>
    <row r="199" spans="1:5" ht="12">
      <c r="A199" s="76" t="s">
        <v>1807</v>
      </c>
      <c r="B199" s="76" t="s">
        <v>2345</v>
      </c>
      <c r="C199" s="76" t="s">
        <v>1918</v>
      </c>
      <c r="D199" s="76" t="s">
        <v>1439</v>
      </c>
      <c r="E199" s="76">
        <v>1</v>
      </c>
    </row>
    <row r="200" spans="1:5" ht="12">
      <c r="A200" s="76" t="s">
        <v>1808</v>
      </c>
      <c r="B200" s="76" t="s">
        <v>307</v>
      </c>
      <c r="C200" s="76" t="s">
        <v>1597</v>
      </c>
      <c r="D200" s="76" t="s">
        <v>1437</v>
      </c>
      <c r="E200" s="76">
        <v>1</v>
      </c>
    </row>
    <row r="201" spans="1:5" ht="12">
      <c r="A201" s="76" t="s">
        <v>1809</v>
      </c>
      <c r="B201" s="76" t="s">
        <v>701</v>
      </c>
      <c r="C201" s="76" t="s">
        <v>1594</v>
      </c>
      <c r="D201" s="76" t="s">
        <v>1437</v>
      </c>
      <c r="E201" s="76">
        <v>1</v>
      </c>
    </row>
    <row r="202" spans="1:5" ht="12">
      <c r="A202" s="76" t="s">
        <v>1810</v>
      </c>
      <c r="B202" s="76" t="s">
        <v>2087</v>
      </c>
      <c r="C202" s="76" t="s">
        <v>2123</v>
      </c>
      <c r="D202" s="76" t="s">
        <v>1436</v>
      </c>
      <c r="E202" s="76">
        <v>1</v>
      </c>
    </row>
    <row r="203" spans="1:5" ht="12">
      <c r="A203" s="76" t="s">
        <v>1811</v>
      </c>
      <c r="B203" s="76" t="s">
        <v>323</v>
      </c>
      <c r="C203" s="76" t="s">
        <v>2123</v>
      </c>
      <c r="D203" s="76" t="s">
        <v>1436</v>
      </c>
      <c r="E203" s="76">
        <v>1</v>
      </c>
    </row>
    <row r="204" spans="1:5" ht="12">
      <c r="A204" s="76" t="s">
        <v>1812</v>
      </c>
      <c r="B204" s="76" t="s">
        <v>705</v>
      </c>
      <c r="C204" s="76" t="s">
        <v>1599</v>
      </c>
      <c r="D204" s="76" t="s">
        <v>408</v>
      </c>
      <c r="E204" s="76">
        <v>1</v>
      </c>
    </row>
    <row r="205" spans="1:5" ht="12">
      <c r="A205" s="76" t="s">
        <v>1813</v>
      </c>
      <c r="B205" s="76" t="s">
        <v>709</v>
      </c>
      <c r="C205" s="76" t="s">
        <v>1599</v>
      </c>
      <c r="D205" s="76" t="s">
        <v>408</v>
      </c>
      <c r="E205" s="76">
        <v>1</v>
      </c>
    </row>
    <row r="206" spans="1:5" ht="12">
      <c r="A206" s="76" t="s">
        <v>1814</v>
      </c>
      <c r="B206" s="76" t="s">
        <v>712</v>
      </c>
      <c r="C206" s="76" t="s">
        <v>1599</v>
      </c>
      <c r="D206" s="76" t="s">
        <v>408</v>
      </c>
      <c r="E206" s="76">
        <v>1</v>
      </c>
    </row>
    <row r="207" spans="1:5" ht="12">
      <c r="A207" s="76" t="s">
        <v>1815</v>
      </c>
      <c r="B207" s="76" t="s">
        <v>270</v>
      </c>
      <c r="C207" s="76" t="s">
        <v>1597</v>
      </c>
      <c r="D207" s="76" t="s">
        <v>1437</v>
      </c>
      <c r="E207" s="76">
        <v>1</v>
      </c>
    </row>
    <row r="208" spans="1:5" ht="12">
      <c r="A208" s="76" t="s">
        <v>1816</v>
      </c>
      <c r="B208" s="76" t="s">
        <v>715</v>
      </c>
      <c r="C208" s="76" t="s">
        <v>1599</v>
      </c>
      <c r="D208" s="76" t="s">
        <v>408</v>
      </c>
      <c r="E208" s="76">
        <v>1</v>
      </c>
    </row>
    <row r="209" spans="1:5" ht="12">
      <c r="A209" s="76" t="s">
        <v>1817</v>
      </c>
      <c r="B209" s="76" t="s">
        <v>2346</v>
      </c>
      <c r="C209" s="76" t="s">
        <v>1601</v>
      </c>
      <c r="D209" s="76" t="s">
        <v>408</v>
      </c>
      <c r="E209" s="76">
        <v>1</v>
      </c>
    </row>
    <row r="210" spans="1:5" ht="12">
      <c r="A210" s="76" t="s">
        <v>1821</v>
      </c>
      <c r="B210" s="76" t="s">
        <v>2347</v>
      </c>
      <c r="C210" s="76" t="s">
        <v>1595</v>
      </c>
      <c r="D210" s="76" t="s">
        <v>1437</v>
      </c>
      <c r="E210" s="76">
        <v>1</v>
      </c>
    </row>
    <row r="211" spans="1:5" ht="12">
      <c r="A211" s="76" t="s">
        <v>1822</v>
      </c>
      <c r="B211" s="76" t="s">
        <v>2202</v>
      </c>
      <c r="C211" s="76" t="s">
        <v>1601</v>
      </c>
      <c r="D211" s="76" t="s">
        <v>408</v>
      </c>
      <c r="E211" s="76">
        <v>1</v>
      </c>
    </row>
    <row r="212" spans="1:5" ht="12">
      <c r="A212" s="76" t="s">
        <v>1824</v>
      </c>
      <c r="B212" s="76" t="s">
        <v>718</v>
      </c>
      <c r="C212" s="76" t="s">
        <v>1599</v>
      </c>
      <c r="D212" s="76" t="s">
        <v>408</v>
      </c>
      <c r="E212" s="76">
        <v>1</v>
      </c>
    </row>
    <row r="213" spans="1:5" ht="12">
      <c r="A213" s="76" t="s">
        <v>1825</v>
      </c>
      <c r="B213" s="76" t="s">
        <v>2348</v>
      </c>
      <c r="C213" s="76" t="s">
        <v>1603</v>
      </c>
      <c r="D213" s="76" t="s">
        <v>408</v>
      </c>
      <c r="E213" s="76">
        <v>1</v>
      </c>
    </row>
    <row r="214" spans="1:5" ht="12">
      <c r="A214" s="76" t="s">
        <v>1828</v>
      </c>
      <c r="B214" s="76" t="s">
        <v>383</v>
      </c>
      <c r="C214" s="76" t="s">
        <v>1597</v>
      </c>
      <c r="D214" s="76" t="s">
        <v>1437</v>
      </c>
      <c r="E214" s="76">
        <v>1</v>
      </c>
    </row>
    <row r="215" spans="1:5" ht="12">
      <c r="A215" s="76" t="s">
        <v>1829</v>
      </c>
      <c r="B215" s="76" t="s">
        <v>722</v>
      </c>
      <c r="C215" s="76" t="s">
        <v>1599</v>
      </c>
      <c r="D215" s="76" t="s">
        <v>408</v>
      </c>
      <c r="E215" s="76">
        <v>1</v>
      </c>
    </row>
    <row r="216" spans="1:5" ht="12">
      <c r="A216" s="76" t="s">
        <v>1830</v>
      </c>
      <c r="B216" s="76" t="s">
        <v>294</v>
      </c>
      <c r="C216" s="76" t="s">
        <v>1597</v>
      </c>
      <c r="D216" s="76" t="s">
        <v>1437</v>
      </c>
      <c r="E216" s="76">
        <v>1</v>
      </c>
    </row>
    <row r="217" spans="1:5" ht="12">
      <c r="A217" s="76" t="s">
        <v>1831</v>
      </c>
      <c r="B217" s="76" t="s">
        <v>333</v>
      </c>
      <c r="C217" s="76" t="s">
        <v>1599</v>
      </c>
      <c r="D217" s="76" t="s">
        <v>408</v>
      </c>
      <c r="E217" s="76">
        <v>1</v>
      </c>
    </row>
    <row r="218" spans="1:5" ht="12">
      <c r="A218" s="76" t="s">
        <v>1832</v>
      </c>
      <c r="B218" s="76" t="s">
        <v>729</v>
      </c>
      <c r="C218" s="76" t="s">
        <v>1594</v>
      </c>
      <c r="D218" s="76" t="s">
        <v>1437</v>
      </c>
      <c r="E218" s="76">
        <v>1</v>
      </c>
    </row>
    <row r="219" spans="1:5" ht="12">
      <c r="A219" s="76" t="s">
        <v>1119</v>
      </c>
      <c r="B219" s="76" t="s">
        <v>2349</v>
      </c>
      <c r="C219" s="76" t="s">
        <v>1918</v>
      </c>
      <c r="D219" s="76" t="s">
        <v>1439</v>
      </c>
      <c r="E219" s="76">
        <v>1</v>
      </c>
    </row>
    <row r="220" spans="1:5" ht="12">
      <c r="A220" s="76" t="s">
        <v>1409</v>
      </c>
      <c r="B220" s="76" t="s">
        <v>296</v>
      </c>
      <c r="C220" s="76" t="s">
        <v>1602</v>
      </c>
      <c r="D220" s="76" t="s">
        <v>1436</v>
      </c>
      <c r="E220" s="76">
        <v>1</v>
      </c>
    </row>
    <row r="221" spans="1:5" ht="12">
      <c r="A221" s="76" t="s">
        <v>1833</v>
      </c>
      <c r="B221" s="76" t="s">
        <v>734</v>
      </c>
      <c r="C221" s="76" t="s">
        <v>1601</v>
      </c>
      <c r="D221" s="76" t="s">
        <v>408</v>
      </c>
      <c r="E221" s="76">
        <v>1</v>
      </c>
    </row>
    <row r="222" spans="1:5" ht="12">
      <c r="A222" s="76" t="s">
        <v>1834</v>
      </c>
      <c r="B222" s="76" t="s">
        <v>737</v>
      </c>
      <c r="C222" s="76" t="s">
        <v>1599</v>
      </c>
      <c r="D222" s="76" t="s">
        <v>408</v>
      </c>
      <c r="E222" s="76">
        <v>1</v>
      </c>
    </row>
    <row r="223" spans="1:5" ht="12">
      <c r="A223" s="76" t="s">
        <v>1835</v>
      </c>
      <c r="B223" s="76" t="s">
        <v>373</v>
      </c>
      <c r="C223" s="76" t="s">
        <v>2123</v>
      </c>
      <c r="D223" s="76" t="s">
        <v>1436</v>
      </c>
      <c r="E223" s="76">
        <v>1</v>
      </c>
    </row>
    <row r="224" spans="1:5" ht="12">
      <c r="A224" s="76" t="s">
        <v>1836</v>
      </c>
      <c r="B224" s="76" t="s">
        <v>374</v>
      </c>
      <c r="C224" s="76" t="s">
        <v>2123</v>
      </c>
      <c r="D224" s="76" t="s">
        <v>1436</v>
      </c>
      <c r="E224" s="76">
        <v>1</v>
      </c>
    </row>
    <row r="225" spans="1:5" ht="12">
      <c r="A225" s="76" t="s">
        <v>1837</v>
      </c>
      <c r="B225" s="76" t="s">
        <v>269</v>
      </c>
      <c r="C225" s="76" t="s">
        <v>2123</v>
      </c>
      <c r="D225" s="76" t="s">
        <v>1436</v>
      </c>
      <c r="E225" s="76">
        <v>1</v>
      </c>
    </row>
    <row r="226" spans="1:5" ht="12">
      <c r="A226" s="76" t="s">
        <v>1838</v>
      </c>
      <c r="B226" s="76" t="s">
        <v>303</v>
      </c>
      <c r="C226" s="76" t="s">
        <v>1603</v>
      </c>
      <c r="D226" s="76" t="s">
        <v>408</v>
      </c>
      <c r="E226" s="76">
        <v>1</v>
      </c>
    </row>
    <row r="227" spans="1:5" ht="12">
      <c r="A227" s="76" t="s">
        <v>1839</v>
      </c>
      <c r="B227" s="76" t="s">
        <v>1999</v>
      </c>
      <c r="C227" s="76" t="s">
        <v>1601</v>
      </c>
      <c r="D227" s="76" t="s">
        <v>408</v>
      </c>
      <c r="E227" s="76">
        <v>1</v>
      </c>
    </row>
    <row r="228" spans="1:5" ht="12">
      <c r="A228" s="76" t="s">
        <v>1108</v>
      </c>
      <c r="B228" s="76" t="s">
        <v>2124</v>
      </c>
      <c r="C228" s="76" t="s">
        <v>1601</v>
      </c>
      <c r="D228" s="76" t="s">
        <v>408</v>
      </c>
      <c r="E228" s="76">
        <v>1</v>
      </c>
    </row>
    <row r="229" spans="1:5" ht="12">
      <c r="A229" s="76" t="s">
        <v>1327</v>
      </c>
      <c r="B229" s="76" t="s">
        <v>749</v>
      </c>
      <c r="C229" s="76" t="s">
        <v>1599</v>
      </c>
      <c r="D229" s="76" t="s">
        <v>408</v>
      </c>
      <c r="E229" s="76">
        <v>1</v>
      </c>
    </row>
    <row r="230" spans="1:5" ht="12">
      <c r="A230" s="76" t="s">
        <v>1842</v>
      </c>
      <c r="B230" s="76" t="s">
        <v>375</v>
      </c>
      <c r="C230" s="76" t="s">
        <v>2123</v>
      </c>
      <c r="D230" s="76" t="s">
        <v>1436</v>
      </c>
      <c r="E230" s="76">
        <v>1</v>
      </c>
    </row>
    <row r="231" spans="1:5" ht="12">
      <c r="A231" s="76" t="s">
        <v>1843</v>
      </c>
      <c r="B231" s="76" t="s">
        <v>2200</v>
      </c>
      <c r="C231" s="76" t="s">
        <v>1601</v>
      </c>
      <c r="D231" s="76" t="s">
        <v>408</v>
      </c>
      <c r="E231" s="76">
        <v>1</v>
      </c>
    </row>
    <row r="232" spans="1:5" ht="12">
      <c r="A232" s="76" t="s">
        <v>1844</v>
      </c>
      <c r="B232" s="76" t="s">
        <v>754</v>
      </c>
      <c r="C232" s="76" t="s">
        <v>1599</v>
      </c>
      <c r="D232" s="76" t="s">
        <v>408</v>
      </c>
      <c r="E232" s="76">
        <v>1</v>
      </c>
    </row>
    <row r="233" spans="1:5" ht="12">
      <c r="A233" s="76" t="s">
        <v>1847</v>
      </c>
      <c r="B233" s="76" t="s">
        <v>334</v>
      </c>
      <c r="C233" s="76" t="s">
        <v>1598</v>
      </c>
      <c r="D233" s="76" t="s">
        <v>1436</v>
      </c>
      <c r="E233" s="76">
        <v>1</v>
      </c>
    </row>
    <row r="234" spans="1:5" ht="12">
      <c r="A234" s="76" t="s">
        <v>1848</v>
      </c>
      <c r="B234" s="76" t="s">
        <v>2809</v>
      </c>
      <c r="C234" s="76" t="s">
        <v>1596</v>
      </c>
      <c r="D234" s="76" t="s">
        <v>1437</v>
      </c>
      <c r="E234" s="76">
        <v>1</v>
      </c>
    </row>
    <row r="235" spans="1:5" ht="12">
      <c r="A235" s="76" t="s">
        <v>1212</v>
      </c>
      <c r="B235" s="76" t="s">
        <v>2350</v>
      </c>
      <c r="C235" s="76" t="s">
        <v>1598</v>
      </c>
      <c r="D235" s="76" t="s">
        <v>1436</v>
      </c>
      <c r="E235" s="76">
        <v>1</v>
      </c>
    </row>
    <row r="236" spans="1:5" ht="12">
      <c r="A236" s="76" t="s">
        <v>1849</v>
      </c>
      <c r="B236" s="76" t="s">
        <v>293</v>
      </c>
      <c r="C236" s="76" t="s">
        <v>1604</v>
      </c>
      <c r="D236" s="76" t="s">
        <v>1438</v>
      </c>
      <c r="E236" s="76">
        <v>1</v>
      </c>
    </row>
    <row r="237" spans="1:5" ht="12">
      <c r="A237" s="76" t="s">
        <v>1000</v>
      </c>
      <c r="B237" s="76" t="s">
        <v>362</v>
      </c>
      <c r="C237" s="76" t="s">
        <v>436</v>
      </c>
      <c r="D237" s="76" t="s">
        <v>1439</v>
      </c>
      <c r="E237" s="76">
        <v>1</v>
      </c>
    </row>
    <row r="238" spans="1:5" ht="12">
      <c r="A238" s="76" t="s">
        <v>1852</v>
      </c>
      <c r="B238" s="76" t="s">
        <v>2037</v>
      </c>
      <c r="C238" s="76" t="s">
        <v>1601</v>
      </c>
      <c r="D238" s="76" t="s">
        <v>408</v>
      </c>
      <c r="E238" s="76">
        <v>1</v>
      </c>
    </row>
    <row r="239" spans="1:5" ht="12">
      <c r="A239" s="76" t="s">
        <v>1855</v>
      </c>
      <c r="B239" s="76" t="s">
        <v>763</v>
      </c>
      <c r="C239" s="76" t="s">
        <v>766</v>
      </c>
      <c r="D239" s="76" t="s">
        <v>1438</v>
      </c>
      <c r="E239" s="76">
        <v>1</v>
      </c>
    </row>
    <row r="240" spans="1:5" ht="12">
      <c r="A240" s="76" t="s">
        <v>1856</v>
      </c>
      <c r="B240" s="76" t="s">
        <v>289</v>
      </c>
      <c r="C240" s="76" t="s">
        <v>1593</v>
      </c>
      <c r="D240" s="76" t="s">
        <v>1437</v>
      </c>
      <c r="E240" s="76">
        <v>1</v>
      </c>
    </row>
    <row r="241" spans="1:5" ht="12">
      <c r="A241" s="76" t="s">
        <v>1857</v>
      </c>
      <c r="B241" s="76" t="s">
        <v>769</v>
      </c>
      <c r="C241" s="76" t="s">
        <v>1597</v>
      </c>
      <c r="D241" s="76" t="s">
        <v>1437</v>
      </c>
      <c r="E241" s="76">
        <v>1</v>
      </c>
    </row>
    <row r="242" spans="1:5" ht="12">
      <c r="A242" s="76" t="s">
        <v>1858</v>
      </c>
      <c r="B242" s="76" t="s">
        <v>772</v>
      </c>
      <c r="C242" s="76" t="s">
        <v>1599</v>
      </c>
      <c r="D242" s="76" t="s">
        <v>408</v>
      </c>
      <c r="E242" s="76">
        <v>1</v>
      </c>
    </row>
    <row r="243" spans="1:5" ht="12">
      <c r="A243" s="76" t="s">
        <v>1859</v>
      </c>
      <c r="B243" s="76" t="s">
        <v>775</v>
      </c>
      <c r="C243" s="76" t="s">
        <v>1599</v>
      </c>
      <c r="D243" s="76" t="s">
        <v>408</v>
      </c>
      <c r="E243" s="76">
        <v>1</v>
      </c>
    </row>
    <row r="244" spans="1:5" ht="12">
      <c r="A244" s="76" t="s">
        <v>1863</v>
      </c>
      <c r="B244" s="76" t="s">
        <v>2351</v>
      </c>
      <c r="C244" s="76" t="s">
        <v>1604</v>
      </c>
      <c r="D244" s="76" t="s">
        <v>1438</v>
      </c>
      <c r="E244" s="76">
        <v>1</v>
      </c>
    </row>
    <row r="245" spans="1:5" ht="12">
      <c r="A245" s="76" t="s">
        <v>1867</v>
      </c>
      <c r="B245" s="76" t="s">
        <v>2352</v>
      </c>
      <c r="C245" s="76" t="s">
        <v>1598</v>
      </c>
      <c r="D245" s="76" t="s">
        <v>1436</v>
      </c>
      <c r="E245" s="76">
        <v>1</v>
      </c>
    </row>
    <row r="246" spans="1:5" ht="12">
      <c r="A246" s="76" t="s">
        <v>1870</v>
      </c>
      <c r="B246" s="76" t="s">
        <v>282</v>
      </c>
      <c r="C246" s="76" t="s">
        <v>2123</v>
      </c>
      <c r="D246" s="76" t="s">
        <v>1436</v>
      </c>
      <c r="E246" s="76">
        <v>1</v>
      </c>
    </row>
    <row r="247" spans="1:5" ht="12">
      <c r="A247" s="76" t="s">
        <v>1871</v>
      </c>
      <c r="B247" s="76" t="s">
        <v>274</v>
      </c>
      <c r="C247" s="76" t="s">
        <v>1597</v>
      </c>
      <c r="D247" s="76" t="s">
        <v>1437</v>
      </c>
      <c r="E247" s="76">
        <v>1</v>
      </c>
    </row>
    <row r="248" spans="1:5" ht="12">
      <c r="A248" s="76" t="s">
        <v>1158</v>
      </c>
      <c r="B248" s="76" t="s">
        <v>2353</v>
      </c>
      <c r="C248" s="76" t="s">
        <v>1918</v>
      </c>
      <c r="D248" s="76" t="s">
        <v>1439</v>
      </c>
      <c r="E248" s="76">
        <v>1</v>
      </c>
    </row>
    <row r="249" spans="1:5" ht="12">
      <c r="A249" s="76" t="s">
        <v>1872</v>
      </c>
      <c r="B249" s="76" t="s">
        <v>316</v>
      </c>
      <c r="C249" s="76" t="s">
        <v>1602</v>
      </c>
      <c r="D249" s="76" t="s">
        <v>1436</v>
      </c>
      <c r="E249" s="76">
        <v>1</v>
      </c>
    </row>
    <row r="250" spans="1:5" ht="12">
      <c r="A250" s="76" t="s">
        <v>1873</v>
      </c>
      <c r="B250" s="76" t="s">
        <v>2198</v>
      </c>
      <c r="C250" s="76" t="s">
        <v>1595</v>
      </c>
      <c r="D250" s="76" t="s">
        <v>1437</v>
      </c>
      <c r="E250" s="76">
        <v>1</v>
      </c>
    </row>
    <row r="251" spans="1:5" ht="12">
      <c r="A251" s="76" t="s">
        <v>1874</v>
      </c>
      <c r="B251" s="76" t="s">
        <v>324</v>
      </c>
      <c r="C251" s="76" t="s">
        <v>1598</v>
      </c>
      <c r="D251" s="76" t="s">
        <v>1436</v>
      </c>
      <c r="E251" s="76">
        <v>1</v>
      </c>
    </row>
    <row r="252" spans="1:5" ht="12">
      <c r="A252" s="76" t="s">
        <v>1875</v>
      </c>
      <c r="B252" s="76" t="s">
        <v>1818</v>
      </c>
      <c r="C252" s="76" t="s">
        <v>1594</v>
      </c>
      <c r="D252" s="76" t="s">
        <v>1437</v>
      </c>
      <c r="E252" s="76">
        <v>1</v>
      </c>
    </row>
    <row r="253" spans="1:5" ht="12">
      <c r="A253" s="76" t="s">
        <v>1877</v>
      </c>
      <c r="B253" s="76" t="s">
        <v>377</v>
      </c>
      <c r="C253" s="76" t="s">
        <v>433</v>
      </c>
      <c r="D253" s="76" t="s">
        <v>408</v>
      </c>
      <c r="E253" s="76">
        <v>1</v>
      </c>
    </row>
    <row r="254" spans="1:5" ht="12">
      <c r="A254" s="76" t="s">
        <v>1878</v>
      </c>
      <c r="B254" s="76" t="s">
        <v>378</v>
      </c>
      <c r="C254" s="76" t="s">
        <v>1602</v>
      </c>
      <c r="D254" s="76" t="s">
        <v>1436</v>
      </c>
      <c r="E254" s="76">
        <v>1</v>
      </c>
    </row>
    <row r="255" spans="1:5" ht="12">
      <c r="A255" s="76" t="s">
        <v>1879</v>
      </c>
      <c r="B255" s="76" t="s">
        <v>2148</v>
      </c>
      <c r="C255" s="76" t="s">
        <v>433</v>
      </c>
      <c r="D255" s="76" t="s">
        <v>408</v>
      </c>
      <c r="E255" s="76">
        <v>1</v>
      </c>
    </row>
    <row r="256" spans="1:5" ht="12">
      <c r="A256" s="76" t="s">
        <v>1880</v>
      </c>
      <c r="B256" s="76" t="s">
        <v>384</v>
      </c>
      <c r="C256" s="76" t="s">
        <v>1596</v>
      </c>
      <c r="D256" s="76" t="s">
        <v>1437</v>
      </c>
      <c r="E256" s="76">
        <v>1</v>
      </c>
    </row>
    <row r="257" spans="1:5" ht="12">
      <c r="A257" s="76" t="s">
        <v>1318</v>
      </c>
      <c r="B257" s="76" t="s">
        <v>1552</v>
      </c>
      <c r="C257" s="76" t="s">
        <v>1594</v>
      </c>
      <c r="D257" s="76" t="s">
        <v>1437</v>
      </c>
      <c r="E257" s="76">
        <v>1</v>
      </c>
    </row>
    <row r="258" spans="1:5" ht="12">
      <c r="A258" s="76" t="s">
        <v>1881</v>
      </c>
      <c r="B258" s="76" t="s">
        <v>2132</v>
      </c>
      <c r="C258" s="76" t="s">
        <v>1595</v>
      </c>
      <c r="D258" s="76" t="s">
        <v>1437</v>
      </c>
      <c r="E258" s="76">
        <v>1</v>
      </c>
    </row>
    <row r="259" spans="1:5" ht="12">
      <c r="A259" s="76" t="s">
        <v>1882</v>
      </c>
      <c r="B259" s="76" t="s">
        <v>2354</v>
      </c>
      <c r="C259" s="76" t="s">
        <v>1598</v>
      </c>
      <c r="D259" s="76" t="s">
        <v>1436</v>
      </c>
      <c r="E259" s="76">
        <v>1</v>
      </c>
    </row>
    <row r="260" spans="1:5" ht="12">
      <c r="A260" s="76" t="s">
        <v>917</v>
      </c>
      <c r="B260" s="76" t="s">
        <v>2355</v>
      </c>
      <c r="C260" s="76" t="s">
        <v>1604</v>
      </c>
      <c r="D260" s="76" t="s">
        <v>1438</v>
      </c>
      <c r="E260" s="76">
        <v>1</v>
      </c>
    </row>
    <row r="261" spans="1:5" ht="12">
      <c r="A261" s="76" t="s">
        <v>1883</v>
      </c>
      <c r="B261" s="76" t="s">
        <v>790</v>
      </c>
      <c r="C261" s="76" t="s">
        <v>1602</v>
      </c>
      <c r="D261" s="76" t="s">
        <v>1436</v>
      </c>
      <c r="E261" s="76">
        <v>1</v>
      </c>
    </row>
    <row r="262" spans="1:5" ht="12">
      <c r="A262" s="76" t="s">
        <v>1884</v>
      </c>
      <c r="B262" s="76" t="s">
        <v>277</v>
      </c>
      <c r="C262" s="76" t="s">
        <v>1598</v>
      </c>
      <c r="D262" s="76" t="s">
        <v>1436</v>
      </c>
      <c r="E262" s="76">
        <v>1</v>
      </c>
    </row>
    <row r="263" spans="1:5" ht="12">
      <c r="A263" s="76" t="s">
        <v>1885</v>
      </c>
      <c r="B263" s="76" t="s">
        <v>2253</v>
      </c>
      <c r="C263" s="76" t="s">
        <v>1595</v>
      </c>
      <c r="D263" s="76" t="s">
        <v>1437</v>
      </c>
      <c r="E263" s="76">
        <v>1</v>
      </c>
    </row>
    <row r="264" spans="1:5" ht="12">
      <c r="A264" s="76" t="s">
        <v>1886</v>
      </c>
      <c r="B264" s="76" t="s">
        <v>2259</v>
      </c>
      <c r="C264" s="76" t="s">
        <v>1594</v>
      </c>
      <c r="D264" s="76" t="s">
        <v>1437</v>
      </c>
      <c r="E264" s="76">
        <v>1</v>
      </c>
    </row>
    <row r="265" spans="1:5" ht="12">
      <c r="A265" s="76" t="s">
        <v>1887</v>
      </c>
      <c r="B265" s="76" t="s">
        <v>325</v>
      </c>
      <c r="C265" s="76" t="s">
        <v>1602</v>
      </c>
      <c r="D265" s="76" t="s">
        <v>1436</v>
      </c>
      <c r="E265" s="76">
        <v>1</v>
      </c>
    </row>
    <row r="266" spans="1:5" ht="12">
      <c r="A266" s="76" t="s">
        <v>1888</v>
      </c>
      <c r="B266" s="76" t="s">
        <v>2356</v>
      </c>
      <c r="C266" s="76" t="s">
        <v>1598</v>
      </c>
      <c r="D266" s="76" t="s">
        <v>1436</v>
      </c>
      <c r="E266" s="76">
        <v>1</v>
      </c>
    </row>
    <row r="267" spans="1:5" ht="12">
      <c r="A267" s="76" t="s">
        <v>1889</v>
      </c>
      <c r="B267" s="76" t="s">
        <v>2201</v>
      </c>
      <c r="C267" s="76" t="s">
        <v>1601</v>
      </c>
      <c r="D267" s="76" t="s">
        <v>408</v>
      </c>
      <c r="E267" s="76">
        <v>1</v>
      </c>
    </row>
    <row r="268" spans="1:5" ht="12">
      <c r="A268" s="76" t="s">
        <v>1890</v>
      </c>
      <c r="B268" s="76" t="s">
        <v>2357</v>
      </c>
      <c r="C268" s="76" t="s">
        <v>1602</v>
      </c>
      <c r="D268" s="76" t="s">
        <v>1436</v>
      </c>
      <c r="E268" s="76">
        <v>1</v>
      </c>
    </row>
    <row r="269" spans="1:5" ht="12">
      <c r="A269" s="76" t="s">
        <v>1365</v>
      </c>
      <c r="B269" s="76" t="s">
        <v>298</v>
      </c>
      <c r="C269" s="76" t="s">
        <v>1594</v>
      </c>
      <c r="D269" s="76" t="s">
        <v>1437</v>
      </c>
      <c r="E269" s="76">
        <v>1</v>
      </c>
    </row>
    <row r="270" spans="1:5" ht="12">
      <c r="A270" s="76" t="s">
        <v>1891</v>
      </c>
      <c r="B270" s="76" t="s">
        <v>2358</v>
      </c>
      <c r="C270" s="76" t="s">
        <v>1595</v>
      </c>
      <c r="D270" s="76" t="s">
        <v>1437</v>
      </c>
      <c r="E270" s="76">
        <v>1</v>
      </c>
    </row>
    <row r="271" spans="1:5" ht="12">
      <c r="A271" s="76" t="s">
        <v>1892</v>
      </c>
      <c r="B271" s="76" t="s">
        <v>389</v>
      </c>
      <c r="C271" s="76" t="s">
        <v>433</v>
      </c>
      <c r="D271" s="76" t="s">
        <v>408</v>
      </c>
      <c r="E271" s="76">
        <v>1</v>
      </c>
    </row>
    <row r="272" spans="1:5" ht="12">
      <c r="A272" s="76" t="s">
        <v>1893</v>
      </c>
      <c r="B272" s="76" t="s">
        <v>2133</v>
      </c>
      <c r="C272" s="76" t="s">
        <v>436</v>
      </c>
      <c r="D272" s="76" t="s">
        <v>1439</v>
      </c>
      <c r="E272" s="76">
        <v>1</v>
      </c>
    </row>
    <row r="273" spans="1:16384" ht="12">
      <c r="A273" s="76" t="s">
        <v>1894</v>
      </c>
      <c r="B273" s="76" t="s">
        <v>2359</v>
      </c>
      <c r="C273" s="76" t="s">
        <v>1598</v>
      </c>
      <c r="D273" s="76" t="s">
        <v>1436</v>
      </c>
      <c r="E273" s="76">
        <v>1</v>
      </c>
    </row>
    <row r="274" spans="1:16384">
      <c r="A274" s="76" t="s">
        <v>1895</v>
      </c>
      <c r="B274" s="76" t="s">
        <v>2360</v>
      </c>
      <c r="C274" s="76" t="s">
        <v>1595</v>
      </c>
      <c r="D274" s="76" t="s">
        <v>1437</v>
      </c>
      <c r="E274" s="76">
        <v>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  <c r="XEK274"/>
      <c r="XEL274"/>
      <c r="XEM274"/>
      <c r="XEN274"/>
      <c r="XEO274"/>
      <c r="XEP274"/>
      <c r="XEQ274"/>
      <c r="XER274"/>
      <c r="XES274"/>
      <c r="XET274"/>
      <c r="XEU274"/>
      <c r="XEV274"/>
      <c r="XEW274"/>
      <c r="XEX274"/>
      <c r="XEY274"/>
      <c r="XEZ274"/>
      <c r="XFA274"/>
      <c r="XFB274"/>
      <c r="XFC274"/>
      <c r="XFD274"/>
    </row>
    <row r="275" spans="1:16384" ht="12">
      <c r="A275" s="76" t="s">
        <v>1896</v>
      </c>
      <c r="B275" s="76" t="s">
        <v>317</v>
      </c>
      <c r="C275" s="76" t="s">
        <v>436</v>
      </c>
      <c r="D275" s="76" t="s">
        <v>1439</v>
      </c>
      <c r="E275" s="76">
        <v>1</v>
      </c>
    </row>
    <row r="276" spans="1:16384" ht="12">
      <c r="A276" s="76" t="s">
        <v>1897</v>
      </c>
      <c r="B276" s="76" t="s">
        <v>301</v>
      </c>
      <c r="C276" s="76" t="s">
        <v>1597</v>
      </c>
      <c r="D276" s="76" t="s">
        <v>1437</v>
      </c>
      <c r="E276" s="76">
        <v>1</v>
      </c>
    </row>
    <row r="277" spans="1:16384" ht="12">
      <c r="A277" s="76" t="s">
        <v>1898</v>
      </c>
      <c r="B277" s="76" t="s">
        <v>2361</v>
      </c>
      <c r="C277" s="76" t="s">
        <v>1594</v>
      </c>
      <c r="D277" s="76" t="s">
        <v>1437</v>
      </c>
      <c r="E277" s="76">
        <v>1</v>
      </c>
    </row>
    <row r="278" spans="1:16384" ht="12">
      <c r="A278" s="76" t="s">
        <v>1900</v>
      </c>
      <c r="B278" s="76" t="s">
        <v>281</v>
      </c>
      <c r="C278" s="76" t="s">
        <v>1598</v>
      </c>
      <c r="D278" s="76" t="s">
        <v>1436</v>
      </c>
      <c r="E278" s="76">
        <v>1</v>
      </c>
    </row>
    <row r="279" spans="1:16384" ht="12">
      <c r="A279" s="76" t="s">
        <v>1282</v>
      </c>
      <c r="B279" s="76" t="s">
        <v>379</v>
      </c>
      <c r="C279" s="76" t="s">
        <v>1598</v>
      </c>
      <c r="D279" s="76" t="s">
        <v>1436</v>
      </c>
      <c r="E279" s="76">
        <v>1</v>
      </c>
    </row>
    <row r="280" spans="1:16384" ht="12">
      <c r="A280" s="76" t="s">
        <v>1304</v>
      </c>
      <c r="B280" s="76" t="s">
        <v>283</v>
      </c>
      <c r="C280" s="76" t="s">
        <v>1594</v>
      </c>
      <c r="D280" s="76" t="s">
        <v>1437</v>
      </c>
      <c r="E280" s="76">
        <v>1</v>
      </c>
    </row>
    <row r="281" spans="1:16384" ht="12">
      <c r="A281" s="76" t="s">
        <v>1939</v>
      </c>
      <c r="B281" s="76" t="s">
        <v>376</v>
      </c>
      <c r="C281" s="76" t="s">
        <v>1598</v>
      </c>
      <c r="D281" s="76" t="s">
        <v>1436</v>
      </c>
      <c r="E281" s="76">
        <v>1</v>
      </c>
    </row>
    <row r="282" spans="1:16384" ht="12">
      <c r="A282" s="76" t="s">
        <v>1940</v>
      </c>
      <c r="B282" s="76" t="s">
        <v>1941</v>
      </c>
      <c r="C282" s="76" t="s">
        <v>1595</v>
      </c>
      <c r="D282" s="76" t="s">
        <v>1437</v>
      </c>
      <c r="E282" s="76">
        <v>1</v>
      </c>
    </row>
    <row r="283" spans="1:16384" ht="12">
      <c r="A283" s="76" t="s">
        <v>1945</v>
      </c>
      <c r="B283" s="76" t="s">
        <v>811</v>
      </c>
      <c r="C283" s="76" t="s">
        <v>1596</v>
      </c>
      <c r="D283" s="76" t="s">
        <v>1437</v>
      </c>
      <c r="E283" s="76">
        <v>1</v>
      </c>
    </row>
    <row r="284" spans="1:16384" ht="12">
      <c r="A284" s="76" t="s">
        <v>1949</v>
      </c>
      <c r="B284" s="76" t="s">
        <v>1916</v>
      </c>
      <c r="C284" s="76" t="s">
        <v>1601</v>
      </c>
      <c r="D284" s="76" t="s">
        <v>408</v>
      </c>
      <c r="E284" s="76">
        <v>1</v>
      </c>
    </row>
    <row r="285" spans="1:16384" ht="12">
      <c r="A285" s="76" t="s">
        <v>1953</v>
      </c>
      <c r="B285" s="76" t="s">
        <v>326</v>
      </c>
      <c r="C285" s="76" t="s">
        <v>1602</v>
      </c>
      <c r="D285" s="76" t="s">
        <v>1436</v>
      </c>
      <c r="E285" s="76">
        <v>1</v>
      </c>
    </row>
    <row r="286" spans="1:16384" ht="12">
      <c r="A286" s="76" t="s">
        <v>1139</v>
      </c>
      <c r="B286" s="76" t="s">
        <v>327</v>
      </c>
      <c r="C286" s="76" t="s">
        <v>1598</v>
      </c>
      <c r="D286" s="76" t="s">
        <v>1436</v>
      </c>
      <c r="E286" s="76">
        <v>1</v>
      </c>
    </row>
    <row r="287" spans="1:16384" ht="12">
      <c r="A287" s="76" t="s">
        <v>2097</v>
      </c>
      <c r="B287" s="76" t="s">
        <v>1840</v>
      </c>
      <c r="C287" s="76" t="s">
        <v>1594</v>
      </c>
      <c r="D287" s="76" t="s">
        <v>1437</v>
      </c>
      <c r="E287" s="76">
        <v>1</v>
      </c>
    </row>
    <row r="288" spans="1:16384" ht="12">
      <c r="A288" s="76" t="s">
        <v>2098</v>
      </c>
      <c r="B288" s="76" t="s">
        <v>817</v>
      </c>
      <c r="C288" s="76" t="s">
        <v>1602</v>
      </c>
      <c r="D288" s="76" t="s">
        <v>1436</v>
      </c>
      <c r="E288" s="76">
        <v>1</v>
      </c>
    </row>
    <row r="289" spans="1:5" ht="12">
      <c r="A289" s="76" t="s">
        <v>2099</v>
      </c>
      <c r="B289" s="76" t="s">
        <v>2362</v>
      </c>
      <c r="C289" s="76" t="s">
        <v>1598</v>
      </c>
      <c r="D289" s="76" t="s">
        <v>1436</v>
      </c>
      <c r="E289" s="76">
        <v>1</v>
      </c>
    </row>
    <row r="290" spans="1:5" ht="12">
      <c r="A290" s="76" t="s">
        <v>2100</v>
      </c>
      <c r="B290" s="76" t="s">
        <v>329</v>
      </c>
      <c r="C290" s="76" t="s">
        <v>1596</v>
      </c>
      <c r="D290" s="76" t="s">
        <v>1437</v>
      </c>
      <c r="E290" s="76">
        <v>1</v>
      </c>
    </row>
    <row r="291" spans="1:5" ht="12">
      <c r="A291" s="76" t="s">
        <v>2102</v>
      </c>
      <c r="B291" s="76" t="s">
        <v>1845</v>
      </c>
      <c r="C291" s="76" t="s">
        <v>1594</v>
      </c>
      <c r="D291" s="76" t="s">
        <v>1437</v>
      </c>
      <c r="E291" s="76">
        <v>1</v>
      </c>
    </row>
    <row r="292" spans="1:5" ht="12">
      <c r="A292" s="76" t="s">
        <v>2103</v>
      </c>
      <c r="B292" s="76" t="s">
        <v>2145</v>
      </c>
      <c r="C292" s="76" t="s">
        <v>1601</v>
      </c>
      <c r="D292" s="76" t="s">
        <v>408</v>
      </c>
      <c r="E292" s="76">
        <v>1</v>
      </c>
    </row>
    <row r="293" spans="1:5" ht="12">
      <c r="A293" s="76" t="s">
        <v>2109</v>
      </c>
      <c r="B293" s="76" t="s">
        <v>821</v>
      </c>
      <c r="C293" s="76" t="s">
        <v>1594</v>
      </c>
      <c r="D293" s="76" t="s">
        <v>1437</v>
      </c>
      <c r="E293" s="76">
        <v>1</v>
      </c>
    </row>
    <row r="294" spans="1:5" ht="12">
      <c r="A294" s="76" t="s">
        <v>2110</v>
      </c>
      <c r="B294" s="76" t="s">
        <v>1917</v>
      </c>
      <c r="C294" s="76" t="s">
        <v>1918</v>
      </c>
      <c r="D294" s="76" t="s">
        <v>1439</v>
      </c>
      <c r="E294" s="76">
        <v>1</v>
      </c>
    </row>
    <row r="295" spans="1:5" ht="12">
      <c r="A295" s="76" t="s">
        <v>2111</v>
      </c>
      <c r="B295" s="76" t="s">
        <v>335</v>
      </c>
      <c r="C295" s="76" t="s">
        <v>433</v>
      </c>
      <c r="D295" s="76" t="s">
        <v>408</v>
      </c>
      <c r="E295" s="76">
        <v>1</v>
      </c>
    </row>
    <row r="296" spans="1:5" ht="12">
      <c r="A296" s="76" t="s">
        <v>2112</v>
      </c>
      <c r="B296" s="76" t="s">
        <v>286</v>
      </c>
      <c r="C296" s="76" t="s">
        <v>1602</v>
      </c>
      <c r="D296" s="76" t="s">
        <v>1436</v>
      </c>
      <c r="E296" s="76">
        <v>1</v>
      </c>
    </row>
    <row r="297" spans="1:5" ht="12">
      <c r="A297" s="76" t="s">
        <v>2113</v>
      </c>
      <c r="B297" s="76" t="s">
        <v>2363</v>
      </c>
      <c r="C297" s="76" t="s">
        <v>1598</v>
      </c>
      <c r="D297" s="76" t="s">
        <v>1436</v>
      </c>
      <c r="E297" s="76">
        <v>1</v>
      </c>
    </row>
    <row r="298" spans="1:5" ht="12">
      <c r="A298" s="76" t="s">
        <v>2114</v>
      </c>
      <c r="B298" s="76" t="s">
        <v>1572</v>
      </c>
      <c r="C298" s="76" t="s">
        <v>1596</v>
      </c>
      <c r="D298" s="76" t="s">
        <v>1437</v>
      </c>
      <c r="E298" s="76">
        <v>1</v>
      </c>
    </row>
    <row r="299" spans="1:5" ht="12">
      <c r="A299" s="76" t="s">
        <v>2115</v>
      </c>
      <c r="B299" s="76" t="s">
        <v>366</v>
      </c>
      <c r="C299" s="76" t="s">
        <v>1594</v>
      </c>
      <c r="D299" s="76" t="s">
        <v>1437</v>
      </c>
      <c r="E299" s="76">
        <v>1</v>
      </c>
    </row>
    <row r="300" spans="1:5" ht="12">
      <c r="A300" s="76" t="s">
        <v>2116</v>
      </c>
      <c r="B300" s="76" t="s">
        <v>2364</v>
      </c>
      <c r="C300" s="76" t="s">
        <v>1602</v>
      </c>
      <c r="D300" s="76" t="s">
        <v>1436</v>
      </c>
      <c r="E300" s="76">
        <v>1</v>
      </c>
    </row>
    <row r="301" spans="1:5" ht="12">
      <c r="A301" s="76" t="s">
        <v>2117</v>
      </c>
      <c r="B301" s="76" t="s">
        <v>1957</v>
      </c>
      <c r="C301" s="76" t="s">
        <v>1602</v>
      </c>
      <c r="D301" s="76" t="s">
        <v>1436</v>
      </c>
      <c r="E301" s="76">
        <v>1</v>
      </c>
    </row>
    <row r="302" spans="1:5" ht="12">
      <c r="A302" s="76" t="s">
        <v>2118</v>
      </c>
      <c r="B302" s="76" t="s">
        <v>1532</v>
      </c>
      <c r="C302" s="76" t="s">
        <v>1598</v>
      </c>
      <c r="D302" s="76" t="s">
        <v>1436</v>
      </c>
      <c r="E302" s="76">
        <v>1</v>
      </c>
    </row>
    <row r="303" spans="1:5" ht="12">
      <c r="A303" s="76" t="s">
        <v>2119</v>
      </c>
      <c r="B303" s="76" t="s">
        <v>831</v>
      </c>
      <c r="C303" s="76" t="s">
        <v>1602</v>
      </c>
      <c r="D303" s="76" t="s">
        <v>1436</v>
      </c>
      <c r="E303" s="76">
        <v>1</v>
      </c>
    </row>
    <row r="304" spans="1:5" ht="12">
      <c r="A304" s="76" t="s">
        <v>2258</v>
      </c>
      <c r="B304" s="76" t="s">
        <v>833</v>
      </c>
      <c r="C304" s="76" t="s">
        <v>1596</v>
      </c>
      <c r="D304" s="76" t="s">
        <v>1437</v>
      </c>
      <c r="E304" s="76">
        <v>1</v>
      </c>
    </row>
    <row r="305" spans="1:5" ht="12">
      <c r="A305" s="76" t="s">
        <v>2262</v>
      </c>
      <c r="B305" s="76" t="s">
        <v>837</v>
      </c>
      <c r="C305" s="76" t="s">
        <v>1601</v>
      </c>
      <c r="D305" s="76" t="s">
        <v>408</v>
      </c>
      <c r="E305" s="76">
        <v>1</v>
      </c>
    </row>
    <row r="306" spans="1:5" ht="12">
      <c r="A306" s="76" t="s">
        <v>2266</v>
      </c>
      <c r="B306" s="76" t="s">
        <v>2310</v>
      </c>
      <c r="C306" s="76" t="s">
        <v>1601</v>
      </c>
      <c r="D306" s="76" t="s">
        <v>408</v>
      </c>
      <c r="E306" s="76">
        <v>1</v>
      </c>
    </row>
    <row r="307" spans="1:5" ht="12">
      <c r="A307" s="76" t="s">
        <v>2269</v>
      </c>
      <c r="B307" s="76" t="s">
        <v>840</v>
      </c>
      <c r="C307" s="76" t="s">
        <v>1604</v>
      </c>
      <c r="D307" s="76" t="s">
        <v>1438</v>
      </c>
      <c r="E307" s="76">
        <v>1</v>
      </c>
    </row>
    <row r="308" spans="1:5" ht="12">
      <c r="A308" s="76" t="s">
        <v>2272</v>
      </c>
      <c r="B308" s="76" t="s">
        <v>1860</v>
      </c>
      <c r="C308" s="76" t="s">
        <v>1594</v>
      </c>
      <c r="D308" s="76" t="s">
        <v>1437</v>
      </c>
      <c r="E308" s="76">
        <v>1</v>
      </c>
    </row>
    <row r="309" spans="1:5" ht="12">
      <c r="A309" s="76" t="s">
        <v>2274</v>
      </c>
      <c r="B309" s="76" t="s">
        <v>1864</v>
      </c>
      <c r="C309" s="76" t="s">
        <v>1594</v>
      </c>
      <c r="D309" s="76" t="s">
        <v>1437</v>
      </c>
      <c r="E309" s="76">
        <v>1</v>
      </c>
    </row>
    <row r="310" spans="1:5" ht="12">
      <c r="A310" s="76" t="s">
        <v>2280</v>
      </c>
      <c r="B310" s="76" t="s">
        <v>1935</v>
      </c>
      <c r="C310" s="76" t="s">
        <v>1602</v>
      </c>
      <c r="D310" s="76" t="s">
        <v>1436</v>
      </c>
      <c r="E310" s="76">
        <v>1</v>
      </c>
    </row>
    <row r="311" spans="1:5" ht="12">
      <c r="A311" s="76" t="s">
        <v>2281</v>
      </c>
      <c r="B311" s="76" t="s">
        <v>1868</v>
      </c>
      <c r="C311" s="76" t="s">
        <v>1594</v>
      </c>
      <c r="D311" s="76" t="s">
        <v>1437</v>
      </c>
      <c r="E311" s="76">
        <v>1</v>
      </c>
    </row>
    <row r="312" spans="1:5" ht="12">
      <c r="A312" s="76" t="s">
        <v>2282</v>
      </c>
      <c r="B312" s="76" t="s">
        <v>328</v>
      </c>
      <c r="C312" s="76" t="s">
        <v>1602</v>
      </c>
      <c r="D312" s="76" t="s">
        <v>1436</v>
      </c>
      <c r="E312" s="76">
        <v>1</v>
      </c>
    </row>
    <row r="313" spans="1:5" ht="12">
      <c r="A313" s="76" t="s">
        <v>2291</v>
      </c>
      <c r="B313" s="76" t="s">
        <v>2365</v>
      </c>
      <c r="C313" s="76" t="s">
        <v>1601</v>
      </c>
      <c r="D313" s="76" t="s">
        <v>408</v>
      </c>
      <c r="E313" s="76">
        <v>1</v>
      </c>
    </row>
    <row r="314" spans="1:5" ht="12">
      <c r="A314" s="76" t="s">
        <v>2366</v>
      </c>
      <c r="B314" s="76" t="s">
        <v>845</v>
      </c>
      <c r="C314" s="76" t="s">
        <v>1603</v>
      </c>
      <c r="D314" s="76" t="s">
        <v>408</v>
      </c>
      <c r="E314" s="76">
        <v>1</v>
      </c>
    </row>
    <row r="315" spans="1:5" ht="12">
      <c r="A315" s="76" t="s">
        <v>2367</v>
      </c>
      <c r="B315" s="76" t="s">
        <v>1540</v>
      </c>
      <c r="C315" s="76" t="s">
        <v>2123</v>
      </c>
      <c r="D315" s="76" t="s">
        <v>1436</v>
      </c>
    </row>
    <row r="316" spans="1:5" ht="12">
      <c r="A316" s="76" t="s">
        <v>2369</v>
      </c>
      <c r="B316" s="76" t="s">
        <v>2368</v>
      </c>
      <c r="C316" s="76" t="s">
        <v>1595</v>
      </c>
      <c r="D316" s="76" t="s">
        <v>1437</v>
      </c>
    </row>
    <row r="317" spans="1:5" ht="12">
      <c r="A317" s="76" t="s">
        <v>2370</v>
      </c>
      <c r="B317" s="76" t="s">
        <v>300</v>
      </c>
      <c r="C317" s="76" t="s">
        <v>436</v>
      </c>
      <c r="D317" s="76" t="s">
        <v>1439</v>
      </c>
    </row>
    <row r="318" spans="1:5" ht="12">
      <c r="A318" s="76" t="s">
        <v>2371</v>
      </c>
      <c r="B318" s="76" t="s">
        <v>336</v>
      </c>
      <c r="C318" s="76" t="s">
        <v>1600</v>
      </c>
      <c r="D318" s="76" t="s">
        <v>408</v>
      </c>
    </row>
    <row r="319" spans="1:5" ht="12">
      <c r="A319" s="76" t="s">
        <v>2372</v>
      </c>
      <c r="B319" s="76" t="s">
        <v>852</v>
      </c>
      <c r="C319" s="76" t="s">
        <v>1599</v>
      </c>
      <c r="D319" s="76" t="s">
        <v>408</v>
      </c>
    </row>
    <row r="320" spans="1:5" ht="12">
      <c r="A320" s="76" t="s">
        <v>2374</v>
      </c>
      <c r="B320" s="76" t="s">
        <v>2373</v>
      </c>
      <c r="C320" s="76" t="s">
        <v>1601</v>
      </c>
      <c r="D320" s="76" t="s">
        <v>408</v>
      </c>
    </row>
    <row r="321" spans="1:4" ht="12">
      <c r="A321" s="76" t="s">
        <v>2375</v>
      </c>
      <c r="B321" s="76" t="s">
        <v>1575</v>
      </c>
      <c r="C321" s="76" t="s">
        <v>1594</v>
      </c>
      <c r="D321" s="76" t="s">
        <v>1437</v>
      </c>
    </row>
    <row r="322" spans="1:4" ht="12">
      <c r="A322" s="76" t="s">
        <v>888</v>
      </c>
      <c r="B322" s="76" t="s">
        <v>2376</v>
      </c>
      <c r="C322" s="76" t="s">
        <v>1597</v>
      </c>
      <c r="D322" s="76" t="s">
        <v>1437</v>
      </c>
    </row>
    <row r="323" spans="1:4" ht="12">
      <c r="A323" s="76" t="s">
        <v>2377</v>
      </c>
      <c r="B323" s="76" t="s">
        <v>855</v>
      </c>
      <c r="C323" s="76" t="s">
        <v>1594</v>
      </c>
      <c r="D323" s="76" t="s">
        <v>1437</v>
      </c>
    </row>
    <row r="324" spans="1:4" ht="12">
      <c r="A324" s="76" t="s">
        <v>2378</v>
      </c>
      <c r="B324" s="76" t="s">
        <v>1950</v>
      </c>
      <c r="C324" s="76" t="s">
        <v>1595</v>
      </c>
      <c r="D324" s="76" t="s">
        <v>1437</v>
      </c>
    </row>
    <row r="325" spans="1:4" ht="12">
      <c r="A325" s="76" t="s">
        <v>2379</v>
      </c>
      <c r="B325" s="76" t="s">
        <v>857</v>
      </c>
      <c r="C325" s="76" t="s">
        <v>1601</v>
      </c>
      <c r="D325" s="76" t="s">
        <v>408</v>
      </c>
    </row>
    <row r="326" spans="1:4" ht="12">
      <c r="A326" s="76" t="s">
        <v>2380</v>
      </c>
      <c r="B326" s="76" t="s">
        <v>295</v>
      </c>
      <c r="C326" s="76" t="s">
        <v>1599</v>
      </c>
      <c r="D326" s="76" t="s">
        <v>408</v>
      </c>
    </row>
    <row r="327" spans="1:4" ht="12">
      <c r="A327" s="76" t="s">
        <v>2381</v>
      </c>
      <c r="B327" s="76" t="s">
        <v>315</v>
      </c>
      <c r="C327" s="76" t="s">
        <v>1593</v>
      </c>
      <c r="D327" s="76" t="s">
        <v>1437</v>
      </c>
    </row>
    <row r="328" spans="1:4" ht="12">
      <c r="A328" s="76" t="s">
        <v>2383</v>
      </c>
      <c r="B328" s="76" t="s">
        <v>2382</v>
      </c>
      <c r="C328" s="76" t="s">
        <v>1601</v>
      </c>
      <c r="D328" s="76" t="s">
        <v>408</v>
      </c>
    </row>
    <row r="329" spans="1:4" ht="12">
      <c r="A329" s="76" t="s">
        <v>2384</v>
      </c>
      <c r="B329" s="76" t="s">
        <v>863</v>
      </c>
      <c r="C329" s="76" t="s">
        <v>1601</v>
      </c>
      <c r="D329" s="76" t="s">
        <v>408</v>
      </c>
    </row>
    <row r="330" spans="1:4" ht="12">
      <c r="A330" s="76" t="s">
        <v>2385</v>
      </c>
      <c r="B330" s="76" t="s">
        <v>2104</v>
      </c>
      <c r="C330" s="76" t="s">
        <v>433</v>
      </c>
      <c r="D330" s="76" t="s">
        <v>408</v>
      </c>
    </row>
    <row r="331" spans="1:4" ht="12">
      <c r="A331" s="76" t="s">
        <v>2386</v>
      </c>
      <c r="B331" s="76" t="s">
        <v>299</v>
      </c>
      <c r="C331" s="76" t="s">
        <v>1594</v>
      </c>
      <c r="D331" s="76" t="s">
        <v>1437</v>
      </c>
    </row>
    <row r="332" spans="1:4" ht="12">
      <c r="A332" s="76" t="s">
        <v>2388</v>
      </c>
      <c r="B332" s="76" t="s">
        <v>2387</v>
      </c>
      <c r="C332" s="76" t="s">
        <v>1601</v>
      </c>
      <c r="D332" s="76" t="s">
        <v>408</v>
      </c>
    </row>
    <row r="333" spans="1:4" ht="12">
      <c r="A333" s="76" t="s">
        <v>2389</v>
      </c>
      <c r="B333" s="76" t="s">
        <v>385</v>
      </c>
      <c r="C333" s="76" t="s">
        <v>1594</v>
      </c>
      <c r="D333" s="76" t="s">
        <v>1437</v>
      </c>
    </row>
    <row r="334" spans="1:4" ht="12">
      <c r="A334" s="76" t="s">
        <v>2390</v>
      </c>
      <c r="B334" s="76" t="s">
        <v>871</v>
      </c>
      <c r="C334" s="76" t="s">
        <v>1599</v>
      </c>
      <c r="D334" s="76" t="s">
        <v>408</v>
      </c>
    </row>
    <row r="335" spans="1:4" ht="12">
      <c r="A335" s="76" t="s">
        <v>982</v>
      </c>
      <c r="B335" s="76" t="s">
        <v>2391</v>
      </c>
      <c r="C335" s="76" t="s">
        <v>1598</v>
      </c>
      <c r="D335" s="76" t="s">
        <v>1436</v>
      </c>
    </row>
    <row r="336" spans="1:4" ht="12">
      <c r="A336" s="76" t="s">
        <v>2392</v>
      </c>
      <c r="B336" s="76" t="s">
        <v>272</v>
      </c>
      <c r="C336" s="76" t="s">
        <v>1598</v>
      </c>
      <c r="D336" s="76" t="s">
        <v>1436</v>
      </c>
    </row>
    <row r="337" spans="1:4" ht="12">
      <c r="A337" s="76" t="s">
        <v>2394</v>
      </c>
      <c r="B337" s="76" t="s">
        <v>2393</v>
      </c>
      <c r="C337" s="76" t="s">
        <v>1601</v>
      </c>
      <c r="D337" s="76" t="s">
        <v>408</v>
      </c>
    </row>
    <row r="338" spans="1:4" ht="12">
      <c r="A338" s="76" t="s">
        <v>2395</v>
      </c>
      <c r="B338" s="76" t="s">
        <v>278</v>
      </c>
      <c r="C338" s="76" t="s">
        <v>1598</v>
      </c>
      <c r="D338" s="76" t="s">
        <v>1436</v>
      </c>
    </row>
    <row r="339" spans="1:4" ht="12">
      <c r="A339" s="76" t="s">
        <v>2396</v>
      </c>
      <c r="B339" s="76" t="s">
        <v>386</v>
      </c>
      <c r="C339" s="76" t="s">
        <v>1593</v>
      </c>
      <c r="D339" s="76" t="s">
        <v>1437</v>
      </c>
    </row>
    <row r="340" spans="1:4" ht="12">
      <c r="A340" s="76" t="s">
        <v>2397</v>
      </c>
      <c r="B340" s="76" t="s">
        <v>285</v>
      </c>
      <c r="C340" s="76" t="s">
        <v>1593</v>
      </c>
      <c r="D340" s="76" t="s">
        <v>1437</v>
      </c>
    </row>
    <row r="341" spans="1:4" ht="12">
      <c r="A341" s="76" t="s">
        <v>1286</v>
      </c>
      <c r="B341" s="76" t="s">
        <v>881</v>
      </c>
      <c r="C341" s="76" t="s">
        <v>1599</v>
      </c>
      <c r="D341" s="76" t="s">
        <v>408</v>
      </c>
    </row>
    <row r="342" spans="1:4" ht="12">
      <c r="A342" s="76" t="s">
        <v>2399</v>
      </c>
      <c r="B342" s="76" t="s">
        <v>2398</v>
      </c>
      <c r="C342" s="76" t="s">
        <v>1595</v>
      </c>
      <c r="D342" s="76" t="s">
        <v>1437</v>
      </c>
    </row>
    <row r="343" spans="1:4" ht="12">
      <c r="A343" s="76" t="s">
        <v>2400</v>
      </c>
      <c r="B343" s="76" t="s">
        <v>305</v>
      </c>
      <c r="C343" s="76" t="s">
        <v>1599</v>
      </c>
      <c r="D343" s="76" t="s">
        <v>408</v>
      </c>
    </row>
    <row r="344" spans="1:4" ht="12">
      <c r="A344" s="76" t="s">
        <v>2401</v>
      </c>
      <c r="B344" s="76" t="s">
        <v>885</v>
      </c>
      <c r="C344" s="76" t="s">
        <v>1595</v>
      </c>
      <c r="D344" s="76" t="s">
        <v>1437</v>
      </c>
    </row>
    <row r="345" spans="1:4" ht="12">
      <c r="A345" s="76" t="s">
        <v>2403</v>
      </c>
      <c r="B345" s="76" t="s">
        <v>2402</v>
      </c>
      <c r="C345" s="76" t="s">
        <v>1601</v>
      </c>
      <c r="D345" s="76" t="s">
        <v>408</v>
      </c>
    </row>
    <row r="346" spans="1:4" ht="12">
      <c r="A346" s="76" t="s">
        <v>2639</v>
      </c>
      <c r="B346" s="76" t="s">
        <v>2304</v>
      </c>
      <c r="C346" s="76" t="s">
        <v>1598</v>
      </c>
      <c r="D346" s="76" t="s">
        <v>1436</v>
      </c>
    </row>
    <row r="347" spans="1:4" ht="12" customHeight="1">
      <c r="B347" s="76" t="s">
        <v>2737</v>
      </c>
      <c r="C347" s="76" t="s">
        <v>1595</v>
      </c>
      <c r="D347" s="76" t="s">
        <v>1437</v>
      </c>
    </row>
    <row r="348" spans="1:4" ht="12" customHeight="1">
      <c r="B348" s="76" t="s">
        <v>2648</v>
      </c>
      <c r="C348" s="76" t="s">
        <v>1604</v>
      </c>
      <c r="D348" s="76" t="s">
        <v>1438</v>
      </c>
    </row>
    <row r="349" spans="1:4" ht="12" customHeight="1">
      <c r="B349" s="76" t="s">
        <v>2650</v>
      </c>
      <c r="C349" s="76" t="s">
        <v>1595</v>
      </c>
      <c r="D349" s="76" t="s">
        <v>1437</v>
      </c>
    </row>
  </sheetData>
  <autoFilter ref="A1:D349">
    <filterColumn colId="3"/>
    <sortState ref="A2:D316">
      <sortCondition ref="B1:B31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Feuil9"/>
  <dimension ref="A1:Q230"/>
  <sheetViews>
    <sheetView topLeftCell="H23" workbookViewId="0">
      <selection activeCell="K24" activeCellId="1" sqref="I24 K24"/>
    </sheetView>
  </sheetViews>
  <sheetFormatPr baseColWidth="10" defaultRowHeight="15"/>
  <cols>
    <col min="3" max="3" width="16.28515625" bestFit="1" customWidth="1"/>
    <col min="4" max="4" width="15.42578125" bestFit="1" customWidth="1"/>
    <col min="5" max="5" width="11.85546875" bestFit="1" customWidth="1"/>
    <col min="6" max="6" width="14.7109375" bestFit="1" customWidth="1"/>
    <col min="7" max="7" width="16.5703125" bestFit="1" customWidth="1"/>
    <col min="8" max="8" width="16" bestFit="1" customWidth="1"/>
    <col min="9" max="9" width="14.7109375" bestFit="1" customWidth="1"/>
    <col min="10" max="10" width="11.7109375" bestFit="1" customWidth="1"/>
    <col min="11" max="11" width="12.140625" bestFit="1" customWidth="1"/>
    <col min="12" max="12" width="16" customWidth="1"/>
    <col min="13" max="14" width="16.5703125" bestFit="1" customWidth="1"/>
    <col min="15" max="15" width="12.85546875" bestFit="1" customWidth="1"/>
    <col min="16" max="16" width="12.5703125" style="115" bestFit="1" customWidth="1"/>
    <col min="18" max="18" width="11.5703125" bestFit="1" customWidth="1"/>
  </cols>
  <sheetData>
    <row r="1" spans="1:16" ht="12.75" customHeight="1">
      <c r="B1" s="863" t="s">
        <v>1903</v>
      </c>
      <c r="C1" s="863"/>
      <c r="D1" s="863"/>
      <c r="E1" s="863"/>
      <c r="F1" s="83"/>
      <c r="G1" s="83"/>
      <c r="H1" s="83"/>
      <c r="I1" s="83"/>
      <c r="J1" s="863" t="s">
        <v>1904</v>
      </c>
      <c r="K1" s="863"/>
      <c r="L1" s="863"/>
      <c r="M1" s="863"/>
    </row>
    <row r="2" spans="1:16" ht="9.75" customHeight="1">
      <c r="B2" s="863" t="s">
        <v>1905</v>
      </c>
      <c r="C2" s="863"/>
      <c r="D2" s="863"/>
      <c r="E2" s="863"/>
      <c r="F2" s="83"/>
      <c r="G2" s="83"/>
      <c r="H2" s="83"/>
      <c r="I2" s="83"/>
      <c r="J2" s="863" t="s">
        <v>1906</v>
      </c>
      <c r="K2" s="863"/>
      <c r="L2" s="863"/>
      <c r="M2" s="863"/>
    </row>
    <row r="3" spans="1:16" ht="6.75" customHeight="1">
      <c r="B3" s="863" t="s">
        <v>1907</v>
      </c>
      <c r="C3" s="863"/>
      <c r="D3" s="863"/>
      <c r="E3" s="863"/>
      <c r="F3" s="83"/>
      <c r="G3" s="83"/>
      <c r="H3" s="83"/>
      <c r="I3" s="83"/>
      <c r="J3" s="863" t="s">
        <v>1907</v>
      </c>
      <c r="K3" s="863"/>
      <c r="L3" s="863"/>
      <c r="M3" s="863"/>
    </row>
    <row r="4" spans="1:16" ht="12" customHeight="1">
      <c r="B4" s="863" t="s">
        <v>260</v>
      </c>
      <c r="C4" s="863"/>
      <c r="D4" s="863"/>
      <c r="E4" s="863"/>
      <c r="F4" s="125"/>
      <c r="G4" s="83"/>
      <c r="H4" s="83"/>
      <c r="I4" s="83"/>
      <c r="J4" s="863" t="s">
        <v>1</v>
      </c>
      <c r="K4" s="863"/>
      <c r="L4" s="863"/>
      <c r="M4" s="863"/>
    </row>
    <row r="5" spans="1:16" ht="6" customHeight="1">
      <c r="B5" s="863" t="s">
        <v>1907</v>
      </c>
      <c r="C5" s="863"/>
      <c r="D5" s="863"/>
      <c r="E5" s="863"/>
      <c r="F5" s="125"/>
      <c r="G5" s="83"/>
      <c r="H5" s="83"/>
      <c r="I5" s="83"/>
      <c r="J5" s="863" t="s">
        <v>1907</v>
      </c>
      <c r="K5" s="863"/>
      <c r="L5" s="863"/>
      <c r="M5" s="863"/>
    </row>
    <row r="6" spans="1:16" ht="12" customHeight="1">
      <c r="B6" s="863" t="s">
        <v>1908</v>
      </c>
      <c r="C6" s="863"/>
      <c r="D6" s="863"/>
      <c r="E6" s="863"/>
      <c r="F6" s="125"/>
      <c r="G6" s="83"/>
      <c r="H6" s="83"/>
      <c r="I6" s="83"/>
      <c r="J6" s="863" t="s">
        <v>263</v>
      </c>
      <c r="K6" s="863"/>
      <c r="L6" s="863"/>
      <c r="M6" s="863"/>
    </row>
    <row r="7" spans="1:16" ht="6.75" customHeight="1">
      <c r="B7" s="863" t="s">
        <v>1907</v>
      </c>
      <c r="C7" s="863"/>
      <c r="D7" s="863"/>
      <c r="E7" s="863"/>
      <c r="F7" s="125"/>
      <c r="G7" s="83"/>
      <c r="H7" s="83"/>
      <c r="I7" s="83"/>
      <c r="J7" s="863" t="s">
        <v>1907</v>
      </c>
      <c r="K7" s="863"/>
      <c r="L7" s="863"/>
      <c r="M7" s="863"/>
    </row>
    <row r="8" spans="1:16" ht="10.5" customHeight="1">
      <c r="B8" s="863" t="s">
        <v>262</v>
      </c>
      <c r="C8" s="863"/>
      <c r="D8" s="863"/>
      <c r="E8" s="863"/>
      <c r="F8" s="125"/>
      <c r="G8" s="83"/>
      <c r="H8" s="419"/>
      <c r="I8" s="83"/>
      <c r="J8" s="863" t="s">
        <v>1909</v>
      </c>
      <c r="K8" s="863"/>
      <c r="L8" s="863"/>
      <c r="M8" s="863"/>
    </row>
    <row r="9" spans="1:16" ht="7.5" customHeight="1">
      <c r="B9" s="863" t="s">
        <v>1907</v>
      </c>
      <c r="C9" s="863"/>
      <c r="D9" s="863"/>
      <c r="E9" s="863"/>
      <c r="F9" s="125"/>
      <c r="G9" s="83"/>
      <c r="H9" s="83"/>
      <c r="I9" s="83"/>
      <c r="J9" s="863" t="s">
        <v>1907</v>
      </c>
      <c r="K9" s="863"/>
      <c r="L9" s="863"/>
      <c r="M9" s="863"/>
    </row>
    <row r="10" spans="1:16" ht="12.75" customHeight="1">
      <c r="A10" s="874" t="s">
        <v>891</v>
      </c>
      <c r="B10" s="874"/>
      <c r="C10" s="78"/>
      <c r="D10" s="83"/>
      <c r="E10" s="83"/>
      <c r="F10" s="125"/>
      <c r="G10" s="83"/>
      <c r="H10" s="418"/>
      <c r="I10" s="83"/>
      <c r="J10" s="83"/>
      <c r="K10" s="83"/>
      <c r="L10" s="83"/>
      <c r="M10" s="78"/>
    </row>
    <row r="11" spans="1:16" ht="12" customHeight="1">
      <c r="A11" s="79"/>
      <c r="B11" s="79"/>
      <c r="C11" s="79"/>
      <c r="D11" s="79"/>
      <c r="E11" s="79"/>
      <c r="F11" s="125"/>
      <c r="G11" s="79"/>
      <c r="H11" s="79"/>
      <c r="I11" s="79"/>
      <c r="J11" s="79"/>
      <c r="K11" s="85" t="s">
        <v>2246</v>
      </c>
      <c r="L11" s="865">
        <f ca="1">+TODAY()</f>
        <v>44720</v>
      </c>
      <c r="M11" s="865"/>
    </row>
    <row r="12" spans="1:16" ht="6.75" customHeight="1">
      <c r="L12" s="866" t="s">
        <v>1915</v>
      </c>
      <c r="M12" s="762"/>
    </row>
    <row r="13" spans="1:16" ht="17.25">
      <c r="A13" s="854" t="s">
        <v>1977</v>
      </c>
      <c r="B13" s="854"/>
      <c r="C13" s="854"/>
      <c r="D13" s="854"/>
      <c r="E13" s="854"/>
      <c r="F13" s="854"/>
      <c r="G13" s="854"/>
      <c r="H13" s="854"/>
      <c r="I13" s="854"/>
      <c r="J13" s="854"/>
      <c r="K13" s="852">
        <f ca="1">TODAY()</f>
        <v>44720</v>
      </c>
      <c r="L13" s="853"/>
      <c r="M13" s="89"/>
      <c r="N13" s="84"/>
      <c r="P13" s="29"/>
    </row>
    <row r="14" spans="1:16" ht="18.75">
      <c r="A14" s="103"/>
      <c r="B14" s="103"/>
      <c r="C14" s="762" t="s">
        <v>2909</v>
      </c>
      <c r="D14" s="762"/>
      <c r="E14" s="872">
        <f>G24+K30</f>
        <v>515723644</v>
      </c>
      <c r="F14" s="873"/>
      <c r="G14" s="102" t="s">
        <v>1993</v>
      </c>
      <c r="H14" s="656"/>
      <c r="I14" s="544"/>
      <c r="J14" s="103"/>
      <c r="K14" s="104"/>
      <c r="L14" s="105"/>
      <c r="M14" s="89"/>
      <c r="N14" s="84"/>
      <c r="P14" s="29"/>
    </row>
    <row r="15" spans="1:16" ht="15.75">
      <c r="D15" s="864" t="s">
        <v>1978</v>
      </c>
      <c r="E15" s="864"/>
      <c r="F15" s="864"/>
      <c r="G15" s="864"/>
      <c r="H15" s="864"/>
      <c r="I15" s="864"/>
      <c r="J15" s="864"/>
      <c r="K15" s="864"/>
      <c r="L15" s="864"/>
      <c r="P15" s="29"/>
    </row>
    <row r="16" spans="1:16" ht="9" customHeight="1" thickBot="1">
      <c r="P16" s="29"/>
    </row>
    <row r="17" spans="1:17" ht="15.75" customHeight="1" thickTop="1" thickBot="1">
      <c r="A17" s="835" t="s">
        <v>1960</v>
      </c>
      <c r="B17" s="836"/>
      <c r="C17" s="867" t="s">
        <v>2893</v>
      </c>
      <c r="D17" s="868"/>
      <c r="E17" s="868"/>
      <c r="F17" s="868"/>
      <c r="G17" s="869"/>
      <c r="H17" s="849" t="s">
        <v>2911</v>
      </c>
      <c r="I17" s="850"/>
      <c r="J17" s="850"/>
      <c r="K17" s="850"/>
      <c r="L17" s="851"/>
      <c r="M17" s="870" t="s">
        <v>1965</v>
      </c>
      <c r="N17" s="875" t="s">
        <v>2912</v>
      </c>
      <c r="P17" s="29"/>
    </row>
    <row r="18" spans="1:17" ht="38.25" customHeight="1">
      <c r="A18" s="831"/>
      <c r="B18" s="832"/>
      <c r="C18" s="87" t="s">
        <v>1591</v>
      </c>
      <c r="D18" s="601" t="s">
        <v>2725</v>
      </c>
      <c r="E18" s="601" t="s">
        <v>1962</v>
      </c>
      <c r="F18" s="640" t="s">
        <v>2910</v>
      </c>
      <c r="G18" s="311" t="s">
        <v>1963</v>
      </c>
      <c r="H18" s="314" t="s">
        <v>1591</v>
      </c>
      <c r="I18" s="315" t="s">
        <v>1961</v>
      </c>
      <c r="J18" s="315" t="s">
        <v>1962</v>
      </c>
      <c r="K18" s="640" t="s">
        <v>2910</v>
      </c>
      <c r="L18" s="474" t="s">
        <v>1964</v>
      </c>
      <c r="M18" s="871"/>
      <c r="N18" s="876"/>
      <c r="O18" t="s">
        <v>405</v>
      </c>
    </row>
    <row r="19" spans="1:17">
      <c r="A19" s="831" t="s">
        <v>1440</v>
      </c>
      <c r="B19" s="832"/>
      <c r="C19" s="367">
        <f>15958333+2191667</f>
        <v>18150000</v>
      </c>
      <c r="D19" s="367"/>
      <c r="E19" s="367">
        <v>2600000</v>
      </c>
      <c r="F19" s="367">
        <v>0</v>
      </c>
      <c r="G19" s="367">
        <f>+C19+D19+E19+F19</f>
        <v>20750000</v>
      </c>
      <c r="H19" s="367">
        <f>AVRIL!N52-AVRIL!S52-K19-I19</f>
        <v>6614334.0909090908</v>
      </c>
      <c r="I19" s="367">
        <f>AVRIL!P52</f>
        <v>0</v>
      </c>
      <c r="J19" s="367">
        <f>AVRIL!S52</f>
        <v>185019.09090909088</v>
      </c>
      <c r="K19" s="367">
        <v>158519</v>
      </c>
      <c r="L19" s="475">
        <f>+SUM(H19:K19)</f>
        <v>6957872.1818181816</v>
      </c>
      <c r="M19" s="367">
        <f>+K19-G19</f>
        <v>-20591481</v>
      </c>
      <c r="N19" s="367">
        <v>6360049.9090909064</v>
      </c>
    </row>
    <row r="20" spans="1:17">
      <c r="A20" s="831" t="s">
        <v>1432</v>
      </c>
      <c r="B20" s="832"/>
      <c r="C20" s="367">
        <f>31700000+12000000</f>
        <v>43700000</v>
      </c>
      <c r="D20" s="367">
        <f>1000000+3000000</f>
        <v>4000000</v>
      </c>
      <c r="E20" s="367">
        <v>13271172</v>
      </c>
      <c r="F20" s="367">
        <v>259805</v>
      </c>
      <c r="G20" s="367">
        <f>+C20+D20+E20+F20</f>
        <v>61230977</v>
      </c>
      <c r="H20" s="367">
        <f>AVRIL!N53-AVRIL!S53-K20-I20</f>
        <v>25627867.636363637</v>
      </c>
      <c r="I20" s="367">
        <v>907910</v>
      </c>
      <c r="J20" s="367">
        <f>AVRIL!S53</f>
        <v>3945073.6363636362</v>
      </c>
      <c r="K20" s="367">
        <v>160389</v>
      </c>
      <c r="L20" s="475">
        <f>+SUM(H20:K20)</f>
        <v>30641240.272727273</v>
      </c>
      <c r="M20" s="367">
        <f>+K20-G20</f>
        <v>-61070588</v>
      </c>
      <c r="N20" s="367">
        <v>30135074.545454547</v>
      </c>
      <c r="P20" s="116"/>
      <c r="Q20" s="29"/>
    </row>
    <row r="21" spans="1:17">
      <c r="A21" s="831" t="s">
        <v>1434</v>
      </c>
      <c r="B21" s="832"/>
      <c r="C21" s="367">
        <f>37350000+8200000</f>
        <v>45550000</v>
      </c>
      <c r="D21" s="367"/>
      <c r="E21" s="367">
        <v>1000000</v>
      </c>
      <c r="F21" s="367">
        <v>27000000</v>
      </c>
      <c r="G21" s="367">
        <f>+C21+D21+E21+F21</f>
        <v>73550000</v>
      </c>
      <c r="H21" s="367">
        <f>AVRIL!N54-AVRIL!S54-K21-I21</f>
        <v>21536522.090909094</v>
      </c>
      <c r="I21" s="367"/>
      <c r="J21" s="367">
        <f>AVRIL!S54</f>
        <v>0</v>
      </c>
      <c r="K21" s="367">
        <f>2011709+26506070+1604995</f>
        <v>30122774</v>
      </c>
      <c r="L21" s="475">
        <f>+SUM(H21:K21)</f>
        <v>51659296.090909094</v>
      </c>
      <c r="M21" s="367">
        <f>+K21-G21</f>
        <v>-43427226</v>
      </c>
      <c r="N21" s="367">
        <v>44562217.545454539</v>
      </c>
    </row>
    <row r="22" spans="1:17">
      <c r="A22" s="831" t="s">
        <v>1435</v>
      </c>
      <c r="B22" s="832"/>
      <c r="C22" s="367">
        <f>71200000+10000000</f>
        <v>81200000</v>
      </c>
      <c r="D22" s="367">
        <f>1822916+30400000+50000000+727272+500000</f>
        <v>83450188</v>
      </c>
      <c r="E22" s="367">
        <v>16580000</v>
      </c>
      <c r="F22" s="367">
        <v>0</v>
      </c>
      <c r="G22" s="367">
        <f>+C22+D22+E22+F22</f>
        <v>181230188</v>
      </c>
      <c r="H22" s="367">
        <f>AVRIL!N55-AVRIL!S55-K22-I22</f>
        <v>27630318.704545438</v>
      </c>
      <c r="I22" s="367">
        <f>'SUIVI JOURNALIER AVRIL'!AO344+'SUIVI JOURNALIER AVRIL'!AH344+1200000+38667560</f>
        <v>58017560</v>
      </c>
      <c r="J22" s="367">
        <f>AVRIL!S55</f>
        <v>9618665.5454545449</v>
      </c>
      <c r="K22" s="367">
        <v>1270504</v>
      </c>
      <c r="L22" s="475">
        <f>+SUM(H22:K22)</f>
        <v>96537048.249999985</v>
      </c>
      <c r="M22" s="367">
        <f>+K22-G22</f>
        <v>-179959684</v>
      </c>
      <c r="N22" s="367">
        <v>121908261.95454545</v>
      </c>
      <c r="P22" s="116"/>
      <c r="Q22" s="29"/>
    </row>
    <row r="23" spans="1:17">
      <c r="A23" s="831" t="s">
        <v>1433</v>
      </c>
      <c r="B23" s="832"/>
      <c r="C23" s="367">
        <f>20700000+5000000</f>
        <v>25700000</v>
      </c>
      <c r="D23" s="367">
        <f>1500000+1500000+2000000+1000000</f>
        <v>6000000</v>
      </c>
      <c r="E23" s="367">
        <v>5000000</v>
      </c>
      <c r="F23" s="367">
        <v>1762479</v>
      </c>
      <c r="G23" s="367">
        <f>+C23+D23+E23+F23</f>
        <v>38462479</v>
      </c>
      <c r="H23" s="367">
        <f>AVRIL!N56-AVRIL!S56-K23-I23</f>
        <v>11889559.545454545</v>
      </c>
      <c r="I23" s="367"/>
      <c r="J23" s="367">
        <f>AVRIL!S56</f>
        <v>990390</v>
      </c>
      <c r="K23" s="367">
        <v>1131300</v>
      </c>
      <c r="L23" s="475">
        <f>+SUM(H23:K23)</f>
        <v>14011249.545454545</v>
      </c>
      <c r="M23" s="367">
        <f>+K23-G23</f>
        <v>-37331179</v>
      </c>
      <c r="N23" s="367">
        <v>22292348.090909094</v>
      </c>
    </row>
    <row r="24" spans="1:17" ht="15.75" thickBot="1">
      <c r="A24" s="833" t="s">
        <v>1992</v>
      </c>
      <c r="B24" s="834"/>
      <c r="C24" s="473">
        <f>SUM(C19:C23)</f>
        <v>214300000</v>
      </c>
      <c r="D24" s="473">
        <f>SUM(D19:D23)</f>
        <v>93450188</v>
      </c>
      <c r="E24" s="473">
        <f t="shared" ref="E24:L24" si="0">SUM(E19:E23)</f>
        <v>38451172</v>
      </c>
      <c r="F24" s="473">
        <f>SUM(F19:F23)</f>
        <v>29022284</v>
      </c>
      <c r="G24" s="473">
        <f>SUM(G19:G23)</f>
        <v>375223644</v>
      </c>
      <c r="H24" s="473">
        <f t="shared" si="0"/>
        <v>93298602.068181798</v>
      </c>
      <c r="I24" s="473">
        <f t="shared" si="0"/>
        <v>58925470</v>
      </c>
      <c r="J24" s="473">
        <f t="shared" si="0"/>
        <v>14739148.272727272</v>
      </c>
      <c r="K24" s="473">
        <f>SUM(K19:K23)</f>
        <v>32843486</v>
      </c>
      <c r="L24" s="473">
        <f t="shared" si="0"/>
        <v>199806706.34090906</v>
      </c>
      <c r="M24" s="473">
        <f>SUM(M19:M23)</f>
        <v>-342380158</v>
      </c>
      <c r="N24" s="473">
        <f>SUM(N19:N23)</f>
        <v>225257952.04545453</v>
      </c>
      <c r="O24" s="29">
        <f>K24+E31+I31</f>
        <v>86261692.481818184</v>
      </c>
      <c r="P24" s="116"/>
      <c r="Q24" s="29"/>
    </row>
    <row r="25" spans="1:17" ht="9.75" customHeight="1" thickTop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</row>
    <row r="26" spans="1:17" ht="15.75">
      <c r="A26" s="86"/>
      <c r="B26" s="97"/>
      <c r="C26" s="97">
        <f>+D24-B26</f>
        <v>93450188</v>
      </c>
      <c r="D26" s="841" t="s">
        <v>1979</v>
      </c>
      <c r="E26" s="842"/>
      <c r="F26" s="842"/>
      <c r="G26" s="842"/>
      <c r="H26" s="842"/>
      <c r="I26" s="842"/>
      <c r="J26" s="842"/>
      <c r="K26" s="842"/>
      <c r="L26" s="842"/>
      <c r="M26" s="86"/>
      <c r="N26" s="86"/>
    </row>
    <row r="27" spans="1:17" ht="7.5" customHeight="1" thickBo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</row>
    <row r="28" spans="1:17" ht="15.75" thickTop="1">
      <c r="A28" s="835" t="s">
        <v>1960</v>
      </c>
      <c r="B28" s="836"/>
      <c r="C28" s="837" t="s">
        <v>1969</v>
      </c>
      <c r="D28" s="838"/>
      <c r="E28" s="838"/>
      <c r="F28" s="836"/>
      <c r="G28" s="837" t="s">
        <v>1970</v>
      </c>
      <c r="H28" s="838"/>
      <c r="I28" s="838"/>
      <c r="J28" s="836"/>
      <c r="K28" s="843" t="s">
        <v>2184</v>
      </c>
      <c r="L28" s="844"/>
      <c r="M28" s="86"/>
      <c r="N28" s="86"/>
    </row>
    <row r="29" spans="1:17" ht="25.5">
      <c r="A29" s="831"/>
      <c r="B29" s="832"/>
      <c r="C29" s="87" t="s">
        <v>1974</v>
      </c>
      <c r="D29" s="88" t="s">
        <v>1975</v>
      </c>
      <c r="E29" s="839" t="s">
        <v>1971</v>
      </c>
      <c r="F29" s="840"/>
      <c r="G29" s="87" t="s">
        <v>1972</v>
      </c>
      <c r="H29" s="88" t="s">
        <v>1976</v>
      </c>
      <c r="I29" s="839" t="s">
        <v>1973</v>
      </c>
      <c r="J29" s="840"/>
      <c r="K29" s="845"/>
      <c r="L29" s="846"/>
      <c r="M29" s="86"/>
      <c r="N29" s="86"/>
    </row>
    <row r="30" spans="1:17" ht="12.75" customHeight="1">
      <c r="A30" s="831" t="s">
        <v>1967</v>
      </c>
      <c r="B30" s="832"/>
      <c r="C30" s="98">
        <f>+'Plan d actions '!F180</f>
        <v>55500000</v>
      </c>
      <c r="D30" s="99">
        <v>0</v>
      </c>
      <c r="E30" s="829">
        <f>+C30+D30</f>
        <v>55500000</v>
      </c>
      <c r="F30" s="830"/>
      <c r="G30" s="98">
        <f>+'Plan d actions '!H225</f>
        <v>85000000</v>
      </c>
      <c r="H30" s="99"/>
      <c r="I30" s="829">
        <f>+G30+H30</f>
        <v>85000000</v>
      </c>
      <c r="J30" s="830"/>
      <c r="K30" s="847">
        <f>E30+I30</f>
        <v>140500000</v>
      </c>
      <c r="L30" s="848"/>
      <c r="M30" s="86"/>
      <c r="N30" s="86"/>
    </row>
    <row r="31" spans="1:17" ht="12.75" customHeight="1">
      <c r="A31" s="831" t="s">
        <v>1968</v>
      </c>
      <c r="B31" s="832"/>
      <c r="C31" s="98"/>
      <c r="D31" s="99"/>
      <c r="E31" s="829">
        <f>+AVRIL!P57</f>
        <v>20097472.272727273</v>
      </c>
      <c r="F31" s="830"/>
      <c r="G31" s="98"/>
      <c r="H31" s="99"/>
      <c r="I31" s="829">
        <f>+AVRIL!O57</f>
        <v>33320734.209090911</v>
      </c>
      <c r="J31" s="830"/>
      <c r="K31" s="847">
        <f>E31+I31</f>
        <v>53418206.481818184</v>
      </c>
      <c r="L31" s="848"/>
      <c r="M31" s="97"/>
      <c r="N31" s="86"/>
    </row>
    <row r="32" spans="1:17" ht="12.75" customHeight="1">
      <c r="A32" s="831" t="s">
        <v>1965</v>
      </c>
      <c r="B32" s="832"/>
      <c r="C32" s="98">
        <f>C31-C30</f>
        <v>-55500000</v>
      </c>
      <c r="D32" s="107">
        <f>D31-D30</f>
        <v>0</v>
      </c>
      <c r="E32" s="829">
        <f>E31-E30</f>
        <v>-35402527.727272727</v>
      </c>
      <c r="F32" s="830"/>
      <c r="G32" s="98">
        <f>G31-G30</f>
        <v>-85000000</v>
      </c>
      <c r="H32" s="99"/>
      <c r="I32" s="829">
        <f>I31-I30</f>
        <v>-51679265.790909089</v>
      </c>
      <c r="J32" s="830"/>
      <c r="K32" s="847">
        <f>E32+I32</f>
        <v>-87081793.518181816</v>
      </c>
      <c r="L32" s="848"/>
      <c r="M32" s="86"/>
      <c r="N32" s="86"/>
    </row>
    <row r="33" spans="1:14" ht="14.25" customHeight="1" thickBot="1">
      <c r="A33" s="861" t="s">
        <v>1966</v>
      </c>
      <c r="B33" s="862"/>
      <c r="C33" s="100"/>
      <c r="D33" s="101"/>
      <c r="E33" s="825">
        <f>C33+D33</f>
        <v>0</v>
      </c>
      <c r="F33" s="826"/>
      <c r="G33" s="100"/>
      <c r="H33" s="101"/>
      <c r="I33" s="825">
        <f>G33+H33</f>
        <v>0</v>
      </c>
      <c r="J33" s="826"/>
      <c r="K33" s="827">
        <f>E33+I33</f>
        <v>0</v>
      </c>
      <c r="L33" s="828"/>
      <c r="M33" s="86"/>
      <c r="N33" s="86"/>
    </row>
    <row r="34" spans="1:14" ht="9.75" customHeight="1" thickTop="1" thickBo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</row>
    <row r="35" spans="1:14" ht="16.5" thickTop="1" thickBot="1">
      <c r="A35" s="810" t="s">
        <v>1991</v>
      </c>
      <c r="B35" s="811"/>
      <c r="C35" s="811"/>
      <c r="D35" s="811"/>
      <c r="E35" s="811"/>
      <c r="F35" s="811"/>
      <c r="G35" s="812"/>
      <c r="I35" s="810" t="s">
        <v>2182</v>
      </c>
      <c r="J35" s="811"/>
      <c r="K35" s="811"/>
      <c r="L35" s="811"/>
      <c r="M35" s="811"/>
      <c r="N35" s="812"/>
    </row>
    <row r="36" spans="1:14" ht="12" customHeight="1">
      <c r="A36" s="859" t="s">
        <v>1980</v>
      </c>
      <c r="B36" s="860"/>
      <c r="C36" s="860"/>
      <c r="D36" s="860"/>
      <c r="E36" s="860"/>
      <c r="F36" s="857"/>
      <c r="G36" s="858"/>
      <c r="I36" s="813" t="s">
        <v>2285</v>
      </c>
      <c r="J36" s="814"/>
      <c r="K36" s="814"/>
      <c r="L36" s="814"/>
      <c r="M36" s="819">
        <f>K24+K31</f>
        <v>86261692.481818184</v>
      </c>
      <c r="N36" s="820"/>
    </row>
    <row r="37" spans="1:14" ht="11.25" customHeight="1">
      <c r="A37" s="93" t="s">
        <v>1990</v>
      </c>
      <c r="B37" s="91" t="s">
        <v>1981</v>
      </c>
      <c r="C37" s="92"/>
      <c r="D37" s="90"/>
      <c r="E37" s="90"/>
      <c r="F37" s="109">
        <f>+'R. AFFECTEES'!E57</f>
        <v>85345</v>
      </c>
      <c r="G37" s="108"/>
      <c r="I37" s="815" t="s">
        <v>2284</v>
      </c>
      <c r="J37" s="816"/>
      <c r="K37" s="816"/>
      <c r="L37" s="816"/>
      <c r="M37" s="821" t="e">
        <f>Evaluation!#REF!</f>
        <v>#REF!</v>
      </c>
      <c r="N37" s="822"/>
    </row>
    <row r="38" spans="1:14" ht="12" customHeight="1">
      <c r="A38" s="93"/>
      <c r="B38" s="91" t="s">
        <v>1982</v>
      </c>
      <c r="C38" s="92"/>
      <c r="D38" s="90"/>
      <c r="E38" s="90"/>
      <c r="F38" s="109">
        <f>+'R. AFFECTEES'!E16</f>
        <v>0</v>
      </c>
      <c r="G38" s="110"/>
      <c r="I38" s="817" t="s">
        <v>2183</v>
      </c>
      <c r="J38" s="818"/>
      <c r="K38" s="818"/>
      <c r="L38" s="818"/>
      <c r="M38" s="823">
        <f>L24+K31</f>
        <v>253224912.82272726</v>
      </c>
      <c r="N38" s="824"/>
    </row>
    <row r="39" spans="1:14" ht="9.75" customHeight="1">
      <c r="A39" s="93"/>
      <c r="B39" s="91" t="s">
        <v>1983</v>
      </c>
      <c r="C39" s="92"/>
      <c r="D39" s="90"/>
      <c r="E39" s="90"/>
      <c r="F39" s="109">
        <f>+'R. AFFECTEES'!E24</f>
        <v>0</v>
      </c>
      <c r="G39" s="110"/>
      <c r="I39" s="244"/>
      <c r="J39" s="79"/>
      <c r="K39" s="79"/>
      <c r="L39" s="79"/>
      <c r="M39" s="79"/>
      <c r="N39" s="245"/>
    </row>
    <row r="40" spans="1:14" ht="9.75" customHeight="1">
      <c r="A40" s="855" t="s">
        <v>1984</v>
      </c>
      <c r="B40" s="856"/>
      <c r="C40" s="856"/>
      <c r="D40" s="856"/>
      <c r="E40" s="856"/>
      <c r="F40" s="111"/>
      <c r="G40" s="112"/>
      <c r="I40" s="244"/>
      <c r="J40" s="79"/>
      <c r="K40" s="79"/>
      <c r="L40" s="79"/>
      <c r="M40" s="79"/>
      <c r="N40" s="245"/>
    </row>
    <row r="41" spans="1:14" ht="10.5" customHeight="1">
      <c r="A41" s="94"/>
      <c r="B41" s="91" t="s">
        <v>1985</v>
      </c>
      <c r="C41" s="92"/>
      <c r="D41" s="90"/>
      <c r="E41" s="90"/>
      <c r="F41" s="109">
        <f>+'R. AFFECTEES'!E89</f>
        <v>2777202.767</v>
      </c>
      <c r="G41" s="110"/>
      <c r="I41" s="802" t="s">
        <v>2180</v>
      </c>
      <c r="J41" s="803"/>
      <c r="K41" s="803"/>
      <c r="L41" s="803"/>
      <c r="M41" s="804">
        <f>AVRIL!B109+110349434</f>
        <v>110349434</v>
      </c>
      <c r="N41" s="805"/>
    </row>
    <row r="42" spans="1:14" ht="11.25" customHeight="1">
      <c r="A42" s="94"/>
      <c r="B42" s="91" t="s">
        <v>1986</v>
      </c>
      <c r="C42" s="92"/>
      <c r="D42" s="90"/>
      <c r="E42" s="90"/>
      <c r="F42" s="109">
        <f>+'R. AFFECTEES'!E90</f>
        <v>2677665</v>
      </c>
      <c r="G42" s="110"/>
      <c r="I42" s="806" t="s">
        <v>2181</v>
      </c>
      <c r="J42" s="807"/>
      <c r="K42" s="807"/>
      <c r="L42" s="807"/>
      <c r="M42" s="808">
        <v>189233154</v>
      </c>
      <c r="N42" s="809"/>
    </row>
    <row r="43" spans="1:14" ht="9.75" customHeight="1">
      <c r="A43" s="94"/>
      <c r="B43" s="91" t="s">
        <v>1987</v>
      </c>
      <c r="C43" s="92"/>
      <c r="D43" s="90"/>
      <c r="E43" s="90"/>
      <c r="F43" s="109">
        <f>+'R. AFFECTEES'!E91</f>
        <v>1236682</v>
      </c>
      <c r="G43" s="110"/>
      <c r="I43" s="244"/>
      <c r="J43" s="79"/>
      <c r="K43" s="79"/>
      <c r="L43" s="79"/>
      <c r="M43" s="79"/>
      <c r="N43" s="245"/>
    </row>
    <row r="44" spans="1:14" ht="9.75" customHeight="1">
      <c r="A44" s="94"/>
      <c r="B44" s="91" t="s">
        <v>1988</v>
      </c>
      <c r="C44" s="92"/>
      <c r="D44" s="90"/>
      <c r="E44" s="90"/>
      <c r="F44" s="109">
        <f>+'R. AFFECTEES'!D41</f>
        <v>41346.441499999994</v>
      </c>
      <c r="G44" s="110"/>
      <c r="I44" s="244"/>
      <c r="J44" s="79"/>
      <c r="K44" s="79"/>
      <c r="L44" s="79"/>
      <c r="M44" s="79"/>
      <c r="N44" s="245"/>
    </row>
    <row r="45" spans="1:14" ht="9.75" customHeight="1">
      <c r="A45" s="94"/>
      <c r="B45" s="91" t="s">
        <v>1989</v>
      </c>
      <c r="C45" s="92"/>
      <c r="D45" s="90"/>
      <c r="E45" s="90"/>
      <c r="F45" s="109">
        <f>+'R. AFFECTEES'!D42</f>
        <v>0</v>
      </c>
      <c r="G45" s="110"/>
      <c r="I45" s="244"/>
      <c r="J45" s="79"/>
      <c r="K45" s="79"/>
      <c r="L45" s="79"/>
      <c r="M45" s="79"/>
      <c r="N45" s="245"/>
    </row>
    <row r="46" spans="1:14" ht="10.5" customHeight="1" thickBot="1">
      <c r="A46" s="95"/>
      <c r="B46" s="96"/>
      <c r="C46" s="96"/>
      <c r="D46" s="96"/>
      <c r="E46" s="96"/>
      <c r="F46" s="114">
        <f>+F37+F38+F39+F41+F42+F43+F44</f>
        <v>6818241.2084999997</v>
      </c>
      <c r="G46" s="113"/>
      <c r="I46" s="246"/>
      <c r="J46" s="247"/>
      <c r="K46" s="247"/>
      <c r="L46" s="247"/>
      <c r="M46" s="247"/>
      <c r="N46" s="248"/>
    </row>
    <row r="47" spans="1:14" ht="15.75" thickTop="1"/>
    <row r="230" spans="6:6">
      <c r="F230" s="29" t="e">
        <f>Evaluation!#REF!+CONTROLES!BY279-'Plan d actions '!F243-'Plan d actions '!F244-'Plan d actions '!F245-'Plan d actions '!F246-'Plan d actions '!F247-'Plan d actions '!F248-'Plan d actions '!F249-'Plan d actions '!F250-F229</f>
        <v>#REF!</v>
      </c>
    </row>
  </sheetData>
  <mergeCells count="75">
    <mergeCell ref="M17:M18"/>
    <mergeCell ref="E14:F14"/>
    <mergeCell ref="A10:B10"/>
    <mergeCell ref="N17:N18"/>
    <mergeCell ref="B1:E1"/>
    <mergeCell ref="J1:M1"/>
    <mergeCell ref="B2:E2"/>
    <mergeCell ref="J2:M2"/>
    <mergeCell ref="B3:E3"/>
    <mergeCell ref="J3:M3"/>
    <mergeCell ref="B4:E4"/>
    <mergeCell ref="J4:M4"/>
    <mergeCell ref="B5:E5"/>
    <mergeCell ref="J5:M5"/>
    <mergeCell ref="B6:E6"/>
    <mergeCell ref="J6:M6"/>
    <mergeCell ref="B7:E7"/>
    <mergeCell ref="C14:D14"/>
    <mergeCell ref="D15:L15"/>
    <mergeCell ref="A22:B22"/>
    <mergeCell ref="J7:M7"/>
    <mergeCell ref="B8:E8"/>
    <mergeCell ref="J8:M8"/>
    <mergeCell ref="B9:E9"/>
    <mergeCell ref="J9:M9"/>
    <mergeCell ref="A21:B21"/>
    <mergeCell ref="A19:B19"/>
    <mergeCell ref="A20:B20"/>
    <mergeCell ref="L11:M11"/>
    <mergeCell ref="L12:M12"/>
    <mergeCell ref="C17:G17"/>
    <mergeCell ref="A17:B18"/>
    <mergeCell ref="H17:L17"/>
    <mergeCell ref="K13:L13"/>
    <mergeCell ref="A13:J13"/>
    <mergeCell ref="A40:E40"/>
    <mergeCell ref="I30:J30"/>
    <mergeCell ref="A35:G35"/>
    <mergeCell ref="F36:G36"/>
    <mergeCell ref="A36:E36"/>
    <mergeCell ref="A31:B31"/>
    <mergeCell ref="I33:J33"/>
    <mergeCell ref="A32:B32"/>
    <mergeCell ref="I31:J31"/>
    <mergeCell ref="I32:J32"/>
    <mergeCell ref="A30:B30"/>
    <mergeCell ref="A33:B33"/>
    <mergeCell ref="E30:F30"/>
    <mergeCell ref="E33:F33"/>
    <mergeCell ref="K33:L33"/>
    <mergeCell ref="E31:F31"/>
    <mergeCell ref="E32:F32"/>
    <mergeCell ref="A23:B23"/>
    <mergeCell ref="A24:B24"/>
    <mergeCell ref="A28:B29"/>
    <mergeCell ref="C28:F28"/>
    <mergeCell ref="E29:F29"/>
    <mergeCell ref="D26:L26"/>
    <mergeCell ref="K28:L29"/>
    <mergeCell ref="G28:J28"/>
    <mergeCell ref="I29:J29"/>
    <mergeCell ref="K30:L30"/>
    <mergeCell ref="K31:L31"/>
    <mergeCell ref="K32:L32"/>
    <mergeCell ref="I41:L41"/>
    <mergeCell ref="M41:N41"/>
    <mergeCell ref="I42:L42"/>
    <mergeCell ref="M42:N42"/>
    <mergeCell ref="I35:N35"/>
    <mergeCell ref="I36:L36"/>
    <mergeCell ref="I37:L37"/>
    <mergeCell ref="I38:L38"/>
    <mergeCell ref="M36:N36"/>
    <mergeCell ref="M37:N37"/>
    <mergeCell ref="M38:N38"/>
  </mergeCells>
  <pageMargins left="0.31" right="0.16" top="0.32" bottom="0.2" header="0.23" footer="0.17"/>
  <pageSetup paperSize="9" scale="72" orientation="landscape" r:id="rId1"/>
  <colBreaks count="1" manualBreakCount="1">
    <brk id="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>
  <dimension ref="A1:Q316"/>
  <sheetViews>
    <sheetView topLeftCell="A229" workbookViewId="0">
      <selection activeCell="F243" sqref="F243:F252"/>
    </sheetView>
  </sheetViews>
  <sheetFormatPr baseColWidth="10" defaultColWidth="9.140625" defaultRowHeight="15.75"/>
  <cols>
    <col min="1" max="1" width="4.5703125" style="365" customWidth="1"/>
    <col min="2" max="2" width="8.42578125" style="365" customWidth="1"/>
    <col min="3" max="3" width="13.42578125" style="365" customWidth="1"/>
    <col min="4" max="4" width="11.28515625" style="365" customWidth="1"/>
    <col min="5" max="5" width="14" style="365" customWidth="1"/>
    <col min="6" max="6" width="16" style="365" customWidth="1"/>
    <col min="7" max="7" width="14.140625" style="365" customWidth="1"/>
    <col min="8" max="8" width="12.7109375" style="365" customWidth="1"/>
    <col min="9" max="9" width="12.140625" style="365" customWidth="1"/>
    <col min="10" max="10" width="9.140625" style="365"/>
    <col min="11" max="11" width="2.140625" style="414" bestFit="1" customWidth="1"/>
    <col min="12" max="12" width="14.7109375" style="365" bestFit="1" customWidth="1"/>
    <col min="13" max="13" width="12" style="365" bestFit="1" customWidth="1"/>
    <col min="14" max="14" width="11.140625" style="365" bestFit="1" customWidth="1"/>
    <col min="15" max="16384" width="9.140625" style="365"/>
  </cols>
  <sheetData>
    <row r="1" spans="1:13">
      <c r="E1" s="365" t="s">
        <v>2660</v>
      </c>
    </row>
    <row r="9" spans="1:13">
      <c r="F9" s="369" t="s">
        <v>2007</v>
      </c>
    </row>
    <row r="11" spans="1:13" s="420" customFormat="1" ht="21.75" customHeight="1">
      <c r="A11" s="953" t="s">
        <v>2919</v>
      </c>
      <c r="B11" s="954"/>
      <c r="C11" s="954"/>
      <c r="D11" s="954"/>
      <c r="E11" s="954"/>
      <c r="F11" s="954"/>
      <c r="G11" s="954"/>
      <c r="H11" s="954"/>
      <c r="I11" s="954"/>
      <c r="J11" s="955"/>
      <c r="K11" s="421"/>
    </row>
    <row r="12" spans="1:13" ht="16.5" customHeight="1">
      <c r="A12" s="882" t="s">
        <v>3014</v>
      </c>
      <c r="B12" s="882"/>
      <c r="C12" s="882"/>
      <c r="D12" s="882"/>
      <c r="E12" s="882"/>
      <c r="F12" s="882"/>
      <c r="G12" s="882"/>
      <c r="H12" s="882"/>
      <c r="I12" s="882"/>
    </row>
    <row r="13" spans="1:13" ht="16.5" customHeight="1">
      <c r="A13" s="882" t="s">
        <v>2001</v>
      </c>
      <c r="B13" s="882"/>
      <c r="C13" s="882"/>
      <c r="D13" s="882"/>
      <c r="E13" s="882"/>
      <c r="F13" s="882"/>
      <c r="G13" s="882"/>
      <c r="H13" s="882"/>
      <c r="I13" s="882"/>
    </row>
    <row r="14" spans="1:13" ht="11.25" customHeight="1">
      <c r="A14" s="959" t="s">
        <v>2002</v>
      </c>
      <c r="B14" s="959"/>
      <c r="C14" s="959"/>
      <c r="D14" s="959"/>
      <c r="E14" s="959"/>
      <c r="F14" s="959"/>
      <c r="G14" s="959"/>
      <c r="H14" s="959"/>
      <c r="I14" s="959"/>
    </row>
    <row r="15" spans="1:13" ht="11.25" customHeight="1">
      <c r="A15" s="434"/>
      <c r="B15" s="434"/>
      <c r="C15" s="434"/>
      <c r="D15" s="434"/>
      <c r="E15" s="434"/>
      <c r="F15" s="434"/>
      <c r="G15" s="434"/>
      <c r="H15" s="434"/>
      <c r="I15" s="434"/>
      <c r="L15" s="507"/>
    </row>
    <row r="16" spans="1:13" ht="11.25" customHeight="1">
      <c r="A16" s="422" t="s">
        <v>2003</v>
      </c>
      <c r="G16" s="372"/>
      <c r="L16" s="508"/>
      <c r="M16" s="365" t="s">
        <v>2031</v>
      </c>
    </row>
    <row r="17" spans="1:15" ht="11.25" customHeight="1">
      <c r="A17" s="370"/>
      <c r="B17" s="371"/>
      <c r="C17" s="371"/>
      <c r="D17" s="371"/>
      <c r="E17" s="371"/>
      <c r="F17" s="371"/>
      <c r="G17" s="372"/>
      <c r="H17" s="371"/>
    </row>
    <row r="18" spans="1:15" ht="15.75" customHeight="1">
      <c r="A18" s="926" t="s">
        <v>192</v>
      </c>
      <c r="B18" s="926" t="s">
        <v>2004</v>
      </c>
      <c r="C18" s="926"/>
      <c r="D18" s="883" t="s">
        <v>2654</v>
      </c>
      <c r="E18" s="926" t="s">
        <v>2921</v>
      </c>
      <c r="F18" s="926"/>
      <c r="G18" s="927" t="s">
        <v>2899</v>
      </c>
      <c r="H18" s="927" t="s">
        <v>2920</v>
      </c>
      <c r="I18" s="958" t="s">
        <v>2767</v>
      </c>
      <c r="J18" s="957" t="s">
        <v>2768</v>
      </c>
    </row>
    <row r="19" spans="1:15" ht="21" customHeight="1">
      <c r="A19" s="926"/>
      <c r="B19" s="926"/>
      <c r="C19" s="926"/>
      <c r="D19" s="884"/>
      <c r="E19" s="604" t="s">
        <v>2005</v>
      </c>
      <c r="F19" s="366" t="s">
        <v>2006</v>
      </c>
      <c r="G19" s="927"/>
      <c r="H19" s="927"/>
      <c r="I19" s="958" t="s">
        <v>2767</v>
      </c>
      <c r="J19" s="957"/>
    </row>
    <row r="20" spans="1:15" ht="11.25" customHeight="1">
      <c r="A20" s="443">
        <v>2</v>
      </c>
      <c r="B20" s="956" t="s">
        <v>2655</v>
      </c>
      <c r="C20" s="956"/>
      <c r="D20" s="480">
        <v>13</v>
      </c>
      <c r="E20" s="367">
        <f>tendances!C19</f>
        <v>18150000</v>
      </c>
      <c r="F20" s="367">
        <f>tendances!H19</f>
        <v>6614334.0909090908</v>
      </c>
      <c r="G20" s="367">
        <v>6712070.7272727303</v>
      </c>
      <c r="H20" s="367">
        <f>tendances!N19</f>
        <v>6360049.9090909064</v>
      </c>
      <c r="I20" s="501">
        <f>F20/E20</f>
        <v>0.36442612071124469</v>
      </c>
      <c r="J20" s="501">
        <f>IF(F20=0,"",(F20-H20)/H20)</f>
        <v>3.9981475845766022E-2</v>
      </c>
    </row>
    <row r="21" spans="1:15" ht="11.25" customHeight="1">
      <c r="A21" s="443">
        <v>3</v>
      </c>
      <c r="B21" s="956" t="s">
        <v>2656</v>
      </c>
      <c r="C21" s="956"/>
      <c r="D21" s="480">
        <f>69+2+1</f>
        <v>72</v>
      </c>
      <c r="E21" s="367">
        <f>tendances!C20</f>
        <v>43700000</v>
      </c>
      <c r="F21" s="367">
        <f>tendances!H20</f>
        <v>25627867.636363637</v>
      </c>
      <c r="G21" s="367">
        <v>26656415.909090899</v>
      </c>
      <c r="H21" s="367">
        <f>tendances!N20</f>
        <v>30135074.545454547</v>
      </c>
      <c r="I21" s="368">
        <f>F21/E21</f>
        <v>0.58645006032868729</v>
      </c>
      <c r="J21" s="501">
        <f t="shared" ref="J21:J24" si="0">IF(F21=0,"",(F21-H21)/H21)</f>
        <v>-0.14956680801610159</v>
      </c>
    </row>
    <row r="22" spans="1:15" ht="11.25" customHeight="1">
      <c r="A22" s="443">
        <v>4</v>
      </c>
      <c r="B22" s="956" t="s">
        <v>2657</v>
      </c>
      <c r="C22" s="956"/>
      <c r="D22" s="480">
        <f>44+1</f>
        <v>45</v>
      </c>
      <c r="E22" s="367">
        <f>tendances!C21</f>
        <v>45550000</v>
      </c>
      <c r="F22" s="367">
        <f>tendances!H21</f>
        <v>21536522.090909094</v>
      </c>
      <c r="G22" s="367">
        <v>30214067.909090906</v>
      </c>
      <c r="H22" s="367">
        <f>tendances!N21</f>
        <v>44562217.545454539</v>
      </c>
      <c r="I22" s="368">
        <f>F22/E22</f>
        <v>0.47281058377407448</v>
      </c>
      <c r="J22" s="501">
        <f>IF(F22=0,"",(F22-H22)/H22)</f>
        <v>-0.51670892345199559</v>
      </c>
    </row>
    <row r="23" spans="1:15" ht="11.25" customHeight="1">
      <c r="A23" s="443">
        <v>5</v>
      </c>
      <c r="B23" s="956" t="s">
        <v>2658</v>
      </c>
      <c r="C23" s="956"/>
      <c r="D23" s="480">
        <f>86+5+2+1</f>
        <v>94</v>
      </c>
      <c r="E23" s="367">
        <f>tendances!C22</f>
        <v>81200000</v>
      </c>
      <c r="F23" s="367">
        <f>tendances!H22</f>
        <v>27630318.704545438</v>
      </c>
      <c r="G23" s="367">
        <v>83886519.068181872</v>
      </c>
      <c r="H23" s="367">
        <f>tendances!N22</f>
        <v>121908261.95454545</v>
      </c>
      <c r="I23" s="368">
        <f>F23/E23</f>
        <v>0.34027486089341674</v>
      </c>
      <c r="J23" s="501">
        <f t="shared" si="0"/>
        <v>-0.7733515492588382</v>
      </c>
    </row>
    <row r="24" spans="1:15" ht="11.25" customHeight="1">
      <c r="A24" s="443">
        <v>6</v>
      </c>
      <c r="B24" s="956" t="s">
        <v>2659</v>
      </c>
      <c r="C24" s="956"/>
      <c r="D24" s="480">
        <f>113+1+12+4</f>
        <v>130</v>
      </c>
      <c r="E24" s="367">
        <f>tendances!C23</f>
        <v>25700000</v>
      </c>
      <c r="F24" s="367">
        <f>tendances!H23</f>
        <v>11889559.545454545</v>
      </c>
      <c r="G24" s="367">
        <v>9316228.8181818239</v>
      </c>
      <c r="H24" s="367">
        <f>tendances!N23</f>
        <v>22292348.090909094</v>
      </c>
      <c r="I24" s="368">
        <f>F24/E24</f>
        <v>0.46262877608772546</v>
      </c>
      <c r="J24" s="501">
        <f t="shared" si="0"/>
        <v>-0.46665288479399109</v>
      </c>
      <c r="N24" s="365" t="s">
        <v>2031</v>
      </c>
    </row>
    <row r="25" spans="1:15" ht="11.25" customHeight="1">
      <c r="A25" s="443">
        <v>7</v>
      </c>
      <c r="B25" s="915" t="s">
        <v>2661</v>
      </c>
      <c r="C25" s="917"/>
      <c r="D25" s="373">
        <v>0</v>
      </c>
      <c r="E25" s="367">
        <v>0</v>
      </c>
      <c r="F25" s="367">
        <v>0</v>
      </c>
      <c r="G25" s="367">
        <v>0</v>
      </c>
      <c r="H25" s="367">
        <v>0</v>
      </c>
      <c r="I25" s="368"/>
      <c r="J25" s="502"/>
    </row>
    <row r="26" spans="1:15" ht="11.25" customHeight="1">
      <c r="A26" s="923" t="s">
        <v>178</v>
      </c>
      <c r="B26" s="924"/>
      <c r="C26" s="925"/>
      <c r="D26" s="441">
        <f>SUM(D20:D25)</f>
        <v>354</v>
      </c>
      <c r="E26" s="374">
        <f>SUM(E20:E25)</f>
        <v>214300000</v>
      </c>
      <c r="F26" s="374">
        <f>SUM(F20:F25)</f>
        <v>93298602.068181798</v>
      </c>
      <c r="G26" s="374">
        <f>SUM(G20:G25)</f>
        <v>156785302.43181822</v>
      </c>
      <c r="H26" s="374">
        <f>SUM(H20:H25)</f>
        <v>225257952.04545453</v>
      </c>
      <c r="I26" s="375">
        <f>F26/E26</f>
        <v>0.4353644520213803</v>
      </c>
      <c r="J26" s="501">
        <f>IF(F26=0,"",(F26-H26)/H26)</f>
        <v>-0.58581439091945942</v>
      </c>
    </row>
    <row r="27" spans="1:15" ht="11.25" customHeight="1">
      <c r="L27" s="365" t="s">
        <v>2660</v>
      </c>
    </row>
    <row r="28" spans="1:15" ht="11.25" customHeight="1">
      <c r="A28" s="365" t="s">
        <v>2008</v>
      </c>
    </row>
    <row r="29" spans="1:15" ht="11.25" customHeight="1">
      <c r="A29" s="371"/>
    </row>
    <row r="30" spans="1:15" ht="15.75" customHeight="1">
      <c r="A30" s="926" t="s">
        <v>192</v>
      </c>
      <c r="B30" s="926" t="s">
        <v>2004</v>
      </c>
      <c r="C30" s="926"/>
      <c r="D30" s="883" t="s">
        <v>2654</v>
      </c>
      <c r="E30" s="926" t="s">
        <v>2921</v>
      </c>
      <c r="F30" s="926"/>
      <c r="G30" s="927" t="s">
        <v>2899</v>
      </c>
      <c r="H30" s="927" t="s">
        <v>2920</v>
      </c>
    </row>
    <row r="31" spans="1:15">
      <c r="A31" s="926"/>
      <c r="B31" s="926"/>
      <c r="C31" s="926"/>
      <c r="D31" s="884"/>
      <c r="E31" s="641" t="s">
        <v>2005</v>
      </c>
      <c r="F31" s="366" t="s">
        <v>2006</v>
      </c>
      <c r="G31" s="927"/>
      <c r="H31" s="927"/>
      <c r="J31" s="423"/>
    </row>
    <row r="32" spans="1:15" ht="11.25" customHeight="1">
      <c r="A32" s="926" t="s">
        <v>2010</v>
      </c>
      <c r="B32" s="926"/>
      <c r="C32" s="926"/>
      <c r="D32" s="926"/>
      <c r="E32" s="926"/>
      <c r="F32" s="926"/>
      <c r="G32" s="926"/>
      <c r="H32" s="926"/>
      <c r="J32" s="423"/>
      <c r="O32" s="365" t="s">
        <v>2662</v>
      </c>
    </row>
    <row r="33" spans="1:11" ht="11.25" customHeight="1">
      <c r="A33" s="376">
        <v>1</v>
      </c>
      <c r="B33" s="915" t="str">
        <f>[2]Feuil1!C4</f>
        <v>SOYEMA SARL</v>
      </c>
      <c r="C33" s="916"/>
      <c r="D33" s="917"/>
      <c r="E33" s="367">
        <v>1000000</v>
      </c>
      <c r="F33" s="367">
        <f>IF(K33=0,"",VLOOKUP(I33,'SUIVI JOURNALIER AVRIL'!A:CD,82,FALSE)-J33)</f>
        <v>541040</v>
      </c>
      <c r="G33" s="367">
        <v>435263</v>
      </c>
      <c r="H33" s="367">
        <f>VLOOKUP(I33,Feuil1!A:B,2,FALSE)</f>
        <v>585288</v>
      </c>
      <c r="I33" s="124" t="s">
        <v>317</v>
      </c>
      <c r="J33" s="424">
        <f>VLOOKUP(I33,'SUIVI JOURNALIER AVRIL'!A:CG,85,FALSE)</f>
        <v>0</v>
      </c>
      <c r="K33" s="414">
        <v>1</v>
      </c>
    </row>
    <row r="34" spans="1:11" ht="11.25" customHeight="1">
      <c r="A34" s="376">
        <v>2</v>
      </c>
      <c r="B34" s="915" t="str">
        <f>[2]Feuil1!C5</f>
        <v>MIE DOREE</v>
      </c>
      <c r="C34" s="916"/>
      <c r="D34" s="917"/>
      <c r="E34" s="367">
        <v>1500000</v>
      </c>
      <c r="F34" s="367" t="str">
        <f>IF(K34=0,"",VLOOKUP(I34,'SUIVI JOURNALIER AVRIL'!A:CD,82,FALSE)-J34)</f>
        <v/>
      </c>
      <c r="G34" s="367">
        <v>0</v>
      </c>
      <c r="H34" s="367">
        <f>VLOOKUP(I34,Feuil1!A:B,2,FALSE)</f>
        <v>541076</v>
      </c>
      <c r="I34" s="124" t="s">
        <v>288</v>
      </c>
      <c r="J34" s="424" t="e">
        <f>VLOOKUP(I34,'SUIVI JOURNALIER AVRIL'!A:CG,85,FALSE)</f>
        <v>#N/A</v>
      </c>
    </row>
    <row r="35" spans="1:11" ht="11.25" customHeight="1">
      <c r="A35" s="376">
        <v>3</v>
      </c>
      <c r="B35" s="915" t="str">
        <f>[2]Feuil1!C6</f>
        <v>PAIN D'OR</v>
      </c>
      <c r="C35" s="916"/>
      <c r="D35" s="917"/>
      <c r="E35" s="367">
        <v>1500000</v>
      </c>
      <c r="F35" s="367">
        <f>IF(K35=0,"",VLOOKUP(I35,'SUIVI JOURNALIER AVRIL'!A:CD,82,FALSE)-J35)</f>
        <v>931402</v>
      </c>
      <c r="G35" s="367">
        <v>826375</v>
      </c>
      <c r="H35" s="367">
        <f>VLOOKUP(I35,Feuil1!A:B,2,FALSE)</f>
        <v>1028619</v>
      </c>
      <c r="I35" s="124" t="s">
        <v>362</v>
      </c>
      <c r="J35" s="424">
        <f>VLOOKUP(I35,'SUIVI JOURNALIER AVRIL'!A:CG,85,FALSE)</f>
        <v>108449.99999999999</v>
      </c>
      <c r="K35" s="414">
        <v>1</v>
      </c>
    </row>
    <row r="36" spans="1:11" ht="11.25" customHeight="1">
      <c r="A36" s="377">
        <v>4</v>
      </c>
      <c r="B36" s="915" t="str">
        <f>[2]Feuil1!C7</f>
        <v>COMPAGNIE DES TABACS</v>
      </c>
      <c r="C36" s="916"/>
      <c r="D36" s="917"/>
      <c r="E36" s="367">
        <v>2000000</v>
      </c>
      <c r="F36" s="367">
        <f>IF(K36=0,"",VLOOKUP(I36,'SUIVI JOURNALIER AVRIL'!A:CD,82,FALSE)-J36)</f>
        <v>1494112</v>
      </c>
      <c r="G36" s="367">
        <v>1901109.5454545449</v>
      </c>
      <c r="H36" s="367">
        <f>VLOOKUP(I36,Feuil1!A:B,2,FALSE)</f>
        <v>2330497.0909090899</v>
      </c>
      <c r="I36" s="124" t="s">
        <v>533</v>
      </c>
      <c r="J36" s="424">
        <f>VLOOKUP(I36,'SUIVI JOURNALIER AVRIL'!A:CG,85,FALSE)</f>
        <v>0</v>
      </c>
      <c r="K36" s="414">
        <v>1</v>
      </c>
    </row>
    <row r="37" spans="1:11" ht="11.25" customHeight="1">
      <c r="A37" s="495">
        <v>5</v>
      </c>
      <c r="B37" s="916" t="s">
        <v>2761</v>
      </c>
      <c r="C37" s="916"/>
      <c r="D37" s="917"/>
      <c r="E37" s="367">
        <v>4000000</v>
      </c>
      <c r="F37" s="367">
        <f>IF(K37=0,"",VLOOKUP(I37,'SUIVI JOURNALIER AVRIL'!A:CD,82,FALSE)-J37)</f>
        <v>2941477</v>
      </c>
      <c r="G37" s="367">
        <v>2571845</v>
      </c>
      <c r="H37" s="367">
        <f>VLOOKUP(I37,Feuil1!A:B,2,FALSE)</f>
        <v>1431379</v>
      </c>
      <c r="I37" s="124" t="s">
        <v>1917</v>
      </c>
      <c r="J37" s="424"/>
      <c r="K37" s="414">
        <v>1</v>
      </c>
    </row>
    <row r="38" spans="1:11" ht="11.25" customHeight="1">
      <c r="A38" s="915" t="s">
        <v>2663</v>
      </c>
      <c r="B38" s="916"/>
      <c r="C38" s="916"/>
      <c r="D38" s="917"/>
      <c r="E38" s="378">
        <f>SUM(E33:E37)</f>
        <v>10000000</v>
      </c>
      <c r="F38" s="378">
        <f>SUM(F33:F37)</f>
        <v>5908031</v>
      </c>
      <c r="G38" s="378">
        <v>5353472.8499999996</v>
      </c>
      <c r="H38" s="378">
        <f t="shared" ref="H38" si="1">SUM(H33:H37)</f>
        <v>5916859.0909090899</v>
      </c>
      <c r="I38" s="371"/>
      <c r="J38" s="424"/>
    </row>
    <row r="39" spans="1:11" ht="11.25" customHeight="1">
      <c r="A39" s="950" t="s">
        <v>2664</v>
      </c>
      <c r="B39" s="951"/>
      <c r="C39" s="951"/>
      <c r="D39" s="952"/>
      <c r="E39" s="379">
        <f>E20-E38</f>
        <v>8150000</v>
      </c>
      <c r="F39" s="379">
        <f>F20-F38</f>
        <v>706303.09090909082</v>
      </c>
      <c r="G39" s="379">
        <f>G20-G38</f>
        <v>1358597.8772727307</v>
      </c>
      <c r="H39" s="379">
        <f>H20-H38</f>
        <v>443190.81818181649</v>
      </c>
      <c r="I39" s="371"/>
      <c r="J39" s="424"/>
    </row>
    <row r="40" spans="1:11" ht="11.25" customHeight="1">
      <c r="A40" s="926" t="s">
        <v>432</v>
      </c>
      <c r="B40" s="926"/>
      <c r="C40" s="926"/>
      <c r="D40" s="926"/>
      <c r="E40" s="926"/>
      <c r="F40" s="926"/>
      <c r="G40" s="926"/>
      <c r="H40" s="926"/>
      <c r="I40" s="371" t="s">
        <v>2660</v>
      </c>
      <c r="J40" s="424"/>
    </row>
    <row r="41" spans="1:11" ht="11.25" customHeight="1">
      <c r="A41" s="380">
        <v>1</v>
      </c>
      <c r="B41" s="915" t="str">
        <f>[2]Feuil1!C9</f>
        <v>STE GLOBAL TRADE</v>
      </c>
      <c r="C41" s="916"/>
      <c r="D41" s="917"/>
      <c r="E41" s="381">
        <v>2000000</v>
      </c>
      <c r="F41" s="367">
        <f>IF(K41=0,"",VLOOKUP(I41,'SUIVI JOURNALIER AVRIL'!A:CD,82,FALSE)-J41)</f>
        <v>1235972</v>
      </c>
      <c r="G41" s="381">
        <v>1100405</v>
      </c>
      <c r="H41" s="367">
        <f>VLOOKUP(I41,Feuil1!A:B,2,FALSE)</f>
        <v>929745</v>
      </c>
      <c r="I41" s="426" t="s">
        <v>833</v>
      </c>
      <c r="J41" s="424">
        <f>VLOOKUP(I41,'SUIVI JOURNALIER AVRIL'!A:CG,85,FALSE)</f>
        <v>0</v>
      </c>
      <c r="K41" s="414">
        <v>1</v>
      </c>
    </row>
    <row r="42" spans="1:11" ht="11.25" customHeight="1">
      <c r="A42" s="380">
        <v>2</v>
      </c>
      <c r="B42" s="915" t="s">
        <v>302</v>
      </c>
      <c r="C42" s="916"/>
      <c r="D42" s="917"/>
      <c r="E42" s="381">
        <v>2200000</v>
      </c>
      <c r="F42" s="367">
        <f>IF(K42=0,"",VLOOKUP(I42,'SUIVI JOURNALIER AVRIL'!A:CD,82,FALSE)-J42)</f>
        <v>1559796</v>
      </c>
      <c r="G42" s="381">
        <v>1122112</v>
      </c>
      <c r="H42" s="367">
        <f>VLOOKUP(I42,Feuil1!A:B,2,FALSE)</f>
        <v>1691394</v>
      </c>
      <c r="I42" s="427" t="s">
        <v>302</v>
      </c>
      <c r="J42" s="424">
        <f>VLOOKUP(I42,'SUIVI JOURNALIER AVRIL'!A:CG,85,FALSE)</f>
        <v>0</v>
      </c>
      <c r="K42" s="414">
        <v>1</v>
      </c>
    </row>
    <row r="43" spans="1:11" ht="11.25" customHeight="1">
      <c r="A43" s="380">
        <v>3</v>
      </c>
      <c r="B43" s="915" t="str">
        <f>[2]Feuil1!C11</f>
        <v>SOANEG</v>
      </c>
      <c r="C43" s="916"/>
      <c r="D43" s="917"/>
      <c r="E43" s="381">
        <v>3000000</v>
      </c>
      <c r="F43" s="367">
        <f>IF(K43=0,"",VLOOKUP(I43,'SUIVI JOURNALIER AVRIL'!A:CD,82,FALSE)-J43)</f>
        <v>1467934</v>
      </c>
      <c r="G43" s="381">
        <v>2080203</v>
      </c>
      <c r="H43" s="367">
        <f>VLOOKUP(I43,Feuil1!A:B,2,FALSE)</f>
        <v>2439053.9999999995</v>
      </c>
      <c r="I43" s="428" t="s">
        <v>811</v>
      </c>
      <c r="J43" s="424">
        <f>VLOOKUP(I43,'SUIVI JOURNALIER AVRIL'!A:CG,85,FALSE)</f>
        <v>18327.272727272724</v>
      </c>
      <c r="K43" s="414">
        <v>1</v>
      </c>
    </row>
    <row r="44" spans="1:11" ht="11.25" customHeight="1">
      <c r="A44" s="380">
        <v>4</v>
      </c>
      <c r="B44" s="915" t="str">
        <f>[2]Feuil1!C12</f>
        <v>SPIDER DISTRIBUTION</v>
      </c>
      <c r="C44" s="916"/>
      <c r="D44" s="917"/>
      <c r="E44" s="381">
        <v>6000000</v>
      </c>
      <c r="F44" s="367">
        <f>IF(K44=0,"",VLOOKUP(I44,'SUIVI JOURNALIER AVRIL'!A:CD,82,FALSE)-J44)</f>
        <v>4490393</v>
      </c>
      <c r="G44" s="381">
        <v>3892699.9999999995</v>
      </c>
      <c r="H44" s="367">
        <f>VLOOKUP(I44,Feuil1!A:B,2,FALSE)</f>
        <v>4594492.0000000009</v>
      </c>
      <c r="I44" s="429" t="s">
        <v>283</v>
      </c>
      <c r="J44" s="424">
        <f>VLOOKUP(I44,'SUIVI JOURNALIER AVRIL'!A:CG,85,FALSE)</f>
        <v>0</v>
      </c>
      <c r="K44" s="414">
        <v>1</v>
      </c>
    </row>
    <row r="45" spans="1:11" ht="11.25" customHeight="1">
      <c r="A45" s="380">
        <v>5</v>
      </c>
      <c r="B45" s="915" t="s">
        <v>2715</v>
      </c>
      <c r="C45" s="916"/>
      <c r="D45" s="917"/>
      <c r="E45" s="381">
        <v>2500000</v>
      </c>
      <c r="F45" s="367">
        <f>IF(K45=0,"",VLOOKUP(I45,'SUIVI JOURNALIER AVRIL'!A:CD,82,FALSE)-J45)</f>
        <v>973451</v>
      </c>
      <c r="G45" s="381">
        <v>1098231</v>
      </c>
      <c r="H45" s="367">
        <f>VLOOKUP(I45,Feuil1!A:B,2,FALSE)</f>
        <v>4510618</v>
      </c>
      <c r="I45" s="426" t="s">
        <v>384</v>
      </c>
      <c r="J45" s="424">
        <f>VLOOKUP(I45,'SUIVI JOURNALIER AVRIL'!A:CG,85,FALSE)</f>
        <v>0</v>
      </c>
      <c r="K45" s="414">
        <v>1</v>
      </c>
    </row>
    <row r="46" spans="1:11" ht="11.25" customHeight="1">
      <c r="A46" s="380">
        <v>6</v>
      </c>
      <c r="B46" s="915" t="s">
        <v>2665</v>
      </c>
      <c r="C46" s="916"/>
      <c r="D46" s="917"/>
      <c r="E46" s="381">
        <v>2000000</v>
      </c>
      <c r="F46" s="367">
        <f>IF(K46=0,"",VLOOKUP(I46,'SUIVI JOURNALIER AVRIL'!A:CD,82,FALSE)-J46)</f>
        <v>1016738</v>
      </c>
      <c r="G46" s="381">
        <v>1322215</v>
      </c>
      <c r="H46" s="367">
        <f>VLOOKUP(I46,Feuil1!A:B,2,FALSE)</f>
        <v>931617</v>
      </c>
      <c r="I46" s="427" t="s">
        <v>380</v>
      </c>
      <c r="J46" s="424">
        <f>VLOOKUP(I46,'SUIVI JOURNALIER AVRIL'!A:CG,85,FALSE)</f>
        <v>0</v>
      </c>
      <c r="K46" s="414">
        <v>1</v>
      </c>
    </row>
    <row r="47" spans="1:11" ht="11.25" customHeight="1">
      <c r="A47" s="380">
        <v>7</v>
      </c>
      <c r="B47" s="915" t="s">
        <v>2719</v>
      </c>
      <c r="C47" s="916"/>
      <c r="D47" s="917"/>
      <c r="E47" s="381">
        <v>2500000</v>
      </c>
      <c r="F47" s="367">
        <f>IF(K47=0,"",VLOOKUP(I47,'SUIVI JOURNALIER AVRIL'!A:CD,82,FALSE)-J47)</f>
        <v>1957826</v>
      </c>
      <c r="G47" s="381">
        <v>1744247</v>
      </c>
      <c r="H47" s="367">
        <f>VLOOKUP(I47,Feuil1!A:B,2,FALSE)</f>
        <v>1790667</v>
      </c>
      <c r="I47" s="428" t="s">
        <v>299</v>
      </c>
      <c r="J47" s="424">
        <f>VLOOKUP(I47,'SUIVI JOURNALIER AVRIL'!A:CG,85,FALSE)</f>
        <v>898839.99999999988</v>
      </c>
      <c r="K47" s="414">
        <v>1</v>
      </c>
    </row>
    <row r="48" spans="1:11" ht="11.25" customHeight="1">
      <c r="A48" s="380">
        <v>8</v>
      </c>
      <c r="B48" s="915" t="s">
        <v>2716</v>
      </c>
      <c r="C48" s="916"/>
      <c r="D48" s="917"/>
      <c r="E48" s="381">
        <v>2500000</v>
      </c>
      <c r="F48" s="367">
        <f>IF(K48=0,"",VLOOKUP(I48,'SUIVI JOURNALIER AVRIL'!A:CD,82,FALSE)-J48)</f>
        <v>2520207</v>
      </c>
      <c r="G48" s="381">
        <v>2680808</v>
      </c>
      <c r="H48" s="367">
        <f>VLOOKUP(I48,Feuil1!A:B,2,FALSE)</f>
        <v>1283236</v>
      </c>
      <c r="I48" s="429" t="s">
        <v>2259</v>
      </c>
      <c r="J48" s="424">
        <f>VLOOKUP(I48,'SUIVI JOURNALIER AVRIL'!A:CG,85,FALSE)</f>
        <v>0</v>
      </c>
      <c r="K48" s="414">
        <v>1</v>
      </c>
    </row>
    <row r="49" spans="1:11" ht="11.25" customHeight="1">
      <c r="A49" s="380">
        <v>9</v>
      </c>
      <c r="B49" s="915" t="s">
        <v>2717</v>
      </c>
      <c r="C49" s="916"/>
      <c r="D49" s="917"/>
      <c r="E49" s="381">
        <v>2500000</v>
      </c>
      <c r="F49" s="367">
        <f>IF(K49=0,"",VLOOKUP(I49,'SUIVI JOURNALIER AVRIL'!A:CD,82,FALSE)-J49)</f>
        <v>955320.00000000012</v>
      </c>
      <c r="G49" s="381">
        <v>1288245</v>
      </c>
      <c r="H49" s="367">
        <f>VLOOKUP(I49,Feuil1!A:B,2,FALSE)</f>
        <v>1708672</v>
      </c>
      <c r="I49" s="426" t="s">
        <v>1860</v>
      </c>
      <c r="J49" s="424">
        <f>VLOOKUP(I49,'SUIVI JOURNALIER AVRIL'!A:CG,85,FALSE)</f>
        <v>755675.45454545447</v>
      </c>
      <c r="K49" s="414">
        <v>1</v>
      </c>
    </row>
    <row r="50" spans="1:11" ht="11.25" customHeight="1">
      <c r="A50" s="380">
        <v>10</v>
      </c>
      <c r="B50" s="915" t="s">
        <v>2762</v>
      </c>
      <c r="C50" s="916"/>
      <c r="D50" s="917"/>
      <c r="E50" s="381">
        <v>1500000</v>
      </c>
      <c r="F50" s="367">
        <f>IF(K50=0,"",VLOOKUP(I50,'SUIVI JOURNALIER AVRIL'!A:CD,82,FALSE)-J50)</f>
        <v>569677</v>
      </c>
      <c r="G50" s="381">
        <v>683521.54545454541</v>
      </c>
      <c r="H50" s="367">
        <f>VLOOKUP(I50,Feuil1!A:B,2,FALSE)</f>
        <v>862378</v>
      </c>
      <c r="I50" s="426" t="s">
        <v>2311</v>
      </c>
      <c r="J50" s="424"/>
      <c r="K50" s="414">
        <v>1</v>
      </c>
    </row>
    <row r="51" spans="1:11" ht="11.25" customHeight="1">
      <c r="A51" s="380">
        <v>11</v>
      </c>
      <c r="B51" s="915" t="s">
        <v>2718</v>
      </c>
      <c r="C51" s="916"/>
      <c r="D51" s="917"/>
      <c r="E51" s="381">
        <v>3000000</v>
      </c>
      <c r="F51" s="367">
        <f>IF(K51=0,"",VLOOKUP(I51,'SUIVI JOURNALIER AVRIL'!A:CD,82,FALSE)-J51)</f>
        <v>993946.99999999988</v>
      </c>
      <c r="G51" s="381">
        <v>1439839</v>
      </c>
      <c r="H51" s="367">
        <f>VLOOKUP(I51,Feuil1!A:B,2,FALSE)</f>
        <v>1277304</v>
      </c>
      <c r="I51" s="427" t="s">
        <v>1845</v>
      </c>
      <c r="J51" s="424">
        <f>VLOOKUP(I51,'SUIVI JOURNALIER AVRIL'!A:CG,85,FALSE)</f>
        <v>698042.72727272718</v>
      </c>
      <c r="K51" s="414">
        <v>1</v>
      </c>
    </row>
    <row r="52" spans="1:11" ht="11.25" customHeight="1">
      <c r="A52" s="380">
        <v>12</v>
      </c>
      <c r="B52" s="915" t="s">
        <v>285</v>
      </c>
      <c r="C52" s="916"/>
      <c r="D52" s="917"/>
      <c r="E52" s="381">
        <v>2000000</v>
      </c>
      <c r="F52" s="367">
        <f>IF(K52=0,"",VLOOKUP(I52,'SUIVI JOURNALIER AVRIL'!A:CD,82,FALSE)-J52)</f>
        <v>1021308</v>
      </c>
      <c r="G52" s="381">
        <v>1051361.4545454546</v>
      </c>
      <c r="H52" s="367">
        <f>VLOOKUP(I52,Feuil1!A:B,2,FALSE)</f>
        <v>324258</v>
      </c>
      <c r="I52" s="427" t="s">
        <v>285</v>
      </c>
      <c r="J52" s="424"/>
      <c r="K52" s="414">
        <v>1</v>
      </c>
    </row>
    <row r="53" spans="1:11" ht="11.25" customHeight="1">
      <c r="A53" s="915" t="s">
        <v>2663</v>
      </c>
      <c r="B53" s="916"/>
      <c r="C53" s="916"/>
      <c r="D53" s="917"/>
      <c r="E53" s="378">
        <f>SUM(E41:E52)</f>
        <v>31700000</v>
      </c>
      <c r="F53" s="378">
        <f>SUM(F41:F52)</f>
        <v>18762569</v>
      </c>
      <c r="G53" s="378">
        <f>SUM(G41:G52)</f>
        <v>19503888</v>
      </c>
      <c r="H53" s="378">
        <f>SUM(H41:H52)</f>
        <v>22343435</v>
      </c>
      <c r="I53" s="371"/>
      <c r="J53" s="424"/>
    </row>
    <row r="54" spans="1:11" ht="11.25" customHeight="1">
      <c r="A54" s="915" t="s">
        <v>2664</v>
      </c>
      <c r="B54" s="916"/>
      <c r="C54" s="916"/>
      <c r="D54" s="917"/>
      <c r="E54" s="382">
        <f>E21-E53</f>
        <v>12000000</v>
      </c>
      <c r="F54" s="382">
        <f>F21-F53</f>
        <v>6865298.6363636367</v>
      </c>
      <c r="G54" s="382">
        <f>G21-G53</f>
        <v>7152527.9090908989</v>
      </c>
      <c r="H54" s="382">
        <f>H21-H53</f>
        <v>7791639.5454545468</v>
      </c>
      <c r="I54" s="371"/>
      <c r="J54" s="424"/>
    </row>
    <row r="55" spans="1:11" ht="11.25" customHeight="1">
      <c r="A55" s="903" t="s">
        <v>2011</v>
      </c>
      <c r="B55" s="903"/>
      <c r="C55" s="903"/>
      <c r="D55" s="903"/>
      <c r="E55" s="903"/>
      <c r="F55" s="903"/>
      <c r="G55" s="903"/>
      <c r="H55" s="903"/>
      <c r="I55" s="427"/>
      <c r="J55" s="424"/>
    </row>
    <row r="56" spans="1:11" ht="11.25" customHeight="1">
      <c r="A56" s="380">
        <v>1</v>
      </c>
      <c r="B56" s="915" t="s">
        <v>2894</v>
      </c>
      <c r="C56" s="916"/>
      <c r="D56" s="917"/>
      <c r="E56" s="381">
        <v>10000000</v>
      </c>
      <c r="F56" s="367" t="str">
        <f>IF(K56=0,"",VLOOKUP(I56,'SUIVI JOURNALIER AVRIL'!A:CD,82,FALSE)-J56)</f>
        <v/>
      </c>
      <c r="G56" s="381" t="s">
        <v>2055</v>
      </c>
      <c r="H56" s="367">
        <v>0</v>
      </c>
      <c r="I56" s="427" t="s">
        <v>337</v>
      </c>
      <c r="J56" s="424" t="e">
        <f>VLOOKUP(I56,'SUIVI JOURNALIER AVRIL'!A:CG,85,FALSE)</f>
        <v>#N/A</v>
      </c>
    </row>
    <row r="57" spans="1:11" ht="11.25" customHeight="1">
      <c r="A57" s="380">
        <v>2</v>
      </c>
      <c r="B57" s="915" t="s">
        <v>2720</v>
      </c>
      <c r="C57" s="916"/>
      <c r="D57" s="917"/>
      <c r="E57" s="381">
        <v>1500000</v>
      </c>
      <c r="F57" s="367">
        <f>IF(K57=0,"",VLOOKUP(I57,'SUIVI JOURNALIER AVRIL'!A:CD,82,FALSE)-J57)</f>
        <v>1147611.9090909092</v>
      </c>
      <c r="G57" s="381">
        <v>987189.45454545459</v>
      </c>
      <c r="H57" s="367">
        <f>VLOOKUP(I57,Feuil1!A:B,2,FALSE)</f>
        <v>1085696</v>
      </c>
      <c r="I57" s="427" t="s">
        <v>2343</v>
      </c>
      <c r="J57" s="424">
        <f>VLOOKUP(I57,'SUIVI JOURNALIER AVRIL'!A:CG,85,FALSE)</f>
        <v>0</v>
      </c>
      <c r="K57" s="414">
        <v>1</v>
      </c>
    </row>
    <row r="58" spans="1:11" ht="11.25" customHeight="1">
      <c r="A58" s="380">
        <v>3</v>
      </c>
      <c r="B58" s="915" t="s">
        <v>2721</v>
      </c>
      <c r="C58" s="916"/>
      <c r="D58" s="917"/>
      <c r="E58" s="381">
        <v>1500000</v>
      </c>
      <c r="F58" s="367">
        <f>IF(K58=0,"",VLOOKUP(I58,'SUIVI JOURNALIER AVRIL'!A:CD,82,FALSE)-J58)</f>
        <v>1050873.9090909092</v>
      </c>
      <c r="G58" s="381">
        <v>1888470.9090909092</v>
      </c>
      <c r="H58" s="367">
        <f>VLOOKUP(I58,Feuil1!A:B,2,FALSE)</f>
        <v>931748</v>
      </c>
      <c r="I58" s="427" t="s">
        <v>1514</v>
      </c>
      <c r="J58" s="424">
        <f>VLOOKUP(I58,'SUIVI JOURNALIER AVRIL'!A:CG,85,FALSE)</f>
        <v>0</v>
      </c>
      <c r="K58" s="414">
        <v>1</v>
      </c>
    </row>
    <row r="59" spans="1:11" ht="11.25" customHeight="1">
      <c r="A59" s="380">
        <v>4</v>
      </c>
      <c r="B59" s="915" t="s">
        <v>2763</v>
      </c>
      <c r="C59" s="916"/>
      <c r="D59" s="917"/>
      <c r="E59" s="381">
        <v>850000</v>
      </c>
      <c r="F59" s="367">
        <f>IF(K59=0,"",VLOOKUP(I59,'SUIVI JOURNALIER AVRIL'!A:CD,82,FALSE)-J59)</f>
        <v>437239.72727272729</v>
      </c>
      <c r="G59" s="381">
        <v>260113.90909090909</v>
      </c>
      <c r="H59" s="367">
        <f>VLOOKUP(I59,Feuil1!A:B,2,FALSE)</f>
        <v>252710</v>
      </c>
      <c r="I59" s="427" t="s">
        <v>1995</v>
      </c>
      <c r="J59" s="424">
        <f>VLOOKUP(I59,'SUIVI JOURNALIER AVRIL'!A:CG,85,FALSE)</f>
        <v>0</v>
      </c>
      <c r="K59" s="414">
        <v>1</v>
      </c>
    </row>
    <row r="60" spans="1:11" ht="11.25" customHeight="1">
      <c r="A60" s="380">
        <v>5</v>
      </c>
      <c r="B60" s="915" t="s">
        <v>2812</v>
      </c>
      <c r="C60" s="916"/>
      <c r="D60" s="917"/>
      <c r="E60" s="381">
        <v>0</v>
      </c>
      <c r="F60" s="367" t="str">
        <f>IF(K60=0,"",VLOOKUP(I60,'SUIVI JOURNALIER AVRIL'!A:CD,82,FALSE)-J60)</f>
        <v/>
      </c>
      <c r="G60" s="381">
        <v>21098930.909090906</v>
      </c>
      <c r="H60" s="367">
        <v>0</v>
      </c>
      <c r="I60" s="427" t="s">
        <v>2812</v>
      </c>
      <c r="J60" s="427"/>
    </row>
    <row r="61" spans="1:11" ht="11.25" customHeight="1">
      <c r="A61" s="380">
        <v>6</v>
      </c>
      <c r="B61" s="915" t="s">
        <v>2770</v>
      </c>
      <c r="C61" s="916"/>
      <c r="D61" s="917"/>
      <c r="E61" s="381">
        <v>5000000</v>
      </c>
      <c r="F61" s="367" t="str">
        <f>IF(K61=0,"",VLOOKUP(I61,'SUIVI JOURNALIER AVRIL'!A:CD,82,FALSE)-J61)</f>
        <v/>
      </c>
      <c r="G61" s="381">
        <v>0</v>
      </c>
      <c r="H61" s="367">
        <v>0</v>
      </c>
      <c r="I61" s="427" t="s">
        <v>2817</v>
      </c>
      <c r="J61" s="427"/>
    </row>
    <row r="62" spans="1:11" ht="11.25" customHeight="1">
      <c r="A62" s="380">
        <v>7</v>
      </c>
      <c r="B62" s="915" t="s">
        <v>2824</v>
      </c>
      <c r="C62" s="916"/>
      <c r="D62" s="917"/>
      <c r="E62" s="381">
        <v>2000000</v>
      </c>
      <c r="F62" s="367">
        <f>IF(K62=0,"",VLOOKUP(I62,'SUIVI JOURNALIER AVRIL'!A:CD,82,FALSE)-J62)</f>
        <v>6262291.8181818174</v>
      </c>
      <c r="G62" s="381">
        <v>0</v>
      </c>
      <c r="H62" s="367">
        <v>0</v>
      </c>
      <c r="I62" s="427" t="s">
        <v>2824</v>
      </c>
      <c r="J62" s="427"/>
      <c r="K62" s="414">
        <v>1</v>
      </c>
    </row>
    <row r="63" spans="1:11" ht="11.25" customHeight="1">
      <c r="A63" s="380">
        <v>8</v>
      </c>
      <c r="B63" s="915" t="s">
        <v>3015</v>
      </c>
      <c r="C63" s="916"/>
      <c r="D63" s="917"/>
      <c r="E63" s="381">
        <v>1000000</v>
      </c>
      <c r="F63" s="367" t="str">
        <f>IF(K63=0,"",VLOOKUP(I63,'SUIVI JOURNALIER AVRIL'!A:CD,82,FALSE)-J63)</f>
        <v/>
      </c>
      <c r="G63" s="381">
        <v>0</v>
      </c>
      <c r="H63" s="367">
        <v>0</v>
      </c>
      <c r="I63" s="427" t="s">
        <v>2814</v>
      </c>
      <c r="J63" s="427"/>
    </row>
    <row r="64" spans="1:11" ht="11.25" customHeight="1">
      <c r="A64" s="380">
        <v>9</v>
      </c>
      <c r="B64" s="915" t="s">
        <v>2722</v>
      </c>
      <c r="C64" s="916"/>
      <c r="D64" s="917"/>
      <c r="E64" s="381">
        <v>2500000</v>
      </c>
      <c r="F64" s="367" t="str">
        <f>IF(K64=0,"",VLOOKUP(I64,'SUIVI JOURNALIER AVRIL'!A:CD,82,FALSE)-J64)</f>
        <v/>
      </c>
      <c r="G64" s="381">
        <v>0</v>
      </c>
      <c r="H64" s="367">
        <v>0</v>
      </c>
      <c r="I64" s="427" t="s">
        <v>359</v>
      </c>
      <c r="J64" s="427" t="e">
        <f>VLOOKUP(I64,'SUIVI JOURNALIER AVRIL'!A:CG,85,FALSE)</f>
        <v>#N/A</v>
      </c>
    </row>
    <row r="65" spans="1:11" ht="11.25" customHeight="1">
      <c r="A65" s="380">
        <v>10</v>
      </c>
      <c r="B65" s="605" t="s">
        <v>340</v>
      </c>
      <c r="C65" s="607"/>
      <c r="D65" s="606"/>
      <c r="E65" s="381">
        <v>2000000</v>
      </c>
      <c r="F65" s="367">
        <f>IF(K65=0,"",VLOOKUP(I65,'SUIVI JOURNALIER AVRIL'!A:CD,82,FALSE)-J65)</f>
        <v>212778</v>
      </c>
      <c r="G65" s="381">
        <v>0</v>
      </c>
      <c r="H65" s="367">
        <v>0</v>
      </c>
      <c r="I65" s="427" t="s">
        <v>340</v>
      </c>
      <c r="J65" s="427"/>
      <c r="K65" s="414">
        <v>1</v>
      </c>
    </row>
    <row r="66" spans="1:11" ht="11.25" customHeight="1">
      <c r="A66" s="380">
        <v>11</v>
      </c>
      <c r="B66" s="605" t="s">
        <v>2813</v>
      </c>
      <c r="C66" s="607"/>
      <c r="D66" s="606"/>
      <c r="E66" s="381">
        <v>10000000</v>
      </c>
      <c r="F66" s="367" t="str">
        <f>IF(K66=0,"",VLOOKUP(I66,'SUIVI JOURNALIER AVRIL'!A:CD,82,FALSE)-J66)</f>
        <v/>
      </c>
      <c r="G66" s="381">
        <v>0</v>
      </c>
      <c r="H66" s="367">
        <v>0</v>
      </c>
      <c r="I66" s="427" t="s">
        <v>2816</v>
      </c>
      <c r="J66" s="427"/>
    </row>
    <row r="67" spans="1:11" ht="11.25" customHeight="1">
      <c r="A67" s="380">
        <v>12</v>
      </c>
      <c r="B67" s="915" t="s">
        <v>338</v>
      </c>
      <c r="C67" s="916"/>
      <c r="D67" s="917"/>
      <c r="E67" s="381">
        <v>1000000</v>
      </c>
      <c r="F67" s="367" t="str">
        <f>IF(K67=0,"",VLOOKUP(I67,'SUIVI JOURNALIER AVRIL'!A:CD,82,FALSE)-J67)</f>
        <v/>
      </c>
      <c r="G67" s="381">
        <v>0</v>
      </c>
      <c r="H67" s="367">
        <v>0</v>
      </c>
      <c r="I67" s="427" t="s">
        <v>338</v>
      </c>
      <c r="J67" s="424" t="e">
        <f>VLOOKUP(I67,'SUIVI JOURNALIER AVRIL'!A:CG,85,FALSE)</f>
        <v>#N/A</v>
      </c>
    </row>
    <row r="68" spans="1:11" ht="11.25" customHeight="1">
      <c r="A68" s="915" t="s">
        <v>2663</v>
      </c>
      <c r="B68" s="916"/>
      <c r="C68" s="916"/>
      <c r="D68" s="917"/>
      <c r="E68" s="378">
        <f>SUM(E56:E67)</f>
        <v>37350000</v>
      </c>
      <c r="F68" s="378">
        <f>SUM(F56:F67)</f>
        <v>9110795.3636363633</v>
      </c>
      <c r="G68" s="378">
        <f>SUM(G56:G67)</f>
        <v>24234705.18181818</v>
      </c>
      <c r="H68" s="378">
        <f>SUM(H56:H67)</f>
        <v>2270154</v>
      </c>
      <c r="I68" s="371"/>
      <c r="J68" s="424"/>
    </row>
    <row r="69" spans="1:11" ht="11.25" customHeight="1">
      <c r="A69" s="915" t="s">
        <v>2664</v>
      </c>
      <c r="B69" s="916"/>
      <c r="C69" s="916"/>
      <c r="D69" s="917"/>
      <c r="E69" s="382">
        <f>E22-E68</f>
        <v>8200000</v>
      </c>
      <c r="F69" s="382">
        <f>F22-F68</f>
        <v>12425726.72727273</v>
      </c>
      <c r="G69" s="382">
        <f>G22-G68</f>
        <v>5979362.7272727266</v>
      </c>
      <c r="H69" s="382">
        <f>H22-H68</f>
        <v>42292063.545454539</v>
      </c>
      <c r="I69" s="371"/>
      <c r="J69" s="424"/>
    </row>
    <row r="70" spans="1:11" ht="11.25" customHeight="1">
      <c r="A70" s="903" t="s">
        <v>2012</v>
      </c>
      <c r="B70" s="903"/>
      <c r="C70" s="903"/>
      <c r="D70" s="903"/>
      <c r="E70" s="903"/>
      <c r="F70" s="903"/>
      <c r="G70" s="903"/>
      <c r="H70" s="903"/>
      <c r="I70" s="371"/>
      <c r="J70" s="424"/>
    </row>
    <row r="71" spans="1:11" ht="11.25" customHeight="1">
      <c r="A71" s="380">
        <v>1</v>
      </c>
      <c r="B71" s="915" t="s">
        <v>2895</v>
      </c>
      <c r="C71" s="916"/>
      <c r="D71" s="917"/>
      <c r="E71" s="381">
        <v>700000</v>
      </c>
      <c r="F71" s="367">
        <f>IF(K71=0,"",VLOOKUP(I71,'SUIVI JOURNALIER AVRIL'!A:CD,82,FALSE)-J71)</f>
        <v>316947</v>
      </c>
      <c r="G71" s="381">
        <v>306002</v>
      </c>
      <c r="H71" s="367">
        <f>VLOOKUP(I71,Feuil1!A:B,2,FALSE)</f>
        <v>684119.5</v>
      </c>
      <c r="I71" s="124" t="s">
        <v>280</v>
      </c>
      <c r="J71" s="424">
        <f>VLOOKUP(I71,'SUIVI JOURNALIER AVRIL'!A:CG,85,FALSE)</f>
        <v>0</v>
      </c>
      <c r="K71" s="414">
        <v>1</v>
      </c>
    </row>
    <row r="72" spans="1:11" ht="11.25" customHeight="1">
      <c r="A72" s="380">
        <v>2</v>
      </c>
      <c r="B72" s="915" t="s">
        <v>2896</v>
      </c>
      <c r="C72" s="916"/>
      <c r="D72" s="917"/>
      <c r="E72" s="381">
        <v>0</v>
      </c>
      <c r="F72" s="367" t="str">
        <f>IF(K72=0,"",VLOOKUP(I72,'SUIVI JOURNALIER AVRIL'!A:CD,82,FALSE)-J72)</f>
        <v/>
      </c>
      <c r="G72" s="381">
        <v>0</v>
      </c>
      <c r="H72" s="367">
        <f>VLOOKUP(I72,Feuil1!A:B,2,FALSE)</f>
        <v>907414.5</v>
      </c>
      <c r="I72" s="124" t="s">
        <v>287</v>
      </c>
      <c r="J72" s="424" t="e">
        <f>VLOOKUP(I72,'SUIVI JOURNALIER AVRIL'!A:CG,85,FALSE)</f>
        <v>#N/A</v>
      </c>
    </row>
    <row r="73" spans="1:11" ht="11.25" customHeight="1">
      <c r="A73" s="380">
        <v>3</v>
      </c>
      <c r="B73" s="915" t="s">
        <v>2025</v>
      </c>
      <c r="C73" s="916"/>
      <c r="D73" s="917"/>
      <c r="E73" s="381">
        <v>0</v>
      </c>
      <c r="F73" s="367" t="str">
        <f>IF(K73=0,"",VLOOKUP(I73,'SUIVI JOURNALIER AVRIL'!A:CD,82,FALSE)-J73)</f>
        <v/>
      </c>
      <c r="G73" s="381">
        <v>0</v>
      </c>
      <c r="H73" s="367">
        <v>0</v>
      </c>
      <c r="I73" s="124" t="s">
        <v>563</v>
      </c>
      <c r="J73" s="424" t="e">
        <f>VLOOKUP(I73,'SUIVI JOURNALIER AVRIL'!A:CG,85,FALSE)</f>
        <v>#N/A</v>
      </c>
    </row>
    <row r="74" spans="1:11" ht="11.25" customHeight="1">
      <c r="A74" s="380">
        <v>4</v>
      </c>
      <c r="B74" s="915" t="s">
        <v>2897</v>
      </c>
      <c r="C74" s="916"/>
      <c r="D74" s="917"/>
      <c r="E74" s="381">
        <v>14000000</v>
      </c>
      <c r="F74" s="367">
        <v>14557422</v>
      </c>
      <c r="G74" s="367">
        <v>17554129</v>
      </c>
      <c r="H74" s="367">
        <v>18591306</v>
      </c>
      <c r="I74" s="124" t="s">
        <v>2029</v>
      </c>
      <c r="J74" s="424" t="e">
        <f>VLOOKUP(I74,'SUIVI JOURNALIER AVRIL'!A:CG,85,FALSE)</f>
        <v>#N/A</v>
      </c>
      <c r="K74" s="414">
        <v>1</v>
      </c>
    </row>
    <row r="75" spans="1:11" ht="11.25" customHeight="1">
      <c r="A75" s="380">
        <v>5</v>
      </c>
      <c r="B75" s="915" t="s">
        <v>2666</v>
      </c>
      <c r="C75" s="916"/>
      <c r="D75" s="917"/>
      <c r="E75" s="381">
        <v>2000000</v>
      </c>
      <c r="F75" s="367">
        <f>IF(K75=0,"",VLOOKUP(I75,'SUIVI JOURNALIER AVRIL'!A:CD,82,FALSE)-J75)</f>
        <v>1443577</v>
      </c>
      <c r="G75" s="381">
        <v>0</v>
      </c>
      <c r="H75" s="367">
        <f>VLOOKUP(I75,Feuil1!A:B,2,FALSE)</f>
        <v>294674.72727272729</v>
      </c>
      <c r="I75" s="124" t="s">
        <v>817</v>
      </c>
      <c r="J75" s="424">
        <f>VLOOKUP(I75,'SUIVI JOURNALIER AVRIL'!A:CG,85,FALSE)</f>
        <v>0</v>
      </c>
      <c r="K75" s="414">
        <v>1</v>
      </c>
    </row>
    <row r="76" spans="1:11" ht="11.25" customHeight="1">
      <c r="A76" s="380">
        <v>6</v>
      </c>
      <c r="B76" s="609" t="s">
        <v>2898</v>
      </c>
      <c r="C76" s="609"/>
      <c r="D76" s="610"/>
      <c r="E76" s="381">
        <v>35000000</v>
      </c>
      <c r="F76" s="367">
        <f>IF(K76=0,"",VLOOKUP(I76,'SUIVI JOURNALIER AVRIL'!A:CD,82,FALSE)-J76)</f>
        <v>3061</v>
      </c>
      <c r="G76" s="381">
        <v>8897260</v>
      </c>
      <c r="H76" s="367">
        <f>VLOOKUP(I76,Feuil1!A:B,2,FALSE)</f>
        <v>22490251.545454547</v>
      </c>
      <c r="I76" s="124" t="s">
        <v>364</v>
      </c>
      <c r="J76" s="424">
        <f>VLOOKUP(I76,'SUIVI JOURNALIER AVRIL'!A:CG,85,FALSE)</f>
        <v>0</v>
      </c>
      <c r="K76" s="414">
        <v>1</v>
      </c>
    </row>
    <row r="77" spans="1:11" ht="11.25" customHeight="1">
      <c r="A77" s="380">
        <v>7</v>
      </c>
      <c r="B77" s="609" t="s">
        <v>2130</v>
      </c>
      <c r="C77" s="609"/>
      <c r="D77" s="610"/>
      <c r="E77" s="381">
        <v>2500000</v>
      </c>
      <c r="F77" s="367">
        <f>IF(K77=0,"",VLOOKUP(I77,'SUIVI JOURNALIER AVRIL'!A:CD,82,FALSE)-J77)</f>
        <v>3429016</v>
      </c>
      <c r="G77" s="381">
        <v>1179086.9090909089</v>
      </c>
      <c r="H77" s="367">
        <f>VLOOKUP(I77,Feuil1!A:B,2,FALSE)</f>
        <v>865277</v>
      </c>
      <c r="I77" s="124" t="s">
        <v>2130</v>
      </c>
      <c r="J77" s="424">
        <f>VLOOKUP(I77,'SUIVI JOURNALIER AVRIL'!A:CG,85,FALSE)</f>
        <v>9593624.5454545449</v>
      </c>
      <c r="K77" s="414">
        <v>1</v>
      </c>
    </row>
    <row r="78" spans="1:11" ht="11.25" customHeight="1">
      <c r="A78" s="380">
        <v>8</v>
      </c>
      <c r="B78" s="609" t="s">
        <v>2723</v>
      </c>
      <c r="C78" s="609"/>
      <c r="D78" s="610"/>
      <c r="E78" s="381">
        <v>12000000</v>
      </c>
      <c r="F78" s="367">
        <f>IF(K78=0,"",VLOOKUP(I78,'SUIVI JOURNALIER AVRIL'!A:CD,82,FALSE)-J78)</f>
        <v>1157106</v>
      </c>
      <c r="G78" s="381">
        <v>3231995.9090909092</v>
      </c>
      <c r="H78" s="367">
        <f>VLOOKUP(I78,Feuil1!A:B,2,FALSE)</f>
        <v>2931749</v>
      </c>
      <c r="I78" s="124" t="s">
        <v>365</v>
      </c>
      <c r="J78" s="424">
        <f>VLOOKUP(I78,'SUIVI JOURNALIER AVRIL'!A:CG,85,FALSE)</f>
        <v>0</v>
      </c>
      <c r="K78" s="414">
        <v>1</v>
      </c>
    </row>
    <row r="79" spans="1:11" ht="11.25" customHeight="1">
      <c r="A79" s="380">
        <v>9</v>
      </c>
      <c r="B79" s="609" t="s">
        <v>2771</v>
      </c>
      <c r="C79" s="609"/>
      <c r="D79" s="610"/>
      <c r="E79" s="381">
        <v>0</v>
      </c>
      <c r="F79" s="367" t="str">
        <f>IF(K79=0,"",VLOOKUP(I79,'SUIVI JOURNALIER AVRIL'!A:CD,82,FALSE)-J79)</f>
        <v/>
      </c>
      <c r="G79" s="381">
        <v>9223206</v>
      </c>
      <c r="H79" s="367">
        <v>0</v>
      </c>
      <c r="I79" s="124" t="s">
        <v>2771</v>
      </c>
      <c r="J79" s="424" t="e">
        <f>VLOOKUP(I79,'SUIVI JOURNALIER AVRIL'!A:CG,85,FALSE)</f>
        <v>#N/A</v>
      </c>
    </row>
    <row r="80" spans="1:11" ht="11.25" customHeight="1">
      <c r="A80" s="380">
        <v>10</v>
      </c>
      <c r="B80" s="609" t="s">
        <v>831</v>
      </c>
      <c r="C80" s="609"/>
      <c r="D80" s="610"/>
      <c r="E80" s="381">
        <v>0</v>
      </c>
      <c r="F80" s="367" t="str">
        <f>IF(K80=0,"",VLOOKUP(I80,'SUIVI JOURNALIER AVRIL'!A:CD,82,FALSE)-J80)</f>
        <v/>
      </c>
      <c r="G80" s="381">
        <v>0</v>
      </c>
      <c r="H80" s="367">
        <v>0</v>
      </c>
      <c r="I80" s="124" t="s">
        <v>831</v>
      </c>
      <c r="J80" s="424" t="e">
        <f>VLOOKUP(I80,'SUIVI JOURNALIER AVRIL'!A:CG,85,FALSE)</f>
        <v>#N/A</v>
      </c>
    </row>
    <row r="81" spans="1:14" ht="11.25" customHeight="1">
      <c r="A81" s="380">
        <v>11</v>
      </c>
      <c r="B81" s="947" t="s">
        <v>1717</v>
      </c>
      <c r="C81" s="947"/>
      <c r="D81" s="948"/>
      <c r="E81" s="381">
        <v>2000000</v>
      </c>
      <c r="F81" s="367">
        <f>IF(K81=0,"",VLOOKUP(I81,'SUIVI JOURNALIER AVRIL'!A:CD,82,FALSE)-J81)</f>
        <v>195313.09090909091</v>
      </c>
      <c r="G81" s="381">
        <v>239512</v>
      </c>
      <c r="H81" s="367">
        <f>VLOOKUP(I81,Feuil1!A:B,2,FALSE)</f>
        <v>441432.27272727271</v>
      </c>
      <c r="I81" s="124" t="s">
        <v>1717</v>
      </c>
      <c r="J81" s="424">
        <f>VLOOKUP(I81,'SUIVI JOURNALIER AVRIL'!A:CG,85,FALSE)</f>
        <v>0</v>
      </c>
      <c r="K81" s="414">
        <v>1</v>
      </c>
    </row>
    <row r="82" spans="1:14" ht="11.25" customHeight="1">
      <c r="A82" s="380">
        <v>12</v>
      </c>
      <c r="B82" s="947" t="s">
        <v>286</v>
      </c>
      <c r="C82" s="947"/>
      <c r="D82" s="948"/>
      <c r="E82" s="381">
        <v>1500000</v>
      </c>
      <c r="F82" s="367">
        <f>IF(K82=0,"",VLOOKUP(I82,'SUIVI JOURNALIER AVRIL'!A:CD,82,FALSE)-J82)</f>
        <v>10212</v>
      </c>
      <c r="G82" s="381">
        <v>0</v>
      </c>
      <c r="H82" s="367">
        <f>VLOOKUP(I82,Feuil1!A:B,2,FALSE)</f>
        <v>0</v>
      </c>
      <c r="I82" s="124" t="s">
        <v>286</v>
      </c>
      <c r="J82" s="424">
        <f>VLOOKUP(I82,'SUIVI JOURNALIER AVRIL'!A:CG,85,FALSE)</f>
        <v>0</v>
      </c>
      <c r="K82" s="414">
        <v>1</v>
      </c>
    </row>
    <row r="83" spans="1:14" ht="11.25" customHeight="1">
      <c r="A83" s="380">
        <v>13</v>
      </c>
      <c r="B83" s="915" t="s">
        <v>2814</v>
      </c>
      <c r="C83" s="916"/>
      <c r="D83" s="917"/>
      <c r="E83" s="381">
        <v>0</v>
      </c>
      <c r="F83" s="367" t="str">
        <f>IF(K83=0,"",VLOOKUP(I83,'SUIVI JOURNALIER AVRIL'!A:CD,82,FALSE)-J83)</f>
        <v/>
      </c>
      <c r="G83" s="381">
        <v>0</v>
      </c>
      <c r="H83" s="367">
        <v>0</v>
      </c>
      <c r="I83" s="124"/>
      <c r="J83" s="424" t="e">
        <f>VLOOKUP(I83,'SUIVI JOURNALIER AVRIL'!A:CG,85,FALSE)</f>
        <v>#N/A</v>
      </c>
    </row>
    <row r="84" spans="1:14" ht="11.25" customHeight="1">
      <c r="A84" s="380">
        <v>14</v>
      </c>
      <c r="B84" s="609" t="s">
        <v>1899</v>
      </c>
      <c r="C84" s="609"/>
      <c r="D84" s="610"/>
      <c r="E84" s="381">
        <v>0</v>
      </c>
      <c r="F84" s="367">
        <f>IF(K84=0,"",VLOOKUP(I84,'SUIVI JOURNALIER AVRIL'!A:CD,82,FALSE)-J84)</f>
        <v>12363</v>
      </c>
      <c r="G84" s="381">
        <v>3335994</v>
      </c>
      <c r="H84" s="367">
        <f>VLOOKUP(I84,Feuil1!A:B,2,FALSE)</f>
        <v>2464526</v>
      </c>
      <c r="I84" s="124" t="s">
        <v>1899</v>
      </c>
      <c r="J84" s="424">
        <f>VLOOKUP(I84,'SUIVI JOURNALIER AVRIL'!A:CG,85,FALSE)</f>
        <v>0</v>
      </c>
      <c r="K84" s="414">
        <v>1</v>
      </c>
    </row>
    <row r="85" spans="1:14" ht="11.25" customHeight="1">
      <c r="A85" s="380">
        <v>15</v>
      </c>
      <c r="B85" s="609" t="s">
        <v>374</v>
      </c>
      <c r="C85" s="609"/>
      <c r="D85" s="610"/>
      <c r="E85" s="381">
        <v>1500000</v>
      </c>
      <c r="F85" s="367">
        <f>IF(K85=0,"",VLOOKUP(I85,'SUIVI JOURNALIER AVRIL'!A:CD,82,FALSE)-J85)</f>
        <v>182333.90909090909</v>
      </c>
      <c r="G85" s="381">
        <v>71844</v>
      </c>
      <c r="H85" s="367">
        <f>VLOOKUP(I85,Feuil1!A:B,2,FALSE)</f>
        <v>276060.45454545453</v>
      </c>
      <c r="I85" s="124" t="s">
        <v>374</v>
      </c>
      <c r="J85" s="424">
        <f>VLOOKUP(I85,'SUIVI JOURNALIER AVRIL'!A:CG,85,FALSE)</f>
        <v>0</v>
      </c>
      <c r="K85" s="414">
        <v>1</v>
      </c>
    </row>
    <row r="86" spans="1:14" ht="11.25" customHeight="1">
      <c r="A86" s="915" t="s">
        <v>2663</v>
      </c>
      <c r="B86" s="916"/>
      <c r="C86" s="916"/>
      <c r="D86" s="917"/>
      <c r="E86" s="378">
        <f>SUM(E71:E85)</f>
        <v>71200000</v>
      </c>
      <c r="F86" s="378">
        <f>SUM(F71:F85)</f>
        <v>21307351</v>
      </c>
      <c r="G86" s="378">
        <f>SUM(G71:G85)</f>
        <v>44039029.81818182</v>
      </c>
      <c r="H86" s="378">
        <f>SUM(H71:H85)</f>
        <v>49946811</v>
      </c>
      <c r="I86" s="371"/>
      <c r="J86" s="424"/>
    </row>
    <row r="87" spans="1:14" ht="11.25" customHeight="1">
      <c r="A87" s="915" t="s">
        <v>2664</v>
      </c>
      <c r="B87" s="916"/>
      <c r="C87" s="916"/>
      <c r="D87" s="917"/>
      <c r="E87" s="382">
        <f>E23-E86</f>
        <v>10000000</v>
      </c>
      <c r="F87" s="382">
        <f>F23-F86</f>
        <v>6322967.7045454383</v>
      </c>
      <c r="G87" s="382">
        <f>G23-G86</f>
        <v>39847489.250000052</v>
      </c>
      <c r="H87" s="382">
        <f>H23-H86</f>
        <v>71961450.954545453</v>
      </c>
      <c r="I87" s="371"/>
      <c r="J87" s="424"/>
    </row>
    <row r="88" spans="1:14" ht="11.25" customHeight="1">
      <c r="A88" s="903" t="s">
        <v>1960</v>
      </c>
      <c r="B88" s="903"/>
      <c r="C88" s="903"/>
      <c r="D88" s="903"/>
      <c r="E88" s="903"/>
      <c r="F88" s="903"/>
      <c r="G88" s="903"/>
      <c r="H88" s="903"/>
      <c r="I88" s="371"/>
      <c r="J88" s="424"/>
    </row>
    <row r="89" spans="1:14" ht="11.25" customHeight="1">
      <c r="A89" s="380">
        <v>1</v>
      </c>
      <c r="B89" s="949" t="s">
        <v>480</v>
      </c>
      <c r="C89" s="947"/>
      <c r="D89" s="948"/>
      <c r="E89" s="381">
        <v>900000</v>
      </c>
      <c r="F89" s="367">
        <f>IF(K89=0,"",VLOOKUP(I89,'SUIVI JOURNALIER AVRIL'!A:CD,82,FALSE)-J89)</f>
        <v>403352</v>
      </c>
      <c r="G89" s="381">
        <v>403352</v>
      </c>
      <c r="H89" s="367">
        <f>VLOOKUP(I89,Feuil1!A:B,2,FALSE)</f>
        <v>448441</v>
      </c>
      <c r="I89" s="124" t="s">
        <v>479</v>
      </c>
      <c r="J89" s="424">
        <f>VLOOKUP(I89,'SUIVI JOURNALIER AVRIL'!A:CG,85,FALSE)</f>
        <v>0</v>
      </c>
      <c r="K89" s="414">
        <v>1</v>
      </c>
    </row>
    <row r="90" spans="1:14" ht="11.25" customHeight="1">
      <c r="A90" s="380">
        <v>2</v>
      </c>
      <c r="B90" s="949" t="s">
        <v>390</v>
      </c>
      <c r="C90" s="947"/>
      <c r="D90" s="948"/>
      <c r="E90" s="381">
        <v>7000000</v>
      </c>
      <c r="F90" s="367" t="str">
        <f>IF(K90=0,"",VLOOKUP(I90,'SUIVI JOURNALIER AVRIL'!A:CD,82,FALSE)-J90)</f>
        <v/>
      </c>
      <c r="G90" s="381">
        <v>0</v>
      </c>
      <c r="H90" s="367">
        <f>VLOOKUP(I90,Feuil1!A:B,2,FALSE)</f>
        <v>1467547</v>
      </c>
      <c r="I90" s="124" t="s">
        <v>390</v>
      </c>
      <c r="J90" s="424" t="e">
        <f>VLOOKUP(I90,'SUIVI JOURNALIER AVRIL'!A:CG,85,FALSE)</f>
        <v>#N/A</v>
      </c>
      <c r="N90" s="365" t="s">
        <v>2660</v>
      </c>
    </row>
    <row r="91" spans="1:14" ht="11.25" customHeight="1">
      <c r="A91" s="380">
        <v>3</v>
      </c>
      <c r="B91" s="949" t="s">
        <v>1568</v>
      </c>
      <c r="C91" s="947"/>
      <c r="D91" s="948"/>
      <c r="E91" s="381">
        <v>3000000</v>
      </c>
      <c r="F91" s="367">
        <f>IF(K91=0,"",VLOOKUP(I91,'SUIVI JOURNALIER AVRIL'!A:CD,82,FALSE)-J91)</f>
        <v>1673710</v>
      </c>
      <c r="G91" s="381">
        <v>1223322</v>
      </c>
      <c r="H91" s="367">
        <f>VLOOKUP(I91,Feuil1!A:B,2,FALSE)</f>
        <v>4528119</v>
      </c>
      <c r="I91" s="124" t="s">
        <v>1565</v>
      </c>
      <c r="J91" s="424">
        <f>VLOOKUP(I91,'SUIVI JOURNALIER AVRIL'!A:CG,85,FALSE)</f>
        <v>0</v>
      </c>
      <c r="K91" s="414">
        <v>1</v>
      </c>
    </row>
    <row r="92" spans="1:14" ht="11.25" customHeight="1">
      <c r="A92" s="380">
        <v>4</v>
      </c>
      <c r="B92" s="949" t="s">
        <v>284</v>
      </c>
      <c r="C92" s="947"/>
      <c r="D92" s="948"/>
      <c r="E92" s="381">
        <v>3500000</v>
      </c>
      <c r="F92" s="367" t="str">
        <f>IF(K92=0,"",VLOOKUP(I92,'SUIVI JOURNALIER AVRIL'!A:CD,82,FALSE)-J92)</f>
        <v/>
      </c>
      <c r="G92" s="381">
        <v>3079663</v>
      </c>
      <c r="H92" s="367">
        <f>VLOOKUP(I92,Feuil1!A:B,2,FALSE)</f>
        <v>2434942</v>
      </c>
      <c r="I92" s="124" t="s">
        <v>284</v>
      </c>
      <c r="J92" s="424" t="e">
        <f>VLOOKUP(I92,'SUIVI JOURNALIER AVRIL'!A:CG,85,FALSE)</f>
        <v>#N/A</v>
      </c>
    </row>
    <row r="93" spans="1:14" ht="11.25" customHeight="1">
      <c r="A93" s="380">
        <v>5</v>
      </c>
      <c r="B93" s="949" t="s">
        <v>2764</v>
      </c>
      <c r="C93" s="947"/>
      <c r="D93" s="948"/>
      <c r="E93" s="381">
        <v>800000</v>
      </c>
      <c r="F93" s="367">
        <f>IF(K93=0,"",VLOOKUP(I93,'SUIVI JOURNALIER AVRIL'!A:CD,82,FALSE)-J93)</f>
        <v>475400</v>
      </c>
      <c r="G93" s="381">
        <v>340656</v>
      </c>
      <c r="H93" s="367">
        <f>VLOOKUP(I93,Feuil1!A:B,2,FALSE)</f>
        <v>261025</v>
      </c>
      <c r="I93" s="124" t="s">
        <v>2195</v>
      </c>
      <c r="J93" s="424">
        <f>VLOOKUP(I93,'SUIVI JOURNALIER AVRIL'!A:CG,85,FALSE)</f>
        <v>0</v>
      </c>
      <c r="K93" s="414">
        <v>1</v>
      </c>
    </row>
    <row r="94" spans="1:14" ht="11.25" customHeight="1">
      <c r="A94" s="380">
        <v>6</v>
      </c>
      <c r="B94" s="949" t="s">
        <v>303</v>
      </c>
      <c r="C94" s="947"/>
      <c r="D94" s="948"/>
      <c r="E94" s="381">
        <v>800000</v>
      </c>
      <c r="F94" s="367">
        <f>IF(K94=0,"",VLOOKUP(I94,'SUIVI JOURNALIER AVRIL'!A:CD,82,FALSE)-J94)</f>
        <v>872073</v>
      </c>
      <c r="G94" s="381">
        <v>851430.63636363635</v>
      </c>
      <c r="H94" s="367">
        <f>VLOOKUP(I94,Feuil1!A:B,2,FALSE)</f>
        <v>213143</v>
      </c>
      <c r="I94" s="124" t="s">
        <v>303</v>
      </c>
      <c r="J94" s="424">
        <f>VLOOKUP(I94,'SUIVI JOURNALIER AVRIL'!A:CG,85,FALSE)</f>
        <v>0</v>
      </c>
      <c r="K94" s="414">
        <v>1</v>
      </c>
    </row>
    <row r="95" spans="1:14" ht="11.25" customHeight="1">
      <c r="A95" s="380">
        <v>7</v>
      </c>
      <c r="B95" s="947" t="s">
        <v>2765</v>
      </c>
      <c r="C95" s="947"/>
      <c r="D95" s="948"/>
      <c r="E95" s="381">
        <v>1200000</v>
      </c>
      <c r="F95" s="367">
        <f>IF(K95=0,"",VLOOKUP(I95,'SUIVI JOURNALIER AVRIL'!A:CD,82,FALSE)-J95)</f>
        <v>751611</v>
      </c>
      <c r="G95" s="381">
        <v>1948275.4545454544</v>
      </c>
      <c r="H95" s="367">
        <f>VLOOKUP(I95,Feuil1!A:B,2,FALSE)</f>
        <v>462063</v>
      </c>
      <c r="I95" s="124" t="s">
        <v>2310</v>
      </c>
      <c r="J95" s="424">
        <f>VLOOKUP(I95,'SUIVI JOURNALIER AVRIL'!A:CG,85,FALSE)</f>
        <v>0</v>
      </c>
      <c r="K95" s="414">
        <v>1</v>
      </c>
    </row>
    <row r="96" spans="1:14" ht="11.25" customHeight="1">
      <c r="A96" s="380">
        <v>8</v>
      </c>
      <c r="B96" s="947" t="s">
        <v>2769</v>
      </c>
      <c r="C96" s="947"/>
      <c r="D96" s="948"/>
      <c r="E96" s="381">
        <v>1000000</v>
      </c>
      <c r="F96" s="367">
        <f>IF(K96=0,"",VLOOKUP(I96,'SUIVI JOURNALIER AVRIL'!A:CD,82,FALSE)-J96)</f>
        <v>714915</v>
      </c>
      <c r="G96" s="381">
        <v>678552</v>
      </c>
      <c r="H96" s="367">
        <f>VLOOKUP(I96,Feuil1!A:B,2,FALSE)</f>
        <v>494164</v>
      </c>
      <c r="I96" s="124" t="s">
        <v>389</v>
      </c>
      <c r="J96" s="424">
        <f>VLOOKUP(I96,'SUIVI JOURNALIER AVRIL'!A:CG,85,FALSE)</f>
        <v>0</v>
      </c>
      <c r="K96" s="414">
        <v>1</v>
      </c>
    </row>
    <row r="97" spans="1:11" ht="11.25" customHeight="1">
      <c r="A97" s="380">
        <v>9</v>
      </c>
      <c r="B97" s="947" t="s">
        <v>2724</v>
      </c>
      <c r="C97" s="947"/>
      <c r="D97" s="948"/>
      <c r="E97" s="381">
        <v>300000</v>
      </c>
      <c r="F97" s="367">
        <f>IF(K97=0,"",VLOOKUP(I97,'SUIVI JOURNALIER AVRIL'!A:CD,82,FALSE)-J97)</f>
        <v>149826</v>
      </c>
      <c r="G97" s="381">
        <v>166364.09090909091</v>
      </c>
      <c r="H97" s="367">
        <v>0</v>
      </c>
      <c r="I97" s="124" t="s">
        <v>2295</v>
      </c>
      <c r="J97" s="424">
        <f>VLOOKUP(I97,'SUIVI JOURNALIER AVRIL'!A:CG,85,FALSE)</f>
        <v>0</v>
      </c>
      <c r="K97" s="414">
        <v>1</v>
      </c>
    </row>
    <row r="98" spans="1:11" ht="11.25" customHeight="1">
      <c r="A98" s="380">
        <v>10</v>
      </c>
      <c r="B98" s="609" t="s">
        <v>2033</v>
      </c>
      <c r="C98" s="609"/>
      <c r="D98" s="610"/>
      <c r="E98" s="381">
        <v>700000</v>
      </c>
      <c r="F98" s="367" t="str">
        <f>IF(K98=0,"",VLOOKUP(I98,'SUIVI JOURNALIER AVRIL'!A:CD,82,FALSE)-J98)</f>
        <v/>
      </c>
      <c r="G98" s="381">
        <v>555356.72727272729</v>
      </c>
      <c r="H98" s="367">
        <f>VLOOKUP(I98,Feuil1!A:B,2,FALSE)</f>
        <v>846291</v>
      </c>
      <c r="I98" s="124" t="s">
        <v>2033</v>
      </c>
      <c r="J98" s="424">
        <f>VLOOKUP(I98,'SUIVI JOURNALIER AVRIL'!A:CG,85,FALSE)</f>
        <v>0</v>
      </c>
    </row>
    <row r="99" spans="1:11" ht="11.25" customHeight="1">
      <c r="A99" s="380">
        <v>11</v>
      </c>
      <c r="B99" s="609" t="s">
        <v>2820</v>
      </c>
      <c r="C99" s="609"/>
      <c r="D99" s="610"/>
      <c r="E99" s="381">
        <v>500000</v>
      </c>
      <c r="F99" s="367">
        <f>IF(K99=0,"",VLOOKUP(I99,'SUIVI JOURNALIER AVRIL'!A:CD,82,FALSE)-J99)</f>
        <v>639783</v>
      </c>
      <c r="G99" s="381">
        <v>1087234.3636363635</v>
      </c>
      <c r="H99" s="367">
        <f>VLOOKUP(I99,Feuil1!A:B,2,FALSE)</f>
        <v>1548770</v>
      </c>
      <c r="I99" s="124" t="s">
        <v>857</v>
      </c>
      <c r="J99" s="424">
        <f>VLOOKUP(I99,'SUIVI JOURNALIER AVRIL'!A:CG,85,FALSE)</f>
        <v>0</v>
      </c>
      <c r="K99" s="414">
        <v>1</v>
      </c>
    </row>
    <row r="100" spans="1:11" ht="11.25" customHeight="1">
      <c r="A100" s="380">
        <v>12</v>
      </c>
      <c r="B100" s="609" t="s">
        <v>2821</v>
      </c>
      <c r="C100" s="609"/>
      <c r="D100" s="610"/>
      <c r="E100" s="381">
        <v>500000</v>
      </c>
      <c r="F100" s="367" t="str">
        <f>IF(K100=0,"",VLOOKUP(I100,'SUIVI JOURNALIER AVRIL'!A:CD,82,FALSE)-J100)</f>
        <v/>
      </c>
      <c r="G100" s="381">
        <v>222565</v>
      </c>
      <c r="H100" s="367">
        <v>0</v>
      </c>
      <c r="I100" s="124" t="s">
        <v>377</v>
      </c>
      <c r="J100" s="424" t="e">
        <f>VLOOKUP(I100,'SUIVI JOURNALIER AVRIL'!A:CG,85,FALSE)</f>
        <v>#N/A</v>
      </c>
    </row>
    <row r="101" spans="1:11" ht="11.25" customHeight="1">
      <c r="A101" s="380">
        <v>13</v>
      </c>
      <c r="B101" s="947" t="s">
        <v>2822</v>
      </c>
      <c r="C101" s="947"/>
      <c r="D101" s="948"/>
      <c r="E101" s="381">
        <v>500000</v>
      </c>
      <c r="F101" s="367">
        <f>IF(K101=0,"",VLOOKUP(I101,'SUIVI JOURNALIER AVRIL'!A:CD,82,FALSE)-J101)</f>
        <v>144593</v>
      </c>
      <c r="G101" s="381">
        <v>125682</v>
      </c>
      <c r="H101" s="367">
        <f>VLOOKUP(I101,Feuil1!A:B,2,FALSE)</f>
        <v>97500</v>
      </c>
      <c r="I101" s="124" t="s">
        <v>2148</v>
      </c>
      <c r="J101" s="424">
        <f>VLOOKUP(I101,'SUIVI JOURNALIER AVRIL'!A:CG,85,FALSE)</f>
        <v>0</v>
      </c>
      <c r="K101" s="414">
        <v>1</v>
      </c>
    </row>
    <row r="102" spans="1:11" ht="11.25" customHeight="1">
      <c r="A102" s="915" t="s">
        <v>2663</v>
      </c>
      <c r="B102" s="916"/>
      <c r="C102" s="916"/>
      <c r="D102" s="917"/>
      <c r="E102" s="378">
        <f>SUM(E89:E101)</f>
        <v>20700000</v>
      </c>
      <c r="F102" s="378">
        <f>SUM(F89:F93)</f>
        <v>2552462</v>
      </c>
      <c r="G102" s="378">
        <f>SUM(G89:G93)</f>
        <v>5046993</v>
      </c>
      <c r="H102" s="378">
        <f>SUM(H89:H93)</f>
        <v>9140074</v>
      </c>
      <c r="I102" s="124"/>
      <c r="J102" s="424"/>
      <c r="K102" s="414">
        <v>1</v>
      </c>
    </row>
    <row r="103" spans="1:11" ht="11.25" customHeight="1">
      <c r="A103" s="915" t="s">
        <v>2664</v>
      </c>
      <c r="B103" s="916"/>
      <c r="C103" s="916"/>
      <c r="D103" s="917"/>
      <c r="E103" s="382">
        <f>E24-E102</f>
        <v>5000000</v>
      </c>
      <c r="F103" s="382">
        <f>F24-F102</f>
        <v>9337097.5454545449</v>
      </c>
      <c r="G103" s="382">
        <f>G24-G102</f>
        <v>4269235.8181818239</v>
      </c>
      <c r="H103" s="382">
        <f>H24-H102</f>
        <v>13152274.090909094</v>
      </c>
      <c r="I103" s="371"/>
      <c r="J103" s="424"/>
    </row>
    <row r="104" spans="1:11" ht="11.25" customHeight="1">
      <c r="A104" s="946"/>
      <c r="B104" s="946"/>
      <c r="C104" s="946"/>
      <c r="D104" s="946"/>
      <c r="E104" s="946"/>
      <c r="F104" s="946"/>
      <c r="G104" s="946"/>
      <c r="H104" s="946"/>
      <c r="I104" s="371"/>
      <c r="J104" s="424"/>
    </row>
    <row r="105" spans="1:11" ht="11.25" customHeight="1">
      <c r="A105" s="918" t="s">
        <v>2667</v>
      </c>
      <c r="B105" s="919"/>
      <c r="C105" s="919"/>
      <c r="D105" s="920"/>
      <c r="E105" s="383">
        <f t="shared" ref="E105:H106" si="2">E38+E53+E68+E86+E102</f>
        <v>170950000</v>
      </c>
      <c r="F105" s="383">
        <f t="shared" si="2"/>
        <v>57641208.36363636</v>
      </c>
      <c r="G105" s="383">
        <f t="shared" si="2"/>
        <v>98178088.849999994</v>
      </c>
      <c r="H105" s="383">
        <f t="shared" si="2"/>
        <v>89617333.090909094</v>
      </c>
      <c r="I105" s="371"/>
      <c r="J105" s="424"/>
    </row>
    <row r="106" spans="1:11" ht="11.25" customHeight="1">
      <c r="A106" s="918" t="s">
        <v>2668</v>
      </c>
      <c r="B106" s="919"/>
      <c r="C106" s="919"/>
      <c r="D106" s="920"/>
      <c r="E106" s="383">
        <f t="shared" si="2"/>
        <v>43350000</v>
      </c>
      <c r="F106" s="383">
        <f t="shared" si="2"/>
        <v>35657393.704545438</v>
      </c>
      <c r="G106" s="383">
        <f t="shared" si="2"/>
        <v>58607213.581818238</v>
      </c>
      <c r="H106" s="383">
        <f t="shared" si="2"/>
        <v>135640618.95454544</v>
      </c>
      <c r="I106" s="371"/>
      <c r="J106" s="424"/>
    </row>
    <row r="107" spans="1:11" ht="11.25" customHeight="1">
      <c r="A107" s="918" t="s">
        <v>2013</v>
      </c>
      <c r="B107" s="919"/>
      <c r="C107" s="919"/>
      <c r="D107" s="920"/>
      <c r="E107" s="383">
        <f>SUM(E105:E106)</f>
        <v>214300000</v>
      </c>
      <c r="F107" s="383">
        <f>SUM(F105:F106)</f>
        <v>93298602.068181798</v>
      </c>
      <c r="G107" s="383">
        <f>SUM(G105:G106)</f>
        <v>156785302.43181825</v>
      </c>
      <c r="H107" s="383">
        <f>SUM(H105:H106)</f>
        <v>225257952.04545453</v>
      </c>
      <c r="I107" s="371"/>
      <c r="J107" s="424"/>
    </row>
    <row r="108" spans="1:11" ht="11.25" customHeight="1">
      <c r="A108" s="384"/>
      <c r="B108" s="384"/>
      <c r="C108" s="384"/>
      <c r="D108" s="384"/>
      <c r="E108" s="385"/>
      <c r="F108" s="385"/>
      <c r="G108" s="385"/>
      <c r="H108" s="385"/>
      <c r="I108" s="371"/>
      <c r="J108" s="424"/>
    </row>
    <row r="109" spans="1:11" ht="11.25" customHeight="1">
      <c r="A109" s="371" t="s">
        <v>2669</v>
      </c>
      <c r="B109" s="371"/>
      <c r="C109" s="371"/>
      <c r="D109" s="371"/>
      <c r="E109" s="371"/>
      <c r="F109" s="371"/>
      <c r="G109" s="371"/>
      <c r="H109" s="371"/>
      <c r="I109" s="371"/>
      <c r="J109" s="424"/>
    </row>
    <row r="110" spans="1:11" ht="15.75" customHeight="1">
      <c r="A110" s="926" t="s">
        <v>192</v>
      </c>
      <c r="B110" s="885" t="s">
        <v>2009</v>
      </c>
      <c r="C110" s="886"/>
      <c r="D110" s="887"/>
      <c r="E110" s="926" t="s">
        <v>2921</v>
      </c>
      <c r="F110" s="926"/>
      <c r="G110" s="927" t="s">
        <v>2899</v>
      </c>
      <c r="H110" s="927" t="s">
        <v>2920</v>
      </c>
      <c r="J110" s="423"/>
    </row>
    <row r="111" spans="1:11">
      <c r="A111" s="926"/>
      <c r="B111" s="888"/>
      <c r="C111" s="889"/>
      <c r="D111" s="890"/>
      <c r="E111" s="641" t="s">
        <v>2005</v>
      </c>
      <c r="F111" s="366" t="s">
        <v>2006</v>
      </c>
      <c r="G111" s="927"/>
      <c r="H111" s="927"/>
      <c r="J111" s="423"/>
    </row>
    <row r="112" spans="1:11" ht="11.25" customHeight="1">
      <c r="A112" s="376">
        <v>1</v>
      </c>
      <c r="B112" s="915" t="s">
        <v>2010</v>
      </c>
      <c r="C112" s="916"/>
      <c r="D112" s="917"/>
      <c r="E112" s="367">
        <f>tendances!E19</f>
        <v>2600000</v>
      </c>
      <c r="F112" s="367">
        <f>tendances!J19</f>
        <v>185019.09090909088</v>
      </c>
      <c r="G112" s="367">
        <v>13262397.272727273</v>
      </c>
      <c r="H112" s="381">
        <v>15505358.18181818</v>
      </c>
      <c r="I112" s="386"/>
      <c r="J112" s="424"/>
    </row>
    <row r="113" spans="1:10" ht="11.25" customHeight="1">
      <c r="A113" s="376">
        <v>2</v>
      </c>
      <c r="B113" s="915" t="s">
        <v>432</v>
      </c>
      <c r="C113" s="916"/>
      <c r="D113" s="917"/>
      <c r="E113" s="367">
        <f>tendances!E20</f>
        <v>13271172</v>
      </c>
      <c r="F113" s="367">
        <f>tendances!J20</f>
        <v>3945073.6363636362</v>
      </c>
      <c r="G113" s="367">
        <v>8444137.2727272715</v>
      </c>
      <c r="H113" s="381">
        <v>13032938.181818182</v>
      </c>
      <c r="I113" s="371"/>
      <c r="J113" s="424"/>
    </row>
    <row r="114" spans="1:10" ht="11.25" customHeight="1">
      <c r="A114" s="376">
        <v>3</v>
      </c>
      <c r="B114" s="915" t="s">
        <v>2670</v>
      </c>
      <c r="C114" s="916"/>
      <c r="D114" s="917"/>
      <c r="E114" s="367">
        <f>tendances!E21</f>
        <v>1000000</v>
      </c>
      <c r="F114" s="367">
        <f>tendances!J21</f>
        <v>0</v>
      </c>
      <c r="G114" s="367">
        <v>481046.18181818177</v>
      </c>
      <c r="H114" s="381">
        <v>24545.454545454544</v>
      </c>
      <c r="I114" s="371"/>
      <c r="J114" s="424"/>
    </row>
    <row r="115" spans="1:10" ht="11.25" customHeight="1">
      <c r="A115" s="376">
        <v>4</v>
      </c>
      <c r="B115" s="436" t="s">
        <v>2671</v>
      </c>
      <c r="C115" s="440"/>
      <c r="D115" s="437"/>
      <c r="E115" s="367">
        <f>tendances!E22</f>
        <v>16580000</v>
      </c>
      <c r="F115" s="367">
        <f>tendances!J22</f>
        <v>9618665.5454545449</v>
      </c>
      <c r="G115" s="367">
        <v>46486282.727272734</v>
      </c>
      <c r="H115" s="381">
        <v>5268846.5454545459</v>
      </c>
      <c r="I115" s="371"/>
      <c r="J115" s="424"/>
    </row>
    <row r="116" spans="1:10" ht="11.25" customHeight="1">
      <c r="A116" s="376">
        <v>5</v>
      </c>
      <c r="B116" s="915" t="s">
        <v>1960</v>
      </c>
      <c r="C116" s="916"/>
      <c r="D116" s="917"/>
      <c r="E116" s="367">
        <f>tendances!E23</f>
        <v>5000000</v>
      </c>
      <c r="F116" s="367">
        <f>tendances!J23</f>
        <v>990390</v>
      </c>
      <c r="G116" s="367">
        <v>6831190.9090909055</v>
      </c>
      <c r="H116" s="381">
        <v>724980.09090909082</v>
      </c>
      <c r="I116" s="371"/>
      <c r="J116" s="424"/>
    </row>
    <row r="117" spans="1:10" ht="11.25" customHeight="1">
      <c r="A117" s="918" t="s">
        <v>2672</v>
      </c>
      <c r="B117" s="919"/>
      <c r="C117" s="919"/>
      <c r="D117" s="920"/>
      <c r="E117" s="378">
        <f>SUM(E112:E116)</f>
        <v>38451172</v>
      </c>
      <c r="F117" s="378">
        <f>SUM(F112:F116)</f>
        <v>14739148.272727272</v>
      </c>
      <c r="G117" s="378">
        <f>SUM(G112:G116)</f>
        <v>75505054.363636374</v>
      </c>
      <c r="H117" s="378">
        <f>SUM(H112:H116)</f>
        <v>34556668.454545453</v>
      </c>
      <c r="I117" s="387"/>
      <c r="J117" s="424"/>
    </row>
    <row r="118" spans="1:10" ht="11.25" customHeight="1">
      <c r="A118" s="371"/>
      <c r="B118" s="371"/>
      <c r="C118" s="371"/>
      <c r="D118" s="371"/>
      <c r="E118" s="371"/>
      <c r="F118" s="371"/>
      <c r="G118" s="371"/>
      <c r="H118" s="371"/>
      <c r="I118" s="371"/>
      <c r="J118" s="424"/>
    </row>
    <row r="119" spans="1:10" ht="11.25" customHeight="1">
      <c r="A119" s="371" t="s">
        <v>2673</v>
      </c>
      <c r="B119" s="371"/>
      <c r="C119" s="371"/>
      <c r="D119" s="371"/>
      <c r="E119" s="371"/>
      <c r="F119" s="371"/>
      <c r="G119" s="371"/>
      <c r="H119" s="371"/>
      <c r="I119" s="371"/>
      <c r="J119" s="424"/>
    </row>
    <row r="120" spans="1:10" ht="11.25" customHeight="1">
      <c r="A120" s="926" t="s">
        <v>192</v>
      </c>
      <c r="B120" s="885" t="s">
        <v>2009</v>
      </c>
      <c r="C120" s="886"/>
      <c r="D120" s="887"/>
      <c r="E120" s="926" t="s">
        <v>2921</v>
      </c>
      <c r="F120" s="926"/>
      <c r="G120" s="927" t="s">
        <v>2899</v>
      </c>
      <c r="H120" s="927" t="s">
        <v>2920</v>
      </c>
      <c r="I120" s="371"/>
      <c r="J120" s="424"/>
    </row>
    <row r="121" spans="1:10" ht="11.25" customHeight="1">
      <c r="A121" s="926"/>
      <c r="B121" s="888"/>
      <c r="C121" s="889"/>
      <c r="D121" s="890"/>
      <c r="E121" s="641" t="s">
        <v>2005</v>
      </c>
      <c r="F121" s="366" t="s">
        <v>2006</v>
      </c>
      <c r="G121" s="927"/>
      <c r="H121" s="927"/>
      <c r="I121" s="371"/>
      <c r="J121" s="424"/>
    </row>
    <row r="122" spans="1:10" ht="11.25" customHeight="1">
      <c r="A122" s="376">
        <v>1</v>
      </c>
      <c r="B122" s="915" t="s">
        <v>2674</v>
      </c>
      <c r="C122" s="916"/>
      <c r="D122" s="917"/>
      <c r="E122" s="367"/>
      <c r="F122" s="367"/>
      <c r="G122" s="388" t="s">
        <v>2675</v>
      </c>
      <c r="H122" s="367">
        <v>0</v>
      </c>
      <c r="I122" s="371"/>
      <c r="J122" s="424"/>
    </row>
    <row r="123" spans="1:10" ht="11.25" customHeight="1">
      <c r="A123" s="376">
        <v>2</v>
      </c>
      <c r="B123" s="915" t="s">
        <v>2676</v>
      </c>
      <c r="C123" s="916"/>
      <c r="D123" s="917"/>
      <c r="E123" s="367"/>
      <c r="F123" s="367">
        <v>0</v>
      </c>
      <c r="G123" s="389" t="s">
        <v>2677</v>
      </c>
      <c r="H123" s="381"/>
      <c r="I123" s="371"/>
      <c r="J123" s="424"/>
    </row>
    <row r="124" spans="1:10" ht="11.25" customHeight="1">
      <c r="A124" s="376">
        <v>3</v>
      </c>
      <c r="B124" s="915" t="s">
        <v>2678</v>
      </c>
      <c r="C124" s="916"/>
      <c r="D124" s="917"/>
      <c r="E124" s="367">
        <v>0</v>
      </c>
      <c r="F124" s="367">
        <v>0</v>
      </c>
      <c r="G124" s="388" t="s">
        <v>2675</v>
      </c>
      <c r="H124" s="367">
        <v>0</v>
      </c>
      <c r="I124" s="371"/>
      <c r="J124" s="424"/>
    </row>
    <row r="125" spans="1:10" ht="11.25" customHeight="1">
      <c r="A125" s="376">
        <v>4</v>
      </c>
      <c r="B125" s="436" t="s">
        <v>2679</v>
      </c>
      <c r="C125" s="440"/>
      <c r="D125" s="437"/>
      <c r="E125" s="367"/>
      <c r="F125" s="367"/>
      <c r="G125" s="390" t="s">
        <v>2680</v>
      </c>
      <c r="H125" s="367"/>
      <c r="I125" s="371"/>
      <c r="J125" s="424"/>
    </row>
    <row r="126" spans="1:10" ht="11.25" customHeight="1">
      <c r="A126" s="376">
        <v>5</v>
      </c>
      <c r="B126" s="915"/>
      <c r="C126" s="916"/>
      <c r="D126" s="917"/>
      <c r="E126" s="367"/>
      <c r="F126" s="367"/>
      <c r="G126" s="367"/>
      <c r="H126" s="367"/>
      <c r="I126" s="371"/>
      <c r="J126" s="424"/>
    </row>
    <row r="127" spans="1:10" ht="11.25" customHeight="1">
      <c r="A127" s="918" t="s">
        <v>2681</v>
      </c>
      <c r="B127" s="919"/>
      <c r="C127" s="919"/>
      <c r="D127" s="920"/>
      <c r="E127" s="378">
        <f>SUM(E122:E126)</f>
        <v>0</v>
      </c>
      <c r="F127" s="378">
        <f>SUM(F122:F126)</f>
        <v>0</v>
      </c>
      <c r="G127" s="378">
        <f>SUM(G122:G126)</f>
        <v>0</v>
      </c>
      <c r="H127" s="378">
        <f>SUM(H122:H126)</f>
        <v>0</v>
      </c>
      <c r="I127" s="371"/>
      <c r="J127" s="424"/>
    </row>
    <row r="128" spans="1:10" ht="11.25" customHeight="1">
      <c r="A128" s="371"/>
      <c r="B128" s="371"/>
      <c r="C128" s="371"/>
      <c r="D128" s="371"/>
      <c r="E128" s="371"/>
      <c r="F128" s="371"/>
      <c r="G128" s="371"/>
      <c r="H128" s="371"/>
      <c r="I128" s="371"/>
      <c r="J128" s="424"/>
    </row>
    <row r="129" spans="1:17" ht="11.25" customHeight="1">
      <c r="A129" s="882" t="s">
        <v>2014</v>
      </c>
      <c r="B129" s="882"/>
      <c r="C129" s="882"/>
      <c r="D129" s="882"/>
      <c r="E129" s="882"/>
      <c r="F129" s="882"/>
      <c r="G129" s="882"/>
      <c r="H129" s="882"/>
      <c r="I129" s="371"/>
      <c r="J129" s="424"/>
    </row>
    <row r="130" spans="1:17" ht="11.25" customHeight="1">
      <c r="A130" s="371"/>
      <c r="B130" s="371"/>
      <c r="C130" s="371"/>
      <c r="D130" s="371"/>
      <c r="E130" s="371"/>
      <c r="F130" s="371"/>
      <c r="G130" s="371"/>
      <c r="H130" s="371"/>
      <c r="I130" s="371"/>
      <c r="J130" s="424"/>
    </row>
    <row r="131" spans="1:17" ht="11.25" customHeight="1">
      <c r="A131" s="883" t="s">
        <v>192</v>
      </c>
      <c r="B131" s="883" t="s">
        <v>2015</v>
      </c>
      <c r="C131" s="885" t="s">
        <v>2682</v>
      </c>
      <c r="D131" s="887"/>
      <c r="E131" s="883" t="s">
        <v>1998</v>
      </c>
      <c r="F131" s="883" t="s">
        <v>1902</v>
      </c>
      <c r="G131" s="883" t="s">
        <v>195</v>
      </c>
      <c r="H131" s="927" t="s">
        <v>2920</v>
      </c>
      <c r="I131" s="371"/>
      <c r="J131" s="424"/>
    </row>
    <row r="132" spans="1:17" ht="11.25" customHeight="1">
      <c r="A132" s="884"/>
      <c r="B132" s="884"/>
      <c r="C132" s="888"/>
      <c r="D132" s="890"/>
      <c r="E132" s="884"/>
      <c r="F132" s="884"/>
      <c r="G132" s="884"/>
      <c r="H132" s="927"/>
      <c r="I132" s="371"/>
      <c r="J132" s="424"/>
    </row>
    <row r="133" spans="1:17" ht="11.25" customHeight="1">
      <c r="A133" s="907">
        <v>1</v>
      </c>
      <c r="B133" s="943" t="s">
        <v>2683</v>
      </c>
      <c r="C133" s="939" t="s">
        <v>1440</v>
      </c>
      <c r="D133" s="940"/>
      <c r="E133" s="367">
        <f>tendances!F19</f>
        <v>0</v>
      </c>
      <c r="F133" s="381">
        <f>tendances!K19</f>
        <v>158519</v>
      </c>
      <c r="G133" s="391"/>
      <c r="H133" s="381"/>
      <c r="I133" s="371"/>
      <c r="J133" s="424"/>
    </row>
    <row r="134" spans="1:17" ht="11.25" customHeight="1">
      <c r="A134" s="935"/>
      <c r="B134" s="944"/>
      <c r="C134" s="939" t="s">
        <v>1432</v>
      </c>
      <c r="D134" s="940"/>
      <c r="E134" s="367">
        <f>tendances!F20</f>
        <v>259805</v>
      </c>
      <c r="F134" s="381">
        <f>tendances!K20</f>
        <v>160389</v>
      </c>
      <c r="G134" s="391"/>
      <c r="H134" s="381"/>
      <c r="I134" s="371"/>
      <c r="J134" s="424"/>
    </row>
    <row r="135" spans="1:17" ht="11.25" customHeight="1">
      <c r="A135" s="935"/>
      <c r="B135" s="944"/>
      <c r="C135" s="939" t="s">
        <v>1434</v>
      </c>
      <c r="D135" s="940"/>
      <c r="E135" s="367">
        <f>tendances!F21</f>
        <v>27000000</v>
      </c>
      <c r="F135" s="381">
        <f>tendances!K21</f>
        <v>30122774</v>
      </c>
      <c r="G135" s="391"/>
      <c r="H135" s="381"/>
      <c r="I135" s="371"/>
      <c r="J135" s="424"/>
    </row>
    <row r="136" spans="1:17" ht="11.25" customHeight="1">
      <c r="A136" s="935"/>
      <c r="B136" s="944"/>
      <c r="C136" s="939" t="s">
        <v>1435</v>
      </c>
      <c r="D136" s="940"/>
      <c r="E136" s="367">
        <f>tendances!F22</f>
        <v>0</v>
      </c>
      <c r="F136" s="381">
        <f>tendances!K22</f>
        <v>1270504</v>
      </c>
      <c r="G136" s="391"/>
      <c r="H136" s="381"/>
      <c r="I136" s="371"/>
      <c r="J136" s="424"/>
    </row>
    <row r="137" spans="1:17" ht="11.25" customHeight="1">
      <c r="A137" s="908"/>
      <c r="B137" s="945"/>
      <c r="C137" s="939" t="s">
        <v>1433</v>
      </c>
      <c r="D137" s="940"/>
      <c r="E137" s="367">
        <f>tendances!F23</f>
        <v>1762479</v>
      </c>
      <c r="F137" s="381">
        <f>tendances!K23</f>
        <v>1131300</v>
      </c>
      <c r="G137" s="381"/>
      <c r="H137" s="381"/>
      <c r="I137" s="371"/>
      <c r="J137" s="424"/>
    </row>
    <row r="138" spans="1:17" ht="11.25" customHeight="1">
      <c r="A138" s="904" t="s">
        <v>2016</v>
      </c>
      <c r="B138" s="905"/>
      <c r="C138" s="905"/>
      <c r="D138" s="906"/>
      <c r="E138" s="374">
        <f>E137+E136+E135+E134+E133</f>
        <v>29022284</v>
      </c>
      <c r="F138" s="383">
        <f>SUM(F132:F137)</f>
        <v>32843486</v>
      </c>
      <c r="G138" s="383">
        <f>SUM(G132:G137)</f>
        <v>0</v>
      </c>
      <c r="H138" s="383">
        <f>SUM(H132:H137)</f>
        <v>0</v>
      </c>
      <c r="I138" s="371"/>
      <c r="J138" s="424"/>
    </row>
    <row r="139" spans="1:17" ht="11.25" customHeight="1">
      <c r="A139" s="941">
        <v>2</v>
      </c>
      <c r="B139" s="926" t="s">
        <v>2684</v>
      </c>
      <c r="C139" s="877" t="s">
        <v>2652</v>
      </c>
      <c r="D139" s="878"/>
      <c r="E139" s="367">
        <v>30400000</v>
      </c>
      <c r="F139" s="381">
        <f>+'SUIVI JOURNALIER AVRIL'!AH344</f>
        <v>18150000</v>
      </c>
      <c r="G139" s="381" t="s">
        <v>152</v>
      </c>
      <c r="H139" s="367"/>
      <c r="I139" s="371"/>
      <c r="J139" s="424" t="s">
        <v>2031</v>
      </c>
      <c r="Q139" s="365" t="s">
        <v>2685</v>
      </c>
    </row>
    <row r="140" spans="1:17" ht="11.25" customHeight="1">
      <c r="A140" s="941"/>
      <c r="B140" s="926"/>
      <c r="C140" s="877" t="s">
        <v>2766</v>
      </c>
      <c r="D140" s="878"/>
      <c r="E140" s="367">
        <v>1822916</v>
      </c>
      <c r="F140" s="381">
        <f>+'SUIVI JOURNALIER AVRIL'!AO344</f>
        <v>0</v>
      </c>
      <c r="G140" s="381" t="s">
        <v>2652</v>
      </c>
      <c r="H140" s="367"/>
      <c r="I140" s="371"/>
      <c r="J140" s="424"/>
    </row>
    <row r="141" spans="1:17" ht="11.25" customHeight="1">
      <c r="A141" s="941"/>
      <c r="B141" s="926"/>
      <c r="C141" s="877" t="s">
        <v>2772</v>
      </c>
      <c r="D141" s="878"/>
      <c r="E141" s="367">
        <v>55000000</v>
      </c>
      <c r="F141" s="381">
        <v>38667560</v>
      </c>
      <c r="G141" s="381" t="s">
        <v>151</v>
      </c>
      <c r="H141" s="367"/>
      <c r="I141" s="371"/>
      <c r="J141" s="424"/>
    </row>
    <row r="142" spans="1:17" ht="11.25" customHeight="1">
      <c r="A142" s="941"/>
      <c r="B142" s="926"/>
      <c r="C142" s="602" t="s">
        <v>2881</v>
      </c>
      <c r="D142" s="603" t="s">
        <v>2819</v>
      </c>
      <c r="E142" s="367">
        <v>0</v>
      </c>
      <c r="F142" s="381">
        <v>0</v>
      </c>
      <c r="G142" s="381"/>
      <c r="H142" s="367"/>
      <c r="I142" s="371"/>
      <c r="J142" s="424"/>
    </row>
    <row r="143" spans="1:17" ht="11.25" customHeight="1">
      <c r="A143" s="941"/>
      <c r="B143" s="926"/>
      <c r="C143" s="602" t="s">
        <v>2750</v>
      </c>
      <c r="D143" s="603"/>
      <c r="E143" s="367"/>
      <c r="F143" s="381">
        <f>'SUIVI JOURNALIER AVRIL'!AO344</f>
        <v>0</v>
      </c>
      <c r="G143" s="381"/>
      <c r="H143" s="367"/>
      <c r="I143" s="371"/>
      <c r="J143" s="424"/>
    </row>
    <row r="144" spans="1:17" ht="11.25" customHeight="1">
      <c r="A144" s="941"/>
      <c r="B144" s="926"/>
      <c r="C144" s="877" t="s">
        <v>2819</v>
      </c>
      <c r="D144" s="878"/>
      <c r="E144" s="367">
        <v>6227272</v>
      </c>
      <c r="F144" s="381">
        <f>1000000+200000+907910</f>
        <v>2107910</v>
      </c>
      <c r="G144" s="381"/>
      <c r="H144" s="367"/>
      <c r="I144" s="371"/>
      <c r="J144" s="424"/>
    </row>
    <row r="145" spans="1:13" ht="11.25" customHeight="1">
      <c r="A145" s="904" t="s">
        <v>2017</v>
      </c>
      <c r="B145" s="905"/>
      <c r="C145" s="905"/>
      <c r="D145" s="906"/>
      <c r="E145" s="392">
        <f>E143+E142+E141+E140+E139+E144</f>
        <v>93450188</v>
      </c>
      <c r="F145" s="383">
        <f>SUM(F139:F144)</f>
        <v>58925470</v>
      </c>
      <c r="G145" s="383">
        <f>SUM(G139:G144)</f>
        <v>0</v>
      </c>
      <c r="H145" s="383">
        <f>SUM(H139:H144)</f>
        <v>0</v>
      </c>
      <c r="I145" s="371"/>
      <c r="J145" s="424"/>
    </row>
    <row r="146" spans="1:13" ht="11.25" customHeight="1">
      <c r="A146" s="941">
        <v>3</v>
      </c>
      <c r="B146" s="942" t="s">
        <v>2732</v>
      </c>
      <c r="C146" s="877"/>
      <c r="D146" s="878"/>
      <c r="E146" s="380"/>
      <c r="F146" s="381"/>
      <c r="G146" s="381"/>
      <c r="H146" s="381"/>
      <c r="I146" s="371"/>
      <c r="J146" s="424"/>
    </row>
    <row r="147" spans="1:13" ht="11.25" customHeight="1">
      <c r="A147" s="941"/>
      <c r="B147" s="942"/>
      <c r="C147" s="877"/>
      <c r="D147" s="878"/>
      <c r="E147" s="380"/>
      <c r="F147" s="381"/>
      <c r="G147" s="381"/>
      <c r="H147" s="381"/>
      <c r="I147" s="371"/>
      <c r="J147" s="424"/>
    </row>
    <row r="148" spans="1:13" ht="11.25" customHeight="1">
      <c r="A148" s="941"/>
      <c r="B148" s="942"/>
      <c r="C148" s="877"/>
      <c r="D148" s="878"/>
      <c r="E148" s="380"/>
      <c r="F148" s="381"/>
      <c r="G148" s="381"/>
      <c r="H148" s="381"/>
      <c r="I148" s="371"/>
      <c r="J148" s="424"/>
    </row>
    <row r="149" spans="1:13" ht="11.25" customHeight="1">
      <c r="A149" s="941"/>
      <c r="B149" s="942"/>
      <c r="C149" s="877"/>
      <c r="D149" s="878"/>
      <c r="E149" s="380"/>
      <c r="F149" s="381"/>
      <c r="G149" s="381"/>
      <c r="H149" s="381"/>
      <c r="I149" s="371"/>
      <c r="J149" s="424"/>
    </row>
    <row r="150" spans="1:13" ht="11.25" customHeight="1">
      <c r="A150" s="941"/>
      <c r="B150" s="942"/>
      <c r="C150" s="877"/>
      <c r="D150" s="878"/>
      <c r="E150" s="380"/>
      <c r="F150" s="381"/>
      <c r="G150" s="381"/>
      <c r="H150" s="381"/>
      <c r="I150" s="371"/>
      <c r="J150" s="424"/>
    </row>
    <row r="151" spans="1:13" ht="11.25" customHeight="1">
      <c r="A151" s="907">
        <v>4</v>
      </c>
      <c r="B151" s="936" t="s">
        <v>158</v>
      </c>
      <c r="C151" s="939"/>
      <c r="D151" s="940"/>
      <c r="E151" s="393"/>
      <c r="F151" s="381">
        <v>0</v>
      </c>
      <c r="G151" s="381"/>
      <c r="H151" s="381"/>
      <c r="I151" s="371"/>
      <c r="J151" s="424"/>
    </row>
    <row r="152" spans="1:13" ht="11.25" customHeight="1">
      <c r="A152" s="935"/>
      <c r="B152" s="937"/>
      <c r="C152" s="939"/>
      <c r="D152" s="940"/>
      <c r="E152" s="393"/>
      <c r="F152" s="381"/>
      <c r="G152" s="381"/>
      <c r="H152" s="381"/>
      <c r="I152" s="371"/>
      <c r="J152" s="424"/>
      <c r="M152" s="365" t="s">
        <v>2031</v>
      </c>
    </row>
    <row r="153" spans="1:13" ht="11.25" customHeight="1">
      <c r="A153" s="935"/>
      <c r="B153" s="937"/>
      <c r="C153" s="939"/>
      <c r="D153" s="940"/>
      <c r="E153" s="393"/>
      <c r="F153" s="381"/>
      <c r="G153" s="381"/>
      <c r="H153" s="381"/>
      <c r="I153" s="371"/>
      <c r="J153" s="424"/>
    </row>
    <row r="154" spans="1:13" ht="11.25" customHeight="1">
      <c r="A154" s="935"/>
      <c r="B154" s="937"/>
      <c r="C154" s="939"/>
      <c r="D154" s="940"/>
      <c r="E154" s="393"/>
      <c r="F154" s="381"/>
      <c r="G154" s="381"/>
      <c r="H154" s="381"/>
      <c r="I154" s="371"/>
      <c r="J154" s="424"/>
    </row>
    <row r="155" spans="1:13" ht="11.25" customHeight="1">
      <c r="A155" s="908"/>
      <c r="B155" s="938"/>
      <c r="C155" s="877"/>
      <c r="D155" s="878"/>
      <c r="E155" s="393"/>
      <c r="F155" s="381"/>
      <c r="G155" s="381"/>
      <c r="H155" s="381"/>
      <c r="I155" s="371"/>
      <c r="J155" s="424"/>
    </row>
    <row r="156" spans="1:13" ht="11.25" customHeight="1">
      <c r="A156" s="904" t="s">
        <v>2686</v>
      </c>
      <c r="B156" s="905"/>
      <c r="C156" s="905"/>
      <c r="D156" s="906"/>
      <c r="E156" s="394">
        <f>E151+E152+E153+E154</f>
        <v>0</v>
      </c>
      <c r="F156" s="392">
        <f>F146+F147+F148+F149+F150+F151+F152+F153+F154</f>
        <v>0</v>
      </c>
      <c r="G156" s="392">
        <f>G146+G147+G148+G149+G150+G151+G152+G153+G154</f>
        <v>0</v>
      </c>
      <c r="H156" s="392">
        <f>H146+H147+H148+H149+H150+H151+H152+H153+H154</f>
        <v>0</v>
      </c>
      <c r="I156" s="371"/>
      <c r="J156" s="424"/>
    </row>
    <row r="157" spans="1:13" ht="11.25" customHeight="1">
      <c r="A157" s="931" t="s">
        <v>2018</v>
      </c>
      <c r="B157" s="932"/>
      <c r="C157" s="932"/>
      <c r="D157" s="902"/>
      <c r="E157" s="395">
        <f>E138+E145+E156</f>
        <v>122472472</v>
      </c>
      <c r="F157" s="396">
        <f>F138+F145+F156</f>
        <v>91768956</v>
      </c>
      <c r="G157" s="396">
        <f>G138+G145+G156</f>
        <v>0</v>
      </c>
      <c r="H157" s="396">
        <f>H138+H145+H156</f>
        <v>0</v>
      </c>
      <c r="I157" s="371"/>
      <c r="J157" s="424"/>
    </row>
    <row r="158" spans="1:13" ht="11.25" customHeight="1">
      <c r="A158" s="371"/>
      <c r="B158" s="371"/>
      <c r="C158" s="371"/>
      <c r="D158" s="371"/>
      <c r="E158" s="371"/>
      <c r="F158" s="371"/>
      <c r="G158" s="371"/>
      <c r="H158" s="371"/>
      <c r="I158" s="371"/>
      <c r="J158" s="424"/>
    </row>
    <row r="159" spans="1:13" ht="11.25" customHeight="1">
      <c r="A159" s="882" t="s">
        <v>2019</v>
      </c>
      <c r="B159" s="882"/>
      <c r="C159" s="882"/>
      <c r="D159" s="882"/>
      <c r="E159" s="882"/>
      <c r="F159" s="882"/>
      <c r="G159" s="882"/>
      <c r="H159" s="882"/>
      <c r="I159" s="882"/>
      <c r="J159" s="424"/>
    </row>
    <row r="160" spans="1:13" ht="11.25" customHeight="1">
      <c r="A160" s="371"/>
      <c r="B160" s="371"/>
      <c r="C160" s="371"/>
      <c r="D160" s="371"/>
      <c r="E160" s="371"/>
      <c r="F160" s="371"/>
      <c r="G160" s="371"/>
      <c r="H160" s="371"/>
      <c r="I160" s="371"/>
      <c r="J160" s="424"/>
    </row>
    <row r="161" spans="1:13" ht="11.25" customHeight="1">
      <c r="A161" s="883" t="s">
        <v>192</v>
      </c>
      <c r="B161" s="885" t="s">
        <v>2687</v>
      </c>
      <c r="C161" s="886"/>
      <c r="D161" s="887"/>
      <c r="E161" s="923" t="s">
        <v>2922</v>
      </c>
      <c r="F161" s="924"/>
      <c r="G161" s="925"/>
      <c r="H161" s="933" t="s">
        <v>195</v>
      </c>
      <c r="I161" s="883" t="s">
        <v>2022</v>
      </c>
      <c r="J161" s="424"/>
    </row>
    <row r="162" spans="1:13" ht="11.25" customHeight="1">
      <c r="A162" s="884"/>
      <c r="B162" s="888"/>
      <c r="C162" s="889"/>
      <c r="D162" s="890"/>
      <c r="E162" s="604" t="s">
        <v>2020</v>
      </c>
      <c r="F162" s="604" t="s">
        <v>1998</v>
      </c>
      <c r="G162" s="604" t="s">
        <v>1902</v>
      </c>
      <c r="H162" s="934"/>
      <c r="I162" s="884"/>
      <c r="J162" s="424"/>
    </row>
    <row r="163" spans="1:13" ht="11.25" customHeight="1">
      <c r="A163" s="376">
        <v>1</v>
      </c>
      <c r="B163" s="644" t="s">
        <v>2900</v>
      </c>
      <c r="C163" s="645"/>
      <c r="D163" s="646"/>
      <c r="E163" s="532"/>
      <c r="F163" s="388">
        <v>10000000</v>
      </c>
      <c r="G163" s="388">
        <v>9129386</v>
      </c>
      <c r="H163" s="928" t="s">
        <v>2688</v>
      </c>
      <c r="I163" s="439"/>
      <c r="J163" s="424"/>
    </row>
    <row r="164" spans="1:13" ht="11.25" customHeight="1">
      <c r="A164" s="376">
        <v>2</v>
      </c>
      <c r="B164" s="915" t="s">
        <v>2901</v>
      </c>
      <c r="C164" s="916"/>
      <c r="D164" s="917"/>
      <c r="E164" s="435"/>
      <c r="F164" s="388">
        <v>25000000</v>
      </c>
      <c r="G164" s="388">
        <v>0</v>
      </c>
      <c r="H164" s="929"/>
      <c r="I164" s="439"/>
      <c r="J164" s="424"/>
    </row>
    <row r="165" spans="1:13" ht="11.25" customHeight="1">
      <c r="A165" s="376">
        <v>3</v>
      </c>
      <c r="B165" s="915" t="s">
        <v>2762</v>
      </c>
      <c r="C165" s="916"/>
      <c r="D165" s="917"/>
      <c r="E165" s="435"/>
      <c r="F165" s="388">
        <v>5000000</v>
      </c>
      <c r="G165" s="388">
        <v>0</v>
      </c>
      <c r="H165" s="929"/>
      <c r="I165" s="443"/>
      <c r="J165" s="424"/>
    </row>
    <row r="166" spans="1:13" ht="11.25" customHeight="1">
      <c r="A166" s="376">
        <v>4</v>
      </c>
      <c r="B166" s="915" t="s">
        <v>3009</v>
      </c>
      <c r="C166" s="916"/>
      <c r="D166" s="917"/>
      <c r="E166" s="435"/>
      <c r="F166" s="388">
        <v>2000000</v>
      </c>
      <c r="G166" s="388">
        <v>2024747.2727272725</v>
      </c>
      <c r="H166" s="929"/>
      <c r="I166" s="443"/>
      <c r="J166" s="424"/>
    </row>
    <row r="167" spans="1:13" ht="11.25" customHeight="1">
      <c r="A167" s="376">
        <v>5</v>
      </c>
      <c r="B167" s="915" t="s">
        <v>285</v>
      </c>
      <c r="C167" s="916"/>
      <c r="D167" s="917"/>
      <c r="E167" s="380"/>
      <c r="F167" s="381">
        <v>5000000</v>
      </c>
      <c r="G167" s="388">
        <v>4000000</v>
      </c>
      <c r="H167" s="930"/>
      <c r="I167" s="380"/>
      <c r="J167" s="424"/>
      <c r="M167" s="365" t="s">
        <v>2660</v>
      </c>
    </row>
    <row r="168" spans="1:13" ht="11.25" customHeight="1">
      <c r="A168" s="376">
        <v>6</v>
      </c>
      <c r="B168" s="915" t="s">
        <v>3010</v>
      </c>
      <c r="C168" s="916"/>
      <c r="D168" s="917"/>
      <c r="E168" s="380"/>
      <c r="F168" s="381">
        <v>2500000</v>
      </c>
      <c r="G168" s="388">
        <v>443339</v>
      </c>
      <c r="H168" s="612"/>
      <c r="I168" s="380"/>
      <c r="J168" s="424"/>
    </row>
    <row r="169" spans="1:13" ht="11.25" customHeight="1">
      <c r="A169" s="376">
        <v>7</v>
      </c>
      <c r="B169" s="915" t="s">
        <v>3011</v>
      </c>
      <c r="C169" s="916"/>
      <c r="D169" s="917"/>
      <c r="E169" s="380"/>
      <c r="F169" s="381">
        <v>2500000</v>
      </c>
      <c r="G169" s="388">
        <v>1000000</v>
      </c>
      <c r="H169" s="647"/>
      <c r="I169" s="380"/>
      <c r="J169" s="424"/>
    </row>
    <row r="170" spans="1:13" ht="11.25" customHeight="1">
      <c r="A170" s="376">
        <v>8</v>
      </c>
      <c r="B170" s="915" t="s">
        <v>3012</v>
      </c>
      <c r="C170" s="916"/>
      <c r="D170" s="917"/>
      <c r="E170" s="380"/>
      <c r="F170" s="381">
        <v>2500000</v>
      </c>
      <c r="G170" s="388">
        <v>0</v>
      </c>
      <c r="H170" s="647"/>
      <c r="I170" s="380"/>
      <c r="J170" s="424"/>
    </row>
    <row r="171" spans="1:13" ht="11.25" customHeight="1">
      <c r="A171" s="376">
        <v>9</v>
      </c>
      <c r="B171" s="915" t="s">
        <v>3013</v>
      </c>
      <c r="C171" s="916"/>
      <c r="D171" s="917"/>
      <c r="E171" s="380"/>
      <c r="F171" s="381">
        <v>1000000</v>
      </c>
      <c r="G171" s="388">
        <v>500000</v>
      </c>
      <c r="H171" s="612"/>
      <c r="I171" s="380"/>
      <c r="J171" s="424"/>
    </row>
    <row r="172" spans="1:13" ht="11.25" customHeight="1">
      <c r="A172" s="376">
        <v>10</v>
      </c>
      <c r="B172" s="915" t="s">
        <v>3145</v>
      </c>
      <c r="C172" s="916"/>
      <c r="D172" s="917"/>
      <c r="E172" s="380"/>
      <c r="F172" s="381"/>
      <c r="G172" s="388">
        <v>3000000</v>
      </c>
      <c r="H172" s="722"/>
      <c r="I172" s="380"/>
      <c r="J172" s="424"/>
    </row>
    <row r="173" spans="1:13" ht="11.25" customHeight="1">
      <c r="A173" s="904" t="s">
        <v>2689</v>
      </c>
      <c r="B173" s="905"/>
      <c r="C173" s="905"/>
      <c r="D173" s="906"/>
      <c r="E173" s="397"/>
      <c r="F173" s="383">
        <f>SUM(F163:F171)</f>
        <v>55500000</v>
      </c>
      <c r="G173" s="383">
        <f>tendances!E31</f>
        <v>20097472.272727273</v>
      </c>
      <c r="H173" s="398"/>
      <c r="I173" s="380"/>
      <c r="J173" s="424"/>
    </row>
    <row r="174" spans="1:13" ht="11.25" customHeight="1">
      <c r="A174" s="376">
        <v>1</v>
      </c>
      <c r="B174" s="915"/>
      <c r="C174" s="916"/>
      <c r="D174" s="917"/>
      <c r="E174" s="380"/>
      <c r="F174" s="381"/>
      <c r="G174" s="381"/>
      <c r="H174" s="928" t="s">
        <v>2688</v>
      </c>
      <c r="I174" s="380"/>
      <c r="J174" s="424"/>
    </row>
    <row r="175" spans="1:13" ht="11.25" customHeight="1">
      <c r="A175" s="376">
        <v>2</v>
      </c>
      <c r="B175" s="915"/>
      <c r="C175" s="916"/>
      <c r="D175" s="917"/>
      <c r="E175" s="380"/>
      <c r="F175" s="381"/>
      <c r="G175" s="381"/>
      <c r="H175" s="929"/>
      <c r="I175" s="380"/>
      <c r="J175" s="424"/>
    </row>
    <row r="176" spans="1:13" ht="11.25" customHeight="1">
      <c r="A176" s="376">
        <v>3</v>
      </c>
      <c r="B176" s="915"/>
      <c r="C176" s="916"/>
      <c r="D176" s="917"/>
      <c r="E176" s="380"/>
      <c r="F176" s="381"/>
      <c r="G176" s="381"/>
      <c r="H176" s="929"/>
      <c r="I176" s="380"/>
      <c r="J176" s="424"/>
    </row>
    <row r="177" spans="1:10" ht="11.25" customHeight="1">
      <c r="A177" s="376">
        <v>4</v>
      </c>
      <c r="B177" s="915"/>
      <c r="C177" s="916"/>
      <c r="D177" s="917"/>
      <c r="E177" s="380"/>
      <c r="F177" s="381"/>
      <c r="G177" s="381"/>
      <c r="H177" s="929"/>
      <c r="I177" s="380"/>
      <c r="J177" s="424"/>
    </row>
    <row r="178" spans="1:10" ht="11.25" customHeight="1">
      <c r="A178" s="376">
        <v>5</v>
      </c>
      <c r="B178" s="915"/>
      <c r="C178" s="916"/>
      <c r="D178" s="917"/>
      <c r="E178" s="380"/>
      <c r="F178" s="381"/>
      <c r="G178" s="381"/>
      <c r="H178" s="930"/>
      <c r="I178" s="380"/>
      <c r="J178" s="424"/>
    </row>
    <row r="179" spans="1:10" ht="11.25" customHeight="1">
      <c r="A179" s="904" t="s">
        <v>2690</v>
      </c>
      <c r="B179" s="905"/>
      <c r="C179" s="905"/>
      <c r="D179" s="906"/>
      <c r="E179" s="397"/>
      <c r="F179" s="383">
        <f>SUM(F174:F178)</f>
        <v>0</v>
      </c>
      <c r="G179" s="383">
        <f>SUM(G174:G178)</f>
        <v>0</v>
      </c>
      <c r="H179" s="398"/>
      <c r="I179" s="380"/>
      <c r="J179" s="424"/>
    </row>
    <row r="180" spans="1:10" ht="11.25" customHeight="1">
      <c r="A180" s="923" t="s">
        <v>2691</v>
      </c>
      <c r="B180" s="924"/>
      <c r="C180" s="925"/>
      <c r="D180" s="441"/>
      <c r="E180" s="399"/>
      <c r="F180" s="396">
        <f>SUM(F173,F179)</f>
        <v>55500000</v>
      </c>
      <c r="G180" s="396">
        <f>SUM(G173,G179)</f>
        <v>20097472.272727273</v>
      </c>
      <c r="H180" s="380"/>
      <c r="I180" s="380"/>
      <c r="J180" s="424"/>
    </row>
    <row r="181" spans="1:10" ht="11.25" customHeight="1">
      <c r="A181" s="400"/>
      <c r="B181" s="400"/>
      <c r="C181" s="117"/>
      <c r="D181" s="117"/>
      <c r="E181" s="117"/>
      <c r="F181" s="117"/>
      <c r="G181" s="117"/>
      <c r="H181" s="117"/>
      <c r="I181" s="117"/>
      <c r="J181" s="424"/>
    </row>
    <row r="182" spans="1:10" ht="11.25" customHeight="1">
      <c r="A182" s="882" t="s">
        <v>2023</v>
      </c>
      <c r="B182" s="882"/>
      <c r="C182" s="882"/>
      <c r="D182" s="882"/>
      <c r="E182" s="882"/>
      <c r="F182" s="882"/>
      <c r="G182" s="882"/>
      <c r="H182" s="882"/>
      <c r="I182" s="882"/>
      <c r="J182" s="424"/>
    </row>
    <row r="183" spans="1:10" ht="11.25" customHeight="1">
      <c r="A183" s="438"/>
      <c r="B183" s="438"/>
      <c r="C183" s="438"/>
      <c r="D183" s="438"/>
      <c r="E183" s="438"/>
      <c r="F183" s="438"/>
      <c r="G183" s="438"/>
      <c r="H183" s="438"/>
      <c r="I183" s="438"/>
      <c r="J183" s="424"/>
    </row>
    <row r="184" spans="1:10" ht="11.25" customHeight="1">
      <c r="A184" s="882" t="s">
        <v>2692</v>
      </c>
      <c r="B184" s="882"/>
      <c r="C184" s="882"/>
      <c r="D184" s="882"/>
      <c r="E184" s="882"/>
      <c r="F184" s="882"/>
      <c r="G184" s="882"/>
      <c r="H184" s="882"/>
      <c r="I184" s="882"/>
      <c r="J184" s="424"/>
    </row>
    <row r="185" spans="1:10" ht="11.25" customHeight="1">
      <c r="A185" s="438"/>
      <c r="B185" s="438"/>
      <c r="C185" s="438"/>
      <c r="D185" s="438"/>
      <c r="E185" s="438"/>
      <c r="F185" s="438"/>
      <c r="G185" s="438"/>
      <c r="H185" s="438"/>
      <c r="I185" s="438"/>
      <c r="J185" s="424"/>
    </row>
    <row r="186" spans="1:10" ht="11.25" customHeight="1">
      <c r="A186" s="926" t="s">
        <v>192</v>
      </c>
      <c r="B186" s="885" t="s">
        <v>1960</v>
      </c>
      <c r="C186" s="886"/>
      <c r="D186" s="887"/>
      <c r="E186" s="926" t="s">
        <v>2921</v>
      </c>
      <c r="F186" s="926"/>
      <c r="G186" s="927" t="s">
        <v>2899</v>
      </c>
      <c r="H186" s="885" t="s">
        <v>2920</v>
      </c>
      <c r="I186" s="887"/>
      <c r="J186" s="424"/>
    </row>
    <row r="187" spans="1:10" ht="11.25" customHeight="1">
      <c r="A187" s="926"/>
      <c r="B187" s="888"/>
      <c r="C187" s="889"/>
      <c r="D187" s="890"/>
      <c r="E187" s="641" t="s">
        <v>2005</v>
      </c>
      <c r="F187" s="366" t="s">
        <v>2006</v>
      </c>
      <c r="G187" s="927"/>
      <c r="H187" s="888"/>
      <c r="I187" s="890"/>
      <c r="J187" s="424"/>
    </row>
    <row r="188" spans="1:10" ht="11.25" customHeight="1">
      <c r="A188" s="376">
        <v>1</v>
      </c>
      <c r="B188" s="915" t="s">
        <v>2010</v>
      </c>
      <c r="C188" s="916"/>
      <c r="D188" s="917"/>
      <c r="E188" s="367"/>
      <c r="F188" s="367">
        <f>SUMIF(CONTROLES!CC:CC,'Plan d actions '!B188,CONTROLES!BY:BY)</f>
        <v>962069</v>
      </c>
      <c r="G188" s="367">
        <v>0</v>
      </c>
      <c r="H188" s="913">
        <v>0</v>
      </c>
      <c r="I188" s="914"/>
      <c r="J188" s="424"/>
    </row>
    <row r="189" spans="1:10" ht="11.25" customHeight="1">
      <c r="A189" s="376">
        <v>2</v>
      </c>
      <c r="B189" s="915" t="s">
        <v>432</v>
      </c>
      <c r="C189" s="916"/>
      <c r="D189" s="917"/>
      <c r="E189" s="367"/>
      <c r="F189" s="367">
        <f>SUMIF(CONTROLES!CC:CC,'Plan d actions '!B189,CONTROLES!BY:BY)</f>
        <v>11443339</v>
      </c>
      <c r="G189" s="367">
        <v>18500000</v>
      </c>
      <c r="H189" s="913">
        <v>6500000</v>
      </c>
      <c r="I189" s="914"/>
      <c r="J189" s="424"/>
    </row>
    <row r="190" spans="1:10" ht="11.25" customHeight="1">
      <c r="A190" s="376">
        <v>3</v>
      </c>
      <c r="B190" s="915" t="s">
        <v>2670</v>
      </c>
      <c r="C190" s="916"/>
      <c r="D190" s="917"/>
      <c r="E190" s="367"/>
      <c r="F190" s="367">
        <f>SUMIF(CONTROLES!CC:CC,'Plan d actions '!B190,CONTROLES!BY:BY)</f>
        <v>11080614.545454545</v>
      </c>
      <c r="G190" s="367">
        <v>9532992</v>
      </c>
      <c r="H190" s="913">
        <v>20094399</v>
      </c>
      <c r="I190" s="914"/>
      <c r="J190" s="424"/>
    </row>
    <row r="191" spans="1:10" ht="11.25" customHeight="1">
      <c r="A191" s="376">
        <v>4</v>
      </c>
      <c r="B191" s="436" t="s">
        <v>2671</v>
      </c>
      <c r="C191" s="440"/>
      <c r="D191" s="437"/>
      <c r="E191" s="367"/>
      <c r="F191" s="367">
        <f>SUMIF(CONTROLES!CC:CC,'Plan d actions '!B191,CONTROLES!BY:BY)</f>
        <v>25551901.481818184</v>
      </c>
      <c r="G191" s="367">
        <v>17000000</v>
      </c>
      <c r="H191" s="913">
        <v>1456960</v>
      </c>
      <c r="I191" s="914"/>
      <c r="J191" s="424"/>
    </row>
    <row r="192" spans="1:10" ht="11.25" customHeight="1">
      <c r="A192" s="376">
        <v>5</v>
      </c>
      <c r="B192" s="915" t="s">
        <v>1960</v>
      </c>
      <c r="C192" s="916"/>
      <c r="D192" s="917"/>
      <c r="E192" s="367">
        <v>0</v>
      </c>
      <c r="F192" s="367">
        <f>SUMIF(CONTROLES!CC:CC,'Plan d actions '!B192,CONTROLES!BY:BY)</f>
        <v>4380282.4545454551</v>
      </c>
      <c r="G192" s="367">
        <v>6430718.5454545449</v>
      </c>
      <c r="H192" s="913">
        <v>5643324</v>
      </c>
      <c r="I192" s="914"/>
      <c r="J192" s="424"/>
    </row>
    <row r="193" spans="1:10" ht="11.25" customHeight="1">
      <c r="A193" s="918" t="s">
        <v>2693</v>
      </c>
      <c r="B193" s="919"/>
      <c r="C193" s="919"/>
      <c r="D193" s="920"/>
      <c r="E193" s="374">
        <f>E192+E191+E190+E189+E188</f>
        <v>0</v>
      </c>
      <c r="F193" s="374">
        <f>F192+F191+F190+F189+F188</f>
        <v>53418206.481818184</v>
      </c>
      <c r="G193" s="374">
        <f>G192+G191+G190+G189+G188</f>
        <v>51463710.545454547</v>
      </c>
      <c r="H193" s="921">
        <f>SUM(H188:H192)</f>
        <v>33694683</v>
      </c>
      <c r="I193" s="922"/>
      <c r="J193" s="424"/>
    </row>
    <row r="194" spans="1:10" ht="11.25" customHeight="1">
      <c r="A194" s="438"/>
      <c r="B194" s="438"/>
      <c r="C194" s="438"/>
      <c r="D194" s="438"/>
      <c r="E194" s="438"/>
      <c r="F194" s="438"/>
      <c r="G194" s="438"/>
      <c r="H194" s="438"/>
      <c r="I194" s="438"/>
      <c r="J194" s="424"/>
    </row>
    <row r="195" spans="1:10" ht="11.25" customHeight="1">
      <c r="A195" s="882" t="s">
        <v>2694</v>
      </c>
      <c r="B195" s="882"/>
      <c r="C195" s="882"/>
      <c r="D195" s="882"/>
      <c r="E195" s="882"/>
      <c r="F195" s="882"/>
      <c r="G195" s="882"/>
      <c r="H195" s="882"/>
      <c r="I195" s="882"/>
      <c r="J195" s="424"/>
    </row>
    <row r="196" spans="1:10" ht="11.25" customHeight="1">
      <c r="A196" s="371"/>
      <c r="B196" s="371"/>
      <c r="C196" s="371"/>
      <c r="D196" s="371"/>
      <c r="E196" s="371"/>
      <c r="F196" s="371"/>
      <c r="G196" s="371"/>
      <c r="H196" s="371"/>
      <c r="I196" s="371"/>
      <c r="J196" s="424"/>
    </row>
    <row r="197" spans="1:10" ht="11.25" customHeight="1">
      <c r="A197" s="907" t="s">
        <v>192</v>
      </c>
      <c r="B197" s="909" t="s">
        <v>2024</v>
      </c>
      <c r="C197" s="910"/>
      <c r="D197" s="883" t="s">
        <v>2695</v>
      </c>
      <c r="E197" s="883" t="s">
        <v>2696</v>
      </c>
      <c r="F197" s="883" t="s">
        <v>2697</v>
      </c>
      <c r="G197" s="883" t="s">
        <v>2698</v>
      </c>
      <c r="H197" s="883" t="s">
        <v>2021</v>
      </c>
      <c r="I197" s="883" t="s">
        <v>1902</v>
      </c>
      <c r="J197" s="424"/>
    </row>
    <row r="198" spans="1:10" ht="11.25" customHeight="1">
      <c r="A198" s="908"/>
      <c r="B198" s="911"/>
      <c r="C198" s="912"/>
      <c r="D198" s="884"/>
      <c r="E198" s="884"/>
      <c r="F198" s="884"/>
      <c r="G198" s="884"/>
      <c r="H198" s="884"/>
      <c r="I198" s="884"/>
      <c r="J198" s="424"/>
    </row>
    <row r="199" spans="1:10" ht="11.25" customHeight="1">
      <c r="A199" s="401">
        <v>1</v>
      </c>
      <c r="B199" s="877" t="s">
        <v>3000</v>
      </c>
      <c r="C199" s="878"/>
      <c r="D199" s="611"/>
      <c r="E199" s="611"/>
      <c r="F199" s="611" t="s">
        <v>2630</v>
      </c>
      <c r="G199" s="388"/>
      <c r="H199" s="388">
        <v>2000000</v>
      </c>
      <c r="I199" s="367">
        <v>0</v>
      </c>
      <c r="J199" s="424"/>
    </row>
    <row r="200" spans="1:10" ht="11.25" customHeight="1">
      <c r="A200" s="401">
        <v>2</v>
      </c>
      <c r="B200" s="877" t="s">
        <v>2882</v>
      </c>
      <c r="C200" s="878" t="s">
        <v>299</v>
      </c>
      <c r="D200" s="611"/>
      <c r="E200" s="611"/>
      <c r="F200" s="611" t="s">
        <v>2630</v>
      </c>
      <c r="G200" s="388"/>
      <c r="H200" s="388">
        <v>2000000</v>
      </c>
      <c r="I200" s="367">
        <v>500000</v>
      </c>
      <c r="J200" s="424"/>
    </row>
    <row r="201" spans="1:10" ht="11.25" customHeight="1">
      <c r="A201" s="401">
        <v>3</v>
      </c>
      <c r="B201" s="877" t="s">
        <v>351</v>
      </c>
      <c r="C201" s="878" t="s">
        <v>299</v>
      </c>
      <c r="D201" s="611"/>
      <c r="E201" s="611"/>
      <c r="F201" s="611" t="s">
        <v>2630</v>
      </c>
      <c r="G201" s="388"/>
      <c r="H201" s="388">
        <v>2000000</v>
      </c>
      <c r="I201" s="367">
        <v>0</v>
      </c>
      <c r="J201" s="424"/>
    </row>
    <row r="202" spans="1:10" ht="11.25" customHeight="1">
      <c r="A202" s="401">
        <v>4</v>
      </c>
      <c r="B202" s="877" t="s">
        <v>318</v>
      </c>
      <c r="C202" s="878" t="s">
        <v>302</v>
      </c>
      <c r="D202" s="611"/>
      <c r="E202" s="611"/>
      <c r="F202" s="611" t="s">
        <v>2630</v>
      </c>
      <c r="G202" s="388"/>
      <c r="H202" s="388">
        <v>2000000</v>
      </c>
      <c r="I202" s="367">
        <v>0</v>
      </c>
      <c r="J202" s="424"/>
    </row>
    <row r="203" spans="1:10" ht="11.25" customHeight="1">
      <c r="A203" s="401">
        <v>5</v>
      </c>
      <c r="B203" s="877" t="s">
        <v>346</v>
      </c>
      <c r="C203" s="878" t="s">
        <v>302</v>
      </c>
      <c r="D203" s="611"/>
      <c r="E203" s="611"/>
      <c r="F203" s="611" t="s">
        <v>2630</v>
      </c>
      <c r="G203" s="388"/>
      <c r="H203" s="388">
        <v>2000000</v>
      </c>
      <c r="I203" s="367">
        <v>0</v>
      </c>
      <c r="J203" s="424"/>
    </row>
    <row r="204" spans="1:10" ht="11.25" customHeight="1">
      <c r="A204" s="401">
        <v>6</v>
      </c>
      <c r="B204" s="877" t="s">
        <v>2902</v>
      </c>
      <c r="C204" s="878"/>
      <c r="D204" s="611"/>
      <c r="E204" s="611"/>
      <c r="F204" s="611" t="s">
        <v>2630</v>
      </c>
      <c r="G204" s="388"/>
      <c r="H204" s="388">
        <v>1000000</v>
      </c>
      <c r="I204" s="367">
        <v>0</v>
      </c>
      <c r="J204" s="424"/>
    </row>
    <row r="205" spans="1:10" ht="11.25" customHeight="1">
      <c r="A205" s="401">
        <v>7</v>
      </c>
      <c r="B205" s="877" t="s">
        <v>340</v>
      </c>
      <c r="C205" s="878"/>
      <c r="D205" s="611"/>
      <c r="E205" s="611"/>
      <c r="F205" s="611" t="s">
        <v>2630</v>
      </c>
      <c r="G205" s="388"/>
      <c r="H205" s="388">
        <v>1000000</v>
      </c>
      <c r="I205" s="367">
        <v>0</v>
      </c>
      <c r="J205" s="424"/>
    </row>
    <row r="206" spans="1:10" ht="11.25" customHeight="1">
      <c r="A206" s="401">
        <v>8</v>
      </c>
      <c r="B206" s="877" t="s">
        <v>2903</v>
      </c>
      <c r="C206" s="878"/>
      <c r="D206" s="611"/>
      <c r="E206" s="611"/>
      <c r="F206" s="611" t="s">
        <v>2630</v>
      </c>
      <c r="G206" s="388"/>
      <c r="H206" s="388">
        <v>5000000</v>
      </c>
      <c r="I206" s="367">
        <v>0</v>
      </c>
      <c r="J206" s="424"/>
    </row>
    <row r="207" spans="1:10" ht="11.25" customHeight="1">
      <c r="A207" s="401">
        <v>9</v>
      </c>
      <c r="B207" s="877" t="s">
        <v>279</v>
      </c>
      <c r="C207" s="878"/>
      <c r="D207" s="611"/>
      <c r="E207" s="611"/>
      <c r="F207" s="611"/>
      <c r="G207" s="388"/>
      <c r="H207" s="388">
        <v>5000000</v>
      </c>
      <c r="I207" s="367">
        <v>3000000</v>
      </c>
      <c r="J207" s="424"/>
    </row>
    <row r="208" spans="1:10" ht="11.25" customHeight="1">
      <c r="A208" s="401">
        <v>10</v>
      </c>
      <c r="B208" s="877" t="s">
        <v>3005</v>
      </c>
      <c r="C208" s="878"/>
      <c r="D208" s="611"/>
      <c r="E208" s="611"/>
      <c r="F208" s="648"/>
      <c r="G208" s="388"/>
      <c r="H208" s="388">
        <v>5000000</v>
      </c>
      <c r="I208" s="367">
        <v>1500000</v>
      </c>
      <c r="J208" s="424"/>
    </row>
    <row r="209" spans="1:12" ht="11.25" customHeight="1">
      <c r="A209" s="401">
        <v>11</v>
      </c>
      <c r="B209" s="877" t="s">
        <v>3006</v>
      </c>
      <c r="C209" s="878"/>
      <c r="D209" s="611"/>
      <c r="E209" s="611"/>
      <c r="F209" s="648"/>
      <c r="G209" s="388"/>
      <c r="H209" s="388">
        <v>4000000</v>
      </c>
      <c r="I209" s="367">
        <v>4242124.4545454551</v>
      </c>
      <c r="J209" s="424"/>
    </row>
    <row r="210" spans="1:12" ht="11.25" customHeight="1">
      <c r="A210" s="401">
        <v>12</v>
      </c>
      <c r="B210" s="877" t="s">
        <v>2025</v>
      </c>
      <c r="C210" s="878"/>
      <c r="D210" s="611"/>
      <c r="E210" s="611"/>
      <c r="F210" s="648"/>
      <c r="G210" s="388"/>
      <c r="H210" s="388">
        <v>3000000</v>
      </c>
      <c r="I210" s="367">
        <v>3000000</v>
      </c>
      <c r="J210" s="424"/>
    </row>
    <row r="211" spans="1:12" ht="11.25" customHeight="1">
      <c r="A211" s="401">
        <v>13</v>
      </c>
      <c r="B211" s="642" t="s">
        <v>2251</v>
      </c>
      <c r="C211" s="643"/>
      <c r="D211" s="648"/>
      <c r="E211" s="648"/>
      <c r="F211" s="648"/>
      <c r="G211" s="388"/>
      <c r="H211" s="388">
        <v>3000000</v>
      </c>
      <c r="I211" s="367">
        <v>0</v>
      </c>
      <c r="J211" s="424"/>
    </row>
    <row r="212" spans="1:12" ht="11.25" customHeight="1">
      <c r="A212" s="401">
        <v>14</v>
      </c>
      <c r="B212" s="642" t="s">
        <v>3007</v>
      </c>
      <c r="C212" s="643"/>
      <c r="D212" s="648"/>
      <c r="E212" s="648"/>
      <c r="F212" s="648"/>
      <c r="G212" s="388"/>
      <c r="H212" s="388">
        <v>1500000</v>
      </c>
      <c r="I212" s="367">
        <v>2191418.1818181816</v>
      </c>
      <c r="J212" s="424"/>
    </row>
    <row r="213" spans="1:12" ht="11.25" customHeight="1">
      <c r="A213" s="401">
        <v>15</v>
      </c>
      <c r="B213" s="642" t="s">
        <v>3008</v>
      </c>
      <c r="C213" s="643"/>
      <c r="D213" s="648"/>
      <c r="E213" s="648"/>
      <c r="F213" s="648"/>
      <c r="G213" s="388"/>
      <c r="H213" s="388">
        <v>10000000</v>
      </c>
      <c r="I213" s="367">
        <v>8231097.2999999998</v>
      </c>
      <c r="J213" s="424"/>
    </row>
    <row r="214" spans="1:12" ht="11.25" customHeight="1">
      <c r="A214" s="401">
        <v>16</v>
      </c>
      <c r="B214" s="877" t="s">
        <v>2904</v>
      </c>
      <c r="C214" s="878"/>
      <c r="D214" s="611" t="s">
        <v>2630</v>
      </c>
      <c r="E214" s="611"/>
      <c r="F214" s="648"/>
      <c r="G214" s="388"/>
      <c r="H214" s="388">
        <v>16000000</v>
      </c>
      <c r="I214" s="367">
        <v>7305867.2727272725</v>
      </c>
      <c r="J214" s="424"/>
    </row>
    <row r="215" spans="1:12" ht="11.25" customHeight="1">
      <c r="A215" s="401">
        <v>17</v>
      </c>
      <c r="B215" s="877" t="s">
        <v>299</v>
      </c>
      <c r="C215" s="878"/>
      <c r="D215" s="611" t="s">
        <v>2630</v>
      </c>
      <c r="E215" s="611"/>
      <c r="F215" s="483"/>
      <c r="G215" s="388"/>
      <c r="H215" s="388">
        <v>1000000</v>
      </c>
      <c r="I215" s="367">
        <v>1000000</v>
      </c>
      <c r="J215" s="424"/>
    </row>
    <row r="216" spans="1:12" ht="11.25" customHeight="1">
      <c r="A216" s="401">
        <v>18</v>
      </c>
      <c r="B216" s="877" t="s">
        <v>3001</v>
      </c>
      <c r="C216" s="878"/>
      <c r="D216" s="611" t="s">
        <v>2630</v>
      </c>
      <c r="E216" s="611"/>
      <c r="F216" s="483"/>
      <c r="G216" s="388"/>
      <c r="H216" s="388">
        <v>2000000</v>
      </c>
      <c r="I216" s="367">
        <v>0</v>
      </c>
      <c r="J216" s="424"/>
    </row>
    <row r="217" spans="1:12" ht="11.25" customHeight="1">
      <c r="A217" s="401">
        <v>19</v>
      </c>
      <c r="B217" s="877" t="s">
        <v>3002</v>
      </c>
      <c r="C217" s="878"/>
      <c r="D217" s="611" t="s">
        <v>2630</v>
      </c>
      <c r="E217" s="611"/>
      <c r="F217" s="483"/>
      <c r="G217" s="388"/>
      <c r="H217" s="388">
        <v>2500000</v>
      </c>
      <c r="I217" s="367">
        <v>0</v>
      </c>
      <c r="J217" s="424"/>
    </row>
    <row r="218" spans="1:12" ht="11.25" customHeight="1">
      <c r="A218" s="401">
        <v>20</v>
      </c>
      <c r="B218" s="877" t="s">
        <v>348</v>
      </c>
      <c r="C218" s="878"/>
      <c r="D218" s="611" t="s">
        <v>2630</v>
      </c>
      <c r="E218" s="611"/>
      <c r="F218" s="483"/>
      <c r="G218" s="388"/>
      <c r="H218" s="388">
        <v>2500000</v>
      </c>
      <c r="I218" s="367">
        <v>0</v>
      </c>
      <c r="J218" s="424"/>
    </row>
    <row r="219" spans="1:12" ht="11.25" customHeight="1">
      <c r="A219" s="401">
        <v>21</v>
      </c>
      <c r="B219" s="877" t="s">
        <v>3003</v>
      </c>
      <c r="C219" s="878"/>
      <c r="D219" s="648" t="s">
        <v>2630</v>
      </c>
      <c r="E219" s="611"/>
      <c r="F219" s="483"/>
      <c r="G219" s="388"/>
      <c r="H219" s="388">
        <v>3000000</v>
      </c>
      <c r="I219" s="367">
        <v>0</v>
      </c>
      <c r="J219" s="424"/>
      <c r="L219" s="509"/>
    </row>
    <row r="220" spans="1:12" ht="11.25" customHeight="1">
      <c r="A220" s="401">
        <v>22</v>
      </c>
      <c r="B220" s="877" t="s">
        <v>302</v>
      </c>
      <c r="C220" s="878"/>
      <c r="D220" s="648" t="s">
        <v>2630</v>
      </c>
      <c r="E220" s="611"/>
      <c r="F220" s="483"/>
      <c r="G220" s="388"/>
      <c r="H220" s="388">
        <v>1000000</v>
      </c>
      <c r="I220" s="367">
        <v>0</v>
      </c>
      <c r="J220" s="424"/>
    </row>
    <row r="221" spans="1:12" ht="11.25" customHeight="1">
      <c r="A221" s="401">
        <v>23</v>
      </c>
      <c r="B221" s="877" t="s">
        <v>3004</v>
      </c>
      <c r="C221" s="878"/>
      <c r="D221" s="648" t="s">
        <v>2630</v>
      </c>
      <c r="E221" s="611"/>
      <c r="F221" s="483"/>
      <c r="G221" s="483"/>
      <c r="H221" s="367">
        <v>1500000</v>
      </c>
      <c r="I221" s="367">
        <v>0</v>
      </c>
      <c r="J221" s="424"/>
    </row>
    <row r="222" spans="1:12" ht="11.25" customHeight="1">
      <c r="A222" s="401">
        <v>24</v>
      </c>
      <c r="B222" s="877" t="s">
        <v>338</v>
      </c>
      <c r="C222" s="878"/>
      <c r="D222" s="648" t="s">
        <v>2630</v>
      </c>
      <c r="E222" s="483"/>
      <c r="F222" s="483"/>
      <c r="G222" s="483"/>
      <c r="H222" s="367">
        <v>5000000</v>
      </c>
      <c r="I222" s="367">
        <v>0</v>
      </c>
      <c r="J222" s="424"/>
    </row>
    <row r="223" spans="1:12" ht="11.25" customHeight="1">
      <c r="A223" s="401">
        <v>25</v>
      </c>
      <c r="B223" s="877" t="s">
        <v>318</v>
      </c>
      <c r="C223" s="878"/>
      <c r="D223" s="648" t="s">
        <v>2630</v>
      </c>
      <c r="E223" s="611"/>
      <c r="F223" s="484"/>
      <c r="G223" s="484"/>
      <c r="H223" s="367">
        <v>2000000</v>
      </c>
      <c r="I223" s="367">
        <v>0</v>
      </c>
      <c r="J223" s="424"/>
    </row>
    <row r="224" spans="1:12" ht="11.25" customHeight="1">
      <c r="A224" s="401"/>
      <c r="B224" s="877"/>
      <c r="C224" s="878"/>
      <c r="D224" s="720"/>
      <c r="E224" s="720"/>
      <c r="F224" s="484"/>
      <c r="G224" s="484"/>
      <c r="H224" s="367">
        <v>0</v>
      </c>
      <c r="I224" s="367">
        <f>+F235-30970507</f>
        <v>2350227.2090909109</v>
      </c>
      <c r="J224" s="424"/>
    </row>
    <row r="225" spans="1:14" s="404" customFormat="1" ht="11.25" customHeight="1">
      <c r="A225" s="904" t="s">
        <v>2699</v>
      </c>
      <c r="B225" s="905"/>
      <c r="C225" s="905"/>
      <c r="D225" s="905"/>
      <c r="E225" s="906"/>
      <c r="F225" s="402">
        <f>SUM(F223:F223)</f>
        <v>0</v>
      </c>
      <c r="G225" s="402">
        <f>SUM(G223:G223)</f>
        <v>0</v>
      </c>
      <c r="H225" s="374">
        <f>SUM(H199:H223)</f>
        <v>85000000</v>
      </c>
      <c r="I225" s="367">
        <f>SUM(I199:I224)</f>
        <v>33320734.418181822</v>
      </c>
      <c r="J225" s="425"/>
      <c r="K225" s="415"/>
      <c r="L225" s="365"/>
      <c r="M225" s="365"/>
      <c r="N225" s="365"/>
    </row>
    <row r="226" spans="1:14" ht="11.25" customHeight="1">
      <c r="A226" s="405"/>
      <c r="B226" s="405"/>
      <c r="C226" s="405"/>
      <c r="D226" s="405"/>
      <c r="E226" s="405"/>
      <c r="F226" s="406"/>
      <c r="G226" s="406"/>
      <c r="H226" s="406"/>
      <c r="I226" s="406"/>
      <c r="J226" s="424"/>
    </row>
    <row r="227" spans="1:14" ht="11.25" customHeight="1">
      <c r="A227" s="882" t="s">
        <v>2700</v>
      </c>
      <c r="B227" s="882"/>
      <c r="C227" s="882"/>
      <c r="D227" s="882"/>
      <c r="E227" s="882"/>
      <c r="F227" s="882"/>
      <c r="G227" s="882"/>
      <c r="H227" s="882"/>
      <c r="I227" s="882"/>
      <c r="J227" s="424"/>
    </row>
    <row r="228" spans="1:14" ht="11.25" customHeight="1">
      <c r="A228" s="438"/>
      <c r="B228" s="438"/>
      <c r="C228" s="438"/>
      <c r="D228" s="438"/>
      <c r="E228" s="438"/>
      <c r="F228" s="438"/>
      <c r="G228" s="438"/>
      <c r="H228" s="438"/>
      <c r="I228" s="438"/>
      <c r="J228" s="424"/>
    </row>
    <row r="229" spans="1:14" ht="11.25" customHeight="1">
      <c r="A229" s="903" t="s">
        <v>2015</v>
      </c>
      <c r="B229" s="903"/>
      <c r="C229" s="903"/>
      <c r="D229" s="891" t="s">
        <v>2922</v>
      </c>
      <c r="E229" s="892"/>
      <c r="F229" s="903" t="s">
        <v>2701</v>
      </c>
      <c r="G229" s="903"/>
      <c r="H229" s="903" t="s">
        <v>2923</v>
      </c>
      <c r="I229" s="903"/>
      <c r="J229" s="424"/>
    </row>
    <row r="230" spans="1:14" ht="11.25" customHeight="1">
      <c r="A230" s="895" t="s">
        <v>2702</v>
      </c>
      <c r="B230" s="895"/>
      <c r="C230" s="895"/>
      <c r="D230" s="896">
        <f>E26</f>
        <v>214300000</v>
      </c>
      <c r="E230" s="878"/>
      <c r="F230" s="896">
        <f>F26</f>
        <v>93298602.068181798</v>
      </c>
      <c r="G230" s="878"/>
      <c r="H230" s="896">
        <f>+H26-H232</f>
        <v>189607952.04545453</v>
      </c>
      <c r="I230" s="878"/>
      <c r="J230" s="424"/>
    </row>
    <row r="231" spans="1:14" ht="11.25" customHeight="1">
      <c r="A231" s="895" t="s">
        <v>1962</v>
      </c>
      <c r="B231" s="895"/>
      <c r="C231" s="895"/>
      <c r="D231" s="896">
        <f>E117</f>
        <v>38451172</v>
      </c>
      <c r="E231" s="878"/>
      <c r="F231" s="896">
        <f>F117</f>
        <v>14739148.272727272</v>
      </c>
      <c r="G231" s="878"/>
      <c r="H231" s="896">
        <f>+H117</f>
        <v>34556668.454545453</v>
      </c>
      <c r="I231" s="878"/>
      <c r="J231" s="371"/>
    </row>
    <row r="232" spans="1:14" ht="11.25" customHeight="1">
      <c r="A232" s="895" t="s">
        <v>2703</v>
      </c>
      <c r="B232" s="895"/>
      <c r="C232" s="895"/>
      <c r="D232" s="896">
        <v>0</v>
      </c>
      <c r="E232" s="878"/>
      <c r="F232" s="896">
        <f>F122</f>
        <v>0</v>
      </c>
      <c r="G232" s="878"/>
      <c r="H232" s="880">
        <f>M256+M252</f>
        <v>35650000</v>
      </c>
      <c r="I232" s="881"/>
      <c r="J232" s="371"/>
    </row>
    <row r="233" spans="1:14" ht="11.25" customHeight="1">
      <c r="A233" s="895" t="s">
        <v>2704</v>
      </c>
      <c r="B233" s="895"/>
      <c r="C233" s="895"/>
      <c r="D233" s="896">
        <f>+E157</f>
        <v>122472472</v>
      </c>
      <c r="E233" s="878"/>
      <c r="F233" s="896">
        <f>+F157</f>
        <v>91768956</v>
      </c>
      <c r="G233" s="878"/>
      <c r="H233" s="896">
        <v>0</v>
      </c>
      <c r="I233" s="878"/>
      <c r="J233" s="371"/>
    </row>
    <row r="234" spans="1:14" ht="11.25" customHeight="1">
      <c r="A234" s="895" t="s">
        <v>2705</v>
      </c>
      <c r="B234" s="895"/>
      <c r="C234" s="895"/>
      <c r="D234" s="896">
        <f>+F180</f>
        <v>55500000</v>
      </c>
      <c r="E234" s="878"/>
      <c r="F234" s="896">
        <f>G180</f>
        <v>20097472.272727273</v>
      </c>
      <c r="G234" s="878"/>
      <c r="H234" s="896">
        <v>0</v>
      </c>
      <c r="I234" s="878"/>
      <c r="J234" s="371"/>
    </row>
    <row r="235" spans="1:14" ht="11.25" customHeight="1">
      <c r="A235" s="895" t="s">
        <v>2706</v>
      </c>
      <c r="B235" s="895"/>
      <c r="C235" s="895"/>
      <c r="D235" s="896">
        <f>H225</f>
        <v>85000000</v>
      </c>
      <c r="E235" s="878"/>
      <c r="F235" s="896">
        <f>tendances!I31</f>
        <v>33320734.209090911</v>
      </c>
      <c r="G235" s="878"/>
      <c r="H235" s="896">
        <v>33694683</v>
      </c>
      <c r="I235" s="878"/>
      <c r="J235" s="438" t="s">
        <v>2707</v>
      </c>
      <c r="L235" s="506" t="s">
        <v>222</v>
      </c>
      <c r="M235" s="613">
        <v>0</v>
      </c>
    </row>
    <row r="236" spans="1:14" s="404" customFormat="1" ht="11.25" customHeight="1">
      <c r="A236" s="897" t="s">
        <v>2708</v>
      </c>
      <c r="B236" s="897"/>
      <c r="C236" s="897"/>
      <c r="D236" s="901">
        <f>SUM(D230:D235)</f>
        <v>515723644</v>
      </c>
      <c r="E236" s="902"/>
      <c r="F236" s="901">
        <f>SUM(F230:F235)</f>
        <v>253224912.82272726</v>
      </c>
      <c r="G236" s="902"/>
      <c r="H236" s="901">
        <f>SUM(H230:H235)</f>
        <v>293509303.5</v>
      </c>
      <c r="I236" s="902"/>
      <c r="J236" s="407">
        <f>F236/D236</f>
        <v>0.4910089265225297</v>
      </c>
      <c r="K236" s="415"/>
      <c r="L236" s="257" t="s">
        <v>190</v>
      </c>
      <c r="M236" s="613">
        <v>0</v>
      </c>
    </row>
    <row r="237" spans="1:14" ht="11.25" customHeight="1">
      <c r="A237" s="438"/>
      <c r="B237" s="438"/>
      <c r="C237" s="438"/>
      <c r="D237" s="438"/>
      <c r="E237" s="438"/>
      <c r="F237" s="438"/>
      <c r="G237" s="438"/>
      <c r="H237" s="438"/>
      <c r="I237" s="438"/>
      <c r="J237" s="371"/>
      <c r="L237" s="257" t="s">
        <v>191</v>
      </c>
      <c r="M237" s="613">
        <v>0</v>
      </c>
    </row>
    <row r="238" spans="1:14" ht="11.25" customHeight="1">
      <c r="A238" s="371"/>
      <c r="B238" s="371"/>
      <c r="C238" s="371"/>
      <c r="D238" s="371"/>
      <c r="E238" s="371"/>
      <c r="F238" s="371"/>
      <c r="G238" s="371"/>
      <c r="H238" s="371"/>
      <c r="I238" s="476"/>
      <c r="J238" s="371"/>
      <c r="L238" s="506" t="s">
        <v>137</v>
      </c>
      <c r="M238" s="613">
        <v>64168210.36363636</v>
      </c>
      <c r="N238" s="613">
        <v>0</v>
      </c>
    </row>
    <row r="239" spans="1:14" ht="11.25" customHeight="1">
      <c r="A239" s="882" t="s">
        <v>2709</v>
      </c>
      <c r="B239" s="882"/>
      <c r="C239" s="882"/>
      <c r="D239" s="882"/>
      <c r="E239" s="882"/>
      <c r="F239" s="882"/>
      <c r="G239" s="882"/>
      <c r="H239" s="882"/>
      <c r="I239" s="882"/>
      <c r="J239" s="371"/>
      <c r="L239" s="257" t="s">
        <v>1997</v>
      </c>
      <c r="M239" s="613">
        <v>0</v>
      </c>
      <c r="N239" s="613"/>
    </row>
    <row r="240" spans="1:14" ht="11.25" customHeight="1">
      <c r="A240" s="438"/>
      <c r="B240" s="438"/>
      <c r="C240" s="438"/>
      <c r="D240" s="438"/>
      <c r="E240" s="438"/>
      <c r="F240" s="438"/>
      <c r="G240" s="438"/>
      <c r="H240" s="438"/>
      <c r="I240" s="438"/>
      <c r="J240" s="371"/>
      <c r="L240" s="506" t="s">
        <v>141</v>
      </c>
      <c r="M240" s="613">
        <v>9397926</v>
      </c>
      <c r="N240" s="613">
        <v>0</v>
      </c>
    </row>
    <row r="241" spans="1:14" ht="11.25" customHeight="1">
      <c r="A241" s="883" t="s">
        <v>192</v>
      </c>
      <c r="B241" s="885" t="s">
        <v>2710</v>
      </c>
      <c r="C241" s="886"/>
      <c r="D241" s="887"/>
      <c r="E241" s="891" t="s">
        <v>2922</v>
      </c>
      <c r="F241" s="892"/>
      <c r="G241" s="893" t="s">
        <v>2924</v>
      </c>
      <c r="H241" s="885" t="s">
        <v>2920</v>
      </c>
      <c r="I241" s="887"/>
      <c r="J241" s="371"/>
      <c r="L241" s="257" t="s">
        <v>291</v>
      </c>
      <c r="M241" s="613">
        <v>1000380</v>
      </c>
    </row>
    <row r="242" spans="1:14" ht="11.25" customHeight="1">
      <c r="A242" s="884"/>
      <c r="B242" s="888"/>
      <c r="C242" s="889"/>
      <c r="D242" s="890"/>
      <c r="E242" s="608" t="s">
        <v>2005</v>
      </c>
      <c r="F242" s="608" t="s">
        <v>1968</v>
      </c>
      <c r="G242" s="894"/>
      <c r="H242" s="888"/>
      <c r="I242" s="890"/>
      <c r="J242" s="371"/>
      <c r="L242" s="257" t="s">
        <v>2186</v>
      </c>
      <c r="M242" s="613">
        <v>31540863.636363633</v>
      </c>
    </row>
    <row r="243" spans="1:14" ht="11.25" customHeight="1">
      <c r="A243" s="442">
        <v>1</v>
      </c>
      <c r="B243" s="877" t="s">
        <v>137</v>
      </c>
      <c r="C243" s="879"/>
      <c r="D243" s="878"/>
      <c r="E243" s="613">
        <v>72000000</v>
      </c>
      <c r="F243" s="444" t="e">
        <f>Evaluation!#REF!+CONTROLES!I279</f>
        <v>#REF!</v>
      </c>
      <c r="G243" s="444">
        <v>115034151.90909091</v>
      </c>
      <c r="H243" s="880">
        <f>M238+N238</f>
        <v>64168210.36363636</v>
      </c>
      <c r="I243" s="881"/>
      <c r="J243" s="371"/>
      <c r="L243" s="257" t="s">
        <v>182</v>
      </c>
      <c r="M243" s="613">
        <v>1959663</v>
      </c>
    </row>
    <row r="244" spans="1:14" ht="11.25" customHeight="1">
      <c r="A244" s="442">
        <v>2</v>
      </c>
      <c r="B244" s="877" t="s">
        <v>141</v>
      </c>
      <c r="C244" s="879"/>
      <c r="D244" s="878"/>
      <c r="E244" s="613">
        <v>14500000</v>
      </c>
      <c r="F244" s="444" t="e">
        <f>Evaluation!#REF!+CONTROLES!O279</f>
        <v>#REF!</v>
      </c>
      <c r="G244" s="444">
        <v>13724986.636363635</v>
      </c>
      <c r="H244" s="880">
        <f>M240+N240</f>
        <v>9397926</v>
      </c>
      <c r="I244" s="881"/>
      <c r="J244" s="371"/>
      <c r="L244" s="257" t="s">
        <v>181</v>
      </c>
      <c r="M244" s="613">
        <v>6520981.1818181816</v>
      </c>
    </row>
    <row r="245" spans="1:14" ht="11.25" customHeight="1">
      <c r="A245" s="442">
        <v>3</v>
      </c>
      <c r="B245" s="877" t="s">
        <v>129</v>
      </c>
      <c r="C245" s="879"/>
      <c r="D245" s="878"/>
      <c r="E245" s="613">
        <v>14000000</v>
      </c>
      <c r="F245" s="444" t="e">
        <f>Evaluation!#REF!+CONTROLES!W279</f>
        <v>#REF!</v>
      </c>
      <c r="G245" s="444">
        <v>9072351.1818181816</v>
      </c>
      <c r="H245" s="880">
        <f>M245+N245</f>
        <v>13749612.272727273</v>
      </c>
      <c r="I245" s="881"/>
      <c r="J245" s="371"/>
      <c r="L245" s="506" t="s">
        <v>129</v>
      </c>
      <c r="M245" s="613">
        <v>13742148.272727273</v>
      </c>
      <c r="N245" s="613">
        <v>7464</v>
      </c>
    </row>
    <row r="246" spans="1:14" ht="11.25" customHeight="1">
      <c r="A246" s="442">
        <v>4</v>
      </c>
      <c r="B246" s="877" t="s">
        <v>2711</v>
      </c>
      <c r="C246" s="879"/>
      <c r="D246" s="878"/>
      <c r="E246" s="613">
        <v>74000000</v>
      </c>
      <c r="F246" s="444" t="e">
        <f>Evaluation!#REF!+CONTROLES!AM279</f>
        <v>#REF!</v>
      </c>
      <c r="G246" s="444">
        <v>76651556</v>
      </c>
      <c r="H246" s="880">
        <f>+M255+N255</f>
        <v>73271697</v>
      </c>
      <c r="I246" s="881"/>
      <c r="J246" s="371"/>
      <c r="L246" s="257" t="s">
        <v>179</v>
      </c>
      <c r="M246" s="613">
        <v>350771.09090909088</v>
      </c>
    </row>
    <row r="247" spans="1:14" ht="11.25" customHeight="1">
      <c r="A247" s="442">
        <v>5</v>
      </c>
      <c r="B247" s="877" t="s">
        <v>152</v>
      </c>
      <c r="C247" s="879"/>
      <c r="D247" s="878"/>
      <c r="E247" s="367">
        <v>1822916</v>
      </c>
      <c r="F247" s="367" t="e">
        <f>Evaluation!#REF!+CONTROLES!AN279</f>
        <v>#REF!</v>
      </c>
      <c r="G247" s="408">
        <v>78578596</v>
      </c>
      <c r="H247" s="880">
        <f>M256+N256</f>
        <v>0</v>
      </c>
      <c r="I247" s="881"/>
      <c r="J247" s="371"/>
      <c r="L247" s="257" t="s">
        <v>180</v>
      </c>
      <c r="M247" s="613">
        <v>0</v>
      </c>
    </row>
    <row r="248" spans="1:14" ht="11.25" customHeight="1">
      <c r="A248" s="442">
        <v>6</v>
      </c>
      <c r="B248" s="877" t="s">
        <v>2712</v>
      </c>
      <c r="C248" s="879"/>
      <c r="D248" s="878"/>
      <c r="E248" s="409">
        <v>18500000</v>
      </c>
      <c r="F248" s="409" t="e">
        <f>Evaluation!#REF!+CONTROLES!AS279</f>
        <v>#REF!</v>
      </c>
      <c r="G248" s="409">
        <v>1088499</v>
      </c>
      <c r="H248" s="880">
        <f>M257+N257</f>
        <v>2545157</v>
      </c>
      <c r="I248" s="881"/>
      <c r="J248" s="371"/>
      <c r="L248" s="257" t="s">
        <v>1589</v>
      </c>
      <c r="M248" s="613">
        <v>2622283.7272727266</v>
      </c>
    </row>
    <row r="249" spans="1:14" ht="11.25" customHeight="1">
      <c r="A249" s="442">
        <v>7</v>
      </c>
      <c r="B249" s="877" t="s">
        <v>134</v>
      </c>
      <c r="C249" s="879"/>
      <c r="D249" s="878"/>
      <c r="E249" s="410">
        <v>18000000</v>
      </c>
      <c r="F249" s="444" t="e">
        <f>Evaluation!#REF!</f>
        <v>#REF!</v>
      </c>
      <c r="G249" s="410">
        <v>11891546</v>
      </c>
      <c r="H249" s="880">
        <f>M250+N250</f>
        <v>13790747</v>
      </c>
      <c r="I249" s="881"/>
      <c r="J249" s="371"/>
      <c r="L249" s="257" t="s">
        <v>2126</v>
      </c>
      <c r="M249" s="613">
        <v>42750</v>
      </c>
    </row>
    <row r="250" spans="1:14" ht="11.25" customHeight="1">
      <c r="A250" s="442">
        <v>8</v>
      </c>
      <c r="B250" s="877" t="s">
        <v>2713</v>
      </c>
      <c r="C250" s="879"/>
      <c r="D250" s="878"/>
      <c r="E250" s="410">
        <v>0</v>
      </c>
      <c r="F250" s="444" t="e">
        <f>Evaluation!#REF!+CONTROLES!D279</f>
        <v>#REF!</v>
      </c>
      <c r="G250" s="444">
        <v>1564000</v>
      </c>
      <c r="H250" s="880">
        <f>M235+N235</f>
        <v>0</v>
      </c>
      <c r="I250" s="881"/>
      <c r="J250" s="371"/>
      <c r="L250" s="506" t="s">
        <v>134</v>
      </c>
      <c r="M250" s="613">
        <v>13790747</v>
      </c>
    </row>
    <row r="251" spans="1:14" ht="11.25" customHeight="1">
      <c r="A251" s="442">
        <v>9</v>
      </c>
      <c r="B251" s="877" t="s">
        <v>2652</v>
      </c>
      <c r="C251" s="879"/>
      <c r="D251" s="878"/>
      <c r="E251" s="410">
        <v>30400000</v>
      </c>
      <c r="F251" s="444" t="e">
        <f>Evaluation!#REF!+CONTROLES!AG279</f>
        <v>#REF!</v>
      </c>
      <c r="G251" s="444">
        <v>28250000</v>
      </c>
      <c r="H251" s="880">
        <f>M252+N252</f>
        <v>35650000</v>
      </c>
      <c r="I251" s="881"/>
      <c r="J251" s="371"/>
      <c r="L251" s="257" t="s">
        <v>136</v>
      </c>
      <c r="M251" s="613">
        <v>1376434</v>
      </c>
    </row>
    <row r="252" spans="1:14" ht="11.25" customHeight="1">
      <c r="A252" s="411">
        <v>10</v>
      </c>
      <c r="B252" s="877" t="s">
        <v>2714</v>
      </c>
      <c r="C252" s="879"/>
      <c r="D252" s="878"/>
      <c r="E252" s="481">
        <f>D236-E243-E244-E245-E246-E247-E248-E249-E250-E251</f>
        <v>272500728</v>
      </c>
      <c r="F252" s="444" t="e">
        <f>Evaluation!#REF!+CONTROLES!BY279-'Plan d actions '!F243-'Plan d actions '!F244-'Plan d actions '!F245-'Plan d actions '!F246-'Plan d actions '!F247-'Plan d actions '!F248-'Plan d actions '!F249-'Plan d actions '!F250-F251</f>
        <v>#REF!</v>
      </c>
      <c r="G252" s="444">
        <v>93190597.613636434</v>
      </c>
      <c r="H252" s="880">
        <f>H236-H243-H244-H245-H246-H247-H248-H249-H250-H251</f>
        <v>80935953.863636345</v>
      </c>
      <c r="I252" s="881"/>
      <c r="J252" s="371"/>
      <c r="L252" s="506" t="s">
        <v>145</v>
      </c>
      <c r="M252" s="613">
        <v>35650000</v>
      </c>
    </row>
    <row r="253" spans="1:14" s="404" customFormat="1" ht="11.25" customHeight="1">
      <c r="A253" s="891" t="s">
        <v>178</v>
      </c>
      <c r="B253" s="898"/>
      <c r="C253" s="898"/>
      <c r="D253" s="892"/>
      <c r="E253" s="412">
        <f>SUM(E243:E252)</f>
        <v>515723644</v>
      </c>
      <c r="F253" s="412" t="e">
        <f>SUM(F243:F252)</f>
        <v>#REF!</v>
      </c>
      <c r="G253" s="412">
        <f>SUM(G243:G252)</f>
        <v>429046284.34090918</v>
      </c>
      <c r="H253" s="899">
        <f>SUM(H243:H252)</f>
        <v>293509303.5</v>
      </c>
      <c r="I253" s="900"/>
      <c r="J253" s="403"/>
      <c r="K253" s="415"/>
      <c r="L253" s="257" t="s">
        <v>146</v>
      </c>
      <c r="M253" s="613">
        <v>250000</v>
      </c>
    </row>
    <row r="254" spans="1:14" ht="11.25" customHeight="1">
      <c r="A254" s="371"/>
      <c r="B254" s="371"/>
      <c r="C254" s="371"/>
      <c r="D254" s="371"/>
      <c r="E254" s="371"/>
      <c r="F254" s="371"/>
      <c r="G254" s="371"/>
      <c r="H254" s="371"/>
      <c r="I254" s="371"/>
      <c r="J254" s="371"/>
      <c r="L254" s="257" t="s">
        <v>147</v>
      </c>
      <c r="M254" s="613">
        <v>1329724.5</v>
      </c>
      <c r="N254" s="404"/>
    </row>
    <row r="255" spans="1:14" ht="11.25" customHeight="1">
      <c r="A255" s="371" t="s">
        <v>2031</v>
      </c>
      <c r="B255" s="371"/>
      <c r="C255" s="371"/>
      <c r="D255" s="371"/>
      <c r="E255" s="476"/>
      <c r="F255" s="476" t="e">
        <f>F253-F236</f>
        <v>#REF!</v>
      </c>
      <c r="G255" s="371"/>
      <c r="H255" s="882" t="s">
        <v>2026</v>
      </c>
      <c r="I255" s="882"/>
      <c r="J255" s="371"/>
      <c r="L255" s="506" t="s">
        <v>151</v>
      </c>
      <c r="M255" s="613">
        <v>73271697</v>
      </c>
      <c r="N255" s="613"/>
    </row>
    <row r="256" spans="1:14" ht="11.25" customHeight="1">
      <c r="A256" s="371"/>
      <c r="B256" s="371"/>
      <c r="C256" s="371"/>
      <c r="D256" s="371"/>
      <c r="E256" s="371"/>
      <c r="F256" s="371"/>
      <c r="G256" s="371"/>
      <c r="H256" s="371"/>
      <c r="I256" s="371"/>
      <c r="J256" s="371"/>
      <c r="L256" s="506" t="s">
        <v>152</v>
      </c>
      <c r="M256" s="613">
        <v>0</v>
      </c>
      <c r="N256" s="613">
        <v>0</v>
      </c>
    </row>
    <row r="257" spans="1:14" ht="11.25" customHeight="1">
      <c r="A257" s="371"/>
      <c r="B257" s="371"/>
      <c r="C257" s="371"/>
      <c r="D257" s="371"/>
      <c r="E257" s="371"/>
      <c r="F257" s="413"/>
      <c r="G257" s="371"/>
      <c r="H257" s="371"/>
      <c r="I257" s="371"/>
      <c r="J257" s="371"/>
      <c r="L257" s="506" t="s">
        <v>156</v>
      </c>
      <c r="M257" s="613">
        <v>2545157</v>
      </c>
      <c r="N257" s="613">
        <v>0</v>
      </c>
    </row>
    <row r="258" spans="1:14" ht="11.25" customHeight="1">
      <c r="A258" s="371"/>
      <c r="B258" s="371"/>
      <c r="C258" s="371"/>
      <c r="D258" s="371"/>
      <c r="E258" s="494"/>
      <c r="F258" s="494"/>
      <c r="G258" s="494"/>
      <c r="H258" s="371"/>
      <c r="I258" s="371"/>
      <c r="J258" s="371"/>
      <c r="L258" s="257" t="s">
        <v>183</v>
      </c>
      <c r="M258" s="613">
        <v>0</v>
      </c>
    </row>
    <row r="259" spans="1:14" ht="11.25" customHeight="1">
      <c r="A259" s="371"/>
      <c r="B259" s="371"/>
      <c r="C259" s="371"/>
      <c r="D259" s="371"/>
      <c r="E259" s="494"/>
      <c r="F259" s="494"/>
      <c r="G259" s="494"/>
      <c r="H259" s="371"/>
      <c r="I259" s="371"/>
      <c r="J259" s="371"/>
      <c r="L259" s="257" t="s">
        <v>157</v>
      </c>
      <c r="M259" s="613">
        <v>0</v>
      </c>
    </row>
    <row r="260" spans="1:14" ht="11.25" customHeight="1">
      <c r="A260" s="371"/>
      <c r="B260" s="371"/>
      <c r="C260" s="371"/>
      <c r="D260" s="371"/>
      <c r="E260" s="494"/>
      <c r="F260" s="494"/>
      <c r="G260" s="494"/>
      <c r="H260" s="371"/>
      <c r="I260" s="371"/>
      <c r="J260" s="371"/>
      <c r="L260" s="257" t="s">
        <v>158</v>
      </c>
      <c r="M260" s="613">
        <v>238922.72727272724</v>
      </c>
    </row>
    <row r="261" spans="1:14" ht="11.25" customHeight="1">
      <c r="A261" s="371"/>
      <c r="B261" s="371"/>
      <c r="C261" s="371"/>
      <c r="D261" s="371"/>
      <c r="E261" s="494"/>
      <c r="F261" s="494"/>
      <c r="G261" s="494"/>
      <c r="H261" s="371"/>
      <c r="I261" s="371"/>
      <c r="J261" s="371"/>
      <c r="L261" s="257" t="s">
        <v>159</v>
      </c>
      <c r="M261" s="613">
        <v>15961</v>
      </c>
    </row>
    <row r="262" spans="1:14" ht="11.25" customHeight="1">
      <c r="A262" s="371"/>
      <c r="B262" s="371"/>
      <c r="C262" s="371"/>
      <c r="D262" s="371"/>
      <c r="E262" s="494"/>
      <c r="F262" s="494"/>
      <c r="G262" s="494"/>
      <c r="H262" s="371"/>
      <c r="I262" s="371"/>
      <c r="J262" s="371"/>
      <c r="L262" s="257" t="s">
        <v>161</v>
      </c>
      <c r="M262" s="613">
        <v>0</v>
      </c>
    </row>
    <row r="263" spans="1:14" ht="11.25" customHeight="1">
      <c r="A263" s="371"/>
      <c r="B263" s="371"/>
      <c r="C263" s="371"/>
      <c r="D263" s="371"/>
      <c r="E263" s="494"/>
      <c r="F263" s="494"/>
      <c r="G263" s="494"/>
      <c r="H263" s="371"/>
      <c r="I263" s="371"/>
      <c r="J263" s="371"/>
    </row>
    <row r="264" spans="1:14" ht="11.25" customHeight="1">
      <c r="A264" s="371"/>
      <c r="B264" s="371"/>
      <c r="C264" s="371"/>
      <c r="D264" s="371"/>
      <c r="E264" s="371"/>
      <c r="F264" s="371"/>
      <c r="G264" s="371"/>
      <c r="H264" s="371"/>
      <c r="I264" s="371"/>
      <c r="J264" s="371"/>
    </row>
    <row r="265" spans="1:14" ht="11.25" customHeight="1">
      <c r="A265" s="371"/>
      <c r="B265" s="371"/>
      <c r="C265" s="371"/>
      <c r="D265" s="371"/>
      <c r="E265" s="371"/>
      <c r="F265" s="371"/>
      <c r="G265" s="371"/>
      <c r="H265" s="371"/>
      <c r="I265" s="371"/>
      <c r="J265" s="371"/>
    </row>
    <row r="266" spans="1:14" ht="11.25" customHeight="1">
      <c r="A266" s="371"/>
      <c r="B266" s="371"/>
      <c r="C266" s="371"/>
      <c r="D266" s="371"/>
      <c r="E266" s="371"/>
      <c r="F266" s="371"/>
      <c r="G266" s="371"/>
      <c r="H266" s="371"/>
      <c r="I266" s="371"/>
      <c r="J266" s="371"/>
    </row>
    <row r="267" spans="1:14" ht="11.25" customHeight="1">
      <c r="A267" s="371"/>
      <c r="B267" s="371"/>
      <c r="C267" s="371"/>
      <c r="D267" s="371"/>
      <c r="E267" s="371"/>
      <c r="F267" s="371"/>
      <c r="G267" s="371"/>
      <c r="H267" s="371"/>
      <c r="I267" s="371"/>
      <c r="J267" s="371"/>
    </row>
    <row r="268" spans="1:14" ht="11.25" customHeight="1">
      <c r="A268" s="371"/>
      <c r="B268" s="371"/>
      <c r="C268" s="371"/>
      <c r="D268" s="371"/>
      <c r="E268" s="371"/>
      <c r="F268" s="371"/>
      <c r="G268" s="371"/>
      <c r="H268" s="371"/>
      <c r="I268" s="371"/>
      <c r="J268" s="371"/>
    </row>
    <row r="269" spans="1:14" ht="11.25" customHeight="1">
      <c r="A269" s="371"/>
      <c r="B269" s="371"/>
      <c r="C269" s="371"/>
      <c r="D269" s="371"/>
      <c r="E269" s="371"/>
      <c r="F269" s="371"/>
      <c r="G269" s="371"/>
      <c r="H269" s="371"/>
      <c r="I269" s="371"/>
      <c r="J269" s="371"/>
    </row>
    <row r="270" spans="1:14" ht="11.25" customHeight="1">
      <c r="A270" s="371"/>
      <c r="B270" s="371"/>
      <c r="C270" s="371"/>
      <c r="D270" s="371"/>
      <c r="E270" s="371"/>
      <c r="F270" s="371"/>
      <c r="G270" s="371"/>
      <c r="H270" s="371"/>
      <c r="I270" s="371"/>
      <c r="J270" s="371"/>
    </row>
    <row r="271" spans="1:14" ht="11.25" customHeight="1">
      <c r="A271" s="371"/>
      <c r="B271" s="371"/>
      <c r="C271" s="371"/>
      <c r="D271" s="371"/>
      <c r="E271" s="371"/>
      <c r="F271" s="371"/>
      <c r="G271" s="371"/>
      <c r="H271" s="371"/>
      <c r="I271" s="371"/>
      <c r="J271" s="371"/>
    </row>
    <row r="272" spans="1:14" ht="11.25" customHeight="1">
      <c r="A272" s="371"/>
      <c r="B272" s="371"/>
      <c r="C272" s="371"/>
      <c r="D272" s="371"/>
      <c r="E272" s="371"/>
      <c r="F272" s="371"/>
      <c r="G272" s="371"/>
      <c r="H272" s="371"/>
      <c r="I272" s="371"/>
      <c r="J272" s="371"/>
    </row>
    <row r="273" spans="1:10" ht="11.25" customHeight="1">
      <c r="A273" s="371"/>
      <c r="B273" s="371"/>
      <c r="C273" s="371"/>
      <c r="D273" s="371"/>
      <c r="E273" s="371"/>
      <c r="F273" s="371"/>
      <c r="G273" s="371"/>
      <c r="H273" s="371"/>
      <c r="I273" s="371"/>
      <c r="J273" s="371"/>
    </row>
    <row r="274" spans="1:10" ht="11.25" customHeight="1">
      <c r="A274" s="371"/>
      <c r="B274" s="371"/>
      <c r="C274" s="371"/>
      <c r="D274" s="371"/>
      <c r="E274" s="371"/>
      <c r="F274" s="371"/>
      <c r="G274" s="371"/>
      <c r="H274" s="371"/>
      <c r="I274" s="371"/>
      <c r="J274" s="371"/>
    </row>
    <row r="275" spans="1:10" ht="11.25" customHeight="1">
      <c r="A275" s="371"/>
      <c r="B275" s="371"/>
      <c r="C275" s="371"/>
      <c r="D275" s="371"/>
      <c r="E275" s="371"/>
      <c r="F275" s="371"/>
      <c r="G275" s="371"/>
      <c r="H275" s="371"/>
      <c r="I275" s="371"/>
      <c r="J275" s="371"/>
    </row>
    <row r="276" spans="1:10" ht="11.25" customHeight="1">
      <c r="A276" s="371"/>
      <c r="B276" s="371"/>
      <c r="C276" s="371"/>
      <c r="D276" s="371"/>
      <c r="E276" s="371"/>
      <c r="F276" s="371"/>
      <c r="G276" s="371"/>
      <c r="H276" s="371"/>
      <c r="I276" s="371"/>
      <c r="J276" s="371"/>
    </row>
    <row r="277" spans="1:10" ht="11.25" customHeight="1">
      <c r="A277" s="371"/>
      <c r="B277" s="371"/>
      <c r="C277" s="371"/>
      <c r="D277" s="371"/>
      <c r="E277" s="371"/>
      <c r="F277" s="371"/>
      <c r="G277" s="371"/>
      <c r="H277" s="371"/>
      <c r="I277" s="371"/>
      <c r="J277" s="371"/>
    </row>
    <row r="278" spans="1:10" ht="11.25" customHeight="1">
      <c r="A278" s="371"/>
      <c r="B278" s="371"/>
      <c r="C278" s="371"/>
      <c r="D278" s="371"/>
      <c r="E278" s="371"/>
      <c r="F278" s="371"/>
      <c r="G278" s="371"/>
      <c r="H278" s="371"/>
      <c r="I278" s="371"/>
      <c r="J278" s="371"/>
    </row>
    <row r="279" spans="1:10" ht="11.25" customHeight="1">
      <c r="A279" s="371"/>
      <c r="B279" s="371"/>
      <c r="C279" s="371"/>
      <c r="D279" s="371"/>
      <c r="E279" s="371"/>
      <c r="F279" s="371"/>
      <c r="G279" s="371"/>
      <c r="H279" s="371"/>
      <c r="I279" s="371"/>
      <c r="J279" s="371"/>
    </row>
    <row r="280" spans="1:10" ht="11.25" customHeight="1">
      <c r="A280" s="371"/>
      <c r="B280" s="371"/>
      <c r="C280" s="371"/>
      <c r="D280" s="371"/>
      <c r="E280" s="371"/>
      <c r="F280" s="371"/>
      <c r="G280" s="371"/>
      <c r="H280" s="371"/>
      <c r="I280" s="371"/>
      <c r="J280" s="371"/>
    </row>
    <row r="281" spans="1:10" ht="11.25" customHeight="1">
      <c r="A281" s="371"/>
      <c r="B281" s="371"/>
      <c r="C281" s="371"/>
      <c r="D281" s="371"/>
      <c r="E281" s="371"/>
      <c r="F281" s="371"/>
      <c r="G281" s="371"/>
      <c r="H281" s="371"/>
      <c r="I281" s="371"/>
      <c r="J281" s="371"/>
    </row>
    <row r="282" spans="1:10" ht="11.25" customHeight="1">
      <c r="A282" s="371"/>
      <c r="B282" s="371"/>
      <c r="C282" s="371"/>
      <c r="D282" s="371"/>
      <c r="E282" s="371"/>
      <c r="F282" s="371"/>
      <c r="G282" s="371"/>
      <c r="H282" s="371"/>
      <c r="I282" s="371"/>
      <c r="J282" s="371"/>
    </row>
    <row r="283" spans="1:10" ht="11.25" customHeight="1">
      <c r="A283" s="371"/>
      <c r="B283" s="371"/>
      <c r="C283" s="371"/>
      <c r="D283" s="371"/>
      <c r="E283" s="371"/>
      <c r="F283" s="371"/>
      <c r="G283" s="371"/>
      <c r="H283" s="371"/>
      <c r="I283" s="371"/>
      <c r="J283" s="371"/>
    </row>
    <row r="284" spans="1:10" ht="11.25" customHeight="1">
      <c r="A284" s="371"/>
      <c r="B284" s="371"/>
      <c r="C284" s="371"/>
      <c r="D284" s="371"/>
      <c r="E284" s="371"/>
      <c r="F284" s="371"/>
      <c r="G284" s="371"/>
      <c r="H284" s="371"/>
      <c r="I284" s="371"/>
      <c r="J284" s="371"/>
    </row>
    <row r="285" spans="1:10" ht="11.25" customHeight="1">
      <c r="A285" s="371"/>
      <c r="B285" s="371"/>
      <c r="C285" s="371"/>
      <c r="D285" s="371"/>
      <c r="E285" s="371"/>
      <c r="F285" s="371"/>
      <c r="G285" s="371"/>
      <c r="H285" s="371"/>
      <c r="I285" s="371"/>
      <c r="J285" s="371"/>
    </row>
    <row r="286" spans="1:10" ht="11.25" customHeight="1">
      <c r="A286" s="371"/>
      <c r="B286" s="371"/>
      <c r="C286" s="371"/>
      <c r="D286" s="371"/>
      <c r="E286" s="371"/>
      <c r="F286" s="371"/>
      <c r="G286" s="371"/>
      <c r="H286" s="371"/>
      <c r="I286" s="371"/>
      <c r="J286" s="371"/>
    </row>
    <row r="287" spans="1:10" ht="11.25" customHeight="1">
      <c r="A287" s="371"/>
      <c r="B287" s="371"/>
      <c r="C287" s="371"/>
      <c r="D287" s="371"/>
      <c r="E287" s="371"/>
      <c r="F287" s="371"/>
      <c r="G287" s="371"/>
      <c r="H287" s="371"/>
      <c r="I287" s="371"/>
      <c r="J287" s="371"/>
    </row>
    <row r="288" spans="1:10" ht="11.25" customHeight="1">
      <c r="A288" s="371"/>
      <c r="B288" s="371"/>
      <c r="C288" s="371"/>
      <c r="D288" s="371"/>
      <c r="E288" s="371"/>
      <c r="F288" s="371"/>
      <c r="G288" s="371"/>
      <c r="H288" s="371"/>
      <c r="I288" s="371"/>
      <c r="J288" s="371"/>
    </row>
    <row r="289" spans="1:10" ht="11.25" customHeight="1">
      <c r="A289" s="371"/>
      <c r="B289" s="371"/>
      <c r="C289" s="371"/>
      <c r="D289" s="371"/>
      <c r="E289" s="371"/>
      <c r="F289" s="371"/>
      <c r="G289" s="371"/>
      <c r="H289" s="371"/>
      <c r="I289" s="371"/>
      <c r="J289" s="371"/>
    </row>
    <row r="290" spans="1:10" ht="11.25" customHeight="1">
      <c r="A290" s="371"/>
      <c r="B290" s="371"/>
      <c r="C290" s="371"/>
      <c r="D290" s="371"/>
      <c r="E290" s="371"/>
      <c r="F290" s="371"/>
      <c r="G290" s="371"/>
      <c r="H290" s="371"/>
      <c r="I290" s="371"/>
      <c r="J290" s="371"/>
    </row>
    <row r="291" spans="1:10" ht="11.25" customHeight="1">
      <c r="A291" s="371"/>
      <c r="B291" s="371"/>
      <c r="C291" s="371"/>
      <c r="D291" s="371"/>
      <c r="E291" s="371"/>
      <c r="F291" s="371"/>
      <c r="G291" s="371"/>
      <c r="H291" s="371"/>
      <c r="I291" s="371"/>
      <c r="J291" s="371"/>
    </row>
    <row r="292" spans="1:10" ht="11.25" customHeight="1">
      <c r="A292" s="371"/>
      <c r="B292" s="371"/>
      <c r="C292" s="371"/>
      <c r="D292" s="371"/>
      <c r="E292" s="371"/>
      <c r="F292" s="371"/>
      <c r="G292" s="371"/>
      <c r="H292" s="371"/>
      <c r="I292" s="371"/>
      <c r="J292" s="371"/>
    </row>
    <row r="293" spans="1:10" ht="11.25" customHeight="1">
      <c r="A293" s="371"/>
      <c r="B293" s="371"/>
      <c r="C293" s="371"/>
      <c r="D293" s="371"/>
      <c r="E293" s="371"/>
      <c r="F293" s="371"/>
      <c r="G293" s="371"/>
      <c r="H293" s="371"/>
      <c r="I293" s="371"/>
      <c r="J293" s="371"/>
    </row>
    <row r="294" spans="1:10" ht="11.25" customHeight="1">
      <c r="A294" s="371"/>
      <c r="B294" s="371"/>
      <c r="C294" s="371"/>
      <c r="D294" s="371"/>
      <c r="E294" s="371"/>
      <c r="F294" s="371"/>
      <c r="G294" s="371"/>
      <c r="H294" s="371"/>
      <c r="I294" s="371"/>
      <c r="J294" s="371"/>
    </row>
    <row r="295" spans="1:10" ht="11.25" customHeight="1">
      <c r="A295" s="371"/>
      <c r="B295" s="371"/>
      <c r="C295" s="371"/>
      <c r="D295" s="371"/>
      <c r="E295" s="371"/>
      <c r="F295" s="371"/>
      <c r="G295" s="371"/>
      <c r="H295" s="371"/>
      <c r="I295" s="371"/>
      <c r="J295" s="371"/>
    </row>
    <row r="296" spans="1:10" ht="11.25" customHeight="1">
      <c r="A296" s="371"/>
      <c r="B296" s="371"/>
      <c r="C296" s="371"/>
      <c r="D296" s="371"/>
      <c r="E296" s="371"/>
      <c r="F296" s="371"/>
      <c r="G296" s="371"/>
      <c r="H296" s="371"/>
      <c r="I296" s="371"/>
      <c r="J296" s="371"/>
    </row>
    <row r="297" spans="1:10" ht="11.25" customHeight="1">
      <c r="A297" s="371"/>
      <c r="B297" s="371"/>
      <c r="C297" s="371"/>
      <c r="D297" s="371"/>
      <c r="E297" s="371"/>
      <c r="F297" s="371"/>
      <c r="G297" s="371"/>
      <c r="H297" s="371"/>
      <c r="I297" s="371"/>
      <c r="J297" s="371"/>
    </row>
    <row r="298" spans="1:10" ht="11.25" customHeight="1">
      <c r="A298" s="371"/>
      <c r="B298" s="371"/>
      <c r="C298" s="371"/>
      <c r="D298" s="371"/>
      <c r="E298" s="371"/>
      <c r="F298" s="371"/>
      <c r="G298" s="371"/>
      <c r="H298" s="371"/>
      <c r="I298" s="371"/>
      <c r="J298" s="371"/>
    </row>
    <row r="299" spans="1:10" ht="11.25" customHeight="1">
      <c r="A299" s="371"/>
      <c r="B299" s="371"/>
      <c r="C299" s="371"/>
      <c r="D299" s="371"/>
      <c r="E299" s="371"/>
      <c r="F299" s="371"/>
      <c r="G299" s="371"/>
      <c r="H299" s="371"/>
      <c r="I299" s="371"/>
      <c r="J299" s="371"/>
    </row>
    <row r="300" spans="1:10" ht="11.25" customHeight="1">
      <c r="A300" s="371"/>
      <c r="B300" s="371"/>
      <c r="C300" s="371"/>
      <c r="D300" s="371"/>
      <c r="E300" s="371"/>
      <c r="F300" s="371"/>
      <c r="G300" s="371"/>
      <c r="H300" s="371"/>
      <c r="I300" s="371"/>
      <c r="J300" s="371"/>
    </row>
    <row r="301" spans="1:10" ht="11.25" customHeight="1">
      <c r="A301" s="371"/>
      <c r="B301" s="371"/>
      <c r="C301" s="371"/>
      <c r="D301" s="371"/>
      <c r="E301" s="371"/>
      <c r="F301" s="371"/>
      <c r="G301" s="371"/>
      <c r="H301" s="371"/>
      <c r="I301" s="371"/>
      <c r="J301" s="371"/>
    </row>
    <row r="302" spans="1:10" ht="11.25" customHeight="1">
      <c r="A302" s="371"/>
      <c r="B302" s="371"/>
      <c r="C302" s="371"/>
      <c r="D302" s="371"/>
      <c r="E302" s="371"/>
      <c r="F302" s="371"/>
      <c r="G302" s="371"/>
      <c r="H302" s="371"/>
      <c r="I302" s="371"/>
      <c r="J302" s="371"/>
    </row>
    <row r="303" spans="1:10" ht="11.25" customHeight="1">
      <c r="A303" s="371"/>
      <c r="B303" s="371"/>
      <c r="C303" s="371"/>
      <c r="D303" s="371"/>
      <c r="E303" s="371"/>
      <c r="F303" s="371"/>
      <c r="G303" s="371"/>
      <c r="H303" s="371"/>
      <c r="I303" s="371"/>
      <c r="J303" s="371"/>
    </row>
    <row r="304" spans="1:10" ht="11.25" customHeight="1">
      <c r="A304" s="371"/>
      <c r="B304" s="371"/>
      <c r="C304" s="371"/>
      <c r="D304" s="371"/>
      <c r="E304" s="371"/>
      <c r="F304" s="371"/>
      <c r="G304" s="371"/>
      <c r="H304" s="371"/>
      <c r="I304" s="371"/>
      <c r="J304" s="371"/>
    </row>
    <row r="305" spans="1:10" ht="11.25" customHeight="1">
      <c r="A305" s="371"/>
      <c r="B305" s="371"/>
      <c r="C305" s="371"/>
      <c r="D305" s="371"/>
      <c r="E305" s="371"/>
      <c r="F305" s="371"/>
      <c r="G305" s="371"/>
      <c r="H305" s="371"/>
      <c r="I305" s="371"/>
      <c r="J305" s="371"/>
    </row>
    <row r="306" spans="1:10" ht="11.25" customHeight="1">
      <c r="A306" s="371"/>
      <c r="B306" s="371"/>
      <c r="C306" s="371"/>
      <c r="D306" s="371"/>
      <c r="E306" s="371"/>
      <c r="F306" s="371"/>
      <c r="G306" s="371"/>
      <c r="H306" s="371"/>
      <c r="I306" s="371"/>
      <c r="J306" s="371"/>
    </row>
    <row r="307" spans="1:10" ht="11.25" customHeight="1">
      <c r="A307" s="371"/>
      <c r="B307" s="371"/>
      <c r="C307" s="371"/>
      <c r="D307" s="371"/>
      <c r="E307" s="371"/>
      <c r="F307" s="371"/>
      <c r="G307" s="371"/>
      <c r="H307" s="371"/>
      <c r="I307" s="371"/>
      <c r="J307" s="371"/>
    </row>
    <row r="308" spans="1:10" ht="11.25" customHeight="1">
      <c r="A308" s="371"/>
      <c r="B308" s="371"/>
      <c r="C308" s="371"/>
      <c r="D308" s="371"/>
      <c r="E308" s="371"/>
      <c r="F308" s="371"/>
      <c r="G308" s="371"/>
      <c r="H308" s="371"/>
      <c r="I308" s="371"/>
      <c r="J308" s="371"/>
    </row>
    <row r="309" spans="1:10" ht="11.25" customHeight="1">
      <c r="A309" s="371"/>
      <c r="B309" s="371"/>
      <c r="C309" s="371"/>
      <c r="D309" s="371"/>
      <c r="E309" s="371"/>
      <c r="F309" s="371"/>
      <c r="G309" s="371"/>
      <c r="H309" s="371"/>
      <c r="I309" s="371"/>
      <c r="J309" s="371"/>
    </row>
    <row r="310" spans="1:10" ht="11.25" customHeight="1">
      <c r="A310" s="371"/>
      <c r="B310" s="371"/>
      <c r="C310" s="371"/>
      <c r="D310" s="371"/>
      <c r="E310" s="371"/>
      <c r="F310" s="371"/>
      <c r="G310" s="371"/>
      <c r="H310" s="371"/>
      <c r="I310" s="371"/>
      <c r="J310" s="371"/>
    </row>
    <row r="311" spans="1:10" ht="11.25" customHeight="1">
      <c r="A311" s="371"/>
      <c r="B311" s="371"/>
      <c r="C311" s="371"/>
      <c r="D311" s="371"/>
      <c r="E311" s="371"/>
      <c r="F311" s="371"/>
      <c r="G311" s="371"/>
      <c r="H311" s="371"/>
      <c r="I311" s="371"/>
      <c r="J311" s="371"/>
    </row>
    <row r="312" spans="1:10" ht="11.25" customHeight="1">
      <c r="A312" s="371"/>
      <c r="B312" s="371"/>
      <c r="C312" s="371"/>
      <c r="D312" s="371"/>
      <c r="E312" s="371"/>
      <c r="F312" s="371"/>
      <c r="G312" s="371"/>
      <c r="H312" s="371"/>
      <c r="I312" s="371"/>
      <c r="J312" s="371"/>
    </row>
    <row r="313" spans="1:10" ht="11.25" customHeight="1">
      <c r="A313" s="371"/>
      <c r="B313" s="371"/>
      <c r="C313" s="371"/>
      <c r="D313" s="371"/>
      <c r="E313" s="371"/>
      <c r="F313" s="371"/>
      <c r="G313" s="371"/>
      <c r="H313" s="371"/>
      <c r="I313" s="371"/>
      <c r="J313" s="371"/>
    </row>
    <row r="314" spans="1:10" ht="11.25" customHeight="1">
      <c r="A314" s="371"/>
      <c r="B314" s="371"/>
      <c r="C314" s="371"/>
      <c r="D314" s="371"/>
      <c r="E314" s="371"/>
      <c r="F314" s="371"/>
      <c r="G314" s="371"/>
      <c r="H314" s="371"/>
      <c r="I314" s="371"/>
      <c r="J314" s="371"/>
    </row>
    <row r="315" spans="1:10" ht="11.25" customHeight="1">
      <c r="A315" s="371"/>
      <c r="B315" s="371"/>
      <c r="C315" s="371"/>
      <c r="D315" s="371"/>
      <c r="E315" s="371"/>
      <c r="F315" s="371"/>
      <c r="G315" s="371"/>
      <c r="H315" s="371"/>
      <c r="I315" s="371"/>
      <c r="J315" s="371"/>
    </row>
    <row r="316" spans="1:10" ht="11.25" customHeight="1">
      <c r="A316" s="371"/>
      <c r="B316" s="371"/>
      <c r="C316" s="371"/>
      <c r="D316" s="371"/>
      <c r="E316" s="371"/>
      <c r="F316" s="371"/>
      <c r="G316" s="371"/>
      <c r="H316" s="371"/>
      <c r="I316" s="371"/>
      <c r="J316" s="371"/>
    </row>
  </sheetData>
  <mergeCells count="286">
    <mergeCell ref="B215:C215"/>
    <mergeCell ref="B216:C216"/>
    <mergeCell ref="B217:C217"/>
    <mergeCell ref="B219:C219"/>
    <mergeCell ref="B220:C220"/>
    <mergeCell ref="B205:C205"/>
    <mergeCell ref="B206:C206"/>
    <mergeCell ref="A11:J11"/>
    <mergeCell ref="B20:C20"/>
    <mergeCell ref="B21:C21"/>
    <mergeCell ref="B22:C22"/>
    <mergeCell ref="J18:J19"/>
    <mergeCell ref="I18:I19"/>
    <mergeCell ref="A12:I12"/>
    <mergeCell ref="A13:I13"/>
    <mergeCell ref="A14:I14"/>
    <mergeCell ref="A18:A19"/>
    <mergeCell ref="B18:C19"/>
    <mergeCell ref="D18:D19"/>
    <mergeCell ref="E18:F18"/>
    <mergeCell ref="G18:G19"/>
    <mergeCell ref="H18:H19"/>
    <mergeCell ref="B23:C23"/>
    <mergeCell ref="B24:C24"/>
    <mergeCell ref="B25:C25"/>
    <mergeCell ref="A39:D39"/>
    <mergeCell ref="A40:H40"/>
    <mergeCell ref="B41:D41"/>
    <mergeCell ref="B42:D42"/>
    <mergeCell ref="A26:C26"/>
    <mergeCell ref="A30:A31"/>
    <mergeCell ref="E30:F30"/>
    <mergeCell ref="G30:G31"/>
    <mergeCell ref="H30:H31"/>
    <mergeCell ref="B30:C31"/>
    <mergeCell ref="D30:D31"/>
    <mergeCell ref="B43:D43"/>
    <mergeCell ref="B44:D44"/>
    <mergeCell ref="A32:H32"/>
    <mergeCell ref="B33:D33"/>
    <mergeCell ref="B34:D34"/>
    <mergeCell ref="B35:D35"/>
    <mergeCell ref="B36:D36"/>
    <mergeCell ref="A38:D38"/>
    <mergeCell ref="B37:D37"/>
    <mergeCell ref="A55:H55"/>
    <mergeCell ref="B56:D56"/>
    <mergeCell ref="B57:D57"/>
    <mergeCell ref="B45:D45"/>
    <mergeCell ref="B46:D46"/>
    <mergeCell ref="B47:D47"/>
    <mergeCell ref="B48:D48"/>
    <mergeCell ref="B49:D49"/>
    <mergeCell ref="B51:D51"/>
    <mergeCell ref="B50:D50"/>
    <mergeCell ref="B52:D52"/>
    <mergeCell ref="A53:D53"/>
    <mergeCell ref="A54:D54"/>
    <mergeCell ref="B93:D93"/>
    <mergeCell ref="B94:D94"/>
    <mergeCell ref="B91:D91"/>
    <mergeCell ref="B58:D58"/>
    <mergeCell ref="B59:D59"/>
    <mergeCell ref="B60:D60"/>
    <mergeCell ref="B61:D61"/>
    <mergeCell ref="B62:D62"/>
    <mergeCell ref="B63:D63"/>
    <mergeCell ref="A86:D86"/>
    <mergeCell ref="A87:D87"/>
    <mergeCell ref="A88:H88"/>
    <mergeCell ref="B89:D89"/>
    <mergeCell ref="B90:D90"/>
    <mergeCell ref="B64:D64"/>
    <mergeCell ref="B67:D67"/>
    <mergeCell ref="A68:D68"/>
    <mergeCell ref="A69:D69"/>
    <mergeCell ref="A70:H70"/>
    <mergeCell ref="B71:D71"/>
    <mergeCell ref="B82:D82"/>
    <mergeCell ref="B72:D72"/>
    <mergeCell ref="B73:D73"/>
    <mergeCell ref="B74:D74"/>
    <mergeCell ref="B75:D75"/>
    <mergeCell ref="B81:D81"/>
    <mergeCell ref="E120:F120"/>
    <mergeCell ref="G120:G121"/>
    <mergeCell ref="H120:H121"/>
    <mergeCell ref="B122:D122"/>
    <mergeCell ref="H110:H111"/>
    <mergeCell ref="B112:D112"/>
    <mergeCell ref="B113:D113"/>
    <mergeCell ref="B114:D114"/>
    <mergeCell ref="B116:D116"/>
    <mergeCell ref="A117:D117"/>
    <mergeCell ref="A110:A111"/>
    <mergeCell ref="B110:D111"/>
    <mergeCell ref="E110:F110"/>
    <mergeCell ref="G110:G111"/>
    <mergeCell ref="A106:D106"/>
    <mergeCell ref="A107:D107"/>
    <mergeCell ref="B96:D96"/>
    <mergeCell ref="B101:D101"/>
    <mergeCell ref="A102:D102"/>
    <mergeCell ref="A103:D103"/>
    <mergeCell ref="B92:D92"/>
    <mergeCell ref="B83:D83"/>
    <mergeCell ref="B123:D123"/>
    <mergeCell ref="B124:D124"/>
    <mergeCell ref="A120:A121"/>
    <mergeCell ref="B120:D121"/>
    <mergeCell ref="A104:H104"/>
    <mergeCell ref="A105:D105"/>
    <mergeCell ref="B95:D95"/>
    <mergeCell ref="B126:D126"/>
    <mergeCell ref="A127:D127"/>
    <mergeCell ref="B97:D97"/>
    <mergeCell ref="A129:H129"/>
    <mergeCell ref="A131:A132"/>
    <mergeCell ref="B131:B132"/>
    <mergeCell ref="C131:D132"/>
    <mergeCell ref="E131:E132"/>
    <mergeCell ref="F131:F132"/>
    <mergeCell ref="G131:G132"/>
    <mergeCell ref="H131:H132"/>
    <mergeCell ref="A133:A137"/>
    <mergeCell ref="B133:B137"/>
    <mergeCell ref="C133:D133"/>
    <mergeCell ref="C134:D134"/>
    <mergeCell ref="C135:D135"/>
    <mergeCell ref="C136:D136"/>
    <mergeCell ref="C137:D137"/>
    <mergeCell ref="A145:D145"/>
    <mergeCell ref="A146:A150"/>
    <mergeCell ref="B146:B150"/>
    <mergeCell ref="C146:D146"/>
    <mergeCell ref="C147:D147"/>
    <mergeCell ref="C148:D148"/>
    <mergeCell ref="C149:D149"/>
    <mergeCell ref="C150:D150"/>
    <mergeCell ref="A138:D138"/>
    <mergeCell ref="A139:A144"/>
    <mergeCell ref="B139:B144"/>
    <mergeCell ref="C139:D139"/>
    <mergeCell ref="C140:D140"/>
    <mergeCell ref="C141:D141"/>
    <mergeCell ref="C144:D144"/>
    <mergeCell ref="A156:D156"/>
    <mergeCell ref="A157:D157"/>
    <mergeCell ref="A159:I159"/>
    <mergeCell ref="A161:A162"/>
    <mergeCell ref="B161:D162"/>
    <mergeCell ref="E161:G161"/>
    <mergeCell ref="H161:H162"/>
    <mergeCell ref="I161:I162"/>
    <mergeCell ref="A151:A155"/>
    <mergeCell ref="B151:B155"/>
    <mergeCell ref="C151:D151"/>
    <mergeCell ref="C152:D152"/>
    <mergeCell ref="C153:D153"/>
    <mergeCell ref="C154:D154"/>
    <mergeCell ref="C155:D155"/>
    <mergeCell ref="A173:D173"/>
    <mergeCell ref="B174:D174"/>
    <mergeCell ref="H174:H178"/>
    <mergeCell ref="B175:D175"/>
    <mergeCell ref="B176:D176"/>
    <mergeCell ref="B177:D177"/>
    <mergeCell ref="B178:D178"/>
    <mergeCell ref="H163:H167"/>
    <mergeCell ref="B164:D164"/>
    <mergeCell ref="B165:D165"/>
    <mergeCell ref="B166:D166"/>
    <mergeCell ref="B167:D167"/>
    <mergeCell ref="B168:D168"/>
    <mergeCell ref="B171:D171"/>
    <mergeCell ref="B169:D169"/>
    <mergeCell ref="B170:D170"/>
    <mergeCell ref="B172:D172"/>
    <mergeCell ref="A179:D179"/>
    <mergeCell ref="A180:C180"/>
    <mergeCell ref="A182:I182"/>
    <mergeCell ref="A184:I184"/>
    <mergeCell ref="A186:A187"/>
    <mergeCell ref="B186:D187"/>
    <mergeCell ref="E186:F186"/>
    <mergeCell ref="G186:G187"/>
    <mergeCell ref="H186:I187"/>
    <mergeCell ref="H191:I191"/>
    <mergeCell ref="B192:D192"/>
    <mergeCell ref="H192:I192"/>
    <mergeCell ref="A193:D193"/>
    <mergeCell ref="H193:I193"/>
    <mergeCell ref="A195:I195"/>
    <mergeCell ref="B188:D188"/>
    <mergeCell ref="H188:I188"/>
    <mergeCell ref="B189:D189"/>
    <mergeCell ref="H189:I189"/>
    <mergeCell ref="B190:D190"/>
    <mergeCell ref="H190:I190"/>
    <mergeCell ref="B221:C221"/>
    <mergeCell ref="B222:C222"/>
    <mergeCell ref="B223:C223"/>
    <mergeCell ref="A225:E225"/>
    <mergeCell ref="H197:H198"/>
    <mergeCell ref="I197:I198"/>
    <mergeCell ref="B199:C199"/>
    <mergeCell ref="B201:C201"/>
    <mergeCell ref="A197:A198"/>
    <mergeCell ref="B197:C198"/>
    <mergeCell ref="D197:D198"/>
    <mergeCell ref="E197:E198"/>
    <mergeCell ref="F197:F198"/>
    <mergeCell ref="G197:G198"/>
    <mergeCell ref="B200:C200"/>
    <mergeCell ref="B218:C218"/>
    <mergeCell ref="B207:C207"/>
    <mergeCell ref="B208:C208"/>
    <mergeCell ref="B209:C209"/>
    <mergeCell ref="B202:C202"/>
    <mergeCell ref="B203:C203"/>
    <mergeCell ref="B204:C204"/>
    <mergeCell ref="B210:C210"/>
    <mergeCell ref="B214:C214"/>
    <mergeCell ref="A231:C231"/>
    <mergeCell ref="D231:E231"/>
    <mergeCell ref="F231:G231"/>
    <mergeCell ref="H231:I231"/>
    <mergeCell ref="A232:C232"/>
    <mergeCell ref="D232:E232"/>
    <mergeCell ref="F232:G232"/>
    <mergeCell ref="H232:I232"/>
    <mergeCell ref="A227:I227"/>
    <mergeCell ref="A229:C229"/>
    <mergeCell ref="D229:E229"/>
    <mergeCell ref="F229:G229"/>
    <mergeCell ref="H229:I229"/>
    <mergeCell ref="A230:C230"/>
    <mergeCell ref="D230:E230"/>
    <mergeCell ref="F230:G230"/>
    <mergeCell ref="H230:I230"/>
    <mergeCell ref="D236:E236"/>
    <mergeCell ref="F236:G236"/>
    <mergeCell ref="H236:I236"/>
    <mergeCell ref="A233:C233"/>
    <mergeCell ref="D233:E233"/>
    <mergeCell ref="F233:G233"/>
    <mergeCell ref="H233:I233"/>
    <mergeCell ref="A234:C234"/>
    <mergeCell ref="D234:E234"/>
    <mergeCell ref="F234:G234"/>
    <mergeCell ref="H234:I234"/>
    <mergeCell ref="B252:D252"/>
    <mergeCell ref="H252:I252"/>
    <mergeCell ref="A253:D253"/>
    <mergeCell ref="H253:I253"/>
    <mergeCell ref="H255:I255"/>
    <mergeCell ref="B249:D249"/>
    <mergeCell ref="H249:I249"/>
    <mergeCell ref="B250:D250"/>
    <mergeCell ref="H250:I250"/>
    <mergeCell ref="B251:D251"/>
    <mergeCell ref="H251:I251"/>
    <mergeCell ref="B224:C224"/>
    <mergeCell ref="B246:D246"/>
    <mergeCell ref="H246:I246"/>
    <mergeCell ref="B247:D247"/>
    <mergeCell ref="H247:I247"/>
    <mergeCell ref="B248:D248"/>
    <mergeCell ref="H248:I248"/>
    <mergeCell ref="B243:D243"/>
    <mergeCell ref="H243:I243"/>
    <mergeCell ref="B244:D244"/>
    <mergeCell ref="H244:I244"/>
    <mergeCell ref="B245:D245"/>
    <mergeCell ref="H245:I245"/>
    <mergeCell ref="A239:I239"/>
    <mergeCell ref="A241:A242"/>
    <mergeCell ref="B241:D242"/>
    <mergeCell ref="E241:F241"/>
    <mergeCell ref="G241:G242"/>
    <mergeCell ref="H241:I242"/>
    <mergeCell ref="A235:C235"/>
    <mergeCell ref="D235:E235"/>
    <mergeCell ref="F235:G235"/>
    <mergeCell ref="H235:I235"/>
    <mergeCell ref="A236:C236"/>
  </mergeCells>
  <printOptions horizontalCentered="1"/>
  <pageMargins left="0.15748031496062992" right="0.15748031496062992" top="0.74803149606299213" bottom="0.74803149606299213" header="0.31496062992125984" footer="0.31496062992125984"/>
  <pageSetup paperSize="9" scale="71" orientation="portrait" r:id="rId1"/>
  <rowBreaks count="3" manualBreakCount="3">
    <brk id="87" max="16383" man="1"/>
    <brk id="180" max="9" man="1"/>
    <brk id="256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Feuil12"/>
  <dimension ref="A1:L678"/>
  <sheetViews>
    <sheetView topLeftCell="A12" workbookViewId="0">
      <selection activeCell="G21" sqref="G21:I302"/>
    </sheetView>
  </sheetViews>
  <sheetFormatPr baseColWidth="10" defaultRowHeight="15"/>
  <cols>
    <col min="1" max="1" width="5.28515625" bestFit="1" customWidth="1"/>
    <col min="2" max="2" width="40.28515625" customWidth="1"/>
    <col min="3" max="3" width="16.85546875" customWidth="1"/>
    <col min="4" max="4" width="18.7109375" style="126" customWidth="1"/>
    <col min="5" max="5" width="17.140625" style="292" bestFit="1" customWidth="1"/>
    <col min="6" max="6" width="20.7109375" style="292" bestFit="1" customWidth="1"/>
    <col min="7" max="7" width="18" style="292" customWidth="1"/>
    <col min="8" max="8" width="3.5703125" bestFit="1" customWidth="1"/>
    <col min="9" max="9" width="12" bestFit="1" customWidth="1"/>
    <col min="10" max="10" width="12.7109375" style="40" bestFit="1" customWidth="1"/>
    <col min="11" max="11" width="11.5703125" bestFit="1" customWidth="1"/>
    <col min="13" max="14" width="17.7109375" customWidth="1"/>
  </cols>
  <sheetData>
    <row r="1" spans="1:9" ht="9" customHeight="1">
      <c r="A1" s="993" t="s">
        <v>1903</v>
      </c>
      <c r="B1" s="993"/>
      <c r="C1" s="993"/>
      <c r="D1" s="993" t="s">
        <v>1904</v>
      </c>
      <c r="E1" s="993"/>
      <c r="F1" s="993"/>
      <c r="H1" s="278"/>
      <c r="I1" s="278"/>
    </row>
    <row r="2" spans="1:9" ht="9" customHeight="1">
      <c r="A2" s="993" t="s">
        <v>1905</v>
      </c>
      <c r="B2" s="993"/>
      <c r="C2" s="993"/>
      <c r="D2" s="993" t="s">
        <v>1906</v>
      </c>
      <c r="E2" s="993"/>
      <c r="F2" s="993"/>
      <c r="H2" s="278"/>
      <c r="I2" s="278"/>
    </row>
    <row r="3" spans="1:9" ht="9" customHeight="1">
      <c r="A3" s="993" t="s">
        <v>1907</v>
      </c>
      <c r="B3" s="993"/>
      <c r="C3" s="993"/>
      <c r="D3" s="993" t="s">
        <v>1907</v>
      </c>
      <c r="E3" s="993"/>
      <c r="F3" s="993"/>
      <c r="H3" s="278"/>
      <c r="I3" s="278"/>
    </row>
    <row r="4" spans="1:9" ht="9" customHeight="1">
      <c r="A4" s="993" t="s">
        <v>260</v>
      </c>
      <c r="B4" s="993"/>
      <c r="C4" s="993"/>
      <c r="D4" s="993" t="s">
        <v>1</v>
      </c>
      <c r="E4" s="993"/>
      <c r="F4" s="993"/>
      <c r="H4" s="278"/>
      <c r="I4" s="278"/>
    </row>
    <row r="5" spans="1:9" ht="9" customHeight="1">
      <c r="A5" s="993" t="s">
        <v>1907</v>
      </c>
      <c r="B5" s="993"/>
      <c r="C5" s="993"/>
      <c r="D5" s="993" t="s">
        <v>1907</v>
      </c>
      <c r="E5" s="993"/>
      <c r="F5" s="993"/>
      <c r="H5" s="278"/>
      <c r="I5" s="278"/>
    </row>
    <row r="6" spans="1:9" ht="9" customHeight="1">
      <c r="A6" s="993" t="s">
        <v>1908</v>
      </c>
      <c r="B6" s="993"/>
      <c r="C6" s="993"/>
      <c r="D6" s="993" t="s">
        <v>263</v>
      </c>
      <c r="E6" s="993"/>
      <c r="F6" s="993"/>
      <c r="H6" s="278"/>
      <c r="I6" s="278"/>
    </row>
    <row r="7" spans="1:9" ht="9" customHeight="1">
      <c r="A7" s="993" t="s">
        <v>1907</v>
      </c>
      <c r="B7" s="993"/>
      <c r="C7" s="993"/>
      <c r="D7" s="993" t="s">
        <v>1907</v>
      </c>
      <c r="E7" s="993"/>
      <c r="F7" s="993"/>
      <c r="H7" s="278"/>
      <c r="I7" s="278"/>
    </row>
    <row r="8" spans="1:9" ht="9" customHeight="1">
      <c r="A8" s="993" t="s">
        <v>262</v>
      </c>
      <c r="B8" s="993"/>
      <c r="C8" s="993"/>
      <c r="D8" s="993" t="s">
        <v>1909</v>
      </c>
      <c r="E8" s="993"/>
      <c r="F8" s="993"/>
      <c r="H8" s="278"/>
      <c r="I8" s="278"/>
    </row>
    <row r="9" spans="1:9" ht="9" customHeight="1">
      <c r="A9" s="993" t="s">
        <v>1907</v>
      </c>
      <c r="B9" s="993"/>
      <c r="C9" s="993"/>
      <c r="D9" s="993" t="s">
        <v>1907</v>
      </c>
      <c r="E9" s="993"/>
      <c r="F9" s="993"/>
      <c r="H9" s="278"/>
      <c r="I9" s="278"/>
    </row>
    <row r="10" spans="1:9" ht="9" customHeight="1">
      <c r="A10" s="993" t="s">
        <v>1910</v>
      </c>
      <c r="B10" s="993"/>
      <c r="C10" s="993"/>
      <c r="D10" s="993" t="s">
        <v>1911</v>
      </c>
      <c r="E10" s="993"/>
      <c r="F10" s="993"/>
      <c r="H10" s="278"/>
      <c r="I10" s="278"/>
    </row>
    <row r="11" spans="1:9" ht="9" customHeight="1">
      <c r="A11" s="993" t="s">
        <v>1907</v>
      </c>
      <c r="B11" s="993"/>
      <c r="C11" s="993"/>
      <c r="D11" s="993" t="s">
        <v>1907</v>
      </c>
      <c r="E11" s="993"/>
      <c r="F11" s="993"/>
      <c r="H11" s="278"/>
      <c r="I11" s="278"/>
    </row>
    <row r="12" spans="1:9" ht="9" customHeight="1">
      <c r="A12" s="993" t="s">
        <v>1912</v>
      </c>
      <c r="B12" s="993"/>
      <c r="C12" s="993"/>
      <c r="D12" s="993" t="s">
        <v>1913</v>
      </c>
      <c r="E12" s="993"/>
      <c r="F12" s="993"/>
      <c r="H12" s="278"/>
      <c r="I12" s="278"/>
    </row>
    <row r="13" spans="1:9" ht="9" customHeight="1">
      <c r="A13" s="993" t="s">
        <v>1907</v>
      </c>
      <c r="B13" s="993"/>
      <c r="C13" s="278"/>
      <c r="D13" s="993" t="s">
        <v>1907</v>
      </c>
      <c r="E13" s="993"/>
      <c r="F13" s="993"/>
      <c r="H13" s="278"/>
      <c r="I13" s="278"/>
    </row>
    <row r="14" spans="1:9" ht="9" customHeight="1">
      <c r="A14" s="252"/>
      <c r="B14" s="252"/>
      <c r="C14" s="278"/>
      <c r="D14" s="278"/>
      <c r="E14" s="293"/>
      <c r="F14" s="293"/>
      <c r="H14" s="278"/>
      <c r="I14" s="286"/>
    </row>
    <row r="15" spans="1:9" ht="9" customHeight="1">
      <c r="A15" s="995" t="s">
        <v>1914</v>
      </c>
      <c r="B15" s="995"/>
      <c r="C15" s="279"/>
      <c r="D15" s="279"/>
      <c r="E15" s="294" t="s">
        <v>2246</v>
      </c>
      <c r="F15" s="295">
        <f ca="1">TODAY()</f>
        <v>44720</v>
      </c>
      <c r="H15" s="278"/>
      <c r="I15" s="286"/>
    </row>
    <row r="16" spans="1:9">
      <c r="A16" s="253"/>
      <c r="B16" s="253"/>
      <c r="C16" s="256"/>
      <c r="D16" s="256"/>
      <c r="E16" s="994" t="s">
        <v>1915</v>
      </c>
      <c r="F16" s="994"/>
    </row>
    <row r="17" spans="1:10" ht="15.75" thickBot="1">
      <c r="A17" s="253"/>
      <c r="B17" s="253"/>
      <c r="C17" s="253"/>
      <c r="D17" s="253"/>
      <c r="E17" s="86"/>
      <c r="F17" s="86"/>
    </row>
    <row r="18" spans="1:10" ht="15.75" thickBot="1">
      <c r="A18" s="981" t="s">
        <v>2166</v>
      </c>
      <c r="B18" s="982"/>
      <c r="C18" s="982"/>
      <c r="D18" s="266" t="s">
        <v>2815</v>
      </c>
      <c r="E18" s="329">
        <f ca="1">TODAY()</f>
        <v>44720</v>
      </c>
      <c r="F18" s="296"/>
    </row>
    <row r="19" spans="1:10">
      <c r="E19" s="297"/>
      <c r="F19" s="297"/>
    </row>
    <row r="20" spans="1:10">
      <c r="A20" s="258" t="s">
        <v>192</v>
      </c>
      <c r="B20" s="258" t="s">
        <v>2138</v>
      </c>
      <c r="C20" s="258" t="s">
        <v>2164</v>
      </c>
      <c r="D20" s="527" t="s">
        <v>2165</v>
      </c>
      <c r="E20" s="298" t="s">
        <v>2139</v>
      </c>
      <c r="F20" s="298" t="s">
        <v>2191</v>
      </c>
      <c r="J20" s="40">
        <v>1</v>
      </c>
    </row>
    <row r="21" spans="1:10">
      <c r="A21" s="309"/>
      <c r="B21" s="1"/>
      <c r="C21" s="526"/>
      <c r="D21" s="287"/>
      <c r="E21" s="25"/>
      <c r="F21" s="299" t="str">
        <f>IF(H21=0,"non comptabilisé","comptabilisé")</f>
        <v>non comptabilisé</v>
      </c>
      <c r="H21" s="126"/>
      <c r="I21" s="306"/>
      <c r="J21" s="40" t="str">
        <f>IF(E21=0,"",$J$20)</f>
        <v/>
      </c>
    </row>
    <row r="22" spans="1:10" ht="15" customHeight="1">
      <c r="A22" s="309"/>
      <c r="B22" s="1"/>
      <c r="C22" s="526"/>
      <c r="D22" s="287"/>
      <c r="E22" s="25"/>
      <c r="F22" s="299" t="str">
        <f t="shared" ref="F22:F85" si="0">IF(H22=0,"non comptabilisé","comptabilisé")</f>
        <v>non comptabilisé</v>
      </c>
      <c r="H22" s="126"/>
      <c r="I22" s="306"/>
    </row>
    <row r="23" spans="1:10" ht="15" customHeight="1">
      <c r="A23" s="309"/>
      <c r="B23" s="1"/>
      <c r="C23" s="526"/>
      <c r="D23" s="287"/>
      <c r="E23" s="25"/>
      <c r="F23" s="299" t="str">
        <f t="shared" si="0"/>
        <v>non comptabilisé</v>
      </c>
      <c r="H23" s="126"/>
      <c r="I23" s="306"/>
      <c r="J23" s="40" t="str">
        <f t="shared" ref="J23:J85" si="1">IF(E23=0,"",$J$20)</f>
        <v/>
      </c>
    </row>
    <row r="24" spans="1:10" ht="15" customHeight="1">
      <c r="A24" s="309"/>
      <c r="B24" s="1"/>
      <c r="C24" s="526"/>
      <c r="D24" s="287"/>
      <c r="E24" s="25"/>
      <c r="F24" s="299" t="str">
        <f t="shared" si="0"/>
        <v>non comptabilisé</v>
      </c>
      <c r="H24" s="126"/>
      <c r="I24" s="306"/>
      <c r="J24" s="40" t="str">
        <f t="shared" si="1"/>
        <v/>
      </c>
    </row>
    <row r="25" spans="1:10" ht="15" customHeight="1">
      <c r="A25" s="309"/>
      <c r="B25" s="1"/>
      <c r="C25" s="526"/>
      <c r="D25" s="287"/>
      <c r="E25" s="25"/>
      <c r="F25" s="299" t="str">
        <f t="shared" si="0"/>
        <v>non comptabilisé</v>
      </c>
      <c r="H25" s="126"/>
      <c r="I25" s="306"/>
    </row>
    <row r="26" spans="1:10" ht="15" customHeight="1">
      <c r="A26" s="309"/>
      <c r="B26" s="1"/>
      <c r="C26" s="526"/>
      <c r="D26" s="287"/>
      <c r="E26" s="25"/>
      <c r="F26" s="299" t="str">
        <f t="shared" si="0"/>
        <v>non comptabilisé</v>
      </c>
      <c r="H26" s="126"/>
      <c r="I26" s="306"/>
      <c r="J26" s="40" t="str">
        <f t="shared" si="1"/>
        <v/>
      </c>
    </row>
    <row r="27" spans="1:10" ht="15" customHeight="1">
      <c r="A27" s="309"/>
      <c r="B27" s="1"/>
      <c r="C27" s="526"/>
      <c r="D27" s="287"/>
      <c r="E27" s="25"/>
      <c r="F27" s="299" t="str">
        <f t="shared" si="0"/>
        <v>non comptabilisé</v>
      </c>
      <c r="H27" s="126"/>
      <c r="I27" s="306"/>
      <c r="J27" s="40" t="str">
        <f t="shared" si="1"/>
        <v/>
      </c>
    </row>
    <row r="28" spans="1:10" ht="15" customHeight="1">
      <c r="A28" s="309"/>
      <c r="B28" s="1"/>
      <c r="C28" s="526"/>
      <c r="D28" s="287"/>
      <c r="E28" s="25"/>
      <c r="F28" s="299" t="str">
        <f t="shared" si="0"/>
        <v>non comptabilisé</v>
      </c>
      <c r="H28" s="126"/>
      <c r="I28" s="306"/>
      <c r="J28" s="40" t="str">
        <f t="shared" si="1"/>
        <v/>
      </c>
    </row>
    <row r="29" spans="1:10" ht="15" customHeight="1">
      <c r="A29" s="309"/>
      <c r="B29" s="1"/>
      <c r="C29" s="526"/>
      <c r="D29" s="287"/>
      <c r="E29" s="25"/>
      <c r="F29" s="299" t="str">
        <f t="shared" si="0"/>
        <v>non comptabilisé</v>
      </c>
      <c r="H29" s="126"/>
      <c r="I29" s="306"/>
      <c r="J29" s="40" t="str">
        <f t="shared" si="1"/>
        <v/>
      </c>
    </row>
    <row r="30" spans="1:10" ht="15" customHeight="1">
      <c r="A30" s="309"/>
      <c r="B30" s="1"/>
      <c r="C30" s="526"/>
      <c r="D30" s="287"/>
      <c r="E30" s="25"/>
      <c r="F30" s="299" t="str">
        <f t="shared" si="0"/>
        <v>non comptabilisé</v>
      </c>
      <c r="H30" s="126"/>
      <c r="I30" s="306"/>
      <c r="J30" s="40" t="str">
        <f t="shared" si="1"/>
        <v/>
      </c>
    </row>
    <row r="31" spans="1:10" ht="15" customHeight="1">
      <c r="A31" s="309"/>
      <c r="B31" s="1"/>
      <c r="C31" s="526"/>
      <c r="D31" s="287"/>
      <c r="E31" s="25"/>
      <c r="F31" s="299" t="str">
        <f t="shared" si="0"/>
        <v>non comptabilisé</v>
      </c>
      <c r="H31" s="126"/>
      <c r="I31" s="306"/>
      <c r="J31" s="40" t="str">
        <f t="shared" si="1"/>
        <v/>
      </c>
    </row>
    <row r="32" spans="1:10" ht="15" customHeight="1">
      <c r="A32" s="309"/>
      <c r="B32" s="1"/>
      <c r="C32" s="526"/>
      <c r="D32" s="287"/>
      <c r="E32" s="25"/>
      <c r="F32" s="299" t="str">
        <f t="shared" si="0"/>
        <v>non comptabilisé</v>
      </c>
      <c r="H32" s="126"/>
      <c r="I32" s="306"/>
      <c r="J32" s="40" t="str">
        <f t="shared" si="1"/>
        <v/>
      </c>
    </row>
    <row r="33" spans="1:10" ht="15" customHeight="1">
      <c r="A33" s="309"/>
      <c r="B33" s="1"/>
      <c r="C33" s="526"/>
      <c r="D33" s="287"/>
      <c r="E33" s="25"/>
      <c r="F33" s="299" t="str">
        <f t="shared" si="0"/>
        <v>non comptabilisé</v>
      </c>
      <c r="H33" s="126"/>
      <c r="I33" s="306"/>
      <c r="J33" s="40" t="str">
        <f t="shared" si="1"/>
        <v/>
      </c>
    </row>
    <row r="34" spans="1:10" ht="15" customHeight="1">
      <c r="A34" s="309"/>
      <c r="B34" s="1"/>
      <c r="C34" s="526"/>
      <c r="D34" s="287"/>
      <c r="E34" s="25"/>
      <c r="F34" s="299" t="str">
        <f t="shared" si="0"/>
        <v>non comptabilisé</v>
      </c>
      <c r="H34" s="126"/>
      <c r="I34" s="306"/>
      <c r="J34" s="40" t="str">
        <f t="shared" si="1"/>
        <v/>
      </c>
    </row>
    <row r="35" spans="1:10" ht="15" customHeight="1">
      <c r="A35" s="309"/>
      <c r="B35" s="1"/>
      <c r="C35" s="526"/>
      <c r="D35" s="287"/>
      <c r="E35" s="25"/>
      <c r="F35" s="299" t="str">
        <f t="shared" si="0"/>
        <v>non comptabilisé</v>
      </c>
      <c r="H35" s="126"/>
      <c r="I35" s="306"/>
      <c r="J35" s="40" t="str">
        <f t="shared" si="1"/>
        <v/>
      </c>
    </row>
    <row r="36" spans="1:10" ht="15" customHeight="1">
      <c r="A36" s="309"/>
      <c r="B36" s="1"/>
      <c r="C36" s="526"/>
      <c r="D36" s="287"/>
      <c r="E36" s="25"/>
      <c r="F36" s="299" t="str">
        <f t="shared" si="0"/>
        <v>non comptabilisé</v>
      </c>
      <c r="H36" s="126"/>
      <c r="I36" s="306"/>
      <c r="J36" s="40" t="str">
        <f t="shared" si="1"/>
        <v/>
      </c>
    </row>
    <row r="37" spans="1:10" ht="15" customHeight="1">
      <c r="A37" s="309"/>
      <c r="B37" s="1"/>
      <c r="C37" s="526"/>
      <c r="D37" s="287"/>
      <c r="E37" s="25"/>
      <c r="F37" s="299" t="str">
        <f t="shared" si="0"/>
        <v>non comptabilisé</v>
      </c>
      <c r="H37" s="126"/>
      <c r="I37" s="306"/>
      <c r="J37" s="40" t="str">
        <f t="shared" si="1"/>
        <v/>
      </c>
    </row>
    <row r="38" spans="1:10" ht="15" customHeight="1">
      <c r="A38" s="309"/>
      <c r="B38" s="1"/>
      <c r="C38" s="526"/>
      <c r="D38" s="287"/>
      <c r="E38" s="25"/>
      <c r="F38" s="299" t="str">
        <f t="shared" si="0"/>
        <v>non comptabilisé</v>
      </c>
      <c r="H38" s="126"/>
      <c r="I38" s="306"/>
      <c r="J38" s="40" t="str">
        <f t="shared" si="1"/>
        <v/>
      </c>
    </row>
    <row r="39" spans="1:10" ht="15" customHeight="1">
      <c r="A39" s="309"/>
      <c r="B39" s="1"/>
      <c r="C39" s="526"/>
      <c r="D39" s="287"/>
      <c r="E39" s="25"/>
      <c r="F39" s="299" t="str">
        <f t="shared" si="0"/>
        <v>non comptabilisé</v>
      </c>
      <c r="H39" s="126"/>
      <c r="I39" s="306"/>
      <c r="J39" s="40" t="str">
        <f t="shared" si="1"/>
        <v/>
      </c>
    </row>
    <row r="40" spans="1:10" ht="15" customHeight="1">
      <c r="A40" s="309"/>
      <c r="B40" s="1"/>
      <c r="C40" s="526"/>
      <c r="D40" s="287"/>
      <c r="E40" s="25"/>
      <c r="F40" s="299" t="str">
        <f t="shared" si="0"/>
        <v>non comptabilisé</v>
      </c>
      <c r="H40" s="126"/>
      <c r="I40" s="306"/>
      <c r="J40" s="40" t="str">
        <f t="shared" si="1"/>
        <v/>
      </c>
    </row>
    <row r="41" spans="1:10" ht="15" customHeight="1">
      <c r="A41" s="309"/>
      <c r="B41" s="1"/>
      <c r="C41" s="526"/>
      <c r="D41" s="287"/>
      <c r="E41" s="25"/>
      <c r="F41" s="299" t="str">
        <f t="shared" si="0"/>
        <v>non comptabilisé</v>
      </c>
      <c r="H41" s="126"/>
      <c r="I41" s="306"/>
      <c r="J41" s="40" t="str">
        <f t="shared" si="1"/>
        <v/>
      </c>
    </row>
    <row r="42" spans="1:10" ht="15" customHeight="1">
      <c r="A42" s="309"/>
      <c r="B42" s="1"/>
      <c r="C42" s="526"/>
      <c r="D42" s="287"/>
      <c r="E42" s="25"/>
      <c r="F42" s="299" t="str">
        <f t="shared" si="0"/>
        <v>non comptabilisé</v>
      </c>
      <c r="H42" s="126"/>
      <c r="I42" s="306"/>
      <c r="J42" s="40" t="str">
        <f t="shared" si="1"/>
        <v/>
      </c>
    </row>
    <row r="43" spans="1:10" ht="15" customHeight="1">
      <c r="A43" s="309"/>
      <c r="B43" s="1"/>
      <c r="C43" s="526"/>
      <c r="D43" s="287"/>
      <c r="E43" s="25"/>
      <c r="F43" s="299" t="str">
        <f t="shared" si="0"/>
        <v>non comptabilisé</v>
      </c>
      <c r="H43" s="126"/>
      <c r="I43" s="306"/>
      <c r="J43" s="40" t="str">
        <f t="shared" si="1"/>
        <v/>
      </c>
    </row>
    <row r="44" spans="1:10" ht="15" customHeight="1">
      <c r="A44" s="309"/>
      <c r="B44" s="1"/>
      <c r="C44" s="526"/>
      <c r="D44" s="287"/>
      <c r="E44" s="25"/>
      <c r="F44" s="299" t="str">
        <f t="shared" si="0"/>
        <v>non comptabilisé</v>
      </c>
      <c r="H44" s="126"/>
      <c r="I44" s="306"/>
      <c r="J44" s="40" t="str">
        <f t="shared" si="1"/>
        <v/>
      </c>
    </row>
    <row r="45" spans="1:10" ht="15" customHeight="1">
      <c r="A45" s="309"/>
      <c r="B45" s="1"/>
      <c r="C45" s="526"/>
      <c r="D45" s="287"/>
      <c r="E45" s="25"/>
      <c r="F45" s="299" t="str">
        <f t="shared" si="0"/>
        <v>non comptabilisé</v>
      </c>
      <c r="H45" s="126"/>
      <c r="I45" s="306"/>
      <c r="J45" s="40" t="str">
        <f t="shared" si="1"/>
        <v/>
      </c>
    </row>
    <row r="46" spans="1:10" ht="15" customHeight="1">
      <c r="A46" s="309"/>
      <c r="B46" s="1"/>
      <c r="C46" s="526"/>
      <c r="D46" s="287"/>
      <c r="E46" s="25"/>
      <c r="F46" s="299" t="str">
        <f t="shared" si="0"/>
        <v>non comptabilisé</v>
      </c>
      <c r="H46" s="126"/>
      <c r="I46" s="306"/>
      <c r="J46" s="40" t="str">
        <f t="shared" si="1"/>
        <v/>
      </c>
    </row>
    <row r="47" spans="1:10" ht="15" customHeight="1">
      <c r="A47" s="309"/>
      <c r="B47" s="1"/>
      <c r="C47" s="526"/>
      <c r="D47" s="287"/>
      <c r="E47" s="25"/>
      <c r="F47" s="299" t="str">
        <f t="shared" si="0"/>
        <v>non comptabilisé</v>
      </c>
      <c r="H47" s="126"/>
      <c r="I47" s="306"/>
      <c r="J47" s="40" t="str">
        <f t="shared" si="1"/>
        <v/>
      </c>
    </row>
    <row r="48" spans="1:10" ht="15" customHeight="1">
      <c r="A48" s="309"/>
      <c r="B48" s="1"/>
      <c r="C48" s="526"/>
      <c r="D48" s="287"/>
      <c r="E48" s="25"/>
      <c r="F48" s="299" t="str">
        <f t="shared" si="0"/>
        <v>non comptabilisé</v>
      </c>
      <c r="H48" s="126"/>
      <c r="I48" s="306"/>
      <c r="J48" s="40" t="str">
        <f t="shared" si="1"/>
        <v/>
      </c>
    </row>
    <row r="49" spans="1:10" ht="15" customHeight="1">
      <c r="A49" s="309"/>
      <c r="B49" s="1"/>
      <c r="C49" s="526"/>
      <c r="D49" s="287"/>
      <c r="E49" s="25"/>
      <c r="F49" s="299" t="str">
        <f t="shared" si="0"/>
        <v>non comptabilisé</v>
      </c>
      <c r="H49" s="126"/>
      <c r="I49" s="306"/>
      <c r="J49" s="40" t="str">
        <f t="shared" si="1"/>
        <v/>
      </c>
    </row>
    <row r="50" spans="1:10" ht="15" customHeight="1">
      <c r="A50" s="309"/>
      <c r="B50" s="1"/>
      <c r="C50" s="526"/>
      <c r="D50" s="287"/>
      <c r="E50" s="25"/>
      <c r="F50" s="299" t="str">
        <f t="shared" si="0"/>
        <v>non comptabilisé</v>
      </c>
      <c r="H50" s="126"/>
      <c r="I50" s="306"/>
      <c r="J50" s="40" t="str">
        <f t="shared" si="1"/>
        <v/>
      </c>
    </row>
    <row r="51" spans="1:10" ht="15" customHeight="1">
      <c r="A51" s="309"/>
      <c r="B51" s="1"/>
      <c r="C51" s="526"/>
      <c r="D51" s="287"/>
      <c r="E51" s="25"/>
      <c r="F51" s="299" t="str">
        <f t="shared" si="0"/>
        <v>non comptabilisé</v>
      </c>
      <c r="H51" s="126"/>
      <c r="I51" s="306"/>
      <c r="J51" s="40" t="str">
        <f t="shared" si="1"/>
        <v/>
      </c>
    </row>
    <row r="52" spans="1:10" ht="15" customHeight="1">
      <c r="A52" s="309"/>
      <c r="B52" s="1"/>
      <c r="C52" s="526"/>
      <c r="D52" s="287"/>
      <c r="E52" s="25"/>
      <c r="F52" s="299" t="str">
        <f t="shared" si="0"/>
        <v>non comptabilisé</v>
      </c>
      <c r="H52" s="126"/>
      <c r="I52" s="306"/>
      <c r="J52" s="40" t="str">
        <f t="shared" si="1"/>
        <v/>
      </c>
    </row>
    <row r="53" spans="1:10" ht="15" customHeight="1">
      <c r="A53" s="309"/>
      <c r="B53" s="1"/>
      <c r="C53" s="526"/>
      <c r="D53" s="287"/>
      <c r="E53" s="25"/>
      <c r="F53" s="299" t="str">
        <f t="shared" si="0"/>
        <v>non comptabilisé</v>
      </c>
      <c r="H53" s="126"/>
      <c r="I53" s="306"/>
      <c r="J53" s="40" t="str">
        <f t="shared" si="1"/>
        <v/>
      </c>
    </row>
    <row r="54" spans="1:10" ht="15" customHeight="1">
      <c r="A54" s="309"/>
      <c r="B54" s="1"/>
      <c r="C54" s="526"/>
      <c r="D54" s="287"/>
      <c r="E54" s="25"/>
      <c r="F54" s="299" t="str">
        <f t="shared" si="0"/>
        <v>non comptabilisé</v>
      </c>
      <c r="H54" s="126"/>
      <c r="I54" s="306"/>
      <c r="J54" s="40" t="str">
        <f t="shared" si="1"/>
        <v/>
      </c>
    </row>
    <row r="55" spans="1:10" ht="15" customHeight="1">
      <c r="A55" s="309"/>
      <c r="B55" s="1"/>
      <c r="C55" s="526"/>
      <c r="D55" s="287"/>
      <c r="E55" s="25"/>
      <c r="F55" s="299" t="str">
        <f t="shared" si="0"/>
        <v>non comptabilisé</v>
      </c>
      <c r="H55" s="126"/>
      <c r="I55" s="306"/>
      <c r="J55" s="40" t="str">
        <f t="shared" si="1"/>
        <v/>
      </c>
    </row>
    <row r="56" spans="1:10" ht="15" customHeight="1">
      <c r="A56" s="309"/>
      <c r="B56" s="1"/>
      <c r="C56" s="526"/>
      <c r="D56" s="287"/>
      <c r="E56" s="25"/>
      <c r="F56" s="299" t="str">
        <f t="shared" si="0"/>
        <v>non comptabilisé</v>
      </c>
      <c r="H56" s="126"/>
      <c r="I56" s="306"/>
      <c r="J56" s="40" t="str">
        <f t="shared" si="1"/>
        <v/>
      </c>
    </row>
    <row r="57" spans="1:10" ht="15" customHeight="1">
      <c r="A57" s="309"/>
      <c r="B57" s="1"/>
      <c r="C57" s="526"/>
      <c r="D57" s="287"/>
      <c r="E57" s="25"/>
      <c r="F57" s="299" t="str">
        <f t="shared" si="0"/>
        <v>non comptabilisé</v>
      </c>
      <c r="H57" s="126"/>
      <c r="I57" s="306"/>
      <c r="J57" s="40" t="str">
        <f t="shared" si="1"/>
        <v/>
      </c>
    </row>
    <row r="58" spans="1:10" ht="15" customHeight="1">
      <c r="A58" s="309"/>
      <c r="B58" s="1"/>
      <c r="C58" s="526"/>
      <c r="D58" s="287"/>
      <c r="E58" s="25"/>
      <c r="F58" s="299" t="str">
        <f t="shared" si="0"/>
        <v>non comptabilisé</v>
      </c>
      <c r="H58" s="126"/>
      <c r="I58" s="306"/>
      <c r="J58" s="40" t="str">
        <f t="shared" si="1"/>
        <v/>
      </c>
    </row>
    <row r="59" spans="1:10" ht="15" customHeight="1">
      <c r="A59" s="309"/>
      <c r="B59" s="1"/>
      <c r="C59" s="526"/>
      <c r="D59" s="287"/>
      <c r="E59" s="25"/>
      <c r="F59" s="299" t="str">
        <f t="shared" si="0"/>
        <v>non comptabilisé</v>
      </c>
      <c r="H59" s="126"/>
      <c r="I59" s="306"/>
      <c r="J59" s="40" t="str">
        <f t="shared" si="1"/>
        <v/>
      </c>
    </row>
    <row r="60" spans="1:10" ht="15" customHeight="1">
      <c r="A60" s="309"/>
      <c r="B60" s="1"/>
      <c r="C60" s="526"/>
      <c r="D60" s="287"/>
      <c r="E60" s="25"/>
      <c r="F60" s="299" t="str">
        <f t="shared" si="0"/>
        <v>non comptabilisé</v>
      </c>
      <c r="H60" s="126"/>
      <c r="I60" s="306"/>
      <c r="J60" s="40" t="str">
        <f t="shared" si="1"/>
        <v/>
      </c>
    </row>
    <row r="61" spans="1:10" ht="15" customHeight="1">
      <c r="A61" s="309"/>
      <c r="B61" s="1"/>
      <c r="C61" s="526"/>
      <c r="D61" s="287"/>
      <c r="E61" s="25"/>
      <c r="F61" s="299" t="str">
        <f t="shared" si="0"/>
        <v>non comptabilisé</v>
      </c>
      <c r="H61" s="126"/>
      <c r="I61" s="306"/>
      <c r="J61" s="40" t="str">
        <f t="shared" si="1"/>
        <v/>
      </c>
    </row>
    <row r="62" spans="1:10" ht="15" customHeight="1">
      <c r="A62" s="309"/>
      <c r="B62" s="1"/>
      <c r="C62" s="526"/>
      <c r="D62" s="287"/>
      <c r="E62" s="25"/>
      <c r="F62" s="299" t="str">
        <f t="shared" si="0"/>
        <v>non comptabilisé</v>
      </c>
      <c r="H62" s="126"/>
      <c r="I62" s="306"/>
      <c r="J62" s="40" t="str">
        <f t="shared" si="1"/>
        <v/>
      </c>
    </row>
    <row r="63" spans="1:10" ht="15" customHeight="1">
      <c r="A63" s="309"/>
      <c r="B63" s="1"/>
      <c r="C63" s="526"/>
      <c r="D63" s="287"/>
      <c r="E63" s="25"/>
      <c r="F63" s="299" t="str">
        <f t="shared" si="0"/>
        <v>non comptabilisé</v>
      </c>
      <c r="H63" s="126"/>
      <c r="I63" s="306"/>
      <c r="J63" s="40" t="str">
        <f t="shared" si="1"/>
        <v/>
      </c>
    </row>
    <row r="64" spans="1:10" ht="15" customHeight="1">
      <c r="A64" s="309"/>
      <c r="B64" s="1"/>
      <c r="C64" s="526"/>
      <c r="D64" s="287"/>
      <c r="E64" s="25"/>
      <c r="F64" s="299" t="str">
        <f t="shared" si="0"/>
        <v>non comptabilisé</v>
      </c>
      <c r="H64" s="126"/>
      <c r="I64" s="306"/>
      <c r="J64" s="40" t="str">
        <f t="shared" si="1"/>
        <v/>
      </c>
    </row>
    <row r="65" spans="1:10" ht="15" customHeight="1">
      <c r="A65" s="309"/>
      <c r="B65" s="1"/>
      <c r="C65" s="526"/>
      <c r="D65" s="287"/>
      <c r="E65" s="25"/>
      <c r="F65" s="299" t="str">
        <f t="shared" si="0"/>
        <v>non comptabilisé</v>
      </c>
      <c r="H65" s="126"/>
      <c r="I65" s="306"/>
      <c r="J65" s="40" t="str">
        <f t="shared" si="1"/>
        <v/>
      </c>
    </row>
    <row r="66" spans="1:10" ht="15" customHeight="1">
      <c r="A66" s="309"/>
      <c r="B66" s="1"/>
      <c r="C66" s="526"/>
      <c r="D66" s="287"/>
      <c r="E66" s="25"/>
      <c r="F66" s="299" t="str">
        <f t="shared" si="0"/>
        <v>non comptabilisé</v>
      </c>
      <c r="H66" s="126"/>
      <c r="I66" s="306"/>
      <c r="J66" s="40" t="str">
        <f t="shared" si="1"/>
        <v/>
      </c>
    </row>
    <row r="67" spans="1:10" ht="15" customHeight="1">
      <c r="A67" s="309"/>
      <c r="B67" s="1"/>
      <c r="C67" s="526"/>
      <c r="D67" s="287"/>
      <c r="E67" s="25"/>
      <c r="F67" s="299" t="str">
        <f t="shared" si="0"/>
        <v>non comptabilisé</v>
      </c>
      <c r="H67" s="126"/>
      <c r="I67" s="306"/>
      <c r="J67" s="40" t="str">
        <f t="shared" si="1"/>
        <v/>
      </c>
    </row>
    <row r="68" spans="1:10" ht="15" customHeight="1">
      <c r="A68" s="309"/>
      <c r="B68" s="1"/>
      <c r="C68" s="526"/>
      <c r="D68" s="287"/>
      <c r="E68" s="25"/>
      <c r="F68" s="299" t="str">
        <f t="shared" si="0"/>
        <v>non comptabilisé</v>
      </c>
      <c r="H68" s="126"/>
      <c r="I68" s="306"/>
      <c r="J68" s="40" t="str">
        <f t="shared" si="1"/>
        <v/>
      </c>
    </row>
    <row r="69" spans="1:10" ht="15" customHeight="1">
      <c r="A69" s="309"/>
      <c r="B69" s="1"/>
      <c r="C69" s="526"/>
      <c r="D69" s="287"/>
      <c r="E69" s="25"/>
      <c r="F69" s="299" t="str">
        <f t="shared" si="0"/>
        <v>non comptabilisé</v>
      </c>
      <c r="H69" s="126"/>
      <c r="I69" s="306"/>
      <c r="J69" s="40" t="str">
        <f t="shared" si="1"/>
        <v/>
      </c>
    </row>
    <row r="70" spans="1:10" ht="15" customHeight="1">
      <c r="A70" s="309"/>
      <c r="B70" s="1"/>
      <c r="C70" s="526"/>
      <c r="D70" s="287"/>
      <c r="E70" s="25"/>
      <c r="F70" s="299" t="str">
        <f t="shared" si="0"/>
        <v>non comptabilisé</v>
      </c>
      <c r="H70" s="126"/>
      <c r="I70" s="306"/>
      <c r="J70" s="40" t="str">
        <f t="shared" si="1"/>
        <v/>
      </c>
    </row>
    <row r="71" spans="1:10" ht="15" customHeight="1">
      <c r="A71" s="309"/>
      <c r="B71" s="1"/>
      <c r="C71" s="526"/>
      <c r="D71" s="287"/>
      <c r="E71" s="25"/>
      <c r="F71" s="299" t="str">
        <f t="shared" si="0"/>
        <v>non comptabilisé</v>
      </c>
      <c r="H71" s="126"/>
      <c r="I71" s="306"/>
      <c r="J71" s="40" t="str">
        <f t="shared" si="1"/>
        <v/>
      </c>
    </row>
    <row r="72" spans="1:10" ht="15" customHeight="1">
      <c r="A72" s="309"/>
      <c r="B72" s="1"/>
      <c r="C72" s="526"/>
      <c r="D72" s="287"/>
      <c r="E72" s="25"/>
      <c r="F72" s="299" t="str">
        <f t="shared" si="0"/>
        <v>non comptabilisé</v>
      </c>
      <c r="H72" s="126"/>
      <c r="I72" s="306"/>
      <c r="J72" s="40" t="str">
        <f t="shared" si="1"/>
        <v/>
      </c>
    </row>
    <row r="73" spans="1:10" ht="15" customHeight="1">
      <c r="A73" s="309"/>
      <c r="B73" s="1"/>
      <c r="C73" s="526"/>
      <c r="D73" s="287"/>
      <c r="E73" s="25"/>
      <c r="F73" s="299" t="str">
        <f t="shared" si="0"/>
        <v>non comptabilisé</v>
      </c>
      <c r="H73" s="126"/>
      <c r="I73" s="306"/>
      <c r="J73" s="40" t="str">
        <f t="shared" si="1"/>
        <v/>
      </c>
    </row>
    <row r="74" spans="1:10" ht="15" customHeight="1">
      <c r="A74" s="309"/>
      <c r="B74" s="1"/>
      <c r="C74" s="526"/>
      <c r="D74" s="287"/>
      <c r="E74" s="25"/>
      <c r="F74" s="299" t="str">
        <f t="shared" si="0"/>
        <v>non comptabilisé</v>
      </c>
      <c r="H74" s="126"/>
      <c r="I74" s="306"/>
      <c r="J74" s="40" t="str">
        <f t="shared" si="1"/>
        <v/>
      </c>
    </row>
    <row r="75" spans="1:10" ht="15" customHeight="1">
      <c r="A75" s="309"/>
      <c r="B75" s="1"/>
      <c r="C75" s="526"/>
      <c r="D75" s="287"/>
      <c r="E75" s="25"/>
      <c r="F75" s="299" t="str">
        <f t="shared" si="0"/>
        <v>non comptabilisé</v>
      </c>
      <c r="H75" s="126"/>
      <c r="I75" s="306"/>
      <c r="J75" s="40" t="str">
        <f t="shared" si="1"/>
        <v/>
      </c>
    </row>
    <row r="76" spans="1:10" ht="15" customHeight="1">
      <c r="A76" s="309"/>
      <c r="B76" s="1"/>
      <c r="C76" s="526"/>
      <c r="D76" s="287"/>
      <c r="E76" s="25"/>
      <c r="F76" s="299" t="str">
        <f t="shared" si="0"/>
        <v>non comptabilisé</v>
      </c>
      <c r="H76" s="126"/>
      <c r="I76" s="306"/>
      <c r="J76" s="40" t="str">
        <f t="shared" si="1"/>
        <v/>
      </c>
    </row>
    <row r="77" spans="1:10" ht="15" customHeight="1">
      <c r="A77" s="309"/>
      <c r="B77" s="1"/>
      <c r="C77" s="526"/>
      <c r="D77" s="287"/>
      <c r="E77" s="25"/>
      <c r="F77" s="299" t="str">
        <f t="shared" si="0"/>
        <v>non comptabilisé</v>
      </c>
      <c r="H77" s="126"/>
      <c r="I77" s="306"/>
      <c r="J77" s="40" t="str">
        <f t="shared" si="1"/>
        <v/>
      </c>
    </row>
    <row r="78" spans="1:10" ht="15" customHeight="1">
      <c r="A78" s="309"/>
      <c r="B78" s="1"/>
      <c r="C78" s="526"/>
      <c r="D78" s="287"/>
      <c r="E78" s="25"/>
      <c r="F78" s="299" t="str">
        <f t="shared" si="0"/>
        <v>non comptabilisé</v>
      </c>
      <c r="H78" s="126"/>
      <c r="I78" s="306"/>
      <c r="J78" s="40" t="str">
        <f t="shared" si="1"/>
        <v/>
      </c>
    </row>
    <row r="79" spans="1:10" ht="15" customHeight="1">
      <c r="A79" s="309"/>
      <c r="B79" s="1"/>
      <c r="C79" s="526"/>
      <c r="D79" s="287"/>
      <c r="E79" s="25"/>
      <c r="F79" s="299" t="str">
        <f t="shared" si="0"/>
        <v>non comptabilisé</v>
      </c>
      <c r="H79" s="126"/>
      <c r="I79" s="306"/>
      <c r="J79" s="40" t="str">
        <f t="shared" si="1"/>
        <v/>
      </c>
    </row>
    <row r="80" spans="1:10" ht="15" customHeight="1">
      <c r="A80" s="309"/>
      <c r="B80" s="1"/>
      <c r="C80" s="526"/>
      <c r="D80" s="287"/>
      <c r="E80" s="25"/>
      <c r="F80" s="299" t="str">
        <f t="shared" si="0"/>
        <v>non comptabilisé</v>
      </c>
      <c r="H80" s="126"/>
      <c r="I80" s="306"/>
      <c r="J80" s="40" t="str">
        <f t="shared" si="1"/>
        <v/>
      </c>
    </row>
    <row r="81" spans="1:10" ht="15" customHeight="1">
      <c r="A81" s="309"/>
      <c r="B81" s="1"/>
      <c r="C81" s="526"/>
      <c r="D81" s="287"/>
      <c r="E81" s="25"/>
      <c r="F81" s="299" t="str">
        <f t="shared" si="0"/>
        <v>non comptabilisé</v>
      </c>
      <c r="H81" s="126"/>
      <c r="I81" s="306"/>
      <c r="J81" s="40" t="str">
        <f t="shared" si="1"/>
        <v/>
      </c>
    </row>
    <row r="82" spans="1:10" ht="15" customHeight="1">
      <c r="A82" s="309"/>
      <c r="B82" s="1"/>
      <c r="C82" s="526"/>
      <c r="D82" s="287"/>
      <c r="E82" s="25"/>
      <c r="F82" s="299" t="str">
        <f t="shared" si="0"/>
        <v>non comptabilisé</v>
      </c>
      <c r="H82" s="126"/>
      <c r="I82" s="306"/>
      <c r="J82" s="40" t="str">
        <f t="shared" si="1"/>
        <v/>
      </c>
    </row>
    <row r="83" spans="1:10" ht="15" customHeight="1">
      <c r="A83" s="309"/>
      <c r="B83" s="1"/>
      <c r="C83" s="526"/>
      <c r="D83" s="287"/>
      <c r="E83" s="25"/>
      <c r="F83" s="299" t="str">
        <f t="shared" si="0"/>
        <v>non comptabilisé</v>
      </c>
      <c r="H83" s="126"/>
      <c r="I83" s="306"/>
      <c r="J83" s="40" t="str">
        <f t="shared" si="1"/>
        <v/>
      </c>
    </row>
    <row r="84" spans="1:10" ht="15" customHeight="1">
      <c r="A84" s="309"/>
      <c r="B84" s="1"/>
      <c r="C84" s="526"/>
      <c r="D84" s="287"/>
      <c r="E84" s="25"/>
      <c r="F84" s="299" t="str">
        <f t="shared" si="0"/>
        <v>non comptabilisé</v>
      </c>
      <c r="H84" s="126"/>
      <c r="I84" s="306"/>
      <c r="J84" s="40" t="str">
        <f t="shared" si="1"/>
        <v/>
      </c>
    </row>
    <row r="85" spans="1:10" ht="15" customHeight="1">
      <c r="A85" s="309"/>
      <c r="B85" s="1"/>
      <c r="C85" s="526"/>
      <c r="D85" s="287"/>
      <c r="E85" s="25"/>
      <c r="F85" s="299" t="str">
        <f t="shared" si="0"/>
        <v>non comptabilisé</v>
      </c>
      <c r="H85" s="126"/>
      <c r="I85" s="306"/>
      <c r="J85" s="40" t="str">
        <f t="shared" si="1"/>
        <v/>
      </c>
    </row>
    <row r="86" spans="1:10" ht="15" customHeight="1">
      <c r="A86" s="309"/>
      <c r="B86" s="1"/>
      <c r="C86" s="526"/>
      <c r="D86" s="287"/>
      <c r="E86" s="25"/>
      <c r="F86" s="299" t="str">
        <f t="shared" ref="F86:F149" si="2">IF(H86=0,"non comptabilisé","comptabilisé")</f>
        <v>non comptabilisé</v>
      </c>
      <c r="H86" s="126"/>
      <c r="I86" s="306"/>
      <c r="J86" s="40" t="str">
        <f t="shared" ref="J86:J149" si="3">IF(E86=0,"",$J$20)</f>
        <v/>
      </c>
    </row>
    <row r="87" spans="1:10" ht="15" customHeight="1">
      <c r="A87" s="309"/>
      <c r="B87" s="1"/>
      <c r="C87" s="526"/>
      <c r="D87" s="287"/>
      <c r="E87" s="25"/>
      <c r="F87" s="299" t="str">
        <f t="shared" si="2"/>
        <v>non comptabilisé</v>
      </c>
      <c r="H87" s="126"/>
      <c r="I87" s="306"/>
      <c r="J87" s="40" t="str">
        <f t="shared" si="3"/>
        <v/>
      </c>
    </row>
    <row r="88" spans="1:10" ht="15" customHeight="1">
      <c r="A88" s="309"/>
      <c r="B88" s="1"/>
      <c r="C88" s="526"/>
      <c r="D88" s="287"/>
      <c r="E88" s="25"/>
      <c r="F88" s="299" t="str">
        <f t="shared" si="2"/>
        <v>non comptabilisé</v>
      </c>
      <c r="H88" s="126"/>
      <c r="I88" s="306"/>
      <c r="J88" s="40" t="str">
        <f t="shared" si="3"/>
        <v/>
      </c>
    </row>
    <row r="89" spans="1:10" ht="15" customHeight="1">
      <c r="A89" s="309"/>
      <c r="B89" s="1"/>
      <c r="C89" s="526"/>
      <c r="D89" s="287"/>
      <c r="E89" s="25"/>
      <c r="F89" s="299" t="str">
        <f t="shared" si="2"/>
        <v>non comptabilisé</v>
      </c>
      <c r="H89" s="126"/>
      <c r="I89" s="306"/>
      <c r="J89" s="40" t="str">
        <f t="shared" si="3"/>
        <v/>
      </c>
    </row>
    <row r="90" spans="1:10" ht="15" customHeight="1">
      <c r="A90" s="309"/>
      <c r="B90" s="1"/>
      <c r="C90" s="526"/>
      <c r="D90" s="287"/>
      <c r="E90" s="25"/>
      <c r="F90" s="299" t="str">
        <f t="shared" si="2"/>
        <v>non comptabilisé</v>
      </c>
      <c r="H90" s="126"/>
      <c r="I90" s="306"/>
      <c r="J90" s="40" t="str">
        <f t="shared" si="3"/>
        <v/>
      </c>
    </row>
    <row r="91" spans="1:10" ht="15" customHeight="1">
      <c r="A91" s="309"/>
      <c r="B91" s="1"/>
      <c r="C91" s="526"/>
      <c r="D91" s="287"/>
      <c r="E91" s="25"/>
      <c r="F91" s="299" t="str">
        <f t="shared" si="2"/>
        <v>non comptabilisé</v>
      </c>
      <c r="H91" s="126"/>
      <c r="I91" s="306"/>
      <c r="J91" s="40" t="str">
        <f t="shared" si="3"/>
        <v/>
      </c>
    </row>
    <row r="92" spans="1:10" ht="15" customHeight="1">
      <c r="A92" s="309"/>
      <c r="B92" s="1"/>
      <c r="C92" s="526"/>
      <c r="D92" s="287"/>
      <c r="E92" s="25"/>
      <c r="F92" s="299" t="str">
        <f t="shared" si="2"/>
        <v>non comptabilisé</v>
      </c>
      <c r="H92" s="126"/>
      <c r="I92" s="306"/>
      <c r="J92" s="40" t="str">
        <f t="shared" si="3"/>
        <v/>
      </c>
    </row>
    <row r="93" spans="1:10" ht="15" customHeight="1">
      <c r="A93" s="309"/>
      <c r="B93" s="1"/>
      <c r="C93" s="526"/>
      <c r="D93" s="287"/>
      <c r="E93" s="25"/>
      <c r="F93" s="299" t="str">
        <f t="shared" si="2"/>
        <v>non comptabilisé</v>
      </c>
      <c r="H93" s="126"/>
      <c r="I93" s="306"/>
      <c r="J93" s="40" t="str">
        <f t="shared" si="3"/>
        <v/>
      </c>
    </row>
    <row r="94" spans="1:10" ht="15" customHeight="1">
      <c r="A94" s="309"/>
      <c r="B94" s="1"/>
      <c r="C94" s="526"/>
      <c r="D94" s="287"/>
      <c r="E94" s="25"/>
      <c r="F94" s="299" t="str">
        <f t="shared" si="2"/>
        <v>non comptabilisé</v>
      </c>
      <c r="H94" s="126"/>
      <c r="I94" s="306"/>
      <c r="J94" s="40" t="str">
        <f t="shared" si="3"/>
        <v/>
      </c>
    </row>
    <row r="95" spans="1:10" ht="15" customHeight="1">
      <c r="A95" s="309"/>
      <c r="B95" s="1"/>
      <c r="C95" s="526"/>
      <c r="D95" s="287"/>
      <c r="E95" s="25"/>
      <c r="F95" s="299" t="str">
        <f t="shared" si="2"/>
        <v>non comptabilisé</v>
      </c>
      <c r="H95" s="126"/>
      <c r="I95" s="306"/>
      <c r="J95" s="40" t="str">
        <f t="shared" si="3"/>
        <v/>
      </c>
    </row>
    <row r="96" spans="1:10" ht="15" customHeight="1">
      <c r="A96" s="309"/>
      <c r="B96" s="1"/>
      <c r="C96" s="526"/>
      <c r="D96" s="287"/>
      <c r="E96" s="25"/>
      <c r="F96" s="299" t="str">
        <f t="shared" si="2"/>
        <v>non comptabilisé</v>
      </c>
      <c r="H96" s="126"/>
      <c r="I96" s="306"/>
      <c r="J96" s="40" t="str">
        <f t="shared" si="3"/>
        <v/>
      </c>
    </row>
    <row r="97" spans="1:10" ht="15" customHeight="1">
      <c r="A97" s="309"/>
      <c r="B97" s="1"/>
      <c r="C97" s="526"/>
      <c r="D97" s="287"/>
      <c r="E97" s="25"/>
      <c r="F97" s="299" t="str">
        <f t="shared" si="2"/>
        <v>non comptabilisé</v>
      </c>
      <c r="H97" s="126"/>
      <c r="I97" s="306"/>
      <c r="J97" s="40" t="str">
        <f t="shared" si="3"/>
        <v/>
      </c>
    </row>
    <row r="98" spans="1:10" ht="15" customHeight="1">
      <c r="A98" s="309"/>
      <c r="B98" s="1"/>
      <c r="C98" s="526"/>
      <c r="D98" s="287"/>
      <c r="E98" s="25"/>
      <c r="F98" s="299" t="str">
        <f t="shared" si="2"/>
        <v>non comptabilisé</v>
      </c>
      <c r="H98" s="126"/>
      <c r="I98" s="306"/>
      <c r="J98" s="40" t="str">
        <f t="shared" si="3"/>
        <v/>
      </c>
    </row>
    <row r="99" spans="1:10" ht="15" customHeight="1">
      <c r="A99" s="309"/>
      <c r="B99" s="1"/>
      <c r="C99" s="526"/>
      <c r="D99" s="287"/>
      <c r="E99" s="25"/>
      <c r="F99" s="299" t="str">
        <f t="shared" si="2"/>
        <v>non comptabilisé</v>
      </c>
      <c r="H99" s="126"/>
      <c r="I99" s="306"/>
      <c r="J99" s="40" t="str">
        <f t="shared" si="3"/>
        <v/>
      </c>
    </row>
    <row r="100" spans="1:10" ht="15" customHeight="1">
      <c r="A100" s="309"/>
      <c r="B100" s="1"/>
      <c r="C100" s="526"/>
      <c r="D100" s="287"/>
      <c r="E100" s="25"/>
      <c r="F100" s="299" t="str">
        <f t="shared" si="2"/>
        <v>non comptabilisé</v>
      </c>
      <c r="H100" s="126"/>
      <c r="I100" s="306"/>
      <c r="J100" s="40" t="str">
        <f t="shared" si="3"/>
        <v/>
      </c>
    </row>
    <row r="101" spans="1:10" ht="15" customHeight="1">
      <c r="A101" s="309"/>
      <c r="B101" s="1"/>
      <c r="C101" s="526"/>
      <c r="D101" s="287"/>
      <c r="E101" s="25"/>
      <c r="F101" s="299" t="str">
        <f t="shared" si="2"/>
        <v>non comptabilisé</v>
      </c>
      <c r="H101" s="126"/>
      <c r="I101" s="306"/>
      <c r="J101" s="40" t="str">
        <f t="shared" si="3"/>
        <v/>
      </c>
    </row>
    <row r="102" spans="1:10" ht="15" customHeight="1">
      <c r="A102" s="309"/>
      <c r="B102" s="1"/>
      <c r="C102" s="526"/>
      <c r="D102" s="287"/>
      <c r="E102" s="25"/>
      <c r="F102" s="299" t="str">
        <f t="shared" si="2"/>
        <v>non comptabilisé</v>
      </c>
      <c r="H102" s="126"/>
      <c r="I102" s="306"/>
      <c r="J102" s="40" t="str">
        <f t="shared" si="3"/>
        <v/>
      </c>
    </row>
    <row r="103" spans="1:10" ht="15" customHeight="1">
      <c r="A103" s="309"/>
      <c r="B103" s="1"/>
      <c r="C103" s="526"/>
      <c r="D103" s="287"/>
      <c r="E103" s="25"/>
      <c r="F103" s="299" t="str">
        <f t="shared" si="2"/>
        <v>non comptabilisé</v>
      </c>
      <c r="H103" s="126"/>
      <c r="I103" s="306"/>
      <c r="J103" s="40" t="str">
        <f t="shared" si="3"/>
        <v/>
      </c>
    </row>
    <row r="104" spans="1:10" ht="15" customHeight="1">
      <c r="A104" s="309"/>
      <c r="B104" s="1"/>
      <c r="C104" s="526"/>
      <c r="D104" s="287"/>
      <c r="E104" s="25"/>
      <c r="F104" s="299" t="str">
        <f t="shared" si="2"/>
        <v>non comptabilisé</v>
      </c>
      <c r="H104" s="126"/>
      <c r="I104" s="306"/>
      <c r="J104" s="40" t="str">
        <f t="shared" si="3"/>
        <v/>
      </c>
    </row>
    <row r="105" spans="1:10" ht="15" customHeight="1">
      <c r="A105" s="309"/>
      <c r="B105" s="1"/>
      <c r="C105" s="526"/>
      <c r="D105" s="287"/>
      <c r="E105" s="25"/>
      <c r="F105" s="299" t="str">
        <f t="shared" si="2"/>
        <v>non comptabilisé</v>
      </c>
      <c r="H105" s="126"/>
      <c r="I105" s="306"/>
      <c r="J105" s="40" t="str">
        <f t="shared" si="3"/>
        <v/>
      </c>
    </row>
    <row r="106" spans="1:10" ht="15" customHeight="1">
      <c r="A106" s="309"/>
      <c r="B106" s="1"/>
      <c r="C106" s="526"/>
      <c r="D106" s="287"/>
      <c r="E106" s="25"/>
      <c r="F106" s="299" t="str">
        <f t="shared" si="2"/>
        <v>non comptabilisé</v>
      </c>
      <c r="H106" s="126"/>
      <c r="I106" s="306"/>
      <c r="J106" s="40" t="str">
        <f t="shared" si="3"/>
        <v/>
      </c>
    </row>
    <row r="107" spans="1:10" ht="15" customHeight="1">
      <c r="A107" s="309"/>
      <c r="B107" s="1"/>
      <c r="C107" s="526"/>
      <c r="D107" s="287"/>
      <c r="E107" s="25"/>
      <c r="F107" s="299" t="str">
        <f t="shared" si="2"/>
        <v>non comptabilisé</v>
      </c>
      <c r="H107" s="126"/>
      <c r="I107" s="306"/>
      <c r="J107" s="40" t="str">
        <f t="shared" si="3"/>
        <v/>
      </c>
    </row>
    <row r="108" spans="1:10" ht="15" customHeight="1">
      <c r="A108" s="309"/>
      <c r="B108" s="1"/>
      <c r="C108" s="526"/>
      <c r="D108" s="287"/>
      <c r="E108" s="25"/>
      <c r="F108" s="299" t="str">
        <f t="shared" si="2"/>
        <v>non comptabilisé</v>
      </c>
      <c r="H108" s="126"/>
      <c r="I108" s="306"/>
      <c r="J108" s="40" t="str">
        <f t="shared" si="3"/>
        <v/>
      </c>
    </row>
    <row r="109" spans="1:10" ht="15" customHeight="1">
      <c r="A109" s="309"/>
      <c r="B109" s="1"/>
      <c r="C109" s="526"/>
      <c r="D109" s="287"/>
      <c r="E109" s="25"/>
      <c r="F109" s="299" t="str">
        <f t="shared" si="2"/>
        <v>non comptabilisé</v>
      </c>
      <c r="H109" s="126"/>
      <c r="I109" s="306"/>
      <c r="J109" s="40" t="str">
        <f t="shared" si="3"/>
        <v/>
      </c>
    </row>
    <row r="110" spans="1:10" ht="15" customHeight="1">
      <c r="A110" s="309"/>
      <c r="B110" s="1"/>
      <c r="C110" s="526"/>
      <c r="D110" s="287"/>
      <c r="E110" s="25"/>
      <c r="F110" s="299" t="str">
        <f t="shared" si="2"/>
        <v>non comptabilisé</v>
      </c>
      <c r="H110" s="126"/>
      <c r="I110" s="306"/>
      <c r="J110" s="40" t="str">
        <f t="shared" si="3"/>
        <v/>
      </c>
    </row>
    <row r="111" spans="1:10" ht="15" customHeight="1">
      <c r="A111" s="309"/>
      <c r="B111" s="1"/>
      <c r="C111" s="526"/>
      <c r="D111" s="287"/>
      <c r="E111" s="25"/>
      <c r="F111" s="299" t="str">
        <f t="shared" si="2"/>
        <v>non comptabilisé</v>
      </c>
      <c r="H111" s="126"/>
      <c r="I111" s="306"/>
      <c r="J111" s="40" t="str">
        <f t="shared" si="3"/>
        <v/>
      </c>
    </row>
    <row r="112" spans="1:10" ht="15" customHeight="1">
      <c r="A112" s="309"/>
      <c r="B112" s="1"/>
      <c r="C112" s="526"/>
      <c r="D112" s="287"/>
      <c r="E112" s="25"/>
      <c r="F112" s="299" t="str">
        <f t="shared" si="2"/>
        <v>non comptabilisé</v>
      </c>
      <c r="H112" s="126"/>
      <c r="I112" s="306"/>
      <c r="J112" s="40" t="str">
        <f t="shared" si="3"/>
        <v/>
      </c>
    </row>
    <row r="113" spans="1:10" ht="15" customHeight="1">
      <c r="A113" s="309"/>
      <c r="B113" s="1"/>
      <c r="C113" s="526"/>
      <c r="D113" s="287"/>
      <c r="E113" s="25"/>
      <c r="F113" s="299" t="str">
        <f t="shared" si="2"/>
        <v>non comptabilisé</v>
      </c>
      <c r="H113" s="126"/>
      <c r="I113" s="306"/>
      <c r="J113" s="40" t="str">
        <f t="shared" si="3"/>
        <v/>
      </c>
    </row>
    <row r="114" spans="1:10" ht="15" customHeight="1">
      <c r="A114" s="309"/>
      <c r="B114" s="1"/>
      <c r="C114" s="526"/>
      <c r="D114" s="287"/>
      <c r="E114" s="25"/>
      <c r="F114" s="299" t="str">
        <f t="shared" si="2"/>
        <v>non comptabilisé</v>
      </c>
      <c r="H114" s="126"/>
      <c r="I114" s="306"/>
      <c r="J114" s="40" t="str">
        <f t="shared" si="3"/>
        <v/>
      </c>
    </row>
    <row r="115" spans="1:10" ht="15" customHeight="1">
      <c r="A115" s="309"/>
      <c r="B115" s="1"/>
      <c r="C115" s="526"/>
      <c r="D115" s="287"/>
      <c r="E115" s="25"/>
      <c r="F115" s="299" t="str">
        <f t="shared" si="2"/>
        <v>non comptabilisé</v>
      </c>
      <c r="H115" s="126"/>
      <c r="I115" s="306"/>
      <c r="J115" s="40" t="str">
        <f t="shared" si="3"/>
        <v/>
      </c>
    </row>
    <row r="116" spans="1:10" ht="15" customHeight="1">
      <c r="A116" s="309"/>
      <c r="B116" s="1"/>
      <c r="C116" s="526"/>
      <c r="D116" s="287"/>
      <c r="E116" s="25"/>
      <c r="F116" s="299" t="str">
        <f t="shared" si="2"/>
        <v>non comptabilisé</v>
      </c>
      <c r="H116" s="126"/>
      <c r="I116" s="306"/>
      <c r="J116" s="40" t="str">
        <f t="shared" si="3"/>
        <v/>
      </c>
    </row>
    <row r="117" spans="1:10" ht="15" customHeight="1">
      <c r="A117" s="309"/>
      <c r="B117" s="1"/>
      <c r="C117" s="526"/>
      <c r="D117" s="287"/>
      <c r="E117" s="25"/>
      <c r="F117" s="299" t="str">
        <f t="shared" si="2"/>
        <v>non comptabilisé</v>
      </c>
      <c r="H117" s="126"/>
      <c r="I117" s="306"/>
      <c r="J117" s="40" t="str">
        <f t="shared" si="3"/>
        <v/>
      </c>
    </row>
    <row r="118" spans="1:10" ht="15" customHeight="1">
      <c r="A118" s="309"/>
      <c r="B118" s="1"/>
      <c r="C118" s="526"/>
      <c r="D118" s="287"/>
      <c r="E118" s="25"/>
      <c r="F118" s="299" t="str">
        <f t="shared" si="2"/>
        <v>non comptabilisé</v>
      </c>
      <c r="H118" s="126"/>
      <c r="I118" s="306"/>
      <c r="J118" s="40" t="str">
        <f t="shared" si="3"/>
        <v/>
      </c>
    </row>
    <row r="119" spans="1:10" ht="15" customHeight="1">
      <c r="A119" s="309"/>
      <c r="B119" s="1"/>
      <c r="C119" s="526"/>
      <c r="D119" s="287"/>
      <c r="E119" s="25"/>
      <c r="F119" s="299" t="str">
        <f t="shared" si="2"/>
        <v>non comptabilisé</v>
      </c>
      <c r="H119" s="126"/>
      <c r="I119" s="306"/>
      <c r="J119" s="40" t="str">
        <f t="shared" si="3"/>
        <v/>
      </c>
    </row>
    <row r="120" spans="1:10" ht="15" customHeight="1">
      <c r="A120" s="309"/>
      <c r="B120" s="1"/>
      <c r="C120" s="526"/>
      <c r="D120" s="287"/>
      <c r="E120" s="25"/>
      <c r="F120" s="299" t="str">
        <f t="shared" si="2"/>
        <v>non comptabilisé</v>
      </c>
      <c r="H120" s="126"/>
      <c r="I120" s="306"/>
      <c r="J120" s="40" t="str">
        <f t="shared" si="3"/>
        <v/>
      </c>
    </row>
    <row r="121" spans="1:10" ht="15" customHeight="1">
      <c r="A121" s="309"/>
      <c r="B121" s="1"/>
      <c r="C121" s="526"/>
      <c r="D121" s="287"/>
      <c r="E121" s="25"/>
      <c r="F121" s="299" t="str">
        <f t="shared" si="2"/>
        <v>non comptabilisé</v>
      </c>
      <c r="H121" s="126"/>
      <c r="I121" s="306"/>
      <c r="J121" s="40" t="str">
        <f t="shared" si="3"/>
        <v/>
      </c>
    </row>
    <row r="122" spans="1:10" ht="15" customHeight="1">
      <c r="A122" s="309"/>
      <c r="B122" s="1"/>
      <c r="C122" s="526"/>
      <c r="D122" s="287"/>
      <c r="E122" s="25"/>
      <c r="F122" s="299" t="str">
        <f t="shared" si="2"/>
        <v>non comptabilisé</v>
      </c>
      <c r="H122" s="126"/>
      <c r="I122" s="306"/>
      <c r="J122" s="40" t="str">
        <f t="shared" si="3"/>
        <v/>
      </c>
    </row>
    <row r="123" spans="1:10" ht="15" customHeight="1">
      <c r="A123" s="309"/>
      <c r="B123" s="1"/>
      <c r="C123" s="526"/>
      <c r="D123" s="287"/>
      <c r="E123" s="25"/>
      <c r="F123" s="299" t="str">
        <f t="shared" si="2"/>
        <v>non comptabilisé</v>
      </c>
      <c r="H123" s="126"/>
      <c r="I123" s="306"/>
      <c r="J123" s="40" t="str">
        <f t="shared" si="3"/>
        <v/>
      </c>
    </row>
    <row r="124" spans="1:10" ht="15" customHeight="1">
      <c r="A124" s="309"/>
      <c r="B124" s="1"/>
      <c r="C124" s="526"/>
      <c r="D124" s="287"/>
      <c r="E124" s="25"/>
      <c r="F124" s="299" t="str">
        <f t="shared" si="2"/>
        <v>non comptabilisé</v>
      </c>
      <c r="H124" s="126"/>
      <c r="I124" s="306"/>
      <c r="J124" s="40" t="str">
        <f t="shared" si="3"/>
        <v/>
      </c>
    </row>
    <row r="125" spans="1:10" ht="15" customHeight="1">
      <c r="A125" s="309"/>
      <c r="B125" s="1"/>
      <c r="C125" s="526"/>
      <c r="D125" s="287"/>
      <c r="E125" s="25"/>
      <c r="F125" s="299" t="str">
        <f t="shared" si="2"/>
        <v>non comptabilisé</v>
      </c>
      <c r="H125" s="126"/>
      <c r="I125" s="306"/>
      <c r="J125" s="40" t="str">
        <f t="shared" si="3"/>
        <v/>
      </c>
    </row>
    <row r="126" spans="1:10" ht="15" customHeight="1">
      <c r="A126" s="309"/>
      <c r="B126" s="1"/>
      <c r="C126" s="526"/>
      <c r="D126" s="287"/>
      <c r="E126" s="25"/>
      <c r="F126" s="299" t="str">
        <f t="shared" si="2"/>
        <v>non comptabilisé</v>
      </c>
      <c r="H126" s="126"/>
      <c r="I126" s="306"/>
      <c r="J126" s="40" t="str">
        <f t="shared" si="3"/>
        <v/>
      </c>
    </row>
    <row r="127" spans="1:10" ht="15" customHeight="1">
      <c r="A127" s="309"/>
      <c r="B127" s="1"/>
      <c r="C127" s="526"/>
      <c r="D127" s="287"/>
      <c r="E127" s="25"/>
      <c r="F127" s="299" t="str">
        <f t="shared" si="2"/>
        <v>non comptabilisé</v>
      </c>
      <c r="H127" s="126"/>
      <c r="I127" s="306"/>
      <c r="J127" s="40" t="str">
        <f t="shared" si="3"/>
        <v/>
      </c>
    </row>
    <row r="128" spans="1:10" ht="15" customHeight="1">
      <c r="A128" s="309"/>
      <c r="B128" s="1"/>
      <c r="C128" s="526"/>
      <c r="D128" s="287"/>
      <c r="E128" s="25"/>
      <c r="F128" s="299" t="str">
        <f t="shared" si="2"/>
        <v>non comptabilisé</v>
      </c>
      <c r="H128" s="126"/>
      <c r="I128" s="306"/>
      <c r="J128" s="40" t="str">
        <f t="shared" si="3"/>
        <v/>
      </c>
    </row>
    <row r="129" spans="1:10" ht="15" customHeight="1">
      <c r="A129" s="309"/>
      <c r="B129" s="1"/>
      <c r="C129" s="526"/>
      <c r="D129" s="287"/>
      <c r="E129" s="25"/>
      <c r="F129" s="299" t="str">
        <f t="shared" si="2"/>
        <v>non comptabilisé</v>
      </c>
      <c r="H129" s="126"/>
      <c r="I129" s="306"/>
      <c r="J129" s="40" t="str">
        <f t="shared" si="3"/>
        <v/>
      </c>
    </row>
    <row r="130" spans="1:10" ht="15" customHeight="1">
      <c r="A130" s="309"/>
      <c r="B130" s="1"/>
      <c r="C130" s="526"/>
      <c r="D130" s="287"/>
      <c r="E130" s="25"/>
      <c r="F130" s="299" t="str">
        <f t="shared" si="2"/>
        <v>non comptabilisé</v>
      </c>
      <c r="H130" s="126"/>
      <c r="I130" s="306"/>
      <c r="J130" s="40" t="str">
        <f t="shared" si="3"/>
        <v/>
      </c>
    </row>
    <row r="131" spans="1:10" ht="15" customHeight="1">
      <c r="A131" s="309"/>
      <c r="B131" s="1"/>
      <c r="C131" s="526"/>
      <c r="D131" s="287"/>
      <c r="E131" s="25"/>
      <c r="F131" s="299" t="str">
        <f t="shared" si="2"/>
        <v>non comptabilisé</v>
      </c>
      <c r="H131" s="126"/>
      <c r="I131" s="306"/>
      <c r="J131" s="40" t="str">
        <f t="shared" si="3"/>
        <v/>
      </c>
    </row>
    <row r="132" spans="1:10" ht="15" customHeight="1">
      <c r="A132" s="309"/>
      <c r="B132" s="1"/>
      <c r="C132" s="526"/>
      <c r="D132" s="287"/>
      <c r="E132" s="25"/>
      <c r="F132" s="299" t="str">
        <f t="shared" si="2"/>
        <v>non comptabilisé</v>
      </c>
      <c r="H132" s="126"/>
      <c r="I132" s="306"/>
      <c r="J132" s="40" t="str">
        <f t="shared" si="3"/>
        <v/>
      </c>
    </row>
    <row r="133" spans="1:10" ht="15" customHeight="1">
      <c r="A133" s="309"/>
      <c r="B133" s="1"/>
      <c r="C133" s="526"/>
      <c r="D133" s="287"/>
      <c r="E133" s="25"/>
      <c r="F133" s="299" t="str">
        <f t="shared" si="2"/>
        <v>non comptabilisé</v>
      </c>
      <c r="H133" s="126"/>
      <c r="I133" s="306"/>
      <c r="J133" s="40" t="str">
        <f t="shared" si="3"/>
        <v/>
      </c>
    </row>
    <row r="134" spans="1:10" ht="15" customHeight="1">
      <c r="A134" s="309"/>
      <c r="B134" s="1"/>
      <c r="C134" s="526"/>
      <c r="D134" s="287"/>
      <c r="E134" s="25"/>
      <c r="F134" s="299" t="str">
        <f t="shared" si="2"/>
        <v>non comptabilisé</v>
      </c>
      <c r="H134" s="126"/>
      <c r="I134" s="306"/>
      <c r="J134" s="40" t="str">
        <f t="shared" si="3"/>
        <v/>
      </c>
    </row>
    <row r="135" spans="1:10" ht="15" customHeight="1">
      <c r="A135" s="309"/>
      <c r="B135" s="1"/>
      <c r="C135" s="526"/>
      <c r="D135" s="287"/>
      <c r="E135" s="25"/>
      <c r="F135" s="299" t="str">
        <f t="shared" si="2"/>
        <v>non comptabilisé</v>
      </c>
      <c r="H135" s="126"/>
      <c r="I135" s="306"/>
      <c r="J135" s="40" t="str">
        <f t="shared" si="3"/>
        <v/>
      </c>
    </row>
    <row r="136" spans="1:10" ht="15" customHeight="1">
      <c r="A136" s="309"/>
      <c r="B136" s="1"/>
      <c r="C136" s="526"/>
      <c r="D136" s="287"/>
      <c r="E136" s="25"/>
      <c r="F136" s="299" t="str">
        <f t="shared" si="2"/>
        <v>non comptabilisé</v>
      </c>
      <c r="H136" s="126"/>
      <c r="I136" s="306"/>
      <c r="J136" s="40" t="str">
        <f t="shared" si="3"/>
        <v/>
      </c>
    </row>
    <row r="137" spans="1:10" ht="15" customHeight="1">
      <c r="A137" s="309"/>
      <c r="B137" s="1"/>
      <c r="C137" s="526"/>
      <c r="D137" s="287"/>
      <c r="E137" s="25"/>
      <c r="F137" s="299" t="str">
        <f t="shared" si="2"/>
        <v>non comptabilisé</v>
      </c>
      <c r="H137" s="126"/>
      <c r="I137" s="306"/>
      <c r="J137" s="40" t="str">
        <f t="shared" si="3"/>
        <v/>
      </c>
    </row>
    <row r="138" spans="1:10" ht="15" customHeight="1">
      <c r="A138" s="309"/>
      <c r="B138" s="1"/>
      <c r="C138" s="526"/>
      <c r="D138" s="287"/>
      <c r="E138" s="25"/>
      <c r="F138" s="299" t="str">
        <f t="shared" si="2"/>
        <v>non comptabilisé</v>
      </c>
      <c r="H138" s="126"/>
      <c r="I138" s="306"/>
      <c r="J138" s="40" t="str">
        <f t="shared" si="3"/>
        <v/>
      </c>
    </row>
    <row r="139" spans="1:10" ht="15" customHeight="1">
      <c r="A139" s="309"/>
      <c r="B139" s="1"/>
      <c r="C139" s="526"/>
      <c r="D139" s="287"/>
      <c r="E139" s="25"/>
      <c r="F139" s="299" t="str">
        <f t="shared" si="2"/>
        <v>non comptabilisé</v>
      </c>
      <c r="H139" s="126"/>
      <c r="I139" s="306"/>
      <c r="J139" s="40" t="str">
        <f t="shared" si="3"/>
        <v/>
      </c>
    </row>
    <row r="140" spans="1:10" ht="15" customHeight="1">
      <c r="A140" s="309"/>
      <c r="B140" s="1"/>
      <c r="C140" s="526"/>
      <c r="D140" s="287"/>
      <c r="E140" s="25"/>
      <c r="F140" s="299" t="str">
        <f t="shared" si="2"/>
        <v>non comptabilisé</v>
      </c>
      <c r="H140" s="126"/>
      <c r="I140" s="306"/>
      <c r="J140" s="40" t="str">
        <f t="shared" si="3"/>
        <v/>
      </c>
    </row>
    <row r="141" spans="1:10" ht="15" customHeight="1">
      <c r="A141" s="309"/>
      <c r="B141" s="1"/>
      <c r="C141" s="526"/>
      <c r="D141" s="287"/>
      <c r="E141" s="25"/>
      <c r="F141" s="299" t="str">
        <f t="shared" si="2"/>
        <v>non comptabilisé</v>
      </c>
      <c r="H141" s="126"/>
      <c r="I141" s="306"/>
      <c r="J141" s="40" t="str">
        <f t="shared" si="3"/>
        <v/>
      </c>
    </row>
    <row r="142" spans="1:10" ht="15" customHeight="1">
      <c r="A142" s="309"/>
      <c r="B142" s="1"/>
      <c r="C142" s="526"/>
      <c r="D142" s="287"/>
      <c r="E142" s="25"/>
      <c r="F142" s="299" t="str">
        <f t="shared" si="2"/>
        <v>non comptabilisé</v>
      </c>
      <c r="H142" s="126"/>
      <c r="I142" s="306"/>
      <c r="J142" s="40" t="str">
        <f t="shared" si="3"/>
        <v/>
      </c>
    </row>
    <row r="143" spans="1:10" ht="15" customHeight="1">
      <c r="A143" s="309"/>
      <c r="B143" s="1"/>
      <c r="C143" s="526"/>
      <c r="D143" s="287"/>
      <c r="E143" s="25"/>
      <c r="F143" s="299" t="str">
        <f t="shared" si="2"/>
        <v>non comptabilisé</v>
      </c>
      <c r="H143" s="126"/>
      <c r="I143" s="306"/>
      <c r="J143" s="40" t="str">
        <f t="shared" si="3"/>
        <v/>
      </c>
    </row>
    <row r="144" spans="1:10" ht="15" customHeight="1">
      <c r="A144" s="309"/>
      <c r="B144" s="1"/>
      <c r="C144" s="526"/>
      <c r="D144" s="287"/>
      <c r="E144" s="25"/>
      <c r="F144" s="299" t="str">
        <f t="shared" si="2"/>
        <v>non comptabilisé</v>
      </c>
      <c r="H144" s="126"/>
      <c r="I144" s="306"/>
      <c r="J144" s="40" t="str">
        <f t="shared" si="3"/>
        <v/>
      </c>
    </row>
    <row r="145" spans="1:10" ht="15" customHeight="1">
      <c r="A145" s="309"/>
      <c r="B145" s="1"/>
      <c r="C145" s="526"/>
      <c r="D145" s="287"/>
      <c r="E145" s="25"/>
      <c r="F145" s="299" t="str">
        <f t="shared" si="2"/>
        <v>non comptabilisé</v>
      </c>
      <c r="H145" s="126"/>
      <c r="I145" s="306"/>
      <c r="J145" s="40" t="str">
        <f t="shared" si="3"/>
        <v/>
      </c>
    </row>
    <row r="146" spans="1:10" ht="15" customHeight="1">
      <c r="A146" s="309"/>
      <c r="B146" s="1"/>
      <c r="C146" s="526"/>
      <c r="D146" s="287"/>
      <c r="E146" s="25"/>
      <c r="F146" s="299" t="str">
        <f t="shared" si="2"/>
        <v>non comptabilisé</v>
      </c>
      <c r="H146" s="126"/>
      <c r="I146" s="306"/>
      <c r="J146" s="40" t="str">
        <f t="shared" si="3"/>
        <v/>
      </c>
    </row>
    <row r="147" spans="1:10" ht="15" customHeight="1">
      <c r="A147" s="309"/>
      <c r="B147" s="1"/>
      <c r="C147" s="526"/>
      <c r="D147" s="287"/>
      <c r="E147" s="25"/>
      <c r="F147" s="299" t="str">
        <f t="shared" si="2"/>
        <v>non comptabilisé</v>
      </c>
      <c r="H147" s="126"/>
      <c r="I147" s="306"/>
      <c r="J147" s="40" t="str">
        <f t="shared" si="3"/>
        <v/>
      </c>
    </row>
    <row r="148" spans="1:10" ht="15" customHeight="1">
      <c r="A148" s="309"/>
      <c r="B148" s="1"/>
      <c r="C148" s="526"/>
      <c r="D148" s="287"/>
      <c r="E148" s="25"/>
      <c r="F148" s="299" t="str">
        <f t="shared" si="2"/>
        <v>non comptabilisé</v>
      </c>
      <c r="H148" s="126"/>
      <c r="I148" s="306"/>
      <c r="J148" s="40" t="str">
        <f t="shared" si="3"/>
        <v/>
      </c>
    </row>
    <row r="149" spans="1:10" ht="15" customHeight="1">
      <c r="A149" s="309"/>
      <c r="B149" s="1"/>
      <c r="C149" s="526"/>
      <c r="D149" s="287"/>
      <c r="E149" s="25"/>
      <c r="F149" s="299" t="str">
        <f t="shared" si="2"/>
        <v>non comptabilisé</v>
      </c>
      <c r="H149" s="126"/>
      <c r="I149" s="306"/>
      <c r="J149" s="40" t="str">
        <f t="shared" si="3"/>
        <v/>
      </c>
    </row>
    <row r="150" spans="1:10" ht="15" customHeight="1">
      <c r="A150" s="309"/>
      <c r="B150" s="1"/>
      <c r="C150" s="526"/>
      <c r="D150" s="287"/>
      <c r="E150" s="25"/>
      <c r="F150" s="299" t="str">
        <f t="shared" ref="F150:F213" si="4">IF(H150=0,"non comptabilisé","comptabilisé")</f>
        <v>non comptabilisé</v>
      </c>
      <c r="H150" s="126"/>
      <c r="I150" s="306"/>
      <c r="J150" s="40" t="str">
        <f t="shared" ref="J150:J213" si="5">IF(E150=0,"",$J$20)</f>
        <v/>
      </c>
    </row>
    <row r="151" spans="1:10" ht="15" customHeight="1">
      <c r="A151" s="309"/>
      <c r="B151" s="1"/>
      <c r="C151" s="526"/>
      <c r="D151" s="287"/>
      <c r="E151" s="25"/>
      <c r="F151" s="299" t="str">
        <f t="shared" si="4"/>
        <v>non comptabilisé</v>
      </c>
      <c r="H151" s="126"/>
      <c r="I151" s="306"/>
      <c r="J151" s="40" t="str">
        <f t="shared" si="5"/>
        <v/>
      </c>
    </row>
    <row r="152" spans="1:10" ht="15" customHeight="1">
      <c r="A152" s="309"/>
      <c r="B152" s="1"/>
      <c r="C152" s="526"/>
      <c r="D152" s="287"/>
      <c r="E152" s="25"/>
      <c r="F152" s="299" t="str">
        <f t="shared" si="4"/>
        <v>non comptabilisé</v>
      </c>
      <c r="H152" s="126"/>
      <c r="I152" s="306"/>
      <c r="J152" s="40" t="str">
        <f t="shared" si="5"/>
        <v/>
      </c>
    </row>
    <row r="153" spans="1:10" ht="15" customHeight="1">
      <c r="A153" s="309"/>
      <c r="B153" s="1"/>
      <c r="C153" s="526"/>
      <c r="D153" s="287"/>
      <c r="E153" s="25"/>
      <c r="F153" s="299" t="str">
        <f t="shared" si="4"/>
        <v>non comptabilisé</v>
      </c>
      <c r="H153" s="126"/>
      <c r="I153" s="306"/>
      <c r="J153" s="40" t="str">
        <f t="shared" si="5"/>
        <v/>
      </c>
    </row>
    <row r="154" spans="1:10" ht="15" customHeight="1">
      <c r="A154" s="309"/>
      <c r="B154" s="1"/>
      <c r="C154" s="526"/>
      <c r="D154" s="287"/>
      <c r="E154" s="25"/>
      <c r="F154" s="299" t="str">
        <f t="shared" si="4"/>
        <v>non comptabilisé</v>
      </c>
      <c r="H154" s="126"/>
      <c r="I154" s="306"/>
      <c r="J154" s="40" t="str">
        <f t="shared" si="5"/>
        <v/>
      </c>
    </row>
    <row r="155" spans="1:10" ht="15" customHeight="1">
      <c r="A155" s="309"/>
      <c r="B155" s="1"/>
      <c r="C155" s="526"/>
      <c r="D155" s="287"/>
      <c r="E155" s="25"/>
      <c r="F155" s="299" t="str">
        <f t="shared" si="4"/>
        <v>non comptabilisé</v>
      </c>
      <c r="H155" s="126"/>
      <c r="I155" s="306"/>
      <c r="J155" s="40" t="str">
        <f t="shared" si="5"/>
        <v/>
      </c>
    </row>
    <row r="156" spans="1:10" ht="15" customHeight="1">
      <c r="A156" s="309"/>
      <c r="B156" s="1"/>
      <c r="C156" s="526"/>
      <c r="D156" s="287"/>
      <c r="E156" s="25"/>
      <c r="F156" s="299" t="str">
        <f t="shared" si="4"/>
        <v>non comptabilisé</v>
      </c>
      <c r="H156" s="126"/>
      <c r="I156" s="306"/>
      <c r="J156" s="40" t="str">
        <f t="shared" si="5"/>
        <v/>
      </c>
    </row>
    <row r="157" spans="1:10" ht="15" customHeight="1">
      <c r="A157" s="309"/>
      <c r="B157" s="1"/>
      <c r="C157" s="526"/>
      <c r="D157" s="287"/>
      <c r="E157" s="25"/>
      <c r="F157" s="299" t="str">
        <f t="shared" si="4"/>
        <v>non comptabilisé</v>
      </c>
      <c r="H157" s="126"/>
      <c r="I157" s="306"/>
      <c r="J157" s="40" t="str">
        <f t="shared" si="5"/>
        <v/>
      </c>
    </row>
    <row r="158" spans="1:10" ht="15" customHeight="1">
      <c r="A158" s="309"/>
      <c r="B158" s="1"/>
      <c r="C158" s="526"/>
      <c r="D158" s="287"/>
      <c r="E158" s="25"/>
      <c r="F158" s="299" t="str">
        <f t="shared" si="4"/>
        <v>non comptabilisé</v>
      </c>
      <c r="H158" s="126"/>
      <c r="I158" s="306"/>
      <c r="J158" s="40" t="str">
        <f t="shared" si="5"/>
        <v/>
      </c>
    </row>
    <row r="159" spans="1:10" ht="15" customHeight="1">
      <c r="A159" s="309"/>
      <c r="B159" s="1"/>
      <c r="C159" s="526"/>
      <c r="D159" s="287"/>
      <c r="E159" s="25"/>
      <c r="F159" s="299" t="str">
        <f t="shared" si="4"/>
        <v>non comptabilisé</v>
      </c>
      <c r="H159" s="126"/>
      <c r="I159" s="306"/>
      <c r="J159" s="40" t="str">
        <f t="shared" si="5"/>
        <v/>
      </c>
    </row>
    <row r="160" spans="1:10" ht="15" customHeight="1">
      <c r="A160" s="309"/>
      <c r="B160" s="1"/>
      <c r="C160" s="526"/>
      <c r="D160" s="287"/>
      <c r="E160" s="25"/>
      <c r="F160" s="299" t="str">
        <f t="shared" si="4"/>
        <v>non comptabilisé</v>
      </c>
      <c r="H160" s="126"/>
      <c r="I160" s="306"/>
      <c r="J160" s="40" t="str">
        <f t="shared" si="5"/>
        <v/>
      </c>
    </row>
    <row r="161" spans="1:10" ht="15" customHeight="1">
      <c r="A161" s="309"/>
      <c r="B161" s="1"/>
      <c r="C161" s="526"/>
      <c r="D161" s="287"/>
      <c r="E161" s="25"/>
      <c r="F161" s="299" t="str">
        <f t="shared" si="4"/>
        <v>non comptabilisé</v>
      </c>
      <c r="H161" s="126"/>
      <c r="I161" s="306"/>
      <c r="J161" s="40" t="str">
        <f t="shared" si="5"/>
        <v/>
      </c>
    </row>
    <row r="162" spans="1:10" ht="15" customHeight="1">
      <c r="A162" s="309"/>
      <c r="B162" s="1"/>
      <c r="C162" s="526"/>
      <c r="D162" s="287"/>
      <c r="E162" s="25"/>
      <c r="F162" s="299" t="str">
        <f t="shared" si="4"/>
        <v>non comptabilisé</v>
      </c>
      <c r="H162" s="126"/>
      <c r="I162" s="306"/>
      <c r="J162" s="40" t="str">
        <f t="shared" si="5"/>
        <v/>
      </c>
    </row>
    <row r="163" spans="1:10" ht="15" customHeight="1">
      <c r="A163" s="309"/>
      <c r="B163" s="1"/>
      <c r="C163" s="526"/>
      <c r="D163" s="287"/>
      <c r="E163" s="25"/>
      <c r="F163" s="299" t="str">
        <f t="shared" si="4"/>
        <v>non comptabilisé</v>
      </c>
      <c r="H163" s="126"/>
      <c r="I163" s="306"/>
      <c r="J163" s="40" t="str">
        <f t="shared" si="5"/>
        <v/>
      </c>
    </row>
    <row r="164" spans="1:10" ht="15" customHeight="1">
      <c r="A164" s="309"/>
      <c r="B164" s="1"/>
      <c r="C164" s="526"/>
      <c r="D164" s="287"/>
      <c r="E164" s="25"/>
      <c r="F164" s="299" t="str">
        <f t="shared" si="4"/>
        <v>non comptabilisé</v>
      </c>
      <c r="H164" s="126"/>
      <c r="I164" s="306"/>
      <c r="J164" s="40" t="str">
        <f t="shared" si="5"/>
        <v/>
      </c>
    </row>
    <row r="165" spans="1:10" ht="15" customHeight="1">
      <c r="A165" s="309"/>
      <c r="B165" s="1"/>
      <c r="C165" s="526"/>
      <c r="D165" s="287"/>
      <c r="E165" s="25"/>
      <c r="F165" s="299" t="str">
        <f t="shared" si="4"/>
        <v>non comptabilisé</v>
      </c>
      <c r="H165" s="126"/>
      <c r="I165" s="306"/>
      <c r="J165" s="40" t="str">
        <f t="shared" si="5"/>
        <v/>
      </c>
    </row>
    <row r="166" spans="1:10" ht="15" customHeight="1">
      <c r="A166" s="309"/>
      <c r="B166" s="1"/>
      <c r="C166" s="526"/>
      <c r="D166" s="287"/>
      <c r="E166" s="25"/>
      <c r="F166" s="299" t="str">
        <f t="shared" si="4"/>
        <v>non comptabilisé</v>
      </c>
      <c r="H166" s="126"/>
      <c r="I166" s="306"/>
      <c r="J166" s="40" t="str">
        <f t="shared" si="5"/>
        <v/>
      </c>
    </row>
    <row r="167" spans="1:10" ht="15" customHeight="1">
      <c r="A167" s="309"/>
      <c r="B167" s="1"/>
      <c r="C167" s="526"/>
      <c r="D167" s="287"/>
      <c r="E167" s="25"/>
      <c r="F167" s="299" t="str">
        <f t="shared" si="4"/>
        <v>non comptabilisé</v>
      </c>
      <c r="H167" s="126"/>
      <c r="I167" s="306"/>
      <c r="J167" s="40" t="str">
        <f t="shared" si="5"/>
        <v/>
      </c>
    </row>
    <row r="168" spans="1:10" ht="15" customHeight="1">
      <c r="A168" s="309"/>
      <c r="B168" s="1"/>
      <c r="C168" s="526"/>
      <c r="D168" s="287"/>
      <c r="E168" s="25"/>
      <c r="F168" s="299" t="str">
        <f t="shared" si="4"/>
        <v>non comptabilisé</v>
      </c>
      <c r="H168" s="126"/>
      <c r="I168" s="306"/>
      <c r="J168" s="40" t="str">
        <f t="shared" si="5"/>
        <v/>
      </c>
    </row>
    <row r="169" spans="1:10" ht="15" customHeight="1">
      <c r="A169" s="309"/>
      <c r="B169" s="1"/>
      <c r="C169" s="526"/>
      <c r="D169" s="287"/>
      <c r="E169" s="25"/>
      <c r="F169" s="299" t="str">
        <f t="shared" si="4"/>
        <v>non comptabilisé</v>
      </c>
      <c r="H169" s="126"/>
      <c r="I169" s="306"/>
      <c r="J169" s="40" t="str">
        <f t="shared" si="5"/>
        <v/>
      </c>
    </row>
    <row r="170" spans="1:10" ht="15" customHeight="1">
      <c r="A170" s="309"/>
      <c r="B170" s="1"/>
      <c r="C170" s="526"/>
      <c r="D170" s="287"/>
      <c r="E170" s="25"/>
      <c r="F170" s="299" t="str">
        <f t="shared" si="4"/>
        <v>non comptabilisé</v>
      </c>
      <c r="H170" s="126"/>
      <c r="I170" s="306"/>
      <c r="J170" s="40" t="str">
        <f t="shared" si="5"/>
        <v/>
      </c>
    </row>
    <row r="171" spans="1:10" ht="15" customHeight="1">
      <c r="A171" s="309"/>
      <c r="B171" s="1"/>
      <c r="C171" s="526"/>
      <c r="D171" s="287"/>
      <c r="E171" s="25"/>
      <c r="F171" s="299" t="str">
        <f t="shared" si="4"/>
        <v>non comptabilisé</v>
      </c>
      <c r="H171" s="126"/>
      <c r="I171" s="306"/>
      <c r="J171" s="40" t="str">
        <f t="shared" si="5"/>
        <v/>
      </c>
    </row>
    <row r="172" spans="1:10" ht="15" customHeight="1">
      <c r="A172" s="309"/>
      <c r="B172" s="1"/>
      <c r="C172" s="526"/>
      <c r="D172" s="287"/>
      <c r="E172" s="25"/>
      <c r="F172" s="299" t="str">
        <f t="shared" si="4"/>
        <v>non comptabilisé</v>
      </c>
      <c r="H172" s="126"/>
      <c r="I172" s="306"/>
      <c r="J172" s="40" t="str">
        <f t="shared" si="5"/>
        <v/>
      </c>
    </row>
    <row r="173" spans="1:10" ht="15" customHeight="1">
      <c r="A173" s="309"/>
      <c r="B173" s="1"/>
      <c r="C173" s="526"/>
      <c r="D173" s="287"/>
      <c r="E173" s="25"/>
      <c r="F173" s="299" t="str">
        <f t="shared" si="4"/>
        <v>non comptabilisé</v>
      </c>
      <c r="H173" s="126"/>
      <c r="I173" s="306"/>
      <c r="J173" s="40" t="str">
        <f t="shared" si="5"/>
        <v/>
      </c>
    </row>
    <row r="174" spans="1:10" ht="15" customHeight="1">
      <c r="A174" s="309"/>
      <c r="B174" s="1"/>
      <c r="C174" s="526"/>
      <c r="D174" s="287"/>
      <c r="E174" s="25"/>
      <c r="F174" s="299" t="str">
        <f t="shared" si="4"/>
        <v>non comptabilisé</v>
      </c>
      <c r="H174" s="126"/>
      <c r="I174" s="306"/>
      <c r="J174" s="40" t="str">
        <f t="shared" si="5"/>
        <v/>
      </c>
    </row>
    <row r="175" spans="1:10" ht="15" customHeight="1">
      <c r="A175" s="309"/>
      <c r="B175" s="1"/>
      <c r="C175" s="526"/>
      <c r="D175" s="287"/>
      <c r="E175" s="25"/>
      <c r="F175" s="299" t="str">
        <f t="shared" si="4"/>
        <v>non comptabilisé</v>
      </c>
      <c r="H175" s="126"/>
      <c r="I175" s="306"/>
      <c r="J175" s="40" t="str">
        <f t="shared" si="5"/>
        <v/>
      </c>
    </row>
    <row r="176" spans="1:10" ht="15" customHeight="1">
      <c r="A176" s="309"/>
      <c r="B176" s="1"/>
      <c r="C176" s="526"/>
      <c r="D176" s="287"/>
      <c r="E176" s="25"/>
      <c r="F176" s="299" t="str">
        <f t="shared" si="4"/>
        <v>non comptabilisé</v>
      </c>
      <c r="H176" s="126"/>
      <c r="I176" s="306"/>
      <c r="J176" s="40" t="str">
        <f t="shared" si="5"/>
        <v/>
      </c>
    </row>
    <row r="177" spans="1:10" ht="15" customHeight="1">
      <c r="A177" s="309"/>
      <c r="B177" s="1"/>
      <c r="C177" s="526"/>
      <c r="D177" s="287"/>
      <c r="E177" s="25"/>
      <c r="F177" s="299" t="str">
        <f t="shared" si="4"/>
        <v>non comptabilisé</v>
      </c>
      <c r="H177" s="126"/>
      <c r="I177" s="306"/>
      <c r="J177" s="40" t="str">
        <f t="shared" si="5"/>
        <v/>
      </c>
    </row>
    <row r="178" spans="1:10" ht="15" customHeight="1">
      <c r="A178" s="309"/>
      <c r="B178" s="1"/>
      <c r="C178" s="526"/>
      <c r="D178" s="287"/>
      <c r="E178" s="25"/>
      <c r="F178" s="299" t="str">
        <f t="shared" si="4"/>
        <v>non comptabilisé</v>
      </c>
      <c r="H178" s="126"/>
      <c r="I178" s="306"/>
      <c r="J178" s="40" t="str">
        <f t="shared" si="5"/>
        <v/>
      </c>
    </row>
    <row r="179" spans="1:10" ht="15" customHeight="1">
      <c r="A179" s="309"/>
      <c r="B179" s="1"/>
      <c r="C179" s="526"/>
      <c r="D179" s="287"/>
      <c r="E179" s="25"/>
      <c r="F179" s="299" t="str">
        <f t="shared" si="4"/>
        <v>non comptabilisé</v>
      </c>
      <c r="H179" s="126"/>
      <c r="I179" s="306"/>
      <c r="J179" s="40" t="str">
        <f t="shared" si="5"/>
        <v/>
      </c>
    </row>
    <row r="180" spans="1:10" ht="15" customHeight="1">
      <c r="A180" s="309"/>
      <c r="B180" s="1"/>
      <c r="C180" s="526"/>
      <c r="D180" s="287"/>
      <c r="E180" s="25"/>
      <c r="F180" s="299" t="str">
        <f t="shared" si="4"/>
        <v>non comptabilisé</v>
      </c>
      <c r="H180" s="126"/>
      <c r="I180" s="306"/>
      <c r="J180" s="40" t="str">
        <f t="shared" si="5"/>
        <v/>
      </c>
    </row>
    <row r="181" spans="1:10" ht="15" customHeight="1">
      <c r="A181" s="309"/>
      <c r="B181" s="1"/>
      <c r="C181" s="526"/>
      <c r="D181" s="287"/>
      <c r="E181" s="25"/>
      <c r="F181" s="299" t="str">
        <f t="shared" si="4"/>
        <v>non comptabilisé</v>
      </c>
      <c r="H181" s="126"/>
      <c r="I181" s="306"/>
      <c r="J181" s="40" t="str">
        <f t="shared" si="5"/>
        <v/>
      </c>
    </row>
    <row r="182" spans="1:10" ht="15" customHeight="1">
      <c r="A182" s="309"/>
      <c r="B182" s="1"/>
      <c r="C182" s="526"/>
      <c r="D182" s="287"/>
      <c r="E182" s="25"/>
      <c r="F182" s="299" t="str">
        <f t="shared" si="4"/>
        <v>non comptabilisé</v>
      </c>
      <c r="H182" s="126"/>
      <c r="I182" s="306"/>
      <c r="J182" s="40" t="str">
        <f t="shared" si="5"/>
        <v/>
      </c>
    </row>
    <row r="183" spans="1:10" ht="15" customHeight="1">
      <c r="A183" s="309"/>
      <c r="B183" s="1"/>
      <c r="C183" s="526"/>
      <c r="D183" s="287"/>
      <c r="E183" s="25"/>
      <c r="F183" s="299" t="str">
        <f t="shared" si="4"/>
        <v>non comptabilisé</v>
      </c>
      <c r="H183" s="126"/>
      <c r="I183" s="306"/>
      <c r="J183" s="40" t="str">
        <f t="shared" si="5"/>
        <v/>
      </c>
    </row>
    <row r="184" spans="1:10" ht="15" customHeight="1">
      <c r="A184" s="309"/>
      <c r="B184" s="1"/>
      <c r="C184" s="526"/>
      <c r="D184" s="287"/>
      <c r="E184" s="25"/>
      <c r="F184" s="299" t="str">
        <f t="shared" si="4"/>
        <v>non comptabilisé</v>
      </c>
      <c r="H184" s="126"/>
      <c r="I184" s="306"/>
      <c r="J184" s="40" t="str">
        <f t="shared" si="5"/>
        <v/>
      </c>
    </row>
    <row r="185" spans="1:10" ht="15" customHeight="1">
      <c r="A185" s="309"/>
      <c r="B185" s="1"/>
      <c r="C185" s="526"/>
      <c r="D185" s="287"/>
      <c r="E185" s="25"/>
      <c r="F185" s="299" t="str">
        <f t="shared" si="4"/>
        <v>non comptabilisé</v>
      </c>
      <c r="H185" s="126"/>
      <c r="I185" s="306"/>
      <c r="J185" s="40" t="str">
        <f t="shared" si="5"/>
        <v/>
      </c>
    </row>
    <row r="186" spans="1:10" ht="15" customHeight="1">
      <c r="A186" s="309"/>
      <c r="B186" s="1"/>
      <c r="C186" s="526"/>
      <c r="D186" s="287"/>
      <c r="E186" s="25"/>
      <c r="F186" s="299" t="str">
        <f t="shared" si="4"/>
        <v>non comptabilisé</v>
      </c>
      <c r="H186" s="126"/>
      <c r="I186" s="306"/>
      <c r="J186" s="40" t="str">
        <f t="shared" si="5"/>
        <v/>
      </c>
    </row>
    <row r="187" spans="1:10" ht="15" customHeight="1">
      <c r="A187" s="309"/>
      <c r="B187" s="1"/>
      <c r="C187" s="526"/>
      <c r="D187" s="287"/>
      <c r="E187" s="25"/>
      <c r="F187" s="299" t="str">
        <f t="shared" si="4"/>
        <v>non comptabilisé</v>
      </c>
      <c r="H187" s="126"/>
      <c r="I187" s="306"/>
      <c r="J187" s="40" t="str">
        <f t="shared" si="5"/>
        <v/>
      </c>
    </row>
    <row r="188" spans="1:10" ht="15" customHeight="1">
      <c r="A188" s="309"/>
      <c r="B188" s="1"/>
      <c r="C188" s="526"/>
      <c r="D188" s="287"/>
      <c r="E188" s="25"/>
      <c r="F188" s="299" t="str">
        <f t="shared" si="4"/>
        <v>non comptabilisé</v>
      </c>
      <c r="H188" s="126"/>
      <c r="I188" s="306"/>
      <c r="J188" s="40" t="str">
        <f t="shared" si="5"/>
        <v/>
      </c>
    </row>
    <row r="189" spans="1:10" ht="15" customHeight="1">
      <c r="A189" s="309"/>
      <c r="B189" s="1"/>
      <c r="C189" s="526"/>
      <c r="D189" s="287"/>
      <c r="E189" s="25"/>
      <c r="F189" s="299" t="str">
        <f t="shared" si="4"/>
        <v>non comptabilisé</v>
      </c>
      <c r="H189" s="126"/>
      <c r="I189" s="306"/>
      <c r="J189" s="40" t="str">
        <f t="shared" si="5"/>
        <v/>
      </c>
    </row>
    <row r="190" spans="1:10" ht="15" customHeight="1">
      <c r="A190" s="309"/>
      <c r="B190" s="1"/>
      <c r="C190" s="526"/>
      <c r="D190" s="287"/>
      <c r="E190" s="25"/>
      <c r="F190" s="299" t="str">
        <f t="shared" si="4"/>
        <v>non comptabilisé</v>
      </c>
      <c r="H190" s="126"/>
      <c r="I190" s="306"/>
      <c r="J190" s="40" t="str">
        <f t="shared" si="5"/>
        <v/>
      </c>
    </row>
    <row r="191" spans="1:10" ht="15" customHeight="1">
      <c r="A191" s="309"/>
      <c r="B191" s="1"/>
      <c r="C191" s="526"/>
      <c r="D191" s="287"/>
      <c r="E191" s="25"/>
      <c r="F191" s="299" t="str">
        <f t="shared" si="4"/>
        <v>non comptabilisé</v>
      </c>
      <c r="H191" s="126"/>
      <c r="I191" s="306"/>
      <c r="J191" s="40" t="str">
        <f t="shared" si="5"/>
        <v/>
      </c>
    </row>
    <row r="192" spans="1:10" ht="15" customHeight="1">
      <c r="A192" s="309"/>
      <c r="B192" s="1"/>
      <c r="C192" s="526"/>
      <c r="D192" s="287"/>
      <c r="E192" s="25"/>
      <c r="F192" s="299" t="str">
        <f t="shared" si="4"/>
        <v>non comptabilisé</v>
      </c>
      <c r="H192" s="126"/>
      <c r="I192" s="306"/>
      <c r="J192" s="40" t="str">
        <f t="shared" si="5"/>
        <v/>
      </c>
    </row>
    <row r="193" spans="1:10" ht="15" customHeight="1">
      <c r="A193" s="309"/>
      <c r="B193" s="1"/>
      <c r="C193" s="526"/>
      <c r="D193" s="287"/>
      <c r="E193" s="25"/>
      <c r="F193" s="299" t="str">
        <f t="shared" si="4"/>
        <v>non comptabilisé</v>
      </c>
      <c r="H193" s="126"/>
      <c r="I193" s="306"/>
      <c r="J193" s="40" t="str">
        <f t="shared" si="5"/>
        <v/>
      </c>
    </row>
    <row r="194" spans="1:10" ht="15" customHeight="1">
      <c r="A194" s="309"/>
      <c r="B194" s="1"/>
      <c r="C194" s="526"/>
      <c r="D194" s="287"/>
      <c r="E194" s="25"/>
      <c r="F194" s="299" t="str">
        <f t="shared" si="4"/>
        <v>non comptabilisé</v>
      </c>
      <c r="H194" s="126"/>
      <c r="I194" s="306"/>
      <c r="J194" s="40" t="str">
        <f t="shared" si="5"/>
        <v/>
      </c>
    </row>
    <row r="195" spans="1:10" ht="15" customHeight="1">
      <c r="A195" s="309"/>
      <c r="B195" s="1"/>
      <c r="C195" s="526"/>
      <c r="D195" s="287"/>
      <c r="E195" s="25"/>
      <c r="F195" s="299" t="str">
        <f t="shared" si="4"/>
        <v>non comptabilisé</v>
      </c>
      <c r="H195" s="126"/>
      <c r="I195" s="306"/>
      <c r="J195" s="40" t="str">
        <f t="shared" si="5"/>
        <v/>
      </c>
    </row>
    <row r="196" spans="1:10" ht="15" customHeight="1">
      <c r="A196" s="309"/>
      <c r="B196" s="1"/>
      <c r="C196" s="526"/>
      <c r="D196" s="287"/>
      <c r="E196" s="25"/>
      <c r="F196" s="299" t="str">
        <f t="shared" si="4"/>
        <v>non comptabilisé</v>
      </c>
      <c r="H196" s="126"/>
      <c r="I196" s="306"/>
      <c r="J196" s="40" t="str">
        <f t="shared" si="5"/>
        <v/>
      </c>
    </row>
    <row r="197" spans="1:10" ht="15" customHeight="1">
      <c r="A197" s="309"/>
      <c r="B197" s="1"/>
      <c r="C197" s="526"/>
      <c r="D197" s="287"/>
      <c r="E197" s="25"/>
      <c r="F197" s="299" t="str">
        <f t="shared" si="4"/>
        <v>non comptabilisé</v>
      </c>
      <c r="H197" s="126"/>
      <c r="I197" s="306"/>
      <c r="J197" s="40" t="str">
        <f t="shared" si="5"/>
        <v/>
      </c>
    </row>
    <row r="198" spans="1:10" ht="15" customHeight="1">
      <c r="A198" s="309"/>
      <c r="B198" s="1"/>
      <c r="C198" s="526"/>
      <c r="D198" s="287"/>
      <c r="E198" s="25"/>
      <c r="F198" s="299" t="str">
        <f t="shared" si="4"/>
        <v>non comptabilisé</v>
      </c>
      <c r="H198" s="126"/>
      <c r="I198" s="306"/>
      <c r="J198" s="40" t="str">
        <f t="shared" si="5"/>
        <v/>
      </c>
    </row>
    <row r="199" spans="1:10" ht="15" customHeight="1">
      <c r="A199" s="309"/>
      <c r="B199" s="1"/>
      <c r="C199" s="526"/>
      <c r="D199" s="287"/>
      <c r="E199" s="25"/>
      <c r="F199" s="299" t="str">
        <f t="shared" si="4"/>
        <v>non comptabilisé</v>
      </c>
      <c r="H199" s="126"/>
      <c r="I199" s="306"/>
      <c r="J199" s="40" t="str">
        <f t="shared" si="5"/>
        <v/>
      </c>
    </row>
    <row r="200" spans="1:10" ht="15" customHeight="1">
      <c r="A200" s="309"/>
      <c r="B200" s="1"/>
      <c r="C200" s="526"/>
      <c r="D200" s="287"/>
      <c r="E200" s="25"/>
      <c r="F200" s="299" t="str">
        <f t="shared" si="4"/>
        <v>non comptabilisé</v>
      </c>
      <c r="H200" s="126"/>
      <c r="I200" s="306"/>
      <c r="J200" s="40" t="str">
        <f t="shared" si="5"/>
        <v/>
      </c>
    </row>
    <row r="201" spans="1:10" ht="15" customHeight="1">
      <c r="A201" s="309"/>
      <c r="B201" s="1"/>
      <c r="C201" s="526"/>
      <c r="D201" s="287"/>
      <c r="E201" s="25"/>
      <c r="F201" s="299" t="str">
        <f t="shared" si="4"/>
        <v>non comptabilisé</v>
      </c>
      <c r="H201" s="126"/>
      <c r="I201" s="306"/>
      <c r="J201" s="40" t="str">
        <f t="shared" si="5"/>
        <v/>
      </c>
    </row>
    <row r="202" spans="1:10" ht="15" customHeight="1">
      <c r="A202" s="309"/>
      <c r="B202" s="1"/>
      <c r="C202" s="526"/>
      <c r="D202" s="287"/>
      <c r="E202" s="25"/>
      <c r="F202" s="299" t="str">
        <f t="shared" si="4"/>
        <v>non comptabilisé</v>
      </c>
      <c r="H202" s="126"/>
      <c r="I202" s="306"/>
      <c r="J202" s="40" t="str">
        <f t="shared" si="5"/>
        <v/>
      </c>
    </row>
    <row r="203" spans="1:10" ht="15" customHeight="1">
      <c r="A203" s="309"/>
      <c r="B203" s="1"/>
      <c r="C203" s="526"/>
      <c r="D203" s="287"/>
      <c r="E203" s="25"/>
      <c r="F203" s="299" t="str">
        <f t="shared" si="4"/>
        <v>non comptabilisé</v>
      </c>
      <c r="H203" s="126"/>
      <c r="I203" s="306"/>
      <c r="J203" s="40" t="str">
        <f t="shared" si="5"/>
        <v/>
      </c>
    </row>
    <row r="204" spans="1:10" ht="15" customHeight="1">
      <c r="A204" s="309"/>
      <c r="B204" s="1"/>
      <c r="C204" s="526"/>
      <c r="D204" s="287"/>
      <c r="E204" s="25"/>
      <c r="F204" s="299" t="str">
        <f t="shared" si="4"/>
        <v>non comptabilisé</v>
      </c>
      <c r="H204" s="126"/>
      <c r="I204" s="306"/>
      <c r="J204" s="40" t="str">
        <f t="shared" si="5"/>
        <v/>
      </c>
    </row>
    <row r="205" spans="1:10" ht="15" customHeight="1">
      <c r="A205" s="309"/>
      <c r="B205" s="1"/>
      <c r="C205" s="526"/>
      <c r="D205" s="287"/>
      <c r="E205" s="25"/>
      <c r="F205" s="299" t="str">
        <f t="shared" si="4"/>
        <v>non comptabilisé</v>
      </c>
      <c r="H205" s="126"/>
      <c r="I205" s="306"/>
      <c r="J205" s="40" t="str">
        <f t="shared" si="5"/>
        <v/>
      </c>
    </row>
    <row r="206" spans="1:10" ht="15" customHeight="1">
      <c r="A206" s="309"/>
      <c r="B206" s="1"/>
      <c r="C206" s="526"/>
      <c r="D206" s="287"/>
      <c r="E206" s="25"/>
      <c r="F206" s="299" t="str">
        <f t="shared" si="4"/>
        <v>non comptabilisé</v>
      </c>
      <c r="H206" s="126"/>
      <c r="I206" s="306"/>
      <c r="J206" s="40" t="str">
        <f t="shared" si="5"/>
        <v/>
      </c>
    </row>
    <row r="207" spans="1:10" ht="15" customHeight="1">
      <c r="A207" s="309"/>
      <c r="B207" s="1"/>
      <c r="C207" s="526"/>
      <c r="D207" s="287"/>
      <c r="E207" s="25"/>
      <c r="F207" s="299" t="str">
        <f t="shared" si="4"/>
        <v>non comptabilisé</v>
      </c>
      <c r="H207" s="126"/>
      <c r="I207" s="306"/>
      <c r="J207" s="40" t="str">
        <f t="shared" si="5"/>
        <v/>
      </c>
    </row>
    <row r="208" spans="1:10" ht="15" customHeight="1">
      <c r="A208" s="309"/>
      <c r="B208" s="1"/>
      <c r="C208" s="526"/>
      <c r="D208" s="287"/>
      <c r="E208" s="25"/>
      <c r="F208" s="299" t="str">
        <f t="shared" si="4"/>
        <v>non comptabilisé</v>
      </c>
      <c r="H208" s="126"/>
      <c r="I208" s="306"/>
      <c r="J208" s="40" t="str">
        <f t="shared" si="5"/>
        <v/>
      </c>
    </row>
    <row r="209" spans="1:10" ht="15" customHeight="1">
      <c r="A209" s="309"/>
      <c r="B209" s="1"/>
      <c r="C209" s="526"/>
      <c r="D209" s="287"/>
      <c r="E209" s="25"/>
      <c r="F209" s="299" t="str">
        <f t="shared" si="4"/>
        <v>non comptabilisé</v>
      </c>
      <c r="H209" s="126"/>
      <c r="I209" s="306"/>
      <c r="J209" s="40" t="str">
        <f t="shared" si="5"/>
        <v/>
      </c>
    </row>
    <row r="210" spans="1:10" ht="15" customHeight="1">
      <c r="A210" s="309"/>
      <c r="B210" s="1"/>
      <c r="C210" s="526"/>
      <c r="D210" s="287"/>
      <c r="E210" s="25"/>
      <c r="F210" s="299" t="str">
        <f t="shared" si="4"/>
        <v>non comptabilisé</v>
      </c>
      <c r="H210" s="126"/>
      <c r="I210" s="306"/>
      <c r="J210" s="40" t="str">
        <f t="shared" si="5"/>
        <v/>
      </c>
    </row>
    <row r="211" spans="1:10" ht="15" customHeight="1">
      <c r="A211" s="309"/>
      <c r="B211" s="25"/>
      <c r="C211" s="526"/>
      <c r="D211" s="287"/>
      <c r="E211" s="25"/>
      <c r="F211" s="299" t="str">
        <f t="shared" si="4"/>
        <v>non comptabilisé</v>
      </c>
      <c r="H211" s="126"/>
      <c r="I211" s="306"/>
      <c r="J211" s="40" t="str">
        <f t="shared" si="5"/>
        <v/>
      </c>
    </row>
    <row r="212" spans="1:10" ht="15" customHeight="1">
      <c r="A212" s="309"/>
      <c r="B212" s="1"/>
      <c r="C212" s="526"/>
      <c r="D212" s="287"/>
      <c r="E212" s="25"/>
      <c r="F212" s="299" t="str">
        <f t="shared" si="4"/>
        <v>non comptabilisé</v>
      </c>
      <c r="H212" s="126"/>
      <c r="I212" s="306"/>
      <c r="J212" s="40" t="str">
        <f t="shared" si="5"/>
        <v/>
      </c>
    </row>
    <row r="213" spans="1:10" ht="15" customHeight="1">
      <c r="A213" s="309"/>
      <c r="B213" s="1"/>
      <c r="C213" s="526"/>
      <c r="D213" s="287"/>
      <c r="E213" s="25"/>
      <c r="F213" s="299" t="str">
        <f t="shared" si="4"/>
        <v>non comptabilisé</v>
      </c>
      <c r="H213" s="126"/>
      <c r="I213" s="306"/>
      <c r="J213" s="40" t="str">
        <f t="shared" si="5"/>
        <v/>
      </c>
    </row>
    <row r="214" spans="1:10" ht="15" customHeight="1">
      <c r="A214" s="309"/>
      <c r="B214" s="1"/>
      <c r="C214" s="526"/>
      <c r="D214" s="287"/>
      <c r="E214" s="25"/>
      <c r="F214" s="299" t="str">
        <f t="shared" ref="F214:F277" si="6">IF(H214=0,"non comptabilisé","comptabilisé")</f>
        <v>non comptabilisé</v>
      </c>
      <c r="H214" s="126"/>
      <c r="I214" s="306"/>
      <c r="J214" s="40" t="str">
        <f t="shared" ref="J214:J246" si="7">IF(E214=0,"",$J$20)</f>
        <v/>
      </c>
    </row>
    <row r="215" spans="1:10" ht="15" customHeight="1">
      <c r="A215" s="309"/>
      <c r="B215" s="1"/>
      <c r="C215" s="526"/>
      <c r="D215" s="287"/>
      <c r="E215" s="25"/>
      <c r="F215" s="299" t="str">
        <f t="shared" si="6"/>
        <v>non comptabilisé</v>
      </c>
      <c r="H215" s="126"/>
      <c r="I215" s="306"/>
      <c r="J215" s="40" t="str">
        <f t="shared" si="7"/>
        <v/>
      </c>
    </row>
    <row r="216" spans="1:10" ht="15" customHeight="1">
      <c r="A216" s="309"/>
      <c r="B216" s="1"/>
      <c r="C216" s="526"/>
      <c r="D216" s="287"/>
      <c r="E216" s="25"/>
      <c r="F216" s="299" t="str">
        <f t="shared" si="6"/>
        <v>non comptabilisé</v>
      </c>
      <c r="H216" s="126"/>
      <c r="I216" s="306"/>
      <c r="J216" s="40" t="str">
        <f t="shared" si="7"/>
        <v/>
      </c>
    </row>
    <row r="217" spans="1:10" ht="15" customHeight="1">
      <c r="A217" s="309"/>
      <c r="B217" s="1"/>
      <c r="C217" s="526"/>
      <c r="D217" s="287"/>
      <c r="E217" s="25"/>
      <c r="F217" s="299" t="str">
        <f t="shared" si="6"/>
        <v>non comptabilisé</v>
      </c>
      <c r="H217" s="126"/>
      <c r="I217" s="306"/>
      <c r="J217" s="40" t="str">
        <f t="shared" si="7"/>
        <v/>
      </c>
    </row>
    <row r="218" spans="1:10" ht="15" customHeight="1">
      <c r="A218" s="309"/>
      <c r="B218" s="1"/>
      <c r="C218" s="526"/>
      <c r="D218" s="287"/>
      <c r="E218" s="25"/>
      <c r="F218" s="299" t="str">
        <f t="shared" si="6"/>
        <v>non comptabilisé</v>
      </c>
      <c r="H218" s="126"/>
      <c r="I218" s="306"/>
      <c r="J218" s="40" t="str">
        <f t="shared" si="7"/>
        <v/>
      </c>
    </row>
    <row r="219" spans="1:10" ht="15" customHeight="1">
      <c r="A219" s="309"/>
      <c r="B219" s="1"/>
      <c r="C219" s="526"/>
      <c r="D219" s="287"/>
      <c r="E219" s="25"/>
      <c r="F219" s="299" t="str">
        <f t="shared" si="6"/>
        <v>non comptabilisé</v>
      </c>
      <c r="H219" s="126"/>
      <c r="I219" s="306"/>
      <c r="J219" s="40" t="str">
        <f t="shared" si="7"/>
        <v/>
      </c>
    </row>
    <row r="220" spans="1:10" ht="15" customHeight="1">
      <c r="A220" s="309"/>
      <c r="B220" s="1"/>
      <c r="C220" s="526"/>
      <c r="D220" s="287"/>
      <c r="E220" s="25"/>
      <c r="F220" s="299" t="str">
        <f t="shared" si="6"/>
        <v>non comptabilisé</v>
      </c>
      <c r="H220" s="126"/>
      <c r="I220" s="306"/>
      <c r="J220" s="40" t="str">
        <f t="shared" si="7"/>
        <v/>
      </c>
    </row>
    <row r="221" spans="1:10" ht="15" customHeight="1">
      <c r="A221" s="309"/>
      <c r="B221" s="1"/>
      <c r="C221" s="526"/>
      <c r="D221" s="287"/>
      <c r="E221" s="25"/>
      <c r="F221" s="299" t="str">
        <f t="shared" si="6"/>
        <v>non comptabilisé</v>
      </c>
      <c r="H221" s="126"/>
      <c r="I221" s="306"/>
      <c r="J221" s="40" t="str">
        <f t="shared" si="7"/>
        <v/>
      </c>
    </row>
    <row r="222" spans="1:10" ht="15" customHeight="1">
      <c r="A222" s="309"/>
      <c r="B222" s="1"/>
      <c r="C222" s="526"/>
      <c r="D222" s="287"/>
      <c r="E222" s="25"/>
      <c r="F222" s="299" t="str">
        <f t="shared" si="6"/>
        <v>non comptabilisé</v>
      </c>
      <c r="H222" s="126"/>
      <c r="I222" s="306"/>
      <c r="J222" s="40" t="str">
        <f t="shared" si="7"/>
        <v/>
      </c>
    </row>
    <row r="223" spans="1:10" ht="15" customHeight="1">
      <c r="A223" s="309"/>
      <c r="B223" s="1"/>
      <c r="C223" s="526"/>
      <c r="D223" s="287"/>
      <c r="E223" s="25"/>
      <c r="F223" s="299" t="str">
        <f t="shared" si="6"/>
        <v>non comptabilisé</v>
      </c>
      <c r="H223" s="126"/>
      <c r="I223" s="306"/>
      <c r="J223" s="40" t="str">
        <f t="shared" si="7"/>
        <v/>
      </c>
    </row>
    <row r="224" spans="1:10" ht="15" customHeight="1">
      <c r="A224" s="309"/>
      <c r="B224" s="1"/>
      <c r="C224" s="526"/>
      <c r="D224" s="287"/>
      <c r="E224" s="25"/>
      <c r="F224" s="299" t="str">
        <f t="shared" si="6"/>
        <v>non comptabilisé</v>
      </c>
      <c r="H224" s="126"/>
      <c r="I224" s="306"/>
      <c r="J224" s="40" t="str">
        <f t="shared" si="7"/>
        <v/>
      </c>
    </row>
    <row r="225" spans="1:10" ht="15" customHeight="1">
      <c r="A225" s="309"/>
      <c r="B225" s="1"/>
      <c r="C225" s="526"/>
      <c r="D225" s="287"/>
      <c r="E225" s="25"/>
      <c r="F225" s="299" t="str">
        <f t="shared" si="6"/>
        <v>non comptabilisé</v>
      </c>
      <c r="H225" s="126"/>
      <c r="I225" s="306"/>
      <c r="J225" s="40" t="str">
        <f t="shared" si="7"/>
        <v/>
      </c>
    </row>
    <row r="226" spans="1:10" ht="15" customHeight="1">
      <c r="A226" s="309"/>
      <c r="B226" s="1"/>
      <c r="C226" s="526"/>
      <c r="D226" s="287"/>
      <c r="E226" s="25"/>
      <c r="F226" s="299" t="str">
        <f t="shared" si="6"/>
        <v>non comptabilisé</v>
      </c>
      <c r="H226" s="126"/>
      <c r="I226" s="306"/>
      <c r="J226" s="40" t="str">
        <f t="shared" si="7"/>
        <v/>
      </c>
    </row>
    <row r="227" spans="1:10" ht="15" customHeight="1">
      <c r="A227" s="309"/>
      <c r="B227" s="1"/>
      <c r="C227" s="526"/>
      <c r="D227" s="287"/>
      <c r="E227" s="25"/>
      <c r="F227" s="299" t="str">
        <f t="shared" si="6"/>
        <v>non comptabilisé</v>
      </c>
      <c r="H227" s="126"/>
      <c r="I227" s="306"/>
      <c r="J227" s="40" t="str">
        <f t="shared" si="7"/>
        <v/>
      </c>
    </row>
    <row r="228" spans="1:10" ht="15" customHeight="1">
      <c r="A228" s="309"/>
      <c r="B228" s="1"/>
      <c r="C228" s="526"/>
      <c r="D228" s="287"/>
      <c r="E228" s="25"/>
      <c r="F228" s="299" t="str">
        <f t="shared" si="6"/>
        <v>non comptabilisé</v>
      </c>
      <c r="H228" s="126"/>
      <c r="I228" s="306"/>
      <c r="J228" s="40" t="str">
        <f t="shared" si="7"/>
        <v/>
      </c>
    </row>
    <row r="229" spans="1:10" ht="15" customHeight="1">
      <c r="A229" s="309"/>
      <c r="B229" s="1"/>
      <c r="C229" s="526"/>
      <c r="D229" s="287"/>
      <c r="E229" s="25"/>
      <c r="F229" s="299" t="str">
        <f t="shared" si="6"/>
        <v>non comptabilisé</v>
      </c>
      <c r="H229" s="126"/>
      <c r="I229" s="306"/>
      <c r="J229" s="40" t="str">
        <f t="shared" si="7"/>
        <v/>
      </c>
    </row>
    <row r="230" spans="1:10" ht="15" customHeight="1">
      <c r="A230" s="309"/>
      <c r="B230" s="1"/>
      <c r="C230" s="526"/>
      <c r="D230" s="287"/>
      <c r="E230" s="25"/>
      <c r="F230" s="299" t="str">
        <f t="shared" si="6"/>
        <v>non comptabilisé</v>
      </c>
      <c r="H230" s="126"/>
      <c r="I230" s="306"/>
      <c r="J230" s="40" t="str">
        <f t="shared" si="7"/>
        <v/>
      </c>
    </row>
    <row r="231" spans="1:10" ht="15" customHeight="1">
      <c r="A231" s="309"/>
      <c r="B231" s="1"/>
      <c r="C231" s="526"/>
      <c r="D231" s="287"/>
      <c r="E231" s="25"/>
      <c r="F231" s="299" t="str">
        <f t="shared" si="6"/>
        <v>non comptabilisé</v>
      </c>
      <c r="H231" s="126"/>
      <c r="I231" s="306"/>
      <c r="J231" s="40" t="str">
        <f t="shared" si="7"/>
        <v/>
      </c>
    </row>
    <row r="232" spans="1:10" ht="15" customHeight="1">
      <c r="A232" s="309"/>
      <c r="B232" s="1"/>
      <c r="C232" s="526"/>
      <c r="D232" s="287"/>
      <c r="E232" s="25"/>
      <c r="F232" s="299" t="str">
        <f t="shared" si="6"/>
        <v>non comptabilisé</v>
      </c>
      <c r="H232" s="126"/>
      <c r="I232" s="306"/>
      <c r="J232" s="40" t="str">
        <f t="shared" si="7"/>
        <v/>
      </c>
    </row>
    <row r="233" spans="1:10" ht="15" customHeight="1">
      <c r="A233" s="309"/>
      <c r="B233" s="1"/>
      <c r="C233" s="526"/>
      <c r="D233" s="287"/>
      <c r="E233" s="25"/>
      <c r="F233" s="299" t="str">
        <f t="shared" si="6"/>
        <v>non comptabilisé</v>
      </c>
      <c r="H233" s="126"/>
      <c r="I233" s="306"/>
      <c r="J233" s="40" t="str">
        <f t="shared" si="7"/>
        <v/>
      </c>
    </row>
    <row r="234" spans="1:10" ht="15" customHeight="1">
      <c r="A234" s="309"/>
      <c r="B234" s="1"/>
      <c r="C234" s="526"/>
      <c r="D234" s="287"/>
      <c r="E234" s="25"/>
      <c r="F234" s="299" t="str">
        <f t="shared" si="6"/>
        <v>non comptabilisé</v>
      </c>
      <c r="H234" s="126"/>
      <c r="I234" s="306"/>
      <c r="J234" s="40" t="str">
        <f t="shared" si="7"/>
        <v/>
      </c>
    </row>
    <row r="235" spans="1:10" ht="15" customHeight="1">
      <c r="A235" s="309"/>
      <c r="B235" s="1"/>
      <c r="C235" s="526"/>
      <c r="D235" s="287"/>
      <c r="E235" s="25"/>
      <c r="F235" s="299" t="str">
        <f t="shared" si="6"/>
        <v>non comptabilisé</v>
      </c>
      <c r="H235" s="126"/>
      <c r="I235" s="306"/>
      <c r="J235" s="40" t="str">
        <f t="shared" si="7"/>
        <v/>
      </c>
    </row>
    <row r="236" spans="1:10" ht="15" customHeight="1">
      <c r="A236" s="309"/>
      <c r="B236" s="1"/>
      <c r="C236" s="526"/>
      <c r="D236" s="287"/>
      <c r="E236" s="25"/>
      <c r="F236" s="299" t="str">
        <f t="shared" si="6"/>
        <v>non comptabilisé</v>
      </c>
      <c r="H236" s="126"/>
      <c r="I236" s="306"/>
      <c r="J236" s="40" t="str">
        <f t="shared" si="7"/>
        <v/>
      </c>
    </row>
    <row r="237" spans="1:10" ht="15" customHeight="1">
      <c r="A237" s="309"/>
      <c r="B237" s="1"/>
      <c r="C237" s="526"/>
      <c r="D237" s="287"/>
      <c r="E237" s="25"/>
      <c r="F237" s="299" t="str">
        <f t="shared" si="6"/>
        <v>non comptabilisé</v>
      </c>
      <c r="H237" s="126"/>
      <c r="I237" s="306"/>
      <c r="J237" s="40" t="str">
        <f t="shared" si="7"/>
        <v/>
      </c>
    </row>
    <row r="238" spans="1:10" ht="15" customHeight="1">
      <c r="A238" s="309"/>
      <c r="B238" s="1"/>
      <c r="C238" s="526"/>
      <c r="D238" s="287"/>
      <c r="E238" s="25"/>
      <c r="F238" s="299" t="str">
        <f>IF(H238=0,"non comptabilisé","comptabilisé")</f>
        <v>non comptabilisé</v>
      </c>
      <c r="H238" s="126"/>
      <c r="I238" s="306"/>
      <c r="J238" s="40" t="str">
        <f t="shared" si="7"/>
        <v/>
      </c>
    </row>
    <row r="239" spans="1:10" ht="15" customHeight="1">
      <c r="A239" s="309"/>
      <c r="B239" s="1"/>
      <c r="C239" s="526"/>
      <c r="D239" s="287"/>
      <c r="E239" s="25"/>
      <c r="F239" s="299" t="str">
        <f t="shared" si="6"/>
        <v>non comptabilisé</v>
      </c>
      <c r="H239" s="126"/>
      <c r="I239" s="306"/>
      <c r="J239" s="40" t="str">
        <f t="shared" si="7"/>
        <v/>
      </c>
    </row>
    <row r="240" spans="1:10" ht="15" customHeight="1">
      <c r="A240" s="309"/>
      <c r="B240" s="1"/>
      <c r="C240" s="526"/>
      <c r="D240" s="287"/>
      <c r="E240" s="25"/>
      <c r="F240" s="299" t="str">
        <f t="shared" si="6"/>
        <v>non comptabilisé</v>
      </c>
      <c r="H240" s="126"/>
      <c r="I240" s="306"/>
      <c r="J240" s="40" t="str">
        <f t="shared" si="7"/>
        <v/>
      </c>
    </row>
    <row r="241" spans="1:10" ht="15" customHeight="1">
      <c r="A241" s="309"/>
      <c r="B241" s="1"/>
      <c r="C241" s="526"/>
      <c r="D241" s="287"/>
      <c r="E241" s="25"/>
      <c r="F241" s="299" t="str">
        <f t="shared" si="6"/>
        <v>non comptabilisé</v>
      </c>
      <c r="H241" s="126"/>
      <c r="I241" s="306"/>
      <c r="J241" s="40" t="str">
        <f t="shared" si="7"/>
        <v/>
      </c>
    </row>
    <row r="242" spans="1:10" ht="15" customHeight="1">
      <c r="A242" s="309"/>
      <c r="B242" s="1"/>
      <c r="C242" s="526"/>
      <c r="D242" s="287"/>
      <c r="E242" s="25"/>
      <c r="F242" s="299" t="str">
        <f t="shared" si="6"/>
        <v>non comptabilisé</v>
      </c>
      <c r="H242" s="126"/>
      <c r="I242" s="306"/>
      <c r="J242" s="40" t="str">
        <f t="shared" si="7"/>
        <v/>
      </c>
    </row>
    <row r="243" spans="1:10" ht="15" customHeight="1">
      <c r="A243" s="309"/>
      <c r="B243" s="1"/>
      <c r="C243" s="526"/>
      <c r="D243" s="287"/>
      <c r="E243" s="25"/>
      <c r="F243" s="299" t="str">
        <f t="shared" si="6"/>
        <v>non comptabilisé</v>
      </c>
      <c r="H243" s="126"/>
      <c r="I243" s="306"/>
      <c r="J243" s="40" t="str">
        <f t="shared" si="7"/>
        <v/>
      </c>
    </row>
    <row r="244" spans="1:10" ht="15" customHeight="1">
      <c r="A244" s="309"/>
      <c r="B244" s="1"/>
      <c r="C244" s="526"/>
      <c r="D244" s="287"/>
      <c r="E244" s="25"/>
      <c r="F244" s="299" t="str">
        <f t="shared" si="6"/>
        <v>non comptabilisé</v>
      </c>
      <c r="H244" s="126"/>
      <c r="I244" s="306"/>
      <c r="J244" s="40" t="str">
        <f t="shared" si="7"/>
        <v/>
      </c>
    </row>
    <row r="245" spans="1:10" ht="15" customHeight="1">
      <c r="A245" s="309"/>
      <c r="B245" s="1"/>
      <c r="C245" s="526"/>
      <c r="D245" s="287"/>
      <c r="E245" s="25"/>
      <c r="F245" s="299" t="str">
        <f t="shared" si="6"/>
        <v>non comptabilisé</v>
      </c>
      <c r="H245" s="126"/>
      <c r="I245" s="306"/>
      <c r="J245" s="40" t="str">
        <f t="shared" si="7"/>
        <v/>
      </c>
    </row>
    <row r="246" spans="1:10" ht="15" customHeight="1">
      <c r="A246" s="309"/>
      <c r="B246" s="1"/>
      <c r="C246" s="526"/>
      <c r="D246" s="287"/>
      <c r="E246" s="25"/>
      <c r="F246" s="299" t="str">
        <f t="shared" si="6"/>
        <v>non comptabilisé</v>
      </c>
      <c r="H246" s="126"/>
      <c r="I246" s="306"/>
      <c r="J246" s="40" t="str">
        <f t="shared" si="7"/>
        <v/>
      </c>
    </row>
    <row r="247" spans="1:10" ht="15" customHeight="1">
      <c r="A247" s="309"/>
      <c r="B247" s="1"/>
      <c r="C247" s="526"/>
      <c r="D247" s="1"/>
      <c r="E247" s="25"/>
      <c r="F247" s="299" t="str">
        <f t="shared" si="6"/>
        <v>non comptabilisé</v>
      </c>
      <c r="H247" s="126"/>
      <c r="I247" s="306"/>
      <c r="J247" s="40" t="str">
        <f>IF(E247=0,"",$J$20)</f>
        <v/>
      </c>
    </row>
    <row r="248" spans="1:10" ht="15" customHeight="1">
      <c r="A248" s="309"/>
      <c r="B248" s="1"/>
      <c r="C248" s="526"/>
      <c r="D248" s="1"/>
      <c r="E248" s="25"/>
      <c r="F248" s="299" t="str">
        <f t="shared" si="6"/>
        <v>non comptabilisé</v>
      </c>
      <c r="G248"/>
      <c r="H248" s="126"/>
      <c r="I248" s="306"/>
      <c r="J248" s="40" t="str">
        <f t="shared" ref="J248:J311" si="8">IF(E248=0,"",$J$20)</f>
        <v/>
      </c>
    </row>
    <row r="249" spans="1:10" ht="15" customHeight="1">
      <c r="A249" s="309"/>
      <c r="C249" s="526"/>
      <c r="D249" s="1"/>
      <c r="E249" s="25"/>
      <c r="F249" s="299" t="str">
        <f t="shared" si="6"/>
        <v>non comptabilisé</v>
      </c>
      <c r="G249"/>
      <c r="H249" s="126"/>
      <c r="I249" s="306"/>
      <c r="J249" s="40" t="str">
        <f t="shared" si="8"/>
        <v/>
      </c>
    </row>
    <row r="250" spans="1:10" ht="15" customHeight="1">
      <c r="A250" s="309"/>
      <c r="B250" s="1"/>
      <c r="C250" s="526"/>
      <c r="D250" s="1"/>
      <c r="E250" s="25"/>
      <c r="F250" s="299" t="str">
        <f t="shared" si="6"/>
        <v>non comptabilisé</v>
      </c>
      <c r="H250" s="126"/>
      <c r="I250" s="306"/>
      <c r="J250" s="40" t="str">
        <f t="shared" si="8"/>
        <v/>
      </c>
    </row>
    <row r="251" spans="1:10" ht="15" customHeight="1">
      <c r="A251" s="309"/>
      <c r="B251" s="1"/>
      <c r="C251" s="526"/>
      <c r="D251" s="287"/>
      <c r="E251" s="25"/>
      <c r="F251" s="299" t="str">
        <f t="shared" si="6"/>
        <v>non comptabilisé</v>
      </c>
      <c r="H251" s="126"/>
      <c r="I251" s="306"/>
      <c r="J251" s="40" t="str">
        <f t="shared" si="8"/>
        <v/>
      </c>
    </row>
    <row r="252" spans="1:10" ht="15" customHeight="1">
      <c r="A252" s="309"/>
      <c r="B252" s="1"/>
      <c r="C252" s="526"/>
      <c r="D252" s="287"/>
      <c r="E252" s="25"/>
      <c r="F252" s="299" t="str">
        <f t="shared" si="6"/>
        <v>non comptabilisé</v>
      </c>
      <c r="H252" s="126"/>
      <c r="I252" s="306"/>
      <c r="J252" s="40" t="str">
        <f t="shared" si="8"/>
        <v/>
      </c>
    </row>
    <row r="253" spans="1:10" ht="15" customHeight="1">
      <c r="A253" s="309"/>
      <c r="B253" s="1"/>
      <c r="C253" s="526"/>
      <c r="D253" s="287"/>
      <c r="E253" s="25"/>
      <c r="F253" s="299" t="str">
        <f t="shared" si="6"/>
        <v>non comptabilisé</v>
      </c>
      <c r="H253" s="126"/>
      <c r="I253" s="306"/>
      <c r="J253" s="40" t="str">
        <f t="shared" si="8"/>
        <v/>
      </c>
    </row>
    <row r="254" spans="1:10" ht="15" customHeight="1">
      <c r="A254" s="309"/>
      <c r="B254" s="1"/>
      <c r="C254" s="526"/>
      <c r="D254" s="287"/>
      <c r="E254" s="25"/>
      <c r="F254" s="299" t="str">
        <f t="shared" si="6"/>
        <v>non comptabilisé</v>
      </c>
      <c r="H254" s="126"/>
      <c r="I254" s="306"/>
      <c r="J254" s="40" t="str">
        <f t="shared" si="8"/>
        <v/>
      </c>
    </row>
    <row r="255" spans="1:10" ht="15" customHeight="1">
      <c r="A255" s="309"/>
      <c r="B255" s="1"/>
      <c r="C255" s="526"/>
      <c r="D255" s="287"/>
      <c r="E255" s="25"/>
      <c r="F255" s="299" t="str">
        <f t="shared" si="6"/>
        <v>non comptabilisé</v>
      </c>
      <c r="H255" s="126"/>
      <c r="I255" s="306"/>
      <c r="J255" s="40" t="str">
        <f t="shared" si="8"/>
        <v/>
      </c>
    </row>
    <row r="256" spans="1:10" ht="15" customHeight="1">
      <c r="A256" s="309"/>
      <c r="B256" s="1"/>
      <c r="C256" s="526"/>
      <c r="D256" s="287"/>
      <c r="E256" s="25"/>
      <c r="F256" s="299" t="str">
        <f t="shared" si="6"/>
        <v>non comptabilisé</v>
      </c>
      <c r="H256" s="126"/>
      <c r="I256" s="306"/>
      <c r="J256" s="40" t="str">
        <f t="shared" si="8"/>
        <v/>
      </c>
    </row>
    <row r="257" spans="1:10" ht="15" customHeight="1">
      <c r="A257" s="309"/>
      <c r="B257" s="1"/>
      <c r="C257" s="526"/>
      <c r="D257" s="287"/>
      <c r="E257" s="25"/>
      <c r="F257" s="299" t="str">
        <f t="shared" si="6"/>
        <v>non comptabilisé</v>
      </c>
      <c r="H257" s="126"/>
      <c r="I257" s="306"/>
      <c r="J257" s="40" t="str">
        <f t="shared" si="8"/>
        <v/>
      </c>
    </row>
    <row r="258" spans="1:10" ht="15" customHeight="1">
      <c r="A258" s="309"/>
      <c r="B258" s="1"/>
      <c r="C258" s="526"/>
      <c r="D258" s="287"/>
      <c r="E258" s="25"/>
      <c r="F258" s="299" t="str">
        <f t="shared" si="6"/>
        <v>non comptabilisé</v>
      </c>
      <c r="H258" s="126"/>
      <c r="I258" s="306"/>
      <c r="J258" s="40" t="str">
        <f t="shared" si="8"/>
        <v/>
      </c>
    </row>
    <row r="259" spans="1:10" ht="15" customHeight="1">
      <c r="A259" s="309"/>
      <c r="B259" s="1"/>
      <c r="C259" s="526"/>
      <c r="D259" s="287"/>
      <c r="E259" s="25"/>
      <c r="F259" s="299" t="str">
        <f t="shared" si="6"/>
        <v>non comptabilisé</v>
      </c>
      <c r="H259" s="126"/>
      <c r="I259" s="306"/>
      <c r="J259" s="40" t="str">
        <f t="shared" si="8"/>
        <v/>
      </c>
    </row>
    <row r="260" spans="1:10" ht="15" customHeight="1">
      <c r="A260" s="309"/>
      <c r="B260" s="1"/>
      <c r="C260" s="526"/>
      <c r="D260" s="287"/>
      <c r="E260" s="25"/>
      <c r="F260" s="299" t="str">
        <f t="shared" si="6"/>
        <v>non comptabilisé</v>
      </c>
      <c r="H260" s="126"/>
      <c r="I260" s="306"/>
      <c r="J260" s="40" t="str">
        <f t="shared" si="8"/>
        <v/>
      </c>
    </row>
    <row r="261" spans="1:10" ht="15" customHeight="1">
      <c r="A261" s="309"/>
      <c r="B261" s="1"/>
      <c r="C261" s="526"/>
      <c r="D261" s="287"/>
      <c r="E261" s="25"/>
      <c r="F261" s="299" t="str">
        <f t="shared" si="6"/>
        <v>non comptabilisé</v>
      </c>
      <c r="H261" s="126"/>
      <c r="I261" s="306"/>
      <c r="J261" s="40" t="str">
        <f t="shared" si="8"/>
        <v/>
      </c>
    </row>
    <row r="262" spans="1:10" ht="15" customHeight="1">
      <c r="A262" s="309"/>
      <c r="B262" s="1"/>
      <c r="C262" s="526"/>
      <c r="D262" s="287"/>
      <c r="E262" s="25"/>
      <c r="F262" s="299" t="str">
        <f t="shared" si="6"/>
        <v>non comptabilisé</v>
      </c>
      <c r="H262" s="126"/>
      <c r="I262" s="306"/>
      <c r="J262" s="40" t="str">
        <f t="shared" si="8"/>
        <v/>
      </c>
    </row>
    <row r="263" spans="1:10" ht="15" customHeight="1">
      <c r="A263" s="309"/>
      <c r="B263" s="1"/>
      <c r="C263" s="526"/>
      <c r="D263" s="287"/>
      <c r="E263" s="25"/>
      <c r="F263" s="299" t="str">
        <f t="shared" si="6"/>
        <v>non comptabilisé</v>
      </c>
      <c r="H263" s="126"/>
      <c r="I263" s="306"/>
      <c r="J263" s="40" t="str">
        <f t="shared" si="8"/>
        <v/>
      </c>
    </row>
    <row r="264" spans="1:10" ht="15" customHeight="1">
      <c r="A264" s="309"/>
      <c r="B264" s="1"/>
      <c r="C264" s="526"/>
      <c r="D264" s="287"/>
      <c r="E264" s="25"/>
      <c r="F264" s="299" t="str">
        <f t="shared" si="6"/>
        <v>non comptabilisé</v>
      </c>
      <c r="H264" s="126"/>
      <c r="I264" s="306"/>
      <c r="J264" s="40" t="str">
        <f t="shared" si="8"/>
        <v/>
      </c>
    </row>
    <row r="265" spans="1:10" ht="15" customHeight="1">
      <c r="A265" s="309"/>
      <c r="B265" s="1"/>
      <c r="C265" s="526"/>
      <c r="D265" s="287"/>
      <c r="E265" s="25"/>
      <c r="F265" s="299" t="str">
        <f t="shared" si="6"/>
        <v>non comptabilisé</v>
      </c>
      <c r="H265" s="126"/>
      <c r="I265" s="306"/>
      <c r="J265" s="40" t="str">
        <f t="shared" si="8"/>
        <v/>
      </c>
    </row>
    <row r="266" spans="1:10" ht="15" customHeight="1">
      <c r="A266" s="309"/>
      <c r="B266" s="1"/>
      <c r="C266" s="526"/>
      <c r="D266" s="287"/>
      <c r="E266" s="25"/>
      <c r="F266" s="299" t="str">
        <f t="shared" si="6"/>
        <v>non comptabilisé</v>
      </c>
      <c r="H266" s="126"/>
      <c r="I266" s="306"/>
      <c r="J266" s="40" t="str">
        <f t="shared" si="8"/>
        <v/>
      </c>
    </row>
    <row r="267" spans="1:10" ht="15" customHeight="1">
      <c r="A267" s="309"/>
      <c r="B267" s="1"/>
      <c r="C267" s="526"/>
      <c r="D267" s="287"/>
      <c r="E267" s="25"/>
      <c r="F267" s="299" t="str">
        <f t="shared" si="6"/>
        <v>non comptabilisé</v>
      </c>
      <c r="H267" s="126"/>
      <c r="I267" s="306"/>
      <c r="J267" s="40" t="str">
        <f t="shared" si="8"/>
        <v/>
      </c>
    </row>
    <row r="268" spans="1:10" ht="15" customHeight="1">
      <c r="A268" s="309"/>
      <c r="B268" s="1"/>
      <c r="C268" s="526"/>
      <c r="D268" s="287"/>
      <c r="E268" s="25"/>
      <c r="F268" s="299" t="str">
        <f t="shared" si="6"/>
        <v>non comptabilisé</v>
      </c>
      <c r="H268" s="126"/>
      <c r="I268" s="306"/>
      <c r="J268" s="40" t="str">
        <f t="shared" si="8"/>
        <v/>
      </c>
    </row>
    <row r="269" spans="1:10" ht="15" customHeight="1">
      <c r="A269" s="309"/>
      <c r="B269" s="1"/>
      <c r="C269" s="526"/>
      <c r="D269" s="287"/>
      <c r="E269" s="25"/>
      <c r="F269" s="299" t="str">
        <f t="shared" si="6"/>
        <v>non comptabilisé</v>
      </c>
      <c r="H269" s="126"/>
      <c r="I269" s="306"/>
      <c r="J269" s="40" t="str">
        <f t="shared" si="8"/>
        <v/>
      </c>
    </row>
    <row r="270" spans="1:10" ht="15" customHeight="1">
      <c r="A270" s="309"/>
      <c r="B270" s="1"/>
      <c r="C270" s="526"/>
      <c r="D270" s="287"/>
      <c r="E270" s="25"/>
      <c r="F270" s="299" t="str">
        <f t="shared" si="6"/>
        <v>non comptabilisé</v>
      </c>
      <c r="H270" s="126"/>
      <c r="I270" s="306"/>
      <c r="J270" s="40" t="str">
        <f t="shared" si="8"/>
        <v/>
      </c>
    </row>
    <row r="271" spans="1:10" ht="15" customHeight="1">
      <c r="A271" s="309"/>
      <c r="B271" s="1"/>
      <c r="C271" s="526"/>
      <c r="D271" s="287"/>
      <c r="E271" s="25"/>
      <c r="F271" s="299" t="str">
        <f t="shared" si="6"/>
        <v>non comptabilisé</v>
      </c>
      <c r="H271" s="126"/>
      <c r="I271" s="306"/>
      <c r="J271" s="40" t="str">
        <f t="shared" si="8"/>
        <v/>
      </c>
    </row>
    <row r="272" spans="1:10" ht="15" customHeight="1">
      <c r="A272" s="309"/>
      <c r="B272" s="1"/>
      <c r="C272" s="526"/>
      <c r="D272" s="287"/>
      <c r="E272" s="25"/>
      <c r="F272" s="299" t="str">
        <f t="shared" si="6"/>
        <v>non comptabilisé</v>
      </c>
      <c r="H272" s="126"/>
      <c r="I272" s="306"/>
      <c r="J272" s="40" t="str">
        <f t="shared" si="8"/>
        <v/>
      </c>
    </row>
    <row r="273" spans="1:10" ht="15" customHeight="1">
      <c r="A273" s="309"/>
      <c r="B273" s="1"/>
      <c r="C273" s="526"/>
      <c r="D273" s="287"/>
      <c r="E273" s="25"/>
      <c r="F273" s="299" t="str">
        <f t="shared" si="6"/>
        <v>non comptabilisé</v>
      </c>
      <c r="H273" s="126"/>
      <c r="I273" s="306"/>
      <c r="J273" s="40" t="str">
        <f t="shared" si="8"/>
        <v/>
      </c>
    </row>
    <row r="274" spans="1:10" ht="15" customHeight="1">
      <c r="A274" s="309"/>
      <c r="B274" s="1"/>
      <c r="C274" s="526"/>
      <c r="D274" s="287"/>
      <c r="E274" s="25"/>
      <c r="F274" s="299" t="str">
        <f t="shared" si="6"/>
        <v>non comptabilisé</v>
      </c>
      <c r="H274" s="126"/>
      <c r="I274" s="306"/>
      <c r="J274" s="40" t="str">
        <f t="shared" si="8"/>
        <v/>
      </c>
    </row>
    <row r="275" spans="1:10" ht="15" customHeight="1">
      <c r="A275" s="309"/>
      <c r="B275" s="1"/>
      <c r="C275" s="526"/>
      <c r="D275" s="287"/>
      <c r="E275" s="25"/>
      <c r="F275" s="299" t="str">
        <f t="shared" si="6"/>
        <v>non comptabilisé</v>
      </c>
      <c r="H275" s="126"/>
      <c r="I275" s="306"/>
      <c r="J275" s="40" t="str">
        <f t="shared" si="8"/>
        <v/>
      </c>
    </row>
    <row r="276" spans="1:10" ht="15" customHeight="1">
      <c r="A276" s="309"/>
      <c r="B276" s="1"/>
      <c r="C276" s="526"/>
      <c r="D276" s="287"/>
      <c r="E276" s="25"/>
      <c r="F276" s="299" t="str">
        <f t="shared" si="6"/>
        <v>non comptabilisé</v>
      </c>
      <c r="H276" s="126"/>
      <c r="I276" s="306"/>
      <c r="J276" s="40" t="str">
        <f t="shared" si="8"/>
        <v/>
      </c>
    </row>
    <row r="277" spans="1:10" ht="15" customHeight="1">
      <c r="A277" s="309"/>
      <c r="B277" s="1"/>
      <c r="C277" s="526"/>
      <c r="D277" s="287"/>
      <c r="E277" s="25"/>
      <c r="F277" s="299" t="str">
        <f t="shared" si="6"/>
        <v>non comptabilisé</v>
      </c>
      <c r="H277" s="126"/>
      <c r="I277" s="306"/>
      <c r="J277" s="40" t="str">
        <f t="shared" si="8"/>
        <v/>
      </c>
    </row>
    <row r="278" spans="1:10" ht="15" customHeight="1">
      <c r="A278" s="309"/>
      <c r="B278" s="1"/>
      <c r="C278" s="526"/>
      <c r="D278" s="287"/>
      <c r="E278" s="25"/>
      <c r="F278" s="299" t="str">
        <f t="shared" ref="F278:F280" si="9">IF(H278=0,"non comptabilisé","comptabilisé")</f>
        <v>non comptabilisé</v>
      </c>
      <c r="H278" s="126"/>
      <c r="I278" s="306"/>
      <c r="J278" s="40" t="str">
        <f t="shared" si="8"/>
        <v/>
      </c>
    </row>
    <row r="279" spans="1:10" ht="15" customHeight="1">
      <c r="A279" s="309"/>
      <c r="B279" s="1"/>
      <c r="C279" s="526"/>
      <c r="D279"/>
      <c r="E279" s="25"/>
      <c r="F279" s="299" t="str">
        <f t="shared" si="9"/>
        <v>non comptabilisé</v>
      </c>
      <c r="H279" s="126"/>
      <c r="I279" s="306"/>
      <c r="J279" s="40" t="str">
        <f t="shared" si="8"/>
        <v/>
      </c>
    </row>
    <row r="280" spans="1:10" ht="15" customHeight="1">
      <c r="A280" s="309"/>
      <c r="B280" s="1"/>
      <c r="C280" s="526"/>
      <c r="D280" s="287"/>
      <c r="E280" s="25"/>
      <c r="F280" s="299" t="str">
        <f t="shared" si="9"/>
        <v>non comptabilisé</v>
      </c>
      <c r="H280" s="126"/>
      <c r="I280" s="306"/>
      <c r="J280" s="40" t="str">
        <f t="shared" si="8"/>
        <v/>
      </c>
    </row>
    <row r="281" spans="1:10" ht="15" customHeight="1">
      <c r="A281" s="309"/>
      <c r="B281" s="1"/>
      <c r="C281" s="287"/>
      <c r="D281" s="287"/>
      <c r="E281" s="25"/>
      <c r="F281" s="299"/>
      <c r="H281" s="126"/>
      <c r="I281" s="292"/>
      <c r="J281" s="40" t="str">
        <f t="shared" si="8"/>
        <v/>
      </c>
    </row>
    <row r="282" spans="1:10" ht="15" customHeight="1">
      <c r="A282" s="309"/>
      <c r="B282" s="1"/>
      <c r="C282" s="287"/>
      <c r="D282" s="287"/>
      <c r="E282" s="25"/>
      <c r="F282" s="299"/>
      <c r="H282" s="126"/>
      <c r="I282" s="292"/>
      <c r="J282" s="40" t="str">
        <f t="shared" si="8"/>
        <v/>
      </c>
    </row>
    <row r="283" spans="1:10" ht="15" customHeight="1">
      <c r="A283" s="309"/>
      <c r="B283" s="1"/>
      <c r="C283" s="287"/>
      <c r="D283" s="287"/>
      <c r="E283" s="25"/>
      <c r="F283" s="299"/>
      <c r="H283" s="126"/>
      <c r="I283" s="292"/>
      <c r="J283" s="40" t="str">
        <f t="shared" si="8"/>
        <v/>
      </c>
    </row>
    <row r="284" spans="1:10" ht="15" customHeight="1">
      <c r="A284" s="309"/>
      <c r="B284" s="1"/>
      <c r="C284" s="287"/>
      <c r="D284" s="287"/>
      <c r="E284" s="25"/>
      <c r="F284" s="299"/>
      <c r="H284" s="126"/>
      <c r="I284" s="292"/>
      <c r="J284" s="40" t="str">
        <f t="shared" si="8"/>
        <v/>
      </c>
    </row>
    <row r="285" spans="1:10" ht="15" customHeight="1">
      <c r="A285" s="309"/>
      <c r="B285" s="1"/>
      <c r="C285" s="287"/>
      <c r="D285" s="287"/>
      <c r="E285" s="25"/>
      <c r="F285" s="299"/>
      <c r="H285" s="126"/>
      <c r="I285" s="292"/>
      <c r="J285" s="40" t="str">
        <f t="shared" si="8"/>
        <v/>
      </c>
    </row>
    <row r="286" spans="1:10" ht="15" customHeight="1">
      <c r="A286" s="309"/>
      <c r="B286" s="1"/>
      <c r="C286" s="287"/>
      <c r="D286" s="287"/>
      <c r="E286" s="25"/>
      <c r="F286" s="299"/>
      <c r="H286" s="126"/>
      <c r="I286" s="292"/>
      <c r="J286" s="40" t="str">
        <f t="shared" si="8"/>
        <v/>
      </c>
    </row>
    <row r="287" spans="1:10" ht="15" customHeight="1">
      <c r="A287" s="309"/>
      <c r="B287" s="1"/>
      <c r="C287" s="287"/>
      <c r="D287" s="287"/>
      <c r="E287" s="25"/>
      <c r="F287" s="299"/>
      <c r="H287" s="126"/>
      <c r="I287" s="292"/>
      <c r="J287" s="40" t="str">
        <f t="shared" si="8"/>
        <v/>
      </c>
    </row>
    <row r="288" spans="1:10" ht="15" customHeight="1">
      <c r="A288" s="309"/>
      <c r="B288" s="1"/>
      <c r="C288" s="287"/>
      <c r="D288" s="287"/>
      <c r="E288" s="25"/>
      <c r="F288" s="299"/>
      <c r="H288" s="126"/>
      <c r="I288" s="292"/>
      <c r="J288" s="40" t="str">
        <f t="shared" si="8"/>
        <v/>
      </c>
    </row>
    <row r="289" spans="1:10" ht="15" customHeight="1">
      <c r="A289" s="309"/>
      <c r="B289" s="1"/>
      <c r="C289" s="287"/>
      <c r="D289" s="287"/>
      <c r="E289" s="25"/>
      <c r="F289" s="299"/>
      <c r="H289" s="126"/>
      <c r="I289" s="292"/>
      <c r="J289" s="40" t="str">
        <f t="shared" si="8"/>
        <v/>
      </c>
    </row>
    <row r="290" spans="1:10" ht="15" customHeight="1">
      <c r="A290" s="309"/>
      <c r="B290" s="1"/>
      <c r="C290" s="287"/>
      <c r="D290" s="287"/>
      <c r="E290" s="25"/>
      <c r="F290" s="299"/>
      <c r="H290" s="126"/>
      <c r="I290" s="292"/>
      <c r="J290" s="40" t="str">
        <f t="shared" si="8"/>
        <v/>
      </c>
    </row>
    <row r="291" spans="1:10" ht="15" customHeight="1">
      <c r="A291" s="309"/>
      <c r="B291" s="1"/>
      <c r="C291" s="287"/>
      <c r="D291" s="287"/>
      <c r="E291" s="25"/>
      <c r="F291" s="299"/>
      <c r="H291" s="126"/>
      <c r="I291" s="292"/>
      <c r="J291" s="40" t="str">
        <f t="shared" si="8"/>
        <v/>
      </c>
    </row>
    <row r="292" spans="1:10" ht="15" customHeight="1">
      <c r="A292" s="309"/>
      <c r="B292" s="1"/>
      <c r="C292" s="287"/>
      <c r="D292" s="287"/>
      <c r="E292" s="25"/>
      <c r="F292" s="299"/>
      <c r="H292" s="126"/>
      <c r="I292" s="292"/>
      <c r="J292" s="40" t="str">
        <f t="shared" si="8"/>
        <v/>
      </c>
    </row>
    <row r="293" spans="1:10" ht="15" customHeight="1">
      <c r="A293" s="309"/>
      <c r="B293" s="1"/>
      <c r="C293" s="287"/>
      <c r="D293" s="287"/>
      <c r="E293" s="25"/>
      <c r="F293" s="299"/>
      <c r="H293" s="126"/>
      <c r="I293" s="292"/>
      <c r="J293" s="40" t="str">
        <f t="shared" si="8"/>
        <v/>
      </c>
    </row>
    <row r="294" spans="1:10" ht="15" customHeight="1">
      <c r="A294" s="309"/>
      <c r="B294" s="1"/>
      <c r="C294" s="287"/>
      <c r="D294" s="287"/>
      <c r="E294" s="25"/>
      <c r="F294" s="299"/>
      <c r="H294" s="126"/>
      <c r="I294" s="292"/>
      <c r="J294" s="40" t="str">
        <f t="shared" si="8"/>
        <v/>
      </c>
    </row>
    <row r="295" spans="1:10" ht="15" customHeight="1">
      <c r="A295" s="309"/>
      <c r="B295" s="1"/>
      <c r="C295" s="287"/>
      <c r="D295" s="287"/>
      <c r="E295" s="25"/>
      <c r="F295" s="299"/>
      <c r="H295" s="126"/>
      <c r="I295" s="292"/>
      <c r="J295" s="40" t="str">
        <f t="shared" si="8"/>
        <v/>
      </c>
    </row>
    <row r="296" spans="1:10" ht="15" customHeight="1">
      <c r="A296" s="309"/>
      <c r="B296" s="1"/>
      <c r="C296" s="287"/>
      <c r="D296" s="287"/>
      <c r="E296" s="25"/>
      <c r="F296" s="299"/>
      <c r="H296" s="126"/>
      <c r="I296" s="292"/>
      <c r="J296" s="40" t="str">
        <f t="shared" si="8"/>
        <v/>
      </c>
    </row>
    <row r="297" spans="1:10" ht="15" customHeight="1">
      <c r="A297" s="309"/>
      <c r="B297" s="1"/>
      <c r="C297" s="287"/>
      <c r="D297" s="287"/>
      <c r="E297" s="25"/>
      <c r="F297" s="299"/>
      <c r="H297" s="126"/>
      <c r="I297" s="292"/>
      <c r="J297" s="40" t="str">
        <f t="shared" si="8"/>
        <v/>
      </c>
    </row>
    <row r="298" spans="1:10" ht="15" customHeight="1">
      <c r="A298" s="309"/>
      <c r="B298" s="1"/>
      <c r="C298" s="287"/>
      <c r="D298" s="287"/>
      <c r="E298" s="25"/>
      <c r="F298" s="299"/>
      <c r="H298" s="126"/>
      <c r="I298" s="292"/>
      <c r="J298" s="40" t="str">
        <f t="shared" si="8"/>
        <v/>
      </c>
    </row>
    <row r="299" spans="1:10" ht="15" customHeight="1">
      <c r="A299" s="309"/>
      <c r="B299" s="1"/>
      <c r="C299" s="287"/>
      <c r="D299" s="287"/>
      <c r="E299" s="25"/>
      <c r="F299" s="299"/>
      <c r="H299" s="126"/>
      <c r="I299" s="292"/>
      <c r="J299" s="40" t="str">
        <f t="shared" si="8"/>
        <v/>
      </c>
    </row>
    <row r="300" spans="1:10" ht="15" customHeight="1">
      <c r="A300" s="309"/>
      <c r="B300" s="1"/>
      <c r="C300" s="287"/>
      <c r="D300" s="287"/>
      <c r="E300" s="25"/>
      <c r="F300" s="299"/>
      <c r="H300" s="126"/>
      <c r="I300" s="292"/>
      <c r="J300" s="40" t="str">
        <f t="shared" si="8"/>
        <v/>
      </c>
    </row>
    <row r="301" spans="1:10" ht="15" customHeight="1">
      <c r="A301" s="309"/>
      <c r="B301" s="1"/>
      <c r="C301" s="287"/>
      <c r="D301" s="287"/>
      <c r="E301" s="25"/>
      <c r="F301" s="299"/>
      <c r="H301" s="126"/>
      <c r="I301" s="292"/>
      <c r="J301" s="40" t="str">
        <f t="shared" si="8"/>
        <v/>
      </c>
    </row>
    <row r="302" spans="1:10" ht="15" customHeight="1">
      <c r="A302" s="309"/>
      <c r="B302" s="1"/>
      <c r="C302" s="287"/>
      <c r="D302" s="287"/>
      <c r="E302" s="25"/>
      <c r="F302" s="299"/>
      <c r="H302" s="126"/>
      <c r="I302" s="292"/>
      <c r="J302" s="40" t="str">
        <f t="shared" si="8"/>
        <v/>
      </c>
    </row>
    <row r="303" spans="1:10" ht="15" customHeight="1">
      <c r="A303" s="309"/>
      <c r="B303" s="1"/>
      <c r="C303" s="287"/>
      <c r="D303" s="287"/>
      <c r="E303" s="25"/>
      <c r="F303" s="299"/>
      <c r="H303" s="126"/>
      <c r="I303" s="292"/>
      <c r="J303" s="40" t="str">
        <f t="shared" si="8"/>
        <v/>
      </c>
    </row>
    <row r="304" spans="1:10" ht="15" customHeight="1">
      <c r="A304" s="309"/>
      <c r="B304" s="1"/>
      <c r="C304" s="287"/>
      <c r="D304" s="287"/>
      <c r="E304" s="25"/>
      <c r="F304" s="299"/>
      <c r="H304" s="126"/>
      <c r="I304" s="292"/>
      <c r="J304" s="40" t="str">
        <f t="shared" si="8"/>
        <v/>
      </c>
    </row>
    <row r="305" spans="1:10" ht="15" customHeight="1">
      <c r="A305" s="309"/>
      <c r="B305" s="1"/>
      <c r="C305" s="287"/>
      <c r="D305" s="287"/>
      <c r="E305" s="25"/>
      <c r="F305" s="299"/>
      <c r="H305" s="126"/>
      <c r="I305" s="292"/>
      <c r="J305" s="40" t="str">
        <f t="shared" si="8"/>
        <v/>
      </c>
    </row>
    <row r="306" spans="1:10" ht="15" customHeight="1">
      <c r="A306" s="309"/>
      <c r="B306" s="1"/>
      <c r="C306" s="287"/>
      <c r="D306" s="287"/>
      <c r="E306" s="25"/>
      <c r="F306" s="299"/>
      <c r="H306" s="126"/>
      <c r="I306" s="292"/>
      <c r="J306" s="40" t="str">
        <f t="shared" si="8"/>
        <v/>
      </c>
    </row>
    <row r="307" spans="1:10" ht="15" customHeight="1">
      <c r="A307" s="309"/>
      <c r="B307" s="1"/>
      <c r="C307" s="287"/>
      <c r="D307" s="287"/>
      <c r="E307" s="25"/>
      <c r="F307" s="299"/>
      <c r="H307" s="126"/>
      <c r="I307" s="292"/>
      <c r="J307" s="40" t="str">
        <f t="shared" si="8"/>
        <v/>
      </c>
    </row>
    <row r="308" spans="1:10" ht="15" customHeight="1">
      <c r="A308" s="309"/>
      <c r="B308" s="1"/>
      <c r="C308" s="287"/>
      <c r="D308" s="287"/>
      <c r="E308" s="25"/>
      <c r="F308" s="299"/>
      <c r="H308" s="126"/>
      <c r="I308" s="292"/>
      <c r="J308" s="40" t="str">
        <f t="shared" si="8"/>
        <v/>
      </c>
    </row>
    <row r="309" spans="1:10" ht="15" customHeight="1">
      <c r="A309" s="309"/>
      <c r="B309" s="1"/>
      <c r="C309" s="287"/>
      <c r="D309" s="287"/>
      <c r="E309" s="25"/>
      <c r="F309" s="299"/>
      <c r="H309" s="126"/>
      <c r="I309" s="292"/>
      <c r="J309" s="40" t="str">
        <f t="shared" si="8"/>
        <v/>
      </c>
    </row>
    <row r="310" spans="1:10" ht="15" customHeight="1">
      <c r="A310" s="309"/>
      <c r="B310" s="1"/>
      <c r="C310" s="287"/>
      <c r="D310" s="287"/>
      <c r="E310" s="25"/>
      <c r="F310" s="299"/>
      <c r="H310" s="126"/>
      <c r="I310" s="292"/>
      <c r="J310" s="40" t="str">
        <f t="shared" si="8"/>
        <v/>
      </c>
    </row>
    <row r="311" spans="1:10" ht="15" customHeight="1">
      <c r="A311" s="309"/>
      <c r="B311" s="1"/>
      <c r="C311" s="287"/>
      <c r="D311" s="287"/>
      <c r="E311" s="25"/>
      <c r="F311" s="299"/>
      <c r="H311" s="126"/>
      <c r="I311" s="292"/>
      <c r="J311" s="40" t="str">
        <f t="shared" si="8"/>
        <v/>
      </c>
    </row>
    <row r="312" spans="1:10" ht="15" customHeight="1">
      <c r="A312" s="309"/>
      <c r="B312" s="1"/>
      <c r="C312" s="287"/>
      <c r="D312" s="287"/>
      <c r="E312" s="25"/>
      <c r="F312" s="299"/>
      <c r="H312" s="126"/>
      <c r="I312" s="292"/>
      <c r="J312" s="40" t="str">
        <f t="shared" ref="J312:J375" si="10">IF(E312=0,"",$J$20)</f>
        <v/>
      </c>
    </row>
    <row r="313" spans="1:10" ht="15" customHeight="1">
      <c r="A313" s="309"/>
      <c r="B313" s="1"/>
      <c r="C313" s="287"/>
      <c r="D313" s="287"/>
      <c r="E313" s="25"/>
      <c r="F313" s="299"/>
      <c r="H313" s="126"/>
      <c r="I313" s="292"/>
      <c r="J313" s="40" t="str">
        <f t="shared" si="10"/>
        <v/>
      </c>
    </row>
    <row r="314" spans="1:10" ht="15" customHeight="1">
      <c r="A314" s="309"/>
      <c r="B314" s="1"/>
      <c r="C314" s="287"/>
      <c r="D314" s="287"/>
      <c r="E314" s="25"/>
      <c r="F314" s="299"/>
      <c r="H314" s="126"/>
      <c r="I314" s="292"/>
      <c r="J314" s="40" t="str">
        <f t="shared" si="10"/>
        <v/>
      </c>
    </row>
    <row r="315" spans="1:10" ht="15" customHeight="1">
      <c r="A315" s="309"/>
      <c r="B315" s="1"/>
      <c r="C315" s="287"/>
      <c r="D315" s="287"/>
      <c r="E315" s="25"/>
      <c r="F315" s="299"/>
      <c r="H315" s="126"/>
      <c r="I315" s="292"/>
      <c r="J315" s="40" t="str">
        <f t="shared" si="10"/>
        <v/>
      </c>
    </row>
    <row r="316" spans="1:10" ht="15" customHeight="1">
      <c r="A316" s="309"/>
      <c r="B316" s="1"/>
      <c r="C316" s="287"/>
      <c r="D316" s="287"/>
      <c r="E316" s="25"/>
      <c r="F316" s="299"/>
      <c r="H316" s="126"/>
      <c r="I316" s="292"/>
      <c r="J316" s="40" t="str">
        <f t="shared" si="10"/>
        <v/>
      </c>
    </row>
    <row r="317" spans="1:10" ht="15" customHeight="1">
      <c r="A317" s="309"/>
      <c r="B317" s="1"/>
      <c r="C317" s="287"/>
      <c r="D317" s="287"/>
      <c r="E317" s="25"/>
      <c r="F317" s="299"/>
      <c r="H317" s="126"/>
      <c r="I317" s="292"/>
      <c r="J317" s="40" t="str">
        <f t="shared" si="10"/>
        <v/>
      </c>
    </row>
    <row r="318" spans="1:10" ht="15" customHeight="1">
      <c r="A318" s="309"/>
      <c r="B318" s="1"/>
      <c r="C318" s="287"/>
      <c r="D318" s="287"/>
      <c r="E318" s="25"/>
      <c r="F318" s="299"/>
      <c r="H318" s="126"/>
      <c r="I318" s="292"/>
      <c r="J318" s="40" t="str">
        <f t="shared" si="10"/>
        <v/>
      </c>
    </row>
    <row r="319" spans="1:10" ht="15" customHeight="1">
      <c r="A319" s="309"/>
      <c r="B319" s="1"/>
      <c r="C319" s="287"/>
      <c r="D319" s="287"/>
      <c r="E319" s="25"/>
      <c r="F319" s="299"/>
      <c r="H319" s="126"/>
      <c r="I319" s="292"/>
      <c r="J319" s="40" t="str">
        <f t="shared" si="10"/>
        <v/>
      </c>
    </row>
    <row r="320" spans="1:10" ht="15" customHeight="1">
      <c r="A320" s="309"/>
      <c r="B320" s="1"/>
      <c r="C320" s="287"/>
      <c r="D320" s="287"/>
      <c r="E320" s="25"/>
      <c r="F320" s="299"/>
      <c r="H320" s="126"/>
      <c r="I320" s="292"/>
      <c r="J320" s="40" t="str">
        <f t="shared" si="10"/>
        <v/>
      </c>
    </row>
    <row r="321" spans="1:10" ht="15" customHeight="1">
      <c r="A321" s="309"/>
      <c r="B321" s="1"/>
      <c r="C321" s="287"/>
      <c r="D321" s="287"/>
      <c r="E321" s="25"/>
      <c r="F321" s="299"/>
      <c r="H321" s="126"/>
      <c r="I321" s="292"/>
      <c r="J321" s="40" t="str">
        <f t="shared" si="10"/>
        <v/>
      </c>
    </row>
    <row r="322" spans="1:10" ht="15" customHeight="1">
      <c r="A322" s="309"/>
      <c r="B322" s="1"/>
      <c r="C322" s="287"/>
      <c r="D322" s="287"/>
      <c r="E322" s="25"/>
      <c r="F322" s="299"/>
      <c r="H322" s="126"/>
      <c r="I322" s="292"/>
      <c r="J322" s="40" t="str">
        <f t="shared" si="10"/>
        <v/>
      </c>
    </row>
    <row r="323" spans="1:10" ht="15" customHeight="1">
      <c r="A323" s="309"/>
      <c r="B323" s="1"/>
      <c r="C323" s="287"/>
      <c r="D323" s="287"/>
      <c r="E323" s="25"/>
      <c r="F323" s="299"/>
      <c r="H323" s="126"/>
      <c r="I323" s="292"/>
      <c r="J323" s="40" t="str">
        <f t="shared" si="10"/>
        <v/>
      </c>
    </row>
    <row r="324" spans="1:10" ht="15" customHeight="1">
      <c r="A324" s="309"/>
      <c r="B324" s="1"/>
      <c r="C324" s="287"/>
      <c r="D324" s="287"/>
      <c r="E324" s="25"/>
      <c r="F324" s="299"/>
      <c r="H324" s="126"/>
      <c r="I324" s="292"/>
      <c r="J324" s="40" t="str">
        <f t="shared" si="10"/>
        <v/>
      </c>
    </row>
    <row r="325" spans="1:10" ht="15" customHeight="1">
      <c r="A325" s="309"/>
      <c r="B325" s="1"/>
      <c r="C325" s="287"/>
      <c r="D325" s="287"/>
      <c r="E325" s="25"/>
      <c r="F325" s="299"/>
      <c r="H325" s="126"/>
      <c r="I325" s="292"/>
      <c r="J325" s="40" t="str">
        <f t="shared" si="10"/>
        <v/>
      </c>
    </row>
    <row r="326" spans="1:10" ht="15" customHeight="1">
      <c r="A326" s="309"/>
      <c r="B326" s="1"/>
      <c r="C326" s="287"/>
      <c r="D326" s="287"/>
      <c r="E326" s="25"/>
      <c r="F326" s="299"/>
      <c r="H326" s="126"/>
      <c r="I326" s="292"/>
      <c r="J326" s="40" t="str">
        <f t="shared" si="10"/>
        <v/>
      </c>
    </row>
    <row r="327" spans="1:10" ht="15" customHeight="1">
      <c r="A327" s="309"/>
      <c r="B327" s="1"/>
      <c r="C327" s="287"/>
      <c r="D327" s="287"/>
      <c r="E327" s="25"/>
      <c r="F327" s="299"/>
      <c r="H327" s="126"/>
      <c r="I327" s="292"/>
      <c r="J327" s="40" t="str">
        <f t="shared" si="10"/>
        <v/>
      </c>
    </row>
    <row r="328" spans="1:10" ht="15" customHeight="1">
      <c r="A328" s="309"/>
      <c r="B328" s="1"/>
      <c r="C328" s="287"/>
      <c r="D328" s="287"/>
      <c r="E328" s="25"/>
      <c r="F328" s="299"/>
      <c r="H328" s="126"/>
      <c r="I328" s="292"/>
      <c r="J328" s="40" t="str">
        <f t="shared" si="10"/>
        <v/>
      </c>
    </row>
    <row r="329" spans="1:10" ht="15" customHeight="1">
      <c r="A329" s="309"/>
      <c r="B329" s="1"/>
      <c r="C329" s="287"/>
      <c r="D329" s="287"/>
      <c r="E329" s="25"/>
      <c r="F329" s="299"/>
      <c r="H329" s="126"/>
      <c r="I329" s="292"/>
      <c r="J329" s="40" t="str">
        <f t="shared" si="10"/>
        <v/>
      </c>
    </row>
    <row r="330" spans="1:10" ht="15" customHeight="1">
      <c r="A330" s="309"/>
      <c r="B330" s="1"/>
      <c r="C330" s="287"/>
      <c r="D330" s="287"/>
      <c r="E330" s="25"/>
      <c r="F330" s="299"/>
      <c r="H330" s="126"/>
      <c r="I330" s="292"/>
      <c r="J330" s="40" t="str">
        <f t="shared" si="10"/>
        <v/>
      </c>
    </row>
    <row r="331" spans="1:10" ht="15" customHeight="1">
      <c r="A331" s="309"/>
      <c r="B331" s="1"/>
      <c r="C331" s="287"/>
      <c r="D331" s="287"/>
      <c r="E331" s="25"/>
      <c r="F331" s="299"/>
      <c r="H331" s="126"/>
      <c r="I331" s="292"/>
      <c r="J331" s="40" t="str">
        <f t="shared" si="10"/>
        <v/>
      </c>
    </row>
    <row r="332" spans="1:10" ht="15" customHeight="1">
      <c r="A332" s="309"/>
      <c r="B332" s="1"/>
      <c r="C332" s="287"/>
      <c r="D332" s="287"/>
      <c r="E332" s="25"/>
      <c r="F332" s="299"/>
      <c r="H332" s="126"/>
      <c r="I332" s="292"/>
      <c r="J332" s="40" t="str">
        <f t="shared" si="10"/>
        <v/>
      </c>
    </row>
    <row r="333" spans="1:10" ht="15" customHeight="1">
      <c r="A333" s="309"/>
      <c r="B333" s="1"/>
      <c r="C333" s="287"/>
      <c r="D333" s="287"/>
      <c r="E333" s="25"/>
      <c r="F333" s="299"/>
      <c r="H333" s="126"/>
      <c r="I333" s="292"/>
      <c r="J333" s="40" t="str">
        <f t="shared" si="10"/>
        <v/>
      </c>
    </row>
    <row r="334" spans="1:10" ht="15" customHeight="1">
      <c r="A334" s="309"/>
      <c r="B334" s="1"/>
      <c r="C334" s="287"/>
      <c r="D334" s="287"/>
      <c r="E334" s="25"/>
      <c r="F334" s="299"/>
      <c r="H334" s="126"/>
      <c r="I334" s="292"/>
      <c r="J334" s="40" t="str">
        <f t="shared" si="10"/>
        <v/>
      </c>
    </row>
    <row r="335" spans="1:10" ht="15" customHeight="1">
      <c r="A335" s="309"/>
      <c r="B335" s="1"/>
      <c r="C335" s="287"/>
      <c r="D335" s="287"/>
      <c r="E335" s="25"/>
      <c r="F335" s="299"/>
      <c r="H335" s="126"/>
      <c r="I335" s="292"/>
      <c r="J335" s="40" t="str">
        <f t="shared" si="10"/>
        <v/>
      </c>
    </row>
    <row r="336" spans="1:10" ht="15" customHeight="1">
      <c r="A336" s="309"/>
      <c r="B336" s="1"/>
      <c r="C336" s="287"/>
      <c r="D336" s="287"/>
      <c r="E336" s="25"/>
      <c r="F336" s="299"/>
      <c r="H336" s="126"/>
      <c r="I336" s="292"/>
      <c r="J336" s="40" t="str">
        <f t="shared" si="10"/>
        <v/>
      </c>
    </row>
    <row r="337" spans="1:10" ht="15" customHeight="1">
      <c r="A337" s="309"/>
      <c r="B337" s="1"/>
      <c r="C337" s="287"/>
      <c r="D337" s="287"/>
      <c r="E337" s="25"/>
      <c r="F337" s="299"/>
      <c r="H337" s="126"/>
      <c r="I337" s="292"/>
      <c r="J337" s="40" t="str">
        <f t="shared" si="10"/>
        <v/>
      </c>
    </row>
    <row r="338" spans="1:10" ht="15" customHeight="1">
      <c r="A338" s="309"/>
      <c r="B338" s="1"/>
      <c r="C338" s="287"/>
      <c r="D338" s="287"/>
      <c r="E338" s="25"/>
      <c r="F338" s="299"/>
      <c r="H338" s="126"/>
      <c r="I338" s="292"/>
      <c r="J338" s="40" t="str">
        <f t="shared" si="10"/>
        <v/>
      </c>
    </row>
    <row r="339" spans="1:10" ht="15" customHeight="1">
      <c r="A339" s="309"/>
      <c r="B339" s="1"/>
      <c r="C339" s="287"/>
      <c r="D339" s="287"/>
      <c r="E339" s="25"/>
      <c r="F339" s="299"/>
      <c r="H339" s="126"/>
      <c r="I339" s="292"/>
      <c r="J339" s="40" t="str">
        <f t="shared" si="10"/>
        <v/>
      </c>
    </row>
    <row r="340" spans="1:10" ht="15" customHeight="1">
      <c r="A340" s="309"/>
      <c r="B340" s="1"/>
      <c r="C340" s="287"/>
      <c r="D340" s="287"/>
      <c r="E340" s="25"/>
      <c r="F340" s="299"/>
      <c r="H340" s="126"/>
      <c r="I340" s="292"/>
      <c r="J340" s="40" t="str">
        <f t="shared" si="10"/>
        <v/>
      </c>
    </row>
    <row r="341" spans="1:10" ht="15" customHeight="1">
      <c r="A341" s="309"/>
      <c r="B341" s="1"/>
      <c r="C341" s="287"/>
      <c r="D341" s="287"/>
      <c r="E341" s="25"/>
      <c r="F341" s="299"/>
      <c r="H341" s="126"/>
      <c r="I341" s="292"/>
      <c r="J341" s="40" t="str">
        <f t="shared" si="10"/>
        <v/>
      </c>
    </row>
    <row r="342" spans="1:10" ht="15" customHeight="1">
      <c r="A342" s="309"/>
      <c r="B342" s="1"/>
      <c r="C342" s="287"/>
      <c r="D342" s="287"/>
      <c r="E342" s="25"/>
      <c r="F342" s="299"/>
      <c r="H342" s="126"/>
      <c r="I342" s="292"/>
      <c r="J342" s="40" t="str">
        <f t="shared" si="10"/>
        <v/>
      </c>
    </row>
    <row r="343" spans="1:10" ht="15" customHeight="1">
      <c r="A343" s="309"/>
      <c r="B343" s="1"/>
      <c r="C343" s="287"/>
      <c r="D343" s="287"/>
      <c r="E343" s="25"/>
      <c r="F343" s="299"/>
      <c r="H343" s="126"/>
      <c r="I343" s="292"/>
      <c r="J343" s="40" t="str">
        <f t="shared" si="10"/>
        <v/>
      </c>
    </row>
    <row r="344" spans="1:10" ht="15" customHeight="1">
      <c r="A344" s="309"/>
      <c r="B344" s="1"/>
      <c r="C344" s="287"/>
      <c r="D344" s="287"/>
      <c r="E344" s="25"/>
      <c r="F344" s="299"/>
      <c r="H344" s="126"/>
      <c r="I344" s="292"/>
      <c r="J344" s="40" t="str">
        <f t="shared" si="10"/>
        <v/>
      </c>
    </row>
    <row r="345" spans="1:10" ht="15" customHeight="1">
      <c r="A345" s="309"/>
      <c r="B345" s="1"/>
      <c r="C345" s="287"/>
      <c r="D345" s="287"/>
      <c r="E345" s="25"/>
      <c r="F345" s="299"/>
      <c r="H345" s="126"/>
      <c r="I345" s="292"/>
      <c r="J345" s="40" t="str">
        <f t="shared" si="10"/>
        <v/>
      </c>
    </row>
    <row r="346" spans="1:10" ht="15" customHeight="1">
      <c r="A346" s="309"/>
      <c r="B346" s="1"/>
      <c r="C346" s="287"/>
      <c r="D346" s="287"/>
      <c r="E346" s="25"/>
      <c r="F346" s="299"/>
      <c r="H346" s="126"/>
      <c r="I346" s="292"/>
      <c r="J346" s="40" t="str">
        <f t="shared" si="10"/>
        <v/>
      </c>
    </row>
    <row r="347" spans="1:10" ht="15" customHeight="1">
      <c r="A347" s="309"/>
      <c r="B347" s="1"/>
      <c r="C347" s="287"/>
      <c r="D347" s="287"/>
      <c r="E347" s="25"/>
      <c r="F347" s="299"/>
      <c r="H347" s="126"/>
      <c r="I347" s="292"/>
      <c r="J347" s="40" t="str">
        <f t="shared" si="10"/>
        <v/>
      </c>
    </row>
    <row r="348" spans="1:10" ht="15" customHeight="1">
      <c r="A348" s="309"/>
      <c r="B348" s="1"/>
      <c r="C348" s="287"/>
      <c r="D348" s="287"/>
      <c r="E348" s="25"/>
      <c r="F348" s="299"/>
      <c r="H348" s="126"/>
      <c r="I348" s="292"/>
      <c r="J348" s="40" t="str">
        <f t="shared" si="10"/>
        <v/>
      </c>
    </row>
    <row r="349" spans="1:10" ht="15" customHeight="1">
      <c r="A349" s="309"/>
      <c r="B349" s="1"/>
      <c r="C349" s="287"/>
      <c r="D349" s="287"/>
      <c r="E349" s="25"/>
      <c r="F349" s="299"/>
      <c r="H349" s="126"/>
      <c r="I349" s="292"/>
      <c r="J349" s="40" t="str">
        <f t="shared" si="10"/>
        <v/>
      </c>
    </row>
    <row r="350" spans="1:10" ht="15" customHeight="1">
      <c r="A350" s="309"/>
      <c r="B350" s="1"/>
      <c r="C350" s="287"/>
      <c r="D350" s="287"/>
      <c r="E350" s="25"/>
      <c r="F350" s="299"/>
      <c r="H350" s="126"/>
      <c r="I350" s="292"/>
      <c r="J350" s="40" t="str">
        <f t="shared" si="10"/>
        <v/>
      </c>
    </row>
    <row r="351" spans="1:10" ht="15" customHeight="1">
      <c r="A351" s="309"/>
      <c r="B351" s="1"/>
      <c r="C351" s="287"/>
      <c r="D351" s="287"/>
      <c r="E351" s="25"/>
      <c r="F351" s="299"/>
      <c r="H351" s="126"/>
      <c r="I351" s="292"/>
      <c r="J351" s="40" t="str">
        <f t="shared" si="10"/>
        <v/>
      </c>
    </row>
    <row r="352" spans="1:10" ht="15" customHeight="1">
      <c r="A352" s="309"/>
      <c r="B352" s="1"/>
      <c r="C352" s="287"/>
      <c r="D352" s="287"/>
      <c r="E352" s="25"/>
      <c r="F352" s="299"/>
      <c r="H352" s="126"/>
      <c r="I352" s="292"/>
      <c r="J352" s="40" t="str">
        <f t="shared" si="10"/>
        <v/>
      </c>
    </row>
    <row r="353" spans="1:10" ht="15" customHeight="1">
      <c r="A353" s="309"/>
      <c r="B353" s="1"/>
      <c r="C353" s="287"/>
      <c r="D353" s="287"/>
      <c r="E353" s="25"/>
      <c r="F353" s="299"/>
      <c r="H353" s="126"/>
      <c r="I353" s="292"/>
      <c r="J353" s="40" t="str">
        <f t="shared" si="10"/>
        <v/>
      </c>
    </row>
    <row r="354" spans="1:10" ht="15" customHeight="1">
      <c r="A354" s="309"/>
      <c r="B354" s="1"/>
      <c r="C354" s="287"/>
      <c r="D354" s="287"/>
      <c r="E354" s="25"/>
      <c r="F354" s="299"/>
      <c r="H354" s="126"/>
      <c r="I354" s="292"/>
      <c r="J354" s="40" t="str">
        <f t="shared" si="10"/>
        <v/>
      </c>
    </row>
    <row r="355" spans="1:10" ht="15" customHeight="1">
      <c r="A355" s="309"/>
      <c r="B355" s="1"/>
      <c r="C355" s="287"/>
      <c r="D355" s="287"/>
      <c r="E355" s="25"/>
      <c r="F355" s="299"/>
      <c r="H355" s="126"/>
      <c r="I355" s="292"/>
      <c r="J355" s="40" t="str">
        <f t="shared" si="10"/>
        <v/>
      </c>
    </row>
    <row r="356" spans="1:10" ht="15" customHeight="1">
      <c r="A356" s="309"/>
      <c r="B356" s="1"/>
      <c r="C356" s="287"/>
      <c r="D356" s="287"/>
      <c r="E356" s="25"/>
      <c r="F356" s="299"/>
      <c r="H356" s="126"/>
      <c r="I356" s="292"/>
      <c r="J356" s="40" t="str">
        <f t="shared" si="10"/>
        <v/>
      </c>
    </row>
    <row r="357" spans="1:10" ht="15" customHeight="1">
      <c r="A357" s="309"/>
      <c r="B357" s="1"/>
      <c r="C357" s="287"/>
      <c r="D357" s="287"/>
      <c r="E357" s="25"/>
      <c r="F357" s="299"/>
      <c r="H357" s="126"/>
      <c r="I357" s="292"/>
      <c r="J357" s="40" t="str">
        <f t="shared" si="10"/>
        <v/>
      </c>
    </row>
    <row r="358" spans="1:10" ht="15" customHeight="1">
      <c r="A358" s="309"/>
      <c r="B358" s="1"/>
      <c r="C358" s="287"/>
      <c r="D358" s="287"/>
      <c r="E358" s="25"/>
      <c r="F358" s="299"/>
      <c r="H358" s="126"/>
      <c r="I358" s="292"/>
      <c r="J358" s="40" t="str">
        <f t="shared" si="10"/>
        <v/>
      </c>
    </row>
    <row r="359" spans="1:10" ht="15" customHeight="1">
      <c r="A359" s="309"/>
      <c r="B359" s="1"/>
      <c r="C359" s="287"/>
      <c r="D359" s="287"/>
      <c r="E359" s="25"/>
      <c r="F359" s="299"/>
      <c r="H359" s="126"/>
      <c r="I359" s="292"/>
      <c r="J359" s="40" t="str">
        <f t="shared" si="10"/>
        <v/>
      </c>
    </row>
    <row r="360" spans="1:10" ht="15" customHeight="1">
      <c r="A360" s="309"/>
      <c r="B360" s="1"/>
      <c r="C360" s="287"/>
      <c r="D360" s="287"/>
      <c r="E360" s="25"/>
      <c r="F360" s="299"/>
      <c r="H360" s="126"/>
      <c r="I360" s="292"/>
      <c r="J360" s="40" t="str">
        <f t="shared" si="10"/>
        <v/>
      </c>
    </row>
    <row r="361" spans="1:10" ht="15" customHeight="1">
      <c r="A361" s="309"/>
      <c r="B361" s="1"/>
      <c r="C361" s="287"/>
      <c r="D361" s="287"/>
      <c r="E361" s="25"/>
      <c r="F361" s="299"/>
      <c r="H361" s="126"/>
      <c r="I361" s="292"/>
      <c r="J361" s="40" t="str">
        <f t="shared" si="10"/>
        <v/>
      </c>
    </row>
    <row r="362" spans="1:10" ht="15" customHeight="1">
      <c r="A362" s="309"/>
      <c r="B362" s="1"/>
      <c r="C362" s="287"/>
      <c r="D362" s="287"/>
      <c r="E362" s="25"/>
      <c r="F362" s="299"/>
      <c r="H362" s="126"/>
      <c r="I362" s="292"/>
      <c r="J362" s="40" t="str">
        <f t="shared" si="10"/>
        <v/>
      </c>
    </row>
    <row r="363" spans="1:10" ht="15" customHeight="1">
      <c r="A363" s="309"/>
      <c r="B363" s="1"/>
      <c r="C363" s="287"/>
      <c r="D363" s="287"/>
      <c r="E363" s="25"/>
      <c r="F363" s="299"/>
      <c r="H363" s="126"/>
      <c r="I363" s="292"/>
      <c r="J363" s="40" t="str">
        <f t="shared" si="10"/>
        <v/>
      </c>
    </row>
    <row r="364" spans="1:10" ht="15" customHeight="1">
      <c r="A364" s="309"/>
      <c r="B364" s="1"/>
      <c r="C364" s="287"/>
      <c r="D364" s="287"/>
      <c r="E364" s="25"/>
      <c r="F364" s="299"/>
      <c r="H364" s="126"/>
      <c r="I364" s="292"/>
      <c r="J364" s="40" t="str">
        <f t="shared" si="10"/>
        <v/>
      </c>
    </row>
    <row r="365" spans="1:10" ht="15" customHeight="1">
      <c r="A365" s="309"/>
      <c r="B365" s="1"/>
      <c r="C365" s="287"/>
      <c r="D365" s="287"/>
      <c r="E365" s="25"/>
      <c r="F365" s="299"/>
      <c r="H365" s="126"/>
      <c r="I365" s="292"/>
      <c r="J365" s="40" t="str">
        <f t="shared" si="10"/>
        <v/>
      </c>
    </row>
    <row r="366" spans="1:10" ht="15" customHeight="1">
      <c r="A366" s="309"/>
      <c r="B366" s="1"/>
      <c r="C366" s="287"/>
      <c r="D366" s="287"/>
      <c r="E366" s="25"/>
      <c r="F366" s="299"/>
      <c r="H366" s="126"/>
      <c r="I366" s="292"/>
      <c r="J366" s="40" t="str">
        <f t="shared" si="10"/>
        <v/>
      </c>
    </row>
    <row r="367" spans="1:10" ht="15" customHeight="1">
      <c r="A367" s="309"/>
      <c r="B367" s="1"/>
      <c r="C367" s="287"/>
      <c r="D367" s="287"/>
      <c r="E367" s="25"/>
      <c r="F367" s="299"/>
      <c r="H367" s="126"/>
      <c r="I367" s="292"/>
      <c r="J367" s="40" t="str">
        <f t="shared" si="10"/>
        <v/>
      </c>
    </row>
    <row r="368" spans="1:10" ht="15" customHeight="1">
      <c r="A368" s="309"/>
      <c r="B368" s="1"/>
      <c r="C368" s="287"/>
      <c r="D368" s="287"/>
      <c r="E368" s="25"/>
      <c r="F368" s="299"/>
      <c r="H368" s="126"/>
      <c r="I368" s="292"/>
      <c r="J368" s="40" t="str">
        <f t="shared" si="10"/>
        <v/>
      </c>
    </row>
    <row r="369" spans="1:10" ht="15" customHeight="1">
      <c r="A369" s="309"/>
      <c r="B369" s="1"/>
      <c r="C369" s="287"/>
      <c r="D369" s="287"/>
      <c r="E369" s="25"/>
      <c r="F369" s="299"/>
      <c r="H369" s="126"/>
      <c r="I369" s="292"/>
      <c r="J369" s="40" t="str">
        <f t="shared" si="10"/>
        <v/>
      </c>
    </row>
    <row r="370" spans="1:10" ht="15" customHeight="1">
      <c r="A370" s="309"/>
      <c r="B370" s="1"/>
      <c r="C370" s="287"/>
      <c r="D370" s="287"/>
      <c r="E370" s="25"/>
      <c r="F370" s="299"/>
      <c r="H370" s="126"/>
      <c r="I370" s="292"/>
      <c r="J370" s="40" t="str">
        <f t="shared" si="10"/>
        <v/>
      </c>
    </row>
    <row r="371" spans="1:10" ht="15" customHeight="1">
      <c r="A371" s="309"/>
      <c r="B371" s="1"/>
      <c r="C371" s="287"/>
      <c r="D371" s="287"/>
      <c r="E371" s="25"/>
      <c r="F371" s="299"/>
      <c r="H371" s="126"/>
      <c r="I371" s="292"/>
      <c r="J371" s="40" t="str">
        <f t="shared" si="10"/>
        <v/>
      </c>
    </row>
    <row r="372" spans="1:10" ht="15" customHeight="1">
      <c r="A372" s="309"/>
      <c r="B372" s="1"/>
      <c r="C372" s="287"/>
      <c r="D372" s="287"/>
      <c r="E372" s="25"/>
      <c r="F372" s="299"/>
      <c r="H372" s="126"/>
      <c r="I372" s="292"/>
      <c r="J372" s="40" t="str">
        <f t="shared" si="10"/>
        <v/>
      </c>
    </row>
    <row r="373" spans="1:10" ht="15" customHeight="1">
      <c r="A373" s="309"/>
      <c r="B373" s="1"/>
      <c r="C373" s="287"/>
      <c r="D373" s="287"/>
      <c r="E373" s="25"/>
      <c r="F373" s="299"/>
      <c r="H373" s="126"/>
      <c r="I373" s="292"/>
      <c r="J373" s="40" t="str">
        <f t="shared" si="10"/>
        <v/>
      </c>
    </row>
    <row r="374" spans="1:10" ht="15" customHeight="1">
      <c r="A374" s="309"/>
      <c r="B374" s="1"/>
      <c r="C374" s="287"/>
      <c r="D374" s="287"/>
      <c r="E374" s="25"/>
      <c r="F374" s="299"/>
      <c r="H374" s="126"/>
      <c r="I374" s="292"/>
      <c r="J374" s="40" t="str">
        <f t="shared" si="10"/>
        <v/>
      </c>
    </row>
    <row r="375" spans="1:10" ht="15" customHeight="1">
      <c r="A375" s="309"/>
      <c r="B375" s="1"/>
      <c r="C375" s="287"/>
      <c r="D375" s="287"/>
      <c r="E375" s="25"/>
      <c r="F375" s="299"/>
      <c r="H375" s="126"/>
      <c r="I375" s="292"/>
      <c r="J375" s="40" t="str">
        <f t="shared" si="10"/>
        <v/>
      </c>
    </row>
    <row r="376" spans="1:10" ht="15" customHeight="1">
      <c r="A376" s="309"/>
      <c r="B376" s="1"/>
      <c r="C376" s="287"/>
      <c r="D376" s="287"/>
      <c r="E376" s="25"/>
      <c r="F376" s="299"/>
      <c r="H376" s="126"/>
      <c r="I376" s="292"/>
      <c r="J376" s="40" t="str">
        <f t="shared" ref="J376:J439" si="11">IF(E376=0,"",$J$20)</f>
        <v/>
      </c>
    </row>
    <row r="377" spans="1:10" ht="15" customHeight="1">
      <c r="A377" s="309"/>
      <c r="B377" s="1"/>
      <c r="C377" s="287"/>
      <c r="D377" s="287"/>
      <c r="E377" s="25"/>
      <c r="F377" s="299"/>
      <c r="H377" s="126"/>
      <c r="I377" s="292"/>
      <c r="J377" s="40" t="str">
        <f t="shared" si="11"/>
        <v/>
      </c>
    </row>
    <row r="378" spans="1:10" ht="15" customHeight="1">
      <c r="A378" s="309"/>
      <c r="B378" s="1"/>
      <c r="C378" s="287"/>
      <c r="D378" s="287"/>
      <c r="E378" s="25"/>
      <c r="F378" s="299"/>
      <c r="H378" s="126"/>
      <c r="I378" s="292"/>
      <c r="J378" s="40" t="str">
        <f t="shared" si="11"/>
        <v/>
      </c>
    </row>
    <row r="379" spans="1:10" ht="15" customHeight="1">
      <c r="A379" s="309"/>
      <c r="B379" s="1"/>
      <c r="C379" s="287"/>
      <c r="D379" s="287"/>
      <c r="E379" s="25"/>
      <c r="F379" s="299"/>
      <c r="H379" s="126"/>
      <c r="I379" s="292"/>
      <c r="J379" s="40" t="str">
        <f t="shared" si="11"/>
        <v/>
      </c>
    </row>
    <row r="380" spans="1:10" ht="15" customHeight="1">
      <c r="A380" s="309"/>
      <c r="B380" s="1"/>
      <c r="C380" s="287"/>
      <c r="D380" s="287"/>
      <c r="E380" s="25"/>
      <c r="F380" s="299"/>
      <c r="H380" s="126"/>
      <c r="I380" s="292"/>
      <c r="J380" s="40" t="str">
        <f t="shared" si="11"/>
        <v/>
      </c>
    </row>
    <row r="381" spans="1:10" ht="15" customHeight="1">
      <c r="A381" s="309"/>
      <c r="B381" s="1"/>
      <c r="C381" s="287"/>
      <c r="D381" s="287"/>
      <c r="E381" s="25"/>
      <c r="F381" s="299"/>
      <c r="H381" s="126"/>
      <c r="I381" s="292"/>
      <c r="J381" s="40" t="str">
        <f t="shared" si="11"/>
        <v/>
      </c>
    </row>
    <row r="382" spans="1:10" ht="15" customHeight="1">
      <c r="A382" s="309"/>
      <c r="B382" s="1"/>
      <c r="C382" s="287"/>
      <c r="D382" s="287"/>
      <c r="E382" s="25"/>
      <c r="F382" s="299"/>
      <c r="H382" s="126"/>
      <c r="I382" s="292"/>
      <c r="J382" s="40" t="str">
        <f t="shared" si="11"/>
        <v/>
      </c>
    </row>
    <row r="383" spans="1:10" ht="15" customHeight="1">
      <c r="A383" s="309"/>
      <c r="B383" s="1"/>
      <c r="C383" s="287"/>
      <c r="D383" s="287"/>
      <c r="E383" s="25"/>
      <c r="F383" s="299"/>
      <c r="H383" s="126"/>
      <c r="I383" s="292"/>
      <c r="J383" s="40" t="str">
        <f t="shared" si="11"/>
        <v/>
      </c>
    </row>
    <row r="384" spans="1:10" ht="15" customHeight="1">
      <c r="A384" s="309"/>
      <c r="B384" s="1"/>
      <c r="C384" s="287"/>
      <c r="D384" s="287"/>
      <c r="E384" s="25"/>
      <c r="F384" s="299"/>
      <c r="H384" s="126"/>
      <c r="I384" s="292"/>
      <c r="J384" s="40" t="str">
        <f t="shared" si="11"/>
        <v/>
      </c>
    </row>
    <row r="385" spans="1:10" ht="15" customHeight="1">
      <c r="A385" s="309"/>
      <c r="B385" s="1"/>
      <c r="C385" s="287"/>
      <c r="D385" s="287"/>
      <c r="E385" s="25"/>
      <c r="F385" s="299"/>
      <c r="H385" s="126"/>
      <c r="I385" s="292"/>
      <c r="J385" s="40" t="str">
        <f t="shared" si="11"/>
        <v/>
      </c>
    </row>
    <row r="386" spans="1:10" ht="15" customHeight="1">
      <c r="A386" s="309"/>
      <c r="B386" s="1"/>
      <c r="C386" s="287"/>
      <c r="D386" s="287"/>
      <c r="E386" s="25"/>
      <c r="F386" s="299"/>
      <c r="H386" s="126"/>
      <c r="I386" s="292"/>
      <c r="J386" s="40" t="str">
        <f t="shared" si="11"/>
        <v/>
      </c>
    </row>
    <row r="387" spans="1:10" ht="15" customHeight="1">
      <c r="A387" s="309"/>
      <c r="B387" s="1"/>
      <c r="C387" s="287"/>
      <c r="D387" s="287"/>
      <c r="E387" s="25"/>
      <c r="F387" s="299"/>
      <c r="H387" s="126"/>
      <c r="I387" s="292"/>
      <c r="J387" s="40" t="str">
        <f t="shared" si="11"/>
        <v/>
      </c>
    </row>
    <row r="388" spans="1:10" ht="15" customHeight="1">
      <c r="A388" s="309"/>
      <c r="B388" s="1"/>
      <c r="C388" s="287"/>
      <c r="D388" s="287"/>
      <c r="E388" s="25"/>
      <c r="F388" s="299"/>
      <c r="H388" s="126"/>
      <c r="I388" s="292"/>
      <c r="J388" s="40" t="str">
        <f t="shared" si="11"/>
        <v/>
      </c>
    </row>
    <row r="389" spans="1:10" ht="15" customHeight="1">
      <c r="A389" s="309"/>
      <c r="B389" s="1"/>
      <c r="C389" s="287"/>
      <c r="D389" s="287"/>
      <c r="E389" s="25"/>
      <c r="F389" s="299"/>
      <c r="H389" s="126"/>
      <c r="I389" s="292"/>
      <c r="J389" s="40" t="str">
        <f t="shared" si="11"/>
        <v/>
      </c>
    </row>
    <row r="390" spans="1:10" ht="15" customHeight="1">
      <c r="A390" s="309"/>
      <c r="B390" s="1"/>
      <c r="C390" s="287"/>
      <c r="D390" s="287"/>
      <c r="E390" s="25"/>
      <c r="F390" s="299"/>
      <c r="H390" s="126"/>
      <c r="I390" s="292"/>
      <c r="J390" s="40" t="str">
        <f t="shared" si="11"/>
        <v/>
      </c>
    </row>
    <row r="391" spans="1:10" ht="15" customHeight="1">
      <c r="A391" s="309"/>
      <c r="B391" s="1"/>
      <c r="C391" s="287"/>
      <c r="D391" s="287"/>
      <c r="E391" s="25"/>
      <c r="F391" s="299"/>
      <c r="H391" s="126"/>
      <c r="I391" s="292"/>
      <c r="J391" s="40" t="str">
        <f t="shared" si="11"/>
        <v/>
      </c>
    </row>
    <row r="392" spans="1:10" ht="15" customHeight="1">
      <c r="A392" s="309"/>
      <c r="B392" s="1"/>
      <c r="C392" s="287"/>
      <c r="D392" s="287"/>
      <c r="E392" s="25"/>
      <c r="F392" s="299"/>
      <c r="H392" s="126"/>
      <c r="I392" s="292"/>
      <c r="J392" s="40" t="str">
        <f t="shared" si="11"/>
        <v/>
      </c>
    </row>
    <row r="393" spans="1:10" ht="15" customHeight="1">
      <c r="A393" s="309"/>
      <c r="B393" s="1"/>
      <c r="C393" s="287"/>
      <c r="D393" s="287"/>
      <c r="E393" s="25"/>
      <c r="F393" s="299"/>
      <c r="H393" s="126"/>
      <c r="I393" s="292"/>
      <c r="J393" s="40" t="str">
        <f t="shared" si="11"/>
        <v/>
      </c>
    </row>
    <row r="394" spans="1:10" ht="15" customHeight="1">
      <c r="A394" s="309"/>
      <c r="B394" s="1"/>
      <c r="C394" s="287"/>
      <c r="D394" s="287"/>
      <c r="E394" s="25"/>
      <c r="F394" s="299"/>
      <c r="H394" s="126"/>
      <c r="I394" s="292"/>
      <c r="J394" s="40" t="str">
        <f t="shared" si="11"/>
        <v/>
      </c>
    </row>
    <row r="395" spans="1:10" ht="15" customHeight="1">
      <c r="A395" s="309"/>
      <c r="B395" s="1"/>
      <c r="C395" s="287"/>
      <c r="D395" s="287"/>
      <c r="E395" s="25"/>
      <c r="F395" s="299"/>
      <c r="H395" s="126"/>
      <c r="I395" s="292"/>
      <c r="J395" s="40" t="str">
        <f t="shared" si="11"/>
        <v/>
      </c>
    </row>
    <row r="396" spans="1:10" ht="15" customHeight="1">
      <c r="A396" s="309"/>
      <c r="B396" s="1"/>
      <c r="C396" s="287"/>
      <c r="D396" s="287"/>
      <c r="E396" s="25"/>
      <c r="F396" s="299"/>
      <c r="H396" s="126"/>
      <c r="I396" s="292"/>
      <c r="J396" s="40" t="str">
        <f t="shared" si="11"/>
        <v/>
      </c>
    </row>
    <row r="397" spans="1:10" ht="15" customHeight="1">
      <c r="A397" s="309"/>
      <c r="B397" s="1"/>
      <c r="C397" s="287"/>
      <c r="D397" s="287"/>
      <c r="E397" s="25"/>
      <c r="F397" s="299"/>
      <c r="H397" s="126"/>
      <c r="I397" s="292"/>
      <c r="J397" s="40" t="str">
        <f t="shared" si="11"/>
        <v/>
      </c>
    </row>
    <row r="398" spans="1:10" ht="15" customHeight="1">
      <c r="A398" s="309"/>
      <c r="B398" s="1"/>
      <c r="C398" s="287"/>
      <c r="D398" s="287"/>
      <c r="E398" s="25"/>
      <c r="F398" s="299"/>
      <c r="H398" s="126"/>
      <c r="I398" s="292"/>
      <c r="J398" s="40" t="str">
        <f t="shared" si="11"/>
        <v/>
      </c>
    </row>
    <row r="399" spans="1:10" ht="15" customHeight="1">
      <c r="A399" s="309"/>
      <c r="B399" s="1"/>
      <c r="C399" s="287"/>
      <c r="D399" s="287"/>
      <c r="E399" s="25"/>
      <c r="F399" s="299"/>
      <c r="H399" s="126"/>
      <c r="I399" s="292"/>
      <c r="J399" s="40" t="str">
        <f t="shared" si="11"/>
        <v/>
      </c>
    </row>
    <row r="400" spans="1:10" ht="15" customHeight="1">
      <c r="A400" s="309"/>
      <c r="B400" s="1"/>
      <c r="C400" s="287"/>
      <c r="D400" s="287"/>
      <c r="E400" s="25"/>
      <c r="F400" s="299"/>
      <c r="H400" s="126"/>
      <c r="I400" s="292"/>
      <c r="J400" s="40" t="str">
        <f t="shared" si="11"/>
        <v/>
      </c>
    </row>
    <row r="401" spans="1:10" ht="15" customHeight="1">
      <c r="A401" s="309"/>
      <c r="B401" s="1"/>
      <c r="C401" s="287"/>
      <c r="D401" s="287"/>
      <c r="E401" s="25"/>
      <c r="F401" s="299"/>
      <c r="H401" s="126"/>
      <c r="I401" s="292"/>
      <c r="J401" s="40" t="str">
        <f t="shared" si="11"/>
        <v/>
      </c>
    </row>
    <row r="402" spans="1:10" ht="15" customHeight="1">
      <c r="A402" s="309"/>
      <c r="B402" s="1"/>
      <c r="C402" s="287"/>
      <c r="D402" s="287"/>
      <c r="E402" s="25"/>
      <c r="F402" s="299"/>
      <c r="H402" s="126"/>
      <c r="I402" s="292"/>
      <c r="J402" s="40" t="str">
        <f t="shared" si="11"/>
        <v/>
      </c>
    </row>
    <row r="403" spans="1:10" ht="15" customHeight="1">
      <c r="A403" s="309"/>
      <c r="B403" s="1"/>
      <c r="C403" s="287"/>
      <c r="D403" s="287"/>
      <c r="E403" s="25"/>
      <c r="F403" s="299"/>
      <c r="H403" s="126"/>
      <c r="I403" s="292"/>
      <c r="J403" s="40" t="str">
        <f t="shared" si="11"/>
        <v/>
      </c>
    </row>
    <row r="404" spans="1:10" ht="15" customHeight="1">
      <c r="A404" s="309"/>
      <c r="B404" s="1"/>
      <c r="C404" s="287"/>
      <c r="D404" s="287"/>
      <c r="E404" s="25"/>
      <c r="F404" s="299"/>
      <c r="H404" s="126"/>
      <c r="I404" s="292"/>
      <c r="J404" s="40" t="str">
        <f t="shared" si="11"/>
        <v/>
      </c>
    </row>
    <row r="405" spans="1:10" ht="15" customHeight="1">
      <c r="A405" s="309"/>
      <c r="B405" s="1"/>
      <c r="C405" s="287"/>
      <c r="D405" s="287"/>
      <c r="E405" s="25"/>
      <c r="F405" s="299"/>
      <c r="H405" s="126"/>
      <c r="I405" s="292"/>
      <c r="J405" s="40" t="str">
        <f t="shared" si="11"/>
        <v/>
      </c>
    </row>
    <row r="406" spans="1:10" ht="15" customHeight="1">
      <c r="A406" s="309"/>
      <c r="B406" s="1"/>
      <c r="C406" s="287"/>
      <c r="D406" s="287"/>
      <c r="E406" s="25"/>
      <c r="F406" s="299"/>
      <c r="H406" s="126"/>
      <c r="I406" s="292"/>
      <c r="J406" s="40" t="str">
        <f t="shared" si="11"/>
        <v/>
      </c>
    </row>
    <row r="407" spans="1:10" ht="15" customHeight="1">
      <c r="A407" s="309"/>
      <c r="B407" s="1"/>
      <c r="C407" s="287"/>
      <c r="D407" s="287"/>
      <c r="E407" s="25"/>
      <c r="F407" s="299"/>
      <c r="H407" s="126"/>
      <c r="I407" s="292"/>
      <c r="J407" s="40" t="str">
        <f t="shared" si="11"/>
        <v/>
      </c>
    </row>
    <row r="408" spans="1:10" ht="15" customHeight="1">
      <c r="A408" s="309"/>
      <c r="B408" s="1"/>
      <c r="C408" s="287"/>
      <c r="D408" s="287"/>
      <c r="E408" s="25"/>
      <c r="F408" s="299"/>
      <c r="H408" s="126"/>
      <c r="I408" s="292"/>
      <c r="J408" s="40" t="str">
        <f t="shared" si="11"/>
        <v/>
      </c>
    </row>
    <row r="409" spans="1:10" ht="15" customHeight="1">
      <c r="A409" s="309"/>
      <c r="B409" s="1"/>
      <c r="C409" s="287"/>
      <c r="D409" s="287"/>
      <c r="E409" s="25"/>
      <c r="F409" s="299"/>
      <c r="H409" s="126"/>
      <c r="I409" s="292"/>
      <c r="J409" s="40" t="str">
        <f t="shared" si="11"/>
        <v/>
      </c>
    </row>
    <row r="410" spans="1:10" ht="15" customHeight="1">
      <c r="A410" s="309"/>
      <c r="B410" s="1"/>
      <c r="C410" s="287"/>
      <c r="D410" s="287"/>
      <c r="E410" s="25"/>
      <c r="F410" s="299"/>
      <c r="H410" s="126"/>
      <c r="I410" s="292"/>
      <c r="J410" s="40" t="str">
        <f t="shared" si="11"/>
        <v/>
      </c>
    </row>
    <row r="411" spans="1:10" ht="15" customHeight="1">
      <c r="A411" s="309"/>
      <c r="B411" s="1"/>
      <c r="C411" s="287"/>
      <c r="D411" s="287"/>
      <c r="E411" s="25"/>
      <c r="F411" s="299"/>
      <c r="H411" s="126"/>
      <c r="I411" s="292"/>
      <c r="J411" s="40" t="str">
        <f t="shared" si="11"/>
        <v/>
      </c>
    </row>
    <row r="412" spans="1:10" ht="15" customHeight="1">
      <c r="A412" s="309"/>
      <c r="B412" s="1"/>
      <c r="C412" s="287"/>
      <c r="D412" s="287"/>
      <c r="E412" s="25"/>
      <c r="F412" s="299"/>
      <c r="H412" s="126"/>
      <c r="I412" s="292"/>
      <c r="J412" s="40" t="str">
        <f t="shared" si="11"/>
        <v/>
      </c>
    </row>
    <row r="413" spans="1:10" ht="15" customHeight="1">
      <c r="A413" s="309"/>
      <c r="B413" s="1"/>
      <c r="C413" s="287"/>
      <c r="D413" s="287"/>
      <c r="E413" s="25"/>
      <c r="F413" s="299"/>
      <c r="H413" s="126"/>
      <c r="I413" s="292"/>
      <c r="J413" s="40" t="str">
        <f t="shared" si="11"/>
        <v/>
      </c>
    </row>
    <row r="414" spans="1:10" ht="15" customHeight="1">
      <c r="A414" s="309"/>
      <c r="B414" s="1"/>
      <c r="C414" s="287"/>
      <c r="D414" s="287"/>
      <c r="E414" s="25"/>
      <c r="F414" s="299"/>
      <c r="H414" s="126"/>
      <c r="I414" s="292"/>
      <c r="J414" s="40" t="str">
        <f t="shared" si="11"/>
        <v/>
      </c>
    </row>
    <row r="415" spans="1:10" ht="15" customHeight="1">
      <c r="A415" s="309"/>
      <c r="B415" s="1"/>
      <c r="C415" s="287"/>
      <c r="D415" s="287"/>
      <c r="E415" s="25"/>
      <c r="F415" s="299"/>
      <c r="H415" s="126"/>
      <c r="I415" s="292"/>
      <c r="J415" s="40" t="str">
        <f t="shared" si="11"/>
        <v/>
      </c>
    </row>
    <row r="416" spans="1:10" ht="15" customHeight="1">
      <c r="A416" s="309"/>
      <c r="B416" s="1"/>
      <c r="C416" s="287"/>
      <c r="D416" s="287"/>
      <c r="E416" s="25"/>
      <c r="F416" s="299"/>
      <c r="H416" s="126"/>
      <c r="I416" s="292"/>
      <c r="J416" s="40" t="str">
        <f t="shared" si="11"/>
        <v/>
      </c>
    </row>
    <row r="417" spans="1:10" ht="15" customHeight="1">
      <c r="A417" s="309"/>
      <c r="B417" s="1"/>
      <c r="C417" s="287"/>
      <c r="D417" s="287"/>
      <c r="E417" s="25"/>
      <c r="F417" s="299"/>
      <c r="H417" s="126"/>
      <c r="I417" s="292"/>
      <c r="J417" s="40" t="str">
        <f t="shared" si="11"/>
        <v/>
      </c>
    </row>
    <row r="418" spans="1:10" ht="15" customHeight="1">
      <c r="A418" s="309"/>
      <c r="B418" s="1"/>
      <c r="C418" s="287"/>
      <c r="D418" s="287"/>
      <c r="E418" s="25"/>
      <c r="F418" s="299"/>
      <c r="H418" s="126"/>
      <c r="I418" s="292"/>
      <c r="J418" s="40" t="str">
        <f t="shared" si="11"/>
        <v/>
      </c>
    </row>
    <row r="419" spans="1:10" ht="15" customHeight="1">
      <c r="A419" s="309"/>
      <c r="B419" s="1"/>
      <c r="C419" s="287"/>
      <c r="D419" s="287"/>
      <c r="E419" s="25"/>
      <c r="F419" s="299"/>
      <c r="H419" s="126"/>
      <c r="I419" s="292"/>
      <c r="J419" s="40" t="str">
        <f t="shared" si="11"/>
        <v/>
      </c>
    </row>
    <row r="420" spans="1:10" ht="15" customHeight="1">
      <c r="A420" s="309"/>
      <c r="B420" s="1"/>
      <c r="C420" s="287"/>
      <c r="D420" s="287"/>
      <c r="E420" s="25"/>
      <c r="F420" s="299"/>
      <c r="H420" s="126"/>
      <c r="I420" s="292"/>
      <c r="J420" s="40" t="str">
        <f t="shared" si="11"/>
        <v/>
      </c>
    </row>
    <row r="421" spans="1:10" ht="15" customHeight="1">
      <c r="A421" s="309"/>
      <c r="B421" s="1"/>
      <c r="C421" s="287"/>
      <c r="D421" s="287"/>
      <c r="E421" s="25"/>
      <c r="F421" s="299"/>
      <c r="H421" s="126"/>
      <c r="I421" s="292"/>
      <c r="J421" s="40" t="str">
        <f t="shared" si="11"/>
        <v/>
      </c>
    </row>
    <row r="422" spans="1:10" ht="15" customHeight="1">
      <c r="A422" s="309"/>
      <c r="B422" s="1"/>
      <c r="C422" s="287"/>
      <c r="D422" s="287"/>
      <c r="E422" s="25"/>
      <c r="F422" s="299"/>
      <c r="H422" s="126"/>
      <c r="I422" s="292"/>
      <c r="J422" s="40" t="str">
        <f t="shared" si="11"/>
        <v/>
      </c>
    </row>
    <row r="423" spans="1:10" ht="15" customHeight="1">
      <c r="A423" s="309"/>
      <c r="B423" s="1"/>
      <c r="C423" s="287"/>
      <c r="D423" s="287"/>
      <c r="E423" s="25"/>
      <c r="F423" s="299"/>
      <c r="H423" s="126"/>
      <c r="I423" s="292"/>
      <c r="J423" s="40" t="str">
        <f t="shared" si="11"/>
        <v/>
      </c>
    </row>
    <row r="424" spans="1:10" ht="15" customHeight="1">
      <c r="A424" s="309"/>
      <c r="B424" s="1"/>
      <c r="C424" s="287"/>
      <c r="D424" s="287"/>
      <c r="E424" s="25"/>
      <c r="F424" s="299"/>
      <c r="H424" s="126"/>
      <c r="I424" s="292"/>
      <c r="J424" s="40" t="str">
        <f t="shared" si="11"/>
        <v/>
      </c>
    </row>
    <row r="425" spans="1:10" ht="15" customHeight="1">
      <c r="A425" s="309"/>
      <c r="B425" s="1"/>
      <c r="C425" s="287"/>
      <c r="D425" s="287"/>
      <c r="E425" s="25"/>
      <c r="F425" s="299"/>
      <c r="H425" s="126"/>
      <c r="I425" s="292"/>
      <c r="J425" s="40" t="str">
        <f t="shared" si="11"/>
        <v/>
      </c>
    </row>
    <row r="426" spans="1:10" ht="15" customHeight="1">
      <c r="A426" s="309"/>
      <c r="B426" s="1"/>
      <c r="C426" s="287"/>
      <c r="D426" s="287"/>
      <c r="E426" s="25"/>
      <c r="F426" s="299"/>
      <c r="H426" s="126"/>
      <c r="I426" s="292"/>
      <c r="J426" s="40" t="str">
        <f t="shared" si="11"/>
        <v/>
      </c>
    </row>
    <row r="427" spans="1:10" ht="15" customHeight="1">
      <c r="A427" s="309"/>
      <c r="B427" s="1"/>
      <c r="C427" s="287"/>
      <c r="D427" s="287"/>
      <c r="E427" s="25"/>
      <c r="F427" s="299"/>
      <c r="H427" s="126"/>
      <c r="I427" s="292"/>
      <c r="J427" s="40" t="str">
        <f t="shared" si="11"/>
        <v/>
      </c>
    </row>
    <row r="428" spans="1:10" ht="15" customHeight="1">
      <c r="A428" s="309"/>
      <c r="B428" s="1"/>
      <c r="C428" s="287"/>
      <c r="D428" s="287"/>
      <c r="E428" s="25"/>
      <c r="F428" s="299"/>
      <c r="H428" s="126"/>
      <c r="I428" s="292"/>
      <c r="J428" s="40" t="str">
        <f t="shared" si="11"/>
        <v/>
      </c>
    </row>
    <row r="429" spans="1:10" ht="15" customHeight="1">
      <c r="A429" s="309"/>
      <c r="B429" s="1"/>
      <c r="C429" s="287"/>
      <c r="D429" s="287"/>
      <c r="E429" s="25"/>
      <c r="F429" s="299"/>
      <c r="H429" s="126"/>
      <c r="I429" s="292"/>
      <c r="J429" s="40" t="str">
        <f t="shared" si="11"/>
        <v/>
      </c>
    </row>
    <row r="430" spans="1:10" ht="15" customHeight="1">
      <c r="A430" s="309"/>
      <c r="B430" s="1"/>
      <c r="C430" s="287"/>
      <c r="D430" s="287"/>
      <c r="E430" s="25"/>
      <c r="F430" s="299"/>
      <c r="H430" s="126"/>
      <c r="I430" s="292"/>
      <c r="J430" s="40" t="str">
        <f t="shared" si="11"/>
        <v/>
      </c>
    </row>
    <row r="431" spans="1:10" ht="15" customHeight="1">
      <c r="A431" s="309"/>
      <c r="B431" s="1"/>
      <c r="C431" s="287"/>
      <c r="D431" s="287"/>
      <c r="E431" s="25"/>
      <c r="F431" s="299"/>
      <c r="H431" s="126"/>
      <c r="I431" s="292"/>
      <c r="J431" s="40" t="str">
        <f t="shared" si="11"/>
        <v/>
      </c>
    </row>
    <row r="432" spans="1:10" ht="15" customHeight="1">
      <c r="A432" s="309"/>
      <c r="B432" s="1"/>
      <c r="C432" s="287"/>
      <c r="D432" s="287"/>
      <c r="E432" s="25"/>
      <c r="F432" s="299"/>
      <c r="H432" s="126"/>
      <c r="I432" s="292"/>
      <c r="J432" s="40" t="str">
        <f t="shared" si="11"/>
        <v/>
      </c>
    </row>
    <row r="433" spans="1:10" ht="15" customHeight="1">
      <c r="A433" s="309"/>
      <c r="B433" s="1"/>
      <c r="C433" s="287"/>
      <c r="D433" s="287"/>
      <c r="E433" s="25"/>
      <c r="F433" s="299"/>
      <c r="H433" s="126"/>
      <c r="I433" s="292"/>
      <c r="J433" s="40" t="str">
        <f t="shared" si="11"/>
        <v/>
      </c>
    </row>
    <row r="434" spans="1:10" ht="15" customHeight="1">
      <c r="A434" s="309"/>
      <c r="B434" s="1"/>
      <c r="C434" s="287"/>
      <c r="D434" s="287"/>
      <c r="E434" s="25"/>
      <c r="F434" s="299"/>
      <c r="H434" s="126"/>
      <c r="I434" s="292"/>
      <c r="J434" s="40" t="str">
        <f t="shared" si="11"/>
        <v/>
      </c>
    </row>
    <row r="435" spans="1:10" ht="15" customHeight="1">
      <c r="A435" s="309"/>
      <c r="B435" s="1"/>
      <c r="C435" s="287"/>
      <c r="D435" s="287"/>
      <c r="E435" s="25"/>
      <c r="F435" s="299"/>
      <c r="H435" s="126"/>
      <c r="I435" s="292"/>
      <c r="J435" s="40" t="str">
        <f t="shared" si="11"/>
        <v/>
      </c>
    </row>
    <row r="436" spans="1:10" ht="15" customHeight="1">
      <c r="A436" s="309"/>
      <c r="B436" s="1"/>
      <c r="C436" s="287"/>
      <c r="D436" s="287"/>
      <c r="E436" s="25"/>
      <c r="F436" s="299"/>
      <c r="H436" s="126"/>
      <c r="I436" s="292"/>
      <c r="J436" s="40" t="str">
        <f t="shared" si="11"/>
        <v/>
      </c>
    </row>
    <row r="437" spans="1:10" ht="15" customHeight="1">
      <c r="A437" s="309"/>
      <c r="B437" s="1"/>
      <c r="C437" s="287"/>
      <c r="D437" s="287"/>
      <c r="E437" s="25"/>
      <c r="F437" s="299"/>
      <c r="H437" s="126"/>
      <c r="I437" s="292"/>
      <c r="J437" s="40" t="str">
        <f t="shared" si="11"/>
        <v/>
      </c>
    </row>
    <row r="438" spans="1:10" ht="15" customHeight="1">
      <c r="A438" s="309"/>
      <c r="B438" s="1"/>
      <c r="C438" s="287"/>
      <c r="D438" s="287"/>
      <c r="E438" s="25"/>
      <c r="F438" s="299"/>
      <c r="H438" s="126"/>
      <c r="I438" s="292"/>
      <c r="J438" s="40" t="str">
        <f t="shared" si="11"/>
        <v/>
      </c>
    </row>
    <row r="439" spans="1:10" ht="15" customHeight="1">
      <c r="A439" s="309"/>
      <c r="B439" s="1"/>
      <c r="C439" s="287"/>
      <c r="D439" s="287"/>
      <c r="E439" s="25"/>
      <c r="F439" s="299"/>
      <c r="H439" s="126"/>
      <c r="I439" s="292"/>
      <c r="J439" s="40" t="str">
        <f t="shared" si="11"/>
        <v/>
      </c>
    </row>
    <row r="440" spans="1:10" ht="15" customHeight="1">
      <c r="A440" s="309"/>
      <c r="B440" s="1"/>
      <c r="C440" s="287"/>
      <c r="D440" s="287"/>
      <c r="E440" s="25"/>
      <c r="F440" s="299"/>
      <c r="H440" s="126"/>
      <c r="I440" s="292"/>
      <c r="J440" s="40" t="str">
        <f t="shared" ref="J440:J503" si="12">IF(E440=0,"",$J$20)</f>
        <v/>
      </c>
    </row>
    <row r="441" spans="1:10" ht="15" customHeight="1">
      <c r="A441" s="309"/>
      <c r="B441" s="1"/>
      <c r="C441" s="287"/>
      <c r="D441" s="287"/>
      <c r="E441" s="25"/>
      <c r="F441" s="299"/>
      <c r="H441" s="126"/>
      <c r="I441" s="292"/>
      <c r="J441" s="40" t="str">
        <f t="shared" si="12"/>
        <v/>
      </c>
    </row>
    <row r="442" spans="1:10" ht="15" customHeight="1">
      <c r="A442" s="309"/>
      <c r="B442" s="1"/>
      <c r="C442" s="287"/>
      <c r="D442" s="287"/>
      <c r="E442" s="25"/>
      <c r="F442" s="299"/>
      <c r="H442" s="126"/>
      <c r="I442" s="292"/>
      <c r="J442" s="40" t="str">
        <f t="shared" si="12"/>
        <v/>
      </c>
    </row>
    <row r="443" spans="1:10" ht="15" customHeight="1">
      <c r="A443" s="309"/>
      <c r="B443" s="1"/>
      <c r="C443" s="287"/>
      <c r="D443" s="287"/>
      <c r="E443" s="25"/>
      <c r="F443" s="299"/>
      <c r="H443" s="126"/>
      <c r="I443" s="292"/>
      <c r="J443" s="40" t="str">
        <f t="shared" si="12"/>
        <v/>
      </c>
    </row>
    <row r="444" spans="1:10" ht="15" customHeight="1">
      <c r="A444" s="309"/>
      <c r="B444" s="1"/>
      <c r="C444" s="287"/>
      <c r="D444" s="287"/>
      <c r="E444" s="25"/>
      <c r="F444" s="299"/>
      <c r="H444" s="126"/>
      <c r="I444" s="292"/>
      <c r="J444" s="40" t="str">
        <f t="shared" si="12"/>
        <v/>
      </c>
    </row>
    <row r="445" spans="1:10" ht="15" customHeight="1">
      <c r="A445" s="309"/>
      <c r="B445" s="1"/>
      <c r="C445" s="287"/>
      <c r="D445" s="287"/>
      <c r="E445" s="25"/>
      <c r="F445" s="299"/>
      <c r="H445" s="126"/>
      <c r="I445" s="292"/>
      <c r="J445" s="40" t="str">
        <f t="shared" si="12"/>
        <v/>
      </c>
    </row>
    <row r="446" spans="1:10" ht="15" customHeight="1">
      <c r="A446" s="309"/>
      <c r="B446" s="1"/>
      <c r="C446" s="287"/>
      <c r="D446" s="287"/>
      <c r="E446" s="25"/>
      <c r="F446" s="299"/>
      <c r="H446" s="126"/>
      <c r="I446" s="292"/>
      <c r="J446" s="40" t="str">
        <f t="shared" si="12"/>
        <v/>
      </c>
    </row>
    <row r="447" spans="1:10" ht="15" customHeight="1">
      <c r="A447" s="309"/>
      <c r="B447" s="1"/>
      <c r="C447" s="287"/>
      <c r="D447" s="287"/>
      <c r="E447" s="25"/>
      <c r="F447" s="299"/>
      <c r="H447" s="126"/>
      <c r="I447" s="292"/>
      <c r="J447" s="40" t="str">
        <f t="shared" si="12"/>
        <v/>
      </c>
    </row>
    <row r="448" spans="1:10" ht="15" customHeight="1">
      <c r="A448" s="309"/>
      <c r="B448" s="1"/>
      <c r="C448" s="287"/>
      <c r="D448" s="287"/>
      <c r="E448" s="25"/>
      <c r="F448" s="299"/>
      <c r="H448" s="126"/>
      <c r="I448" s="292"/>
      <c r="J448" s="40" t="str">
        <f t="shared" si="12"/>
        <v/>
      </c>
    </row>
    <row r="449" spans="1:10" ht="15" customHeight="1">
      <c r="A449" s="309"/>
      <c r="B449" s="1"/>
      <c r="C449" s="287"/>
      <c r="D449" s="287"/>
      <c r="E449" s="25"/>
      <c r="F449" s="299"/>
      <c r="H449" s="126"/>
      <c r="I449" s="292"/>
      <c r="J449" s="40" t="str">
        <f t="shared" si="12"/>
        <v/>
      </c>
    </row>
    <row r="450" spans="1:10" ht="15" customHeight="1">
      <c r="A450" s="309"/>
      <c r="B450" s="1"/>
      <c r="C450" s="287"/>
      <c r="D450" s="287"/>
      <c r="E450" s="25"/>
      <c r="F450" s="299"/>
      <c r="H450" s="126"/>
      <c r="I450" s="292"/>
      <c r="J450" s="40" t="str">
        <f t="shared" si="12"/>
        <v/>
      </c>
    </row>
    <row r="451" spans="1:10" ht="15" customHeight="1">
      <c r="A451" s="309"/>
      <c r="B451" s="1"/>
      <c r="C451" s="287"/>
      <c r="D451" s="287"/>
      <c r="E451" s="25"/>
      <c r="F451" s="299"/>
      <c r="H451" s="126"/>
      <c r="I451" s="292"/>
      <c r="J451" s="40" t="str">
        <f t="shared" si="12"/>
        <v/>
      </c>
    </row>
    <row r="452" spans="1:10" ht="15" customHeight="1">
      <c r="A452" s="309"/>
      <c r="B452" s="1"/>
      <c r="C452" s="287"/>
      <c r="D452" s="287"/>
      <c r="E452" s="25"/>
      <c r="F452" s="299"/>
      <c r="H452" s="126"/>
      <c r="I452" s="292"/>
      <c r="J452" s="40" t="str">
        <f t="shared" si="12"/>
        <v/>
      </c>
    </row>
    <row r="453" spans="1:10" ht="15" customHeight="1">
      <c r="A453" s="309"/>
      <c r="B453" s="1"/>
      <c r="C453" s="287"/>
      <c r="D453" s="287"/>
      <c r="E453" s="25"/>
      <c r="F453" s="299"/>
      <c r="H453" s="126"/>
      <c r="I453" s="292"/>
      <c r="J453" s="40" t="str">
        <f t="shared" si="12"/>
        <v/>
      </c>
    </row>
    <row r="454" spans="1:10" ht="15" customHeight="1">
      <c r="A454" s="309"/>
      <c r="B454" s="1"/>
      <c r="C454" s="287"/>
      <c r="D454" s="287"/>
      <c r="E454" s="25"/>
      <c r="F454" s="299"/>
      <c r="H454" s="126"/>
      <c r="I454" s="292"/>
      <c r="J454" s="40" t="str">
        <f t="shared" si="12"/>
        <v/>
      </c>
    </row>
    <row r="455" spans="1:10" ht="15" customHeight="1">
      <c r="A455" s="309"/>
      <c r="B455" s="1"/>
      <c r="C455" s="287"/>
      <c r="D455" s="287"/>
      <c r="E455" s="25"/>
      <c r="F455" s="299"/>
      <c r="H455" s="126"/>
      <c r="I455" s="292"/>
      <c r="J455" s="40" t="str">
        <f t="shared" si="12"/>
        <v/>
      </c>
    </row>
    <row r="456" spans="1:10" ht="15" customHeight="1">
      <c r="A456" s="309"/>
      <c r="B456" s="1"/>
      <c r="C456" s="287"/>
      <c r="D456" s="287"/>
      <c r="E456" s="25"/>
      <c r="F456" s="299"/>
      <c r="H456" s="126"/>
      <c r="I456" s="292"/>
      <c r="J456" s="40" t="str">
        <f t="shared" si="12"/>
        <v/>
      </c>
    </row>
    <row r="457" spans="1:10" ht="15" customHeight="1">
      <c r="A457" s="309"/>
      <c r="B457" s="1"/>
      <c r="C457" s="287"/>
      <c r="D457" s="287"/>
      <c r="E457" s="25"/>
      <c r="F457" s="299"/>
      <c r="H457" s="126"/>
      <c r="I457" s="292"/>
      <c r="J457" s="40" t="str">
        <f t="shared" si="12"/>
        <v/>
      </c>
    </row>
    <row r="458" spans="1:10" ht="15" customHeight="1">
      <c r="A458" s="309"/>
      <c r="B458" s="1"/>
      <c r="C458" s="287"/>
      <c r="D458" s="287"/>
      <c r="E458" s="25"/>
      <c r="F458" s="299"/>
      <c r="H458" s="126"/>
      <c r="I458" s="292"/>
      <c r="J458" s="40" t="str">
        <f t="shared" si="12"/>
        <v/>
      </c>
    </row>
    <row r="459" spans="1:10" ht="15" customHeight="1">
      <c r="A459" s="309"/>
      <c r="B459" s="1"/>
      <c r="C459" s="287"/>
      <c r="D459" s="287"/>
      <c r="E459" s="25"/>
      <c r="F459" s="299"/>
      <c r="H459" s="126"/>
      <c r="I459" s="292"/>
      <c r="J459" s="40" t="str">
        <f t="shared" si="12"/>
        <v/>
      </c>
    </row>
    <row r="460" spans="1:10" ht="15" customHeight="1">
      <c r="A460" s="309"/>
      <c r="B460" s="1"/>
      <c r="C460" s="287"/>
      <c r="D460" s="287"/>
      <c r="E460" s="25"/>
      <c r="F460" s="299"/>
      <c r="H460" s="126"/>
      <c r="I460" s="292"/>
      <c r="J460" s="40" t="str">
        <f t="shared" si="12"/>
        <v/>
      </c>
    </row>
    <row r="461" spans="1:10" ht="15" customHeight="1">
      <c r="A461" s="309"/>
      <c r="B461" s="1"/>
      <c r="C461" s="287"/>
      <c r="D461" s="287"/>
      <c r="E461" s="25"/>
      <c r="F461" s="299"/>
      <c r="H461" s="126"/>
      <c r="I461" s="292"/>
      <c r="J461" s="40" t="str">
        <f t="shared" si="12"/>
        <v/>
      </c>
    </row>
    <row r="462" spans="1:10" ht="15" customHeight="1">
      <c r="A462" s="309"/>
      <c r="B462" s="1"/>
      <c r="C462" s="287"/>
      <c r="D462" s="287"/>
      <c r="E462" s="25"/>
      <c r="F462" s="299"/>
      <c r="H462" s="126"/>
      <c r="I462" s="292"/>
      <c r="J462" s="40" t="str">
        <f t="shared" si="12"/>
        <v/>
      </c>
    </row>
    <row r="463" spans="1:10" ht="15" customHeight="1">
      <c r="A463" s="309"/>
      <c r="B463" s="1"/>
      <c r="C463" s="287"/>
      <c r="D463" s="287"/>
      <c r="E463" s="25"/>
      <c r="F463" s="299"/>
      <c r="H463" s="126"/>
      <c r="I463" s="292"/>
      <c r="J463" s="40" t="str">
        <f t="shared" si="12"/>
        <v/>
      </c>
    </row>
    <row r="464" spans="1:10" ht="15" customHeight="1">
      <c r="A464" s="309"/>
      <c r="B464" s="1"/>
      <c r="C464" s="287"/>
      <c r="D464" s="287"/>
      <c r="E464" s="25"/>
      <c r="F464" s="299"/>
      <c r="H464" s="126"/>
      <c r="I464" s="292"/>
      <c r="J464" s="40" t="str">
        <f t="shared" si="12"/>
        <v/>
      </c>
    </row>
    <row r="465" spans="1:10" ht="15" customHeight="1">
      <c r="A465" s="309"/>
      <c r="B465" s="1"/>
      <c r="C465" s="287"/>
      <c r="D465" s="287"/>
      <c r="E465" s="25"/>
      <c r="F465" s="299"/>
      <c r="H465" s="126"/>
      <c r="I465" s="292"/>
      <c r="J465" s="40" t="str">
        <f t="shared" si="12"/>
        <v/>
      </c>
    </row>
    <row r="466" spans="1:10" ht="15" customHeight="1">
      <c r="A466" s="309"/>
      <c r="B466" s="1"/>
      <c r="C466" s="287"/>
      <c r="D466" s="287"/>
      <c r="E466" s="25"/>
      <c r="F466" s="299"/>
      <c r="H466" s="126"/>
      <c r="I466" s="292"/>
      <c r="J466" s="40" t="str">
        <f t="shared" si="12"/>
        <v/>
      </c>
    </row>
    <row r="467" spans="1:10" ht="15" customHeight="1">
      <c r="A467" s="309"/>
      <c r="B467" s="1"/>
      <c r="C467" s="287"/>
      <c r="D467" s="287"/>
      <c r="E467" s="25"/>
      <c r="F467" s="299"/>
      <c r="H467" s="126"/>
      <c r="I467" s="292"/>
      <c r="J467" s="40" t="str">
        <f t="shared" si="12"/>
        <v/>
      </c>
    </row>
    <row r="468" spans="1:10" ht="15" customHeight="1">
      <c r="A468" s="309"/>
      <c r="B468" s="1"/>
      <c r="C468" s="287"/>
      <c r="D468" s="287"/>
      <c r="E468" s="25"/>
      <c r="F468" s="299"/>
      <c r="H468" s="126"/>
      <c r="I468" s="292"/>
      <c r="J468" s="40" t="str">
        <f t="shared" si="12"/>
        <v/>
      </c>
    </row>
    <row r="469" spans="1:10" ht="15" customHeight="1">
      <c r="A469" s="309"/>
      <c r="B469" s="1"/>
      <c r="C469" s="287"/>
      <c r="D469" s="287"/>
      <c r="E469" s="25"/>
      <c r="F469" s="299"/>
      <c r="H469" s="126"/>
      <c r="I469" s="292"/>
      <c r="J469" s="40" t="str">
        <f t="shared" si="12"/>
        <v/>
      </c>
    </row>
    <row r="470" spans="1:10" ht="15" customHeight="1">
      <c r="A470" s="309"/>
      <c r="B470" s="1"/>
      <c r="C470" s="287"/>
      <c r="D470" s="287"/>
      <c r="E470" s="25"/>
      <c r="F470" s="299"/>
      <c r="H470" s="126"/>
      <c r="I470" s="292"/>
      <c r="J470" s="40" t="str">
        <f t="shared" si="12"/>
        <v/>
      </c>
    </row>
    <row r="471" spans="1:10" ht="15" customHeight="1">
      <c r="A471" s="309"/>
      <c r="B471" s="1"/>
      <c r="C471" s="287"/>
      <c r="D471" s="287"/>
      <c r="E471" s="25"/>
      <c r="F471" s="299"/>
      <c r="H471" s="126"/>
      <c r="I471" s="292"/>
      <c r="J471" s="40" t="str">
        <f t="shared" si="12"/>
        <v/>
      </c>
    </row>
    <row r="472" spans="1:10" ht="15" customHeight="1">
      <c r="A472" s="309"/>
      <c r="B472" s="1"/>
      <c r="C472" s="287"/>
      <c r="D472" s="287"/>
      <c r="E472" s="25"/>
      <c r="F472" s="299"/>
      <c r="H472" s="126"/>
      <c r="I472" s="292"/>
      <c r="J472" s="40" t="str">
        <f t="shared" si="12"/>
        <v/>
      </c>
    </row>
    <row r="473" spans="1:10" ht="15" customHeight="1">
      <c r="A473" s="309"/>
      <c r="B473" s="1"/>
      <c r="C473" s="287"/>
      <c r="D473" s="287"/>
      <c r="E473" s="25"/>
      <c r="F473" s="299"/>
      <c r="H473" s="126"/>
      <c r="I473" s="292"/>
      <c r="J473" s="40" t="str">
        <f t="shared" si="12"/>
        <v/>
      </c>
    </row>
    <row r="474" spans="1:10" ht="15" customHeight="1">
      <c r="A474" s="309"/>
      <c r="B474" s="1"/>
      <c r="C474" s="287"/>
      <c r="D474" s="287"/>
      <c r="E474" s="25"/>
      <c r="F474" s="299"/>
      <c r="H474" s="126"/>
      <c r="I474" s="292"/>
      <c r="J474" s="40" t="str">
        <f t="shared" si="12"/>
        <v/>
      </c>
    </row>
    <row r="475" spans="1:10" ht="15" customHeight="1">
      <c r="A475" s="309"/>
      <c r="B475" s="1"/>
      <c r="C475" s="287"/>
      <c r="D475" s="287"/>
      <c r="E475" s="25"/>
      <c r="F475" s="299"/>
      <c r="H475" s="126"/>
      <c r="I475" s="292"/>
      <c r="J475" s="40" t="str">
        <f t="shared" si="12"/>
        <v/>
      </c>
    </row>
    <row r="476" spans="1:10" ht="15" customHeight="1">
      <c r="A476" s="309"/>
      <c r="B476" s="1"/>
      <c r="C476" s="287"/>
      <c r="D476" s="287"/>
      <c r="E476" s="25"/>
      <c r="F476" s="299"/>
      <c r="H476" s="126"/>
      <c r="I476" s="292"/>
      <c r="J476" s="40" t="str">
        <f t="shared" si="12"/>
        <v/>
      </c>
    </row>
    <row r="477" spans="1:10" ht="15" customHeight="1">
      <c r="A477" s="309"/>
      <c r="B477" s="1"/>
      <c r="C477" s="287"/>
      <c r="D477" s="287"/>
      <c r="E477" s="25"/>
      <c r="F477" s="299"/>
      <c r="H477" s="126"/>
      <c r="I477" s="292"/>
      <c r="J477" s="40" t="str">
        <f t="shared" si="12"/>
        <v/>
      </c>
    </row>
    <row r="478" spans="1:10" ht="15" customHeight="1">
      <c r="A478" s="309"/>
      <c r="B478" s="1"/>
      <c r="C478" s="287"/>
      <c r="D478" s="287"/>
      <c r="E478" s="25"/>
      <c r="F478" s="299"/>
      <c r="H478" s="126"/>
      <c r="I478" s="292"/>
      <c r="J478" s="40" t="str">
        <f t="shared" si="12"/>
        <v/>
      </c>
    </row>
    <row r="479" spans="1:10" ht="15" customHeight="1">
      <c r="A479" s="309"/>
      <c r="B479" s="1"/>
      <c r="C479" s="287"/>
      <c r="D479" s="287"/>
      <c r="E479" s="25"/>
      <c r="F479" s="299"/>
      <c r="H479" s="126"/>
      <c r="I479" s="292"/>
      <c r="J479" s="40" t="str">
        <f t="shared" si="12"/>
        <v/>
      </c>
    </row>
    <row r="480" spans="1:10" ht="15" customHeight="1">
      <c r="A480" s="309"/>
      <c r="B480" s="1"/>
      <c r="C480" s="287"/>
      <c r="D480" s="287"/>
      <c r="E480" s="25"/>
      <c r="F480" s="299"/>
      <c r="H480" s="126"/>
      <c r="I480" s="292"/>
      <c r="J480" s="40" t="str">
        <f t="shared" si="12"/>
        <v/>
      </c>
    </row>
    <row r="481" spans="1:10" ht="15" customHeight="1">
      <c r="A481" s="309"/>
      <c r="B481" s="1"/>
      <c r="C481" s="287"/>
      <c r="D481" s="287"/>
      <c r="E481" s="25"/>
      <c r="F481" s="299"/>
      <c r="H481" s="126"/>
      <c r="I481" s="292"/>
      <c r="J481" s="40" t="str">
        <f t="shared" si="12"/>
        <v/>
      </c>
    </row>
    <row r="482" spans="1:10" ht="15" customHeight="1">
      <c r="A482" s="309"/>
      <c r="B482" s="1"/>
      <c r="C482" s="287"/>
      <c r="D482" s="287"/>
      <c r="E482" s="25"/>
      <c r="F482" s="299"/>
      <c r="H482" s="126"/>
      <c r="I482" s="292"/>
      <c r="J482" s="40" t="str">
        <f t="shared" si="12"/>
        <v/>
      </c>
    </row>
    <row r="483" spans="1:10" ht="15" customHeight="1">
      <c r="A483" s="309"/>
      <c r="B483" s="1"/>
      <c r="C483" s="287"/>
      <c r="D483" s="287"/>
      <c r="E483" s="25"/>
      <c r="F483" s="299"/>
      <c r="H483" s="126"/>
      <c r="I483" s="292"/>
      <c r="J483" s="40" t="str">
        <f t="shared" si="12"/>
        <v/>
      </c>
    </row>
    <row r="484" spans="1:10" ht="15" customHeight="1">
      <c r="A484" s="309"/>
      <c r="B484" s="1"/>
      <c r="C484" s="287"/>
      <c r="D484" s="287"/>
      <c r="E484" s="25"/>
      <c r="F484" s="299"/>
      <c r="H484" s="126"/>
      <c r="I484" s="292"/>
      <c r="J484" s="40" t="str">
        <f t="shared" si="12"/>
        <v/>
      </c>
    </row>
    <row r="485" spans="1:10" ht="15" customHeight="1">
      <c r="A485" s="309"/>
      <c r="B485" s="1"/>
      <c r="C485" s="287"/>
      <c r="D485" s="287"/>
      <c r="E485" s="25"/>
      <c r="F485" s="299"/>
      <c r="H485" s="126"/>
      <c r="I485" s="292"/>
      <c r="J485" s="40" t="str">
        <f t="shared" si="12"/>
        <v/>
      </c>
    </row>
    <row r="486" spans="1:10" ht="15" customHeight="1">
      <c r="A486" s="309"/>
      <c r="B486" s="1"/>
      <c r="C486" s="287"/>
      <c r="D486" s="287"/>
      <c r="E486" s="25"/>
      <c r="F486" s="299"/>
      <c r="H486" s="126"/>
      <c r="I486" s="292"/>
      <c r="J486" s="40" t="str">
        <f t="shared" si="12"/>
        <v/>
      </c>
    </row>
    <row r="487" spans="1:10" ht="15" customHeight="1">
      <c r="A487" s="309"/>
      <c r="B487" s="1"/>
      <c r="C487" s="287"/>
      <c r="D487" s="287"/>
      <c r="E487" s="25"/>
      <c r="F487" s="299"/>
      <c r="H487" s="126"/>
      <c r="I487" s="292"/>
      <c r="J487" s="40" t="str">
        <f t="shared" si="12"/>
        <v/>
      </c>
    </row>
    <row r="488" spans="1:10" ht="15" customHeight="1">
      <c r="A488" s="309"/>
      <c r="B488" s="1"/>
      <c r="C488" s="287"/>
      <c r="D488" s="287"/>
      <c r="E488" s="25"/>
      <c r="F488" s="299"/>
      <c r="H488" s="126"/>
      <c r="I488" s="292"/>
      <c r="J488" s="40" t="str">
        <f t="shared" si="12"/>
        <v/>
      </c>
    </row>
    <row r="489" spans="1:10" ht="15" customHeight="1">
      <c r="A489" s="309"/>
      <c r="B489" s="1"/>
      <c r="C489" s="287"/>
      <c r="D489" s="287"/>
      <c r="E489" s="25"/>
      <c r="F489" s="299"/>
      <c r="H489" s="126"/>
      <c r="I489" s="292"/>
      <c r="J489" s="40" t="str">
        <f t="shared" si="12"/>
        <v/>
      </c>
    </row>
    <row r="490" spans="1:10" ht="15" customHeight="1">
      <c r="A490" s="309"/>
      <c r="B490" s="1"/>
      <c r="C490" s="287"/>
      <c r="D490" s="287"/>
      <c r="E490" s="25"/>
      <c r="F490" s="299"/>
      <c r="H490" s="126"/>
      <c r="I490" s="292"/>
      <c r="J490" s="40" t="str">
        <f t="shared" si="12"/>
        <v/>
      </c>
    </row>
    <row r="491" spans="1:10" ht="15" customHeight="1">
      <c r="A491" s="309"/>
      <c r="B491" s="1"/>
      <c r="C491" s="287"/>
      <c r="D491" s="287"/>
      <c r="E491" s="25"/>
      <c r="F491" s="299"/>
      <c r="H491" s="126"/>
      <c r="I491" s="292"/>
      <c r="J491" s="40" t="str">
        <f t="shared" si="12"/>
        <v/>
      </c>
    </row>
    <row r="492" spans="1:10" ht="15" customHeight="1">
      <c r="A492" s="309"/>
      <c r="B492" s="1"/>
      <c r="C492" s="287"/>
      <c r="D492" s="287"/>
      <c r="E492" s="25"/>
      <c r="F492" s="299"/>
      <c r="H492" s="126"/>
      <c r="I492" s="292"/>
      <c r="J492" s="40" t="str">
        <f t="shared" si="12"/>
        <v/>
      </c>
    </row>
    <row r="493" spans="1:10" ht="15" customHeight="1">
      <c r="A493" s="309"/>
      <c r="B493" s="1"/>
      <c r="C493" s="287"/>
      <c r="D493" s="287"/>
      <c r="E493" s="25"/>
      <c r="F493" s="299"/>
      <c r="H493" s="126"/>
      <c r="I493" s="292"/>
      <c r="J493" s="40" t="str">
        <f t="shared" si="12"/>
        <v/>
      </c>
    </row>
    <row r="494" spans="1:10" ht="15" customHeight="1">
      <c r="A494" s="309"/>
      <c r="B494" s="1"/>
      <c r="C494" s="287"/>
      <c r="D494" s="287"/>
      <c r="E494" s="25"/>
      <c r="F494" s="299"/>
      <c r="H494" s="126"/>
      <c r="I494" s="292"/>
      <c r="J494" s="40" t="str">
        <f t="shared" si="12"/>
        <v/>
      </c>
    </row>
    <row r="495" spans="1:10" ht="15" customHeight="1">
      <c r="A495" s="309"/>
      <c r="B495" s="1"/>
      <c r="C495" s="287"/>
      <c r="D495" s="287"/>
      <c r="E495" s="25"/>
      <c r="F495" s="299"/>
      <c r="H495" s="126"/>
      <c r="I495" s="292"/>
      <c r="J495" s="40" t="str">
        <f t="shared" si="12"/>
        <v/>
      </c>
    </row>
    <row r="496" spans="1:10" ht="15" customHeight="1">
      <c r="A496" s="309"/>
      <c r="B496" s="1"/>
      <c r="C496" s="287"/>
      <c r="D496" s="287"/>
      <c r="E496" s="25"/>
      <c r="F496" s="299"/>
      <c r="H496" s="126"/>
      <c r="I496" s="292"/>
      <c r="J496" s="40" t="str">
        <f t="shared" si="12"/>
        <v/>
      </c>
    </row>
    <row r="497" spans="1:10" ht="15" customHeight="1">
      <c r="A497" s="309"/>
      <c r="B497" s="1"/>
      <c r="C497" s="287"/>
      <c r="D497" s="287"/>
      <c r="E497" s="25"/>
      <c r="F497" s="299"/>
      <c r="H497" s="126"/>
      <c r="I497" s="292"/>
      <c r="J497" s="40" t="str">
        <f t="shared" si="12"/>
        <v/>
      </c>
    </row>
    <row r="498" spans="1:10" ht="15" customHeight="1">
      <c r="A498" s="309"/>
      <c r="B498" s="1"/>
      <c r="C498" s="287"/>
      <c r="D498" s="287"/>
      <c r="E498" s="25"/>
      <c r="F498" s="299"/>
      <c r="H498" s="126"/>
      <c r="I498" s="292"/>
      <c r="J498" s="40" t="str">
        <f t="shared" si="12"/>
        <v/>
      </c>
    </row>
    <row r="499" spans="1:10" ht="15" customHeight="1">
      <c r="A499" s="309"/>
      <c r="B499" s="1"/>
      <c r="C499" s="287"/>
      <c r="D499" s="287"/>
      <c r="E499" s="25"/>
      <c r="F499" s="299"/>
      <c r="H499" s="126"/>
      <c r="I499" s="292"/>
      <c r="J499" s="40" t="str">
        <f t="shared" si="12"/>
        <v/>
      </c>
    </row>
    <row r="500" spans="1:10" ht="15" customHeight="1">
      <c r="A500" s="309"/>
      <c r="B500" s="1"/>
      <c r="C500" s="287"/>
      <c r="D500" s="287"/>
      <c r="E500" s="25"/>
      <c r="F500" s="299"/>
      <c r="H500" s="126"/>
      <c r="I500" s="292"/>
      <c r="J500" s="40" t="str">
        <f t="shared" si="12"/>
        <v/>
      </c>
    </row>
    <row r="501" spans="1:10" ht="15" customHeight="1">
      <c r="A501" s="309"/>
      <c r="B501" s="1"/>
      <c r="C501" s="287"/>
      <c r="D501" s="287"/>
      <c r="E501" s="25"/>
      <c r="F501" s="299"/>
      <c r="H501" s="126"/>
      <c r="I501" s="292"/>
      <c r="J501" s="40" t="str">
        <f t="shared" si="12"/>
        <v/>
      </c>
    </row>
    <row r="502" spans="1:10" ht="15" customHeight="1">
      <c r="A502" s="309"/>
      <c r="B502" s="1"/>
      <c r="C502" s="287"/>
      <c r="D502" s="287"/>
      <c r="E502" s="25"/>
      <c r="F502" s="299"/>
      <c r="H502" s="126"/>
      <c r="I502" s="292"/>
      <c r="J502" s="40" t="str">
        <f t="shared" si="12"/>
        <v/>
      </c>
    </row>
    <row r="503" spans="1:10" ht="15" customHeight="1">
      <c r="A503" s="309"/>
      <c r="B503" s="1"/>
      <c r="C503" s="287"/>
      <c r="D503" s="287"/>
      <c r="E503" s="25"/>
      <c r="F503" s="299"/>
      <c r="H503" s="126"/>
      <c r="I503" s="292"/>
      <c r="J503" s="40" t="str">
        <f t="shared" si="12"/>
        <v/>
      </c>
    </row>
    <row r="504" spans="1:10" ht="15" customHeight="1">
      <c r="A504" s="309"/>
      <c r="B504" s="1"/>
      <c r="C504" s="287"/>
      <c r="D504" s="287"/>
      <c r="E504" s="25"/>
      <c r="F504" s="299"/>
      <c r="H504" s="126"/>
      <c r="I504" s="292"/>
      <c r="J504" s="40" t="str">
        <f t="shared" ref="J504:J567" si="13">IF(E504=0,"",$J$20)</f>
        <v/>
      </c>
    </row>
    <row r="505" spans="1:10" ht="15" customHeight="1">
      <c r="A505" s="309"/>
      <c r="B505" s="1"/>
      <c r="C505" s="287"/>
      <c r="D505" s="287"/>
      <c r="E505" s="25"/>
      <c r="F505" s="299"/>
      <c r="H505" s="126"/>
      <c r="I505" s="292"/>
      <c r="J505" s="40" t="str">
        <f t="shared" si="13"/>
        <v/>
      </c>
    </row>
    <row r="506" spans="1:10" ht="15" customHeight="1">
      <c r="A506" s="309"/>
      <c r="B506" s="1"/>
      <c r="C506" s="287"/>
      <c r="D506" s="287"/>
      <c r="E506" s="25"/>
      <c r="F506" s="299"/>
      <c r="H506" s="126"/>
      <c r="I506" s="292"/>
      <c r="J506" s="40" t="str">
        <f t="shared" si="13"/>
        <v/>
      </c>
    </row>
    <row r="507" spans="1:10" ht="15" customHeight="1">
      <c r="A507" s="309"/>
      <c r="B507" s="1"/>
      <c r="C507" s="287"/>
      <c r="D507" s="287"/>
      <c r="E507" s="25"/>
      <c r="F507" s="299"/>
      <c r="H507" s="126"/>
      <c r="I507" s="292"/>
      <c r="J507" s="40" t="str">
        <f t="shared" si="13"/>
        <v/>
      </c>
    </row>
    <row r="508" spans="1:10" ht="15" customHeight="1">
      <c r="A508" s="309"/>
      <c r="B508" s="1"/>
      <c r="C508" s="287"/>
      <c r="D508" s="287"/>
      <c r="E508" s="25"/>
      <c r="F508" s="299"/>
      <c r="H508" s="126"/>
      <c r="I508" s="292"/>
      <c r="J508" s="40" t="str">
        <f t="shared" si="13"/>
        <v/>
      </c>
    </row>
    <row r="509" spans="1:10" ht="15" customHeight="1">
      <c r="A509" s="309"/>
      <c r="B509" s="1"/>
      <c r="C509" s="287"/>
      <c r="D509" s="287"/>
      <c r="E509" s="25"/>
      <c r="F509" s="299"/>
      <c r="H509" s="126"/>
      <c r="I509" s="292"/>
      <c r="J509" s="40" t="str">
        <f t="shared" si="13"/>
        <v/>
      </c>
    </row>
    <row r="510" spans="1:10" ht="15" customHeight="1">
      <c r="A510" s="309"/>
      <c r="B510" s="1"/>
      <c r="C510" s="287"/>
      <c r="D510" s="287"/>
      <c r="E510" s="25"/>
      <c r="F510" s="299"/>
      <c r="H510" s="126"/>
      <c r="I510" s="292"/>
      <c r="J510" s="40" t="str">
        <f t="shared" si="13"/>
        <v/>
      </c>
    </row>
    <row r="511" spans="1:10" ht="15" customHeight="1">
      <c r="A511" s="309"/>
      <c r="B511" s="1"/>
      <c r="C511" s="287"/>
      <c r="D511" s="287"/>
      <c r="E511" s="25"/>
      <c r="F511" s="299"/>
      <c r="H511" s="126"/>
      <c r="I511" s="292"/>
      <c r="J511" s="40" t="str">
        <f t="shared" si="13"/>
        <v/>
      </c>
    </row>
    <row r="512" spans="1:10" ht="15" customHeight="1">
      <c r="A512" s="309"/>
      <c r="B512" s="1"/>
      <c r="C512" s="287"/>
      <c r="D512" s="287"/>
      <c r="E512" s="25"/>
      <c r="F512" s="299"/>
      <c r="H512" s="126"/>
      <c r="I512" s="292"/>
      <c r="J512" s="40" t="str">
        <f t="shared" si="13"/>
        <v/>
      </c>
    </row>
    <row r="513" spans="1:10" ht="15" customHeight="1">
      <c r="A513" s="309"/>
      <c r="B513" s="1"/>
      <c r="C513" s="287"/>
      <c r="D513" s="287"/>
      <c r="E513" s="25"/>
      <c r="F513" s="299"/>
      <c r="H513" s="126"/>
      <c r="I513" s="292"/>
      <c r="J513" s="40" t="str">
        <f t="shared" si="13"/>
        <v/>
      </c>
    </row>
    <row r="514" spans="1:10" ht="15" customHeight="1">
      <c r="A514" s="309"/>
      <c r="B514" s="1"/>
      <c r="C514" s="287"/>
      <c r="D514" s="287"/>
      <c r="E514" s="25"/>
      <c r="F514" s="299"/>
      <c r="H514" s="126"/>
      <c r="I514" s="292"/>
      <c r="J514" s="40" t="str">
        <f t="shared" si="13"/>
        <v/>
      </c>
    </row>
    <row r="515" spans="1:10" ht="15" customHeight="1">
      <c r="A515" s="309"/>
      <c r="B515" s="1"/>
      <c r="C515" s="287"/>
      <c r="D515" s="287"/>
      <c r="E515" s="25"/>
      <c r="F515" s="299"/>
      <c r="H515" s="126"/>
      <c r="I515" s="292"/>
      <c r="J515" s="40" t="str">
        <f t="shared" si="13"/>
        <v/>
      </c>
    </row>
    <row r="516" spans="1:10" ht="15" customHeight="1">
      <c r="A516" s="309"/>
      <c r="B516" s="1"/>
      <c r="C516" s="287"/>
      <c r="D516" s="287"/>
      <c r="E516" s="25"/>
      <c r="F516" s="299"/>
      <c r="H516" s="126"/>
      <c r="I516" s="292"/>
      <c r="J516" s="40" t="str">
        <f t="shared" si="13"/>
        <v/>
      </c>
    </row>
    <row r="517" spans="1:10" ht="15" customHeight="1">
      <c r="A517" s="309"/>
      <c r="B517" s="1"/>
      <c r="C517" s="287"/>
      <c r="D517" s="287"/>
      <c r="E517" s="25"/>
      <c r="F517" s="299"/>
      <c r="H517" s="126"/>
      <c r="I517" s="292"/>
      <c r="J517" s="40" t="str">
        <f t="shared" si="13"/>
        <v/>
      </c>
    </row>
    <row r="518" spans="1:10" ht="15" customHeight="1">
      <c r="A518" s="309"/>
      <c r="B518" s="1"/>
      <c r="C518" s="287"/>
      <c r="D518" s="287"/>
      <c r="E518" s="25"/>
      <c r="F518" s="299"/>
      <c r="H518" s="126"/>
      <c r="I518" s="292"/>
      <c r="J518" s="40" t="str">
        <f t="shared" si="13"/>
        <v/>
      </c>
    </row>
    <row r="519" spans="1:10" ht="15" customHeight="1">
      <c r="A519" s="309"/>
      <c r="B519" s="1"/>
      <c r="C519" s="287"/>
      <c r="D519" s="287"/>
      <c r="E519" s="25"/>
      <c r="F519" s="299"/>
      <c r="H519" s="126"/>
      <c r="I519" s="292"/>
      <c r="J519" s="40" t="str">
        <f t="shared" si="13"/>
        <v/>
      </c>
    </row>
    <row r="520" spans="1:10" ht="15" customHeight="1">
      <c r="A520" s="309"/>
      <c r="B520" s="1"/>
      <c r="C520" s="287"/>
      <c r="D520" s="287"/>
      <c r="E520" s="25"/>
      <c r="F520" s="299"/>
      <c r="H520" s="126"/>
      <c r="I520" s="292"/>
      <c r="J520" s="40" t="str">
        <f t="shared" si="13"/>
        <v/>
      </c>
    </row>
    <row r="521" spans="1:10" ht="15" customHeight="1">
      <c r="A521" s="309"/>
      <c r="B521" s="1"/>
      <c r="C521" s="287"/>
      <c r="D521" s="287"/>
      <c r="E521" s="25"/>
      <c r="F521" s="299"/>
      <c r="H521" s="126"/>
      <c r="I521" s="292"/>
      <c r="J521" s="40" t="str">
        <f t="shared" si="13"/>
        <v/>
      </c>
    </row>
    <row r="522" spans="1:10" ht="15" customHeight="1">
      <c r="A522" s="309"/>
      <c r="B522" s="1"/>
      <c r="C522" s="287"/>
      <c r="D522" s="287"/>
      <c r="E522" s="25"/>
      <c r="F522" s="299"/>
      <c r="H522" s="126"/>
      <c r="I522" s="292"/>
      <c r="J522" s="40" t="str">
        <f t="shared" si="13"/>
        <v/>
      </c>
    </row>
    <row r="523" spans="1:10" ht="15" customHeight="1">
      <c r="A523" s="309"/>
      <c r="B523" s="1"/>
      <c r="C523" s="287"/>
      <c r="D523" s="287"/>
      <c r="E523" s="25"/>
      <c r="F523" s="299"/>
      <c r="H523" s="126"/>
      <c r="I523" s="292"/>
      <c r="J523" s="40" t="str">
        <f t="shared" si="13"/>
        <v/>
      </c>
    </row>
    <row r="524" spans="1:10" ht="15" customHeight="1">
      <c r="A524" s="309"/>
      <c r="B524" s="1"/>
      <c r="C524" s="287"/>
      <c r="D524" s="287"/>
      <c r="E524" s="25"/>
      <c r="F524" s="299"/>
      <c r="H524" s="126"/>
      <c r="I524" s="292"/>
      <c r="J524" s="40" t="str">
        <f t="shared" si="13"/>
        <v/>
      </c>
    </row>
    <row r="525" spans="1:10" ht="15" customHeight="1">
      <c r="A525" s="309"/>
      <c r="B525" s="1"/>
      <c r="C525" s="287"/>
      <c r="D525" s="287"/>
      <c r="E525" s="25"/>
      <c r="F525" s="299"/>
      <c r="H525" s="126"/>
      <c r="I525" s="292"/>
      <c r="J525" s="40" t="str">
        <f t="shared" si="13"/>
        <v/>
      </c>
    </row>
    <row r="526" spans="1:10" ht="15" customHeight="1">
      <c r="A526" s="309"/>
      <c r="B526" s="1"/>
      <c r="C526" s="287"/>
      <c r="D526" s="287"/>
      <c r="E526" s="25"/>
      <c r="F526" s="299"/>
      <c r="H526" s="126"/>
      <c r="I526" s="292"/>
      <c r="J526" s="40" t="str">
        <f t="shared" si="13"/>
        <v/>
      </c>
    </row>
    <row r="527" spans="1:10" ht="15" customHeight="1">
      <c r="A527" s="309"/>
      <c r="B527" s="1"/>
      <c r="C527" s="287"/>
      <c r="D527" s="287"/>
      <c r="E527" s="25"/>
      <c r="F527" s="299"/>
      <c r="H527" s="126"/>
      <c r="I527" s="292"/>
      <c r="J527" s="40" t="str">
        <f t="shared" si="13"/>
        <v/>
      </c>
    </row>
    <row r="528" spans="1:10" ht="15" customHeight="1">
      <c r="A528" s="309"/>
      <c r="B528" s="1"/>
      <c r="C528" s="287"/>
      <c r="D528" s="287"/>
      <c r="E528" s="25"/>
      <c r="F528" s="299"/>
      <c r="H528" s="126"/>
      <c r="I528" s="292"/>
      <c r="J528" s="40" t="str">
        <f t="shared" si="13"/>
        <v/>
      </c>
    </row>
    <row r="529" spans="1:10" ht="15" customHeight="1">
      <c r="A529" s="309"/>
      <c r="B529" s="1"/>
      <c r="C529" s="287"/>
      <c r="D529" s="287"/>
      <c r="E529" s="25"/>
      <c r="F529" s="299"/>
      <c r="H529" s="126"/>
      <c r="I529" s="292"/>
      <c r="J529" s="40" t="str">
        <f t="shared" si="13"/>
        <v/>
      </c>
    </row>
    <row r="530" spans="1:10" ht="15" customHeight="1">
      <c r="A530" s="309"/>
      <c r="B530" s="1"/>
      <c r="C530" s="287"/>
      <c r="D530" s="287"/>
      <c r="E530" s="25"/>
      <c r="F530" s="299"/>
      <c r="H530" s="126"/>
      <c r="I530" s="292"/>
      <c r="J530" s="40" t="str">
        <f t="shared" si="13"/>
        <v/>
      </c>
    </row>
    <row r="531" spans="1:10" ht="15" customHeight="1">
      <c r="A531" s="309"/>
      <c r="B531" s="1"/>
      <c r="C531" s="287"/>
      <c r="D531" s="287"/>
      <c r="E531" s="25"/>
      <c r="F531" s="299"/>
      <c r="H531" s="126"/>
      <c r="I531" s="292"/>
      <c r="J531" s="40" t="str">
        <f t="shared" si="13"/>
        <v/>
      </c>
    </row>
    <row r="532" spans="1:10" ht="15" customHeight="1">
      <c r="A532" s="309"/>
      <c r="B532" s="1"/>
      <c r="C532" s="287"/>
      <c r="D532" s="287"/>
      <c r="E532" s="25"/>
      <c r="F532" s="299"/>
      <c r="H532" s="126"/>
      <c r="I532" s="292"/>
      <c r="J532" s="40" t="str">
        <f t="shared" si="13"/>
        <v/>
      </c>
    </row>
    <row r="533" spans="1:10" ht="15" customHeight="1">
      <c r="A533" s="309"/>
      <c r="B533" s="1"/>
      <c r="C533" s="287"/>
      <c r="D533" s="287"/>
      <c r="E533" s="25"/>
      <c r="F533" s="299"/>
      <c r="H533" s="126"/>
      <c r="I533" s="292"/>
      <c r="J533" s="40" t="str">
        <f t="shared" si="13"/>
        <v/>
      </c>
    </row>
    <row r="534" spans="1:10" ht="15" customHeight="1">
      <c r="A534" s="309"/>
      <c r="B534" s="1"/>
      <c r="C534" s="287"/>
      <c r="D534" s="287"/>
      <c r="E534" s="25"/>
      <c r="F534" s="299"/>
      <c r="H534" s="126"/>
      <c r="I534" s="292"/>
      <c r="J534" s="40" t="str">
        <f t="shared" si="13"/>
        <v/>
      </c>
    </row>
    <row r="535" spans="1:10" ht="15" customHeight="1">
      <c r="A535" s="309"/>
      <c r="B535" s="1"/>
      <c r="C535" s="287"/>
      <c r="D535" s="287"/>
      <c r="E535" s="25"/>
      <c r="F535" s="299"/>
      <c r="H535" s="126"/>
      <c r="I535" s="292"/>
      <c r="J535" s="40" t="str">
        <f t="shared" si="13"/>
        <v/>
      </c>
    </row>
    <row r="536" spans="1:10" ht="15" customHeight="1">
      <c r="A536" s="309"/>
      <c r="B536" s="1"/>
      <c r="C536" s="287"/>
      <c r="D536" s="287"/>
      <c r="E536" s="25"/>
      <c r="F536" s="299"/>
      <c r="H536" s="126"/>
      <c r="I536" s="292"/>
      <c r="J536" s="40" t="str">
        <f t="shared" si="13"/>
        <v/>
      </c>
    </row>
    <row r="537" spans="1:10" ht="15" customHeight="1">
      <c r="A537" s="309"/>
      <c r="B537" s="1"/>
      <c r="C537" s="287"/>
      <c r="D537" s="287"/>
      <c r="E537" s="25"/>
      <c r="F537" s="299"/>
      <c r="H537" s="126"/>
      <c r="I537" s="292"/>
      <c r="J537" s="40" t="str">
        <f t="shared" si="13"/>
        <v/>
      </c>
    </row>
    <row r="538" spans="1:10" ht="15" customHeight="1">
      <c r="A538" s="309"/>
      <c r="B538" s="1"/>
      <c r="C538" s="287"/>
      <c r="D538" s="287"/>
      <c r="E538" s="25"/>
      <c r="F538" s="299"/>
      <c r="H538" s="126"/>
      <c r="I538" s="292"/>
      <c r="J538" s="40" t="str">
        <f t="shared" si="13"/>
        <v/>
      </c>
    </row>
    <row r="539" spans="1:10" ht="15" customHeight="1">
      <c r="A539" s="309"/>
      <c r="B539" s="1"/>
      <c r="C539" s="287"/>
      <c r="D539" s="287"/>
      <c r="E539" s="25"/>
      <c r="F539" s="299"/>
      <c r="H539" s="126"/>
      <c r="I539" s="292"/>
      <c r="J539" s="40" t="str">
        <f t="shared" si="13"/>
        <v/>
      </c>
    </row>
    <row r="540" spans="1:10" ht="15" customHeight="1">
      <c r="A540" s="309"/>
      <c r="B540" s="1"/>
      <c r="C540" s="287"/>
      <c r="D540" s="287"/>
      <c r="E540" s="25"/>
      <c r="F540" s="299"/>
      <c r="H540" s="126"/>
      <c r="I540" s="292"/>
      <c r="J540" s="40" t="str">
        <f t="shared" si="13"/>
        <v/>
      </c>
    </row>
    <row r="541" spans="1:10" ht="15" customHeight="1">
      <c r="A541" s="309"/>
      <c r="B541" s="1"/>
      <c r="C541" s="287"/>
      <c r="D541" s="287"/>
      <c r="E541" s="25"/>
      <c r="F541" s="299"/>
      <c r="H541" s="126"/>
      <c r="I541" s="292"/>
      <c r="J541" s="40" t="str">
        <f t="shared" si="13"/>
        <v/>
      </c>
    </row>
    <row r="542" spans="1:10" ht="15" customHeight="1">
      <c r="A542" s="309"/>
      <c r="B542" s="1"/>
      <c r="C542" s="287"/>
      <c r="D542" s="287"/>
      <c r="E542" s="25"/>
      <c r="F542" s="299"/>
      <c r="H542" s="126"/>
      <c r="I542" s="292"/>
      <c r="J542" s="40" t="str">
        <f t="shared" si="13"/>
        <v/>
      </c>
    </row>
    <row r="543" spans="1:10" ht="15" customHeight="1">
      <c r="A543" s="309"/>
      <c r="B543" s="1"/>
      <c r="C543" s="287"/>
      <c r="D543" s="287"/>
      <c r="E543" s="25"/>
      <c r="F543" s="299"/>
      <c r="H543" s="126"/>
      <c r="I543" s="292"/>
      <c r="J543" s="40" t="str">
        <f t="shared" si="13"/>
        <v/>
      </c>
    </row>
    <row r="544" spans="1:10" ht="15" customHeight="1">
      <c r="A544" s="309"/>
      <c r="B544" s="1"/>
      <c r="C544" s="287"/>
      <c r="D544" s="287"/>
      <c r="E544" s="25"/>
      <c r="F544" s="299"/>
      <c r="H544" s="126"/>
      <c r="I544" s="292"/>
      <c r="J544" s="40" t="str">
        <f t="shared" si="13"/>
        <v/>
      </c>
    </row>
    <row r="545" spans="1:10" ht="15" customHeight="1">
      <c r="A545" s="309"/>
      <c r="B545" s="1"/>
      <c r="C545" s="287"/>
      <c r="D545" s="287"/>
      <c r="E545" s="25"/>
      <c r="F545" s="299"/>
      <c r="H545" s="126"/>
      <c r="I545" s="292"/>
      <c r="J545" s="40" t="str">
        <f t="shared" si="13"/>
        <v/>
      </c>
    </row>
    <row r="546" spans="1:10" ht="15" customHeight="1">
      <c r="A546" s="309"/>
      <c r="B546" s="1"/>
      <c r="C546" s="287"/>
      <c r="D546" s="287"/>
      <c r="E546" s="25"/>
      <c r="F546" s="299"/>
      <c r="H546" s="126"/>
      <c r="I546" s="292"/>
      <c r="J546" s="40" t="str">
        <f t="shared" si="13"/>
        <v/>
      </c>
    </row>
    <row r="547" spans="1:10" ht="15" customHeight="1">
      <c r="A547" s="309"/>
      <c r="B547" s="1"/>
      <c r="C547" s="287"/>
      <c r="D547" s="287"/>
      <c r="E547" s="25"/>
      <c r="F547" s="299"/>
      <c r="H547" s="126"/>
      <c r="I547" s="292"/>
      <c r="J547" s="40" t="str">
        <f t="shared" si="13"/>
        <v/>
      </c>
    </row>
    <row r="548" spans="1:10" ht="15" customHeight="1">
      <c r="A548" s="309"/>
      <c r="B548" s="1"/>
      <c r="C548" s="287"/>
      <c r="D548" s="287"/>
      <c r="E548" s="25"/>
      <c r="F548" s="299"/>
      <c r="H548" s="126"/>
      <c r="I548" s="292"/>
      <c r="J548" s="40" t="str">
        <f t="shared" si="13"/>
        <v/>
      </c>
    </row>
    <row r="549" spans="1:10" ht="15" customHeight="1">
      <c r="A549" s="309"/>
      <c r="B549" s="1"/>
      <c r="C549" s="287"/>
      <c r="D549" s="287"/>
      <c r="E549" s="25"/>
      <c r="F549" s="299"/>
      <c r="H549" s="126"/>
      <c r="I549" s="292"/>
      <c r="J549" s="40" t="str">
        <f t="shared" si="13"/>
        <v/>
      </c>
    </row>
    <row r="550" spans="1:10" ht="15" customHeight="1">
      <c r="A550" s="309"/>
      <c r="B550" s="1"/>
      <c r="C550" s="287"/>
      <c r="D550" s="287"/>
      <c r="E550" s="25"/>
      <c r="F550" s="299"/>
      <c r="H550" s="126"/>
      <c r="I550" s="292"/>
      <c r="J550" s="40" t="str">
        <f t="shared" si="13"/>
        <v/>
      </c>
    </row>
    <row r="551" spans="1:10" ht="15" customHeight="1">
      <c r="A551" s="309"/>
      <c r="B551" s="1"/>
      <c r="C551" s="287"/>
      <c r="D551" s="287"/>
      <c r="E551" s="25"/>
      <c r="F551" s="299"/>
      <c r="H551" s="126"/>
      <c r="I551" s="292"/>
      <c r="J551" s="40" t="str">
        <f t="shared" si="13"/>
        <v/>
      </c>
    </row>
    <row r="552" spans="1:10" ht="15" customHeight="1">
      <c r="A552" s="309"/>
      <c r="B552" s="1"/>
      <c r="C552" s="287"/>
      <c r="D552" s="287"/>
      <c r="E552" s="25"/>
      <c r="F552" s="299"/>
      <c r="H552" s="126"/>
      <c r="I552" s="292"/>
      <c r="J552" s="40" t="str">
        <f t="shared" si="13"/>
        <v/>
      </c>
    </row>
    <row r="553" spans="1:10" ht="15" customHeight="1">
      <c r="A553" s="309"/>
      <c r="B553" s="1"/>
      <c r="C553" s="287"/>
      <c r="D553" s="287"/>
      <c r="E553" s="25"/>
      <c r="F553" s="299"/>
      <c r="H553" s="126"/>
      <c r="I553" s="292"/>
      <c r="J553" s="40" t="str">
        <f t="shared" si="13"/>
        <v/>
      </c>
    </row>
    <row r="554" spans="1:10" ht="15" customHeight="1">
      <c r="A554" s="309"/>
      <c r="B554" s="1"/>
      <c r="C554" s="287"/>
      <c r="D554" s="287"/>
      <c r="E554" s="25"/>
      <c r="F554" s="299"/>
      <c r="H554" s="126"/>
      <c r="I554" s="292"/>
      <c r="J554" s="40" t="str">
        <f t="shared" si="13"/>
        <v/>
      </c>
    </row>
    <row r="555" spans="1:10" ht="15" customHeight="1">
      <c r="A555" s="309"/>
      <c r="B555" s="1"/>
      <c r="C555" s="287"/>
      <c r="D555" s="287"/>
      <c r="E555" s="25"/>
      <c r="F555" s="299"/>
      <c r="H555" s="126"/>
      <c r="I555" s="292"/>
      <c r="J555" s="40" t="str">
        <f t="shared" si="13"/>
        <v/>
      </c>
    </row>
    <row r="556" spans="1:10" ht="15" customHeight="1">
      <c r="A556" s="309"/>
      <c r="B556" s="1"/>
      <c r="C556" s="287"/>
      <c r="D556" s="287"/>
      <c r="E556" s="25"/>
      <c r="F556" s="299"/>
      <c r="H556" s="126"/>
      <c r="I556" s="292"/>
      <c r="J556" s="40" t="str">
        <f t="shared" si="13"/>
        <v/>
      </c>
    </row>
    <row r="557" spans="1:10" ht="15" customHeight="1">
      <c r="A557" s="309"/>
      <c r="B557" s="1"/>
      <c r="C557" s="287"/>
      <c r="D557" s="287"/>
      <c r="E557" s="25"/>
      <c r="F557" s="299"/>
      <c r="H557" s="126"/>
      <c r="I557" s="292"/>
      <c r="J557" s="40" t="str">
        <f t="shared" si="13"/>
        <v/>
      </c>
    </row>
    <row r="558" spans="1:10" ht="15" customHeight="1">
      <c r="A558" s="309"/>
      <c r="B558" s="1"/>
      <c r="C558" s="287"/>
      <c r="D558" s="287"/>
      <c r="E558" s="25"/>
      <c r="F558" s="299"/>
      <c r="H558" s="126"/>
      <c r="I558" s="292"/>
      <c r="J558" s="40" t="str">
        <f t="shared" si="13"/>
        <v/>
      </c>
    </row>
    <row r="559" spans="1:10" ht="15" customHeight="1">
      <c r="A559" s="309"/>
      <c r="B559" s="1"/>
      <c r="C559" s="287"/>
      <c r="D559" s="287"/>
      <c r="E559" s="25"/>
      <c r="F559" s="299"/>
      <c r="H559" s="126"/>
      <c r="I559" s="292"/>
      <c r="J559" s="40" t="str">
        <f t="shared" si="13"/>
        <v/>
      </c>
    </row>
    <row r="560" spans="1:10" ht="15" customHeight="1">
      <c r="A560" s="309"/>
      <c r="B560" s="1"/>
      <c r="C560" s="287"/>
      <c r="D560" s="287"/>
      <c r="E560" s="25"/>
      <c r="F560" s="299"/>
      <c r="H560" s="126"/>
      <c r="I560" s="292"/>
      <c r="J560" s="40" t="str">
        <f t="shared" si="13"/>
        <v/>
      </c>
    </row>
    <row r="561" spans="1:10" ht="15" customHeight="1">
      <c r="A561" s="309"/>
      <c r="B561" s="1"/>
      <c r="C561" s="287"/>
      <c r="D561" s="287"/>
      <c r="E561" s="25"/>
      <c r="F561" s="299"/>
      <c r="H561" s="126"/>
      <c r="I561" s="292"/>
      <c r="J561" s="40" t="str">
        <f t="shared" si="13"/>
        <v/>
      </c>
    </row>
    <row r="562" spans="1:10" ht="15" customHeight="1">
      <c r="A562" s="309"/>
      <c r="B562" s="1"/>
      <c r="C562" s="287"/>
      <c r="D562" s="287"/>
      <c r="E562" s="25"/>
      <c r="F562" s="299"/>
      <c r="H562" s="126"/>
      <c r="I562" s="292"/>
      <c r="J562" s="40" t="str">
        <f t="shared" si="13"/>
        <v/>
      </c>
    </row>
    <row r="563" spans="1:10" ht="15" customHeight="1">
      <c r="A563" s="309"/>
      <c r="B563" s="1"/>
      <c r="C563" s="287"/>
      <c r="D563" s="287"/>
      <c r="E563" s="25"/>
      <c r="F563" s="299"/>
      <c r="H563" s="126"/>
      <c r="I563" s="292"/>
      <c r="J563" s="40" t="str">
        <f t="shared" si="13"/>
        <v/>
      </c>
    </row>
    <row r="564" spans="1:10" ht="15" customHeight="1">
      <c r="A564" s="309"/>
      <c r="B564" s="1"/>
      <c r="C564" s="287"/>
      <c r="D564" s="287"/>
      <c r="E564" s="25"/>
      <c r="F564" s="299"/>
      <c r="H564" s="126"/>
      <c r="I564" s="292"/>
      <c r="J564" s="40" t="str">
        <f t="shared" si="13"/>
        <v/>
      </c>
    </row>
    <row r="565" spans="1:10" ht="15" customHeight="1">
      <c r="A565" s="309"/>
      <c r="B565" s="1"/>
      <c r="C565" s="287"/>
      <c r="D565" s="287"/>
      <c r="E565" s="25"/>
      <c r="F565" s="299"/>
      <c r="H565" s="126"/>
      <c r="I565" s="292"/>
      <c r="J565" s="40" t="str">
        <f t="shared" si="13"/>
        <v/>
      </c>
    </row>
    <row r="566" spans="1:10" ht="15" customHeight="1">
      <c r="A566" s="309"/>
      <c r="B566" s="1"/>
      <c r="C566" s="287"/>
      <c r="D566" s="287"/>
      <c r="E566" s="25"/>
      <c r="F566" s="299"/>
      <c r="H566" s="126"/>
      <c r="I566" s="292"/>
      <c r="J566" s="40" t="str">
        <f t="shared" si="13"/>
        <v/>
      </c>
    </row>
    <row r="567" spans="1:10" ht="15" customHeight="1">
      <c r="A567" s="309"/>
      <c r="B567" s="1"/>
      <c r="C567" s="287"/>
      <c r="D567" s="287"/>
      <c r="E567" s="25"/>
      <c r="F567" s="299"/>
      <c r="H567" s="126"/>
      <c r="I567" s="292"/>
      <c r="J567" s="40" t="str">
        <f t="shared" si="13"/>
        <v/>
      </c>
    </row>
    <row r="568" spans="1:10" ht="15" customHeight="1">
      <c r="A568" s="309"/>
      <c r="B568" s="1"/>
      <c r="C568" s="287"/>
      <c r="D568" s="287"/>
      <c r="E568" s="25"/>
      <c r="F568" s="299"/>
      <c r="H568" s="126"/>
      <c r="I568" s="292"/>
      <c r="J568" s="40" t="str">
        <f t="shared" ref="J568:J631" si="14">IF(E568=0,"",$J$20)</f>
        <v/>
      </c>
    </row>
    <row r="569" spans="1:10" ht="15" customHeight="1">
      <c r="A569" s="309"/>
      <c r="B569" s="1"/>
      <c r="C569" s="287"/>
      <c r="D569" s="287"/>
      <c r="E569" s="25"/>
      <c r="F569" s="299"/>
      <c r="H569" s="126"/>
      <c r="I569" s="292"/>
      <c r="J569" s="40" t="str">
        <f t="shared" si="14"/>
        <v/>
      </c>
    </row>
    <row r="570" spans="1:10" ht="15" customHeight="1">
      <c r="A570" s="309"/>
      <c r="B570" s="1"/>
      <c r="C570" s="287"/>
      <c r="D570" s="287"/>
      <c r="E570" s="25"/>
      <c r="F570" s="299"/>
      <c r="H570" s="126"/>
      <c r="I570" s="292"/>
      <c r="J570" s="40" t="str">
        <f t="shared" si="14"/>
        <v/>
      </c>
    </row>
    <row r="571" spans="1:10" ht="15" customHeight="1">
      <c r="A571" s="309"/>
      <c r="B571" s="1"/>
      <c r="C571" s="287"/>
      <c r="D571" s="287"/>
      <c r="E571" s="25"/>
      <c r="F571" s="299"/>
      <c r="H571" s="126"/>
      <c r="I571" s="292"/>
      <c r="J571" s="40" t="str">
        <f t="shared" si="14"/>
        <v/>
      </c>
    </row>
    <row r="572" spans="1:10" ht="15" customHeight="1">
      <c r="A572" s="309"/>
      <c r="B572" s="1"/>
      <c r="C572" s="287"/>
      <c r="D572" s="287"/>
      <c r="E572" s="25"/>
      <c r="F572" s="299"/>
      <c r="H572" s="126"/>
      <c r="I572" s="292"/>
      <c r="J572" s="40" t="str">
        <f t="shared" si="14"/>
        <v/>
      </c>
    </row>
    <row r="573" spans="1:10" ht="15" customHeight="1">
      <c r="A573" s="309"/>
      <c r="B573" s="1"/>
      <c r="C573" s="287"/>
      <c r="D573" s="287"/>
      <c r="E573" s="25"/>
      <c r="F573" s="299"/>
      <c r="H573" s="126"/>
      <c r="I573" s="292"/>
      <c r="J573" s="40" t="str">
        <f t="shared" si="14"/>
        <v/>
      </c>
    </row>
    <row r="574" spans="1:10" ht="15" customHeight="1">
      <c r="A574" s="309"/>
      <c r="B574" s="1"/>
      <c r="C574" s="287"/>
      <c r="D574" s="287"/>
      <c r="E574" s="25"/>
      <c r="F574" s="299"/>
      <c r="H574" s="126"/>
      <c r="I574" s="292"/>
      <c r="J574" s="40" t="str">
        <f t="shared" si="14"/>
        <v/>
      </c>
    </row>
    <row r="575" spans="1:10" ht="15" customHeight="1">
      <c r="A575" s="309"/>
      <c r="B575" s="1"/>
      <c r="C575" s="287"/>
      <c r="D575" s="287"/>
      <c r="E575" s="25"/>
      <c r="F575" s="299"/>
      <c r="H575" s="126"/>
      <c r="I575" s="292"/>
      <c r="J575" s="40" t="str">
        <f t="shared" si="14"/>
        <v/>
      </c>
    </row>
    <row r="576" spans="1:10" ht="15" customHeight="1">
      <c r="A576" s="309"/>
      <c r="B576" s="1"/>
      <c r="C576" s="287"/>
      <c r="D576" s="287"/>
      <c r="E576" s="25"/>
      <c r="F576" s="299"/>
      <c r="H576" s="126"/>
      <c r="I576" s="292"/>
      <c r="J576" s="40" t="str">
        <f t="shared" si="14"/>
        <v/>
      </c>
    </row>
    <row r="577" spans="1:10" ht="15" customHeight="1">
      <c r="A577" s="309"/>
      <c r="B577" s="1"/>
      <c r="C577" s="287"/>
      <c r="D577" s="287"/>
      <c r="E577" s="25"/>
      <c r="F577" s="299"/>
      <c r="H577" s="126"/>
      <c r="I577" s="292"/>
      <c r="J577" s="40" t="str">
        <f t="shared" si="14"/>
        <v/>
      </c>
    </row>
    <row r="578" spans="1:10" ht="15" customHeight="1">
      <c r="A578" s="309"/>
      <c r="B578" s="1"/>
      <c r="C578" s="287"/>
      <c r="D578" s="287"/>
      <c r="E578" s="25"/>
      <c r="F578" s="299"/>
      <c r="H578" s="126"/>
      <c r="I578" s="292"/>
      <c r="J578" s="40" t="str">
        <f t="shared" si="14"/>
        <v/>
      </c>
    </row>
    <row r="579" spans="1:10" ht="15" customHeight="1">
      <c r="A579" s="309"/>
      <c r="B579" s="1"/>
      <c r="C579" s="287"/>
      <c r="D579" s="287"/>
      <c r="E579" s="25"/>
      <c r="F579" s="299"/>
      <c r="H579" s="126"/>
      <c r="I579" s="292"/>
      <c r="J579" s="40" t="str">
        <f t="shared" si="14"/>
        <v/>
      </c>
    </row>
    <row r="580" spans="1:10" ht="15" customHeight="1">
      <c r="A580" s="309"/>
      <c r="B580" s="1"/>
      <c r="C580" s="287"/>
      <c r="D580" s="287"/>
      <c r="E580" s="25"/>
      <c r="F580" s="299"/>
      <c r="H580" s="126"/>
      <c r="I580" s="292"/>
      <c r="J580" s="40" t="str">
        <f t="shared" si="14"/>
        <v/>
      </c>
    </row>
    <row r="581" spans="1:10" ht="15" customHeight="1">
      <c r="A581" s="309"/>
      <c r="B581" s="1"/>
      <c r="C581" s="287"/>
      <c r="D581" s="287"/>
      <c r="E581" s="25"/>
      <c r="F581" s="299"/>
      <c r="H581" s="126"/>
      <c r="I581" s="292"/>
      <c r="J581" s="40" t="str">
        <f t="shared" si="14"/>
        <v/>
      </c>
    </row>
    <row r="582" spans="1:10" ht="15" customHeight="1">
      <c r="A582" s="309"/>
      <c r="B582" s="1"/>
      <c r="C582" s="287"/>
      <c r="D582" s="287"/>
      <c r="E582" s="25"/>
      <c r="F582" s="299"/>
      <c r="H582" s="126"/>
      <c r="I582" s="292"/>
      <c r="J582" s="40" t="str">
        <f t="shared" si="14"/>
        <v/>
      </c>
    </row>
    <row r="583" spans="1:10" ht="15" customHeight="1">
      <c r="A583" s="309"/>
      <c r="B583" s="1"/>
      <c r="C583" s="287"/>
      <c r="D583" s="287"/>
      <c r="E583" s="25"/>
      <c r="F583" s="299"/>
      <c r="H583" s="126"/>
      <c r="I583" s="292"/>
      <c r="J583" s="40" t="str">
        <f t="shared" si="14"/>
        <v/>
      </c>
    </row>
    <row r="584" spans="1:10" ht="15" customHeight="1">
      <c r="A584" s="309"/>
      <c r="B584" s="1"/>
      <c r="C584" s="287"/>
      <c r="D584" s="287"/>
      <c r="E584" s="25"/>
      <c r="F584" s="299"/>
      <c r="H584" s="126"/>
      <c r="I584" s="292"/>
      <c r="J584" s="40" t="str">
        <f t="shared" si="14"/>
        <v/>
      </c>
    </row>
    <row r="585" spans="1:10" ht="15" customHeight="1">
      <c r="A585" s="309"/>
      <c r="B585" s="1"/>
      <c r="C585" s="287"/>
      <c r="D585" s="287"/>
      <c r="E585" s="25"/>
      <c r="F585" s="299"/>
      <c r="H585" s="126"/>
      <c r="I585" s="292"/>
      <c r="J585" s="40" t="str">
        <f t="shared" si="14"/>
        <v/>
      </c>
    </row>
    <row r="586" spans="1:10" ht="15" customHeight="1">
      <c r="A586" s="309"/>
      <c r="B586" s="1"/>
      <c r="C586" s="287"/>
      <c r="D586" s="287"/>
      <c r="E586" s="25"/>
      <c r="F586" s="299"/>
      <c r="H586" s="126"/>
      <c r="I586" s="292"/>
      <c r="J586" s="40" t="str">
        <f t="shared" si="14"/>
        <v/>
      </c>
    </row>
    <row r="587" spans="1:10" ht="15" customHeight="1">
      <c r="A587" s="309"/>
      <c r="B587" s="1"/>
      <c r="C587" s="287"/>
      <c r="D587" s="287"/>
      <c r="E587" s="25"/>
      <c r="F587" s="299"/>
      <c r="H587" s="126"/>
      <c r="I587" s="292"/>
      <c r="J587" s="40" t="str">
        <f t="shared" si="14"/>
        <v/>
      </c>
    </row>
    <row r="588" spans="1:10" ht="15" customHeight="1">
      <c r="A588" s="309"/>
      <c r="B588" s="1"/>
      <c r="C588" s="287"/>
      <c r="D588" s="287"/>
      <c r="E588" s="25"/>
      <c r="F588" s="299"/>
      <c r="H588" s="126"/>
      <c r="I588" s="292"/>
      <c r="J588" s="40" t="str">
        <f t="shared" si="14"/>
        <v/>
      </c>
    </row>
    <row r="589" spans="1:10" ht="15" customHeight="1">
      <c r="A589" s="309"/>
      <c r="B589" s="1"/>
      <c r="C589" s="287"/>
      <c r="D589" s="287"/>
      <c r="E589" s="25"/>
      <c r="F589" s="299"/>
      <c r="H589" s="126"/>
      <c r="I589" s="292"/>
      <c r="J589" s="40" t="str">
        <f t="shared" si="14"/>
        <v/>
      </c>
    </row>
    <row r="590" spans="1:10" ht="15" customHeight="1">
      <c r="A590" s="309"/>
      <c r="B590" s="1"/>
      <c r="C590" s="287"/>
      <c r="D590" s="287"/>
      <c r="E590" s="25"/>
      <c r="F590" s="299"/>
      <c r="H590" s="126"/>
      <c r="I590" s="292"/>
      <c r="J590" s="40" t="str">
        <f t="shared" si="14"/>
        <v/>
      </c>
    </row>
    <row r="591" spans="1:10" ht="15" customHeight="1">
      <c r="A591" s="309"/>
      <c r="B591" s="1"/>
      <c r="C591" s="287"/>
      <c r="D591" s="287"/>
      <c r="E591" s="25"/>
      <c r="F591" s="299"/>
      <c r="H591" s="126"/>
      <c r="I591" s="292"/>
      <c r="J591" s="40" t="str">
        <f t="shared" si="14"/>
        <v/>
      </c>
    </row>
    <row r="592" spans="1:10" ht="15" customHeight="1">
      <c r="A592" s="309"/>
      <c r="B592" s="1"/>
      <c r="C592" s="287"/>
      <c r="D592" s="287"/>
      <c r="E592" s="25"/>
      <c r="F592" s="299"/>
      <c r="H592" s="126"/>
      <c r="I592" s="292"/>
      <c r="J592" s="40" t="str">
        <f t="shared" si="14"/>
        <v/>
      </c>
    </row>
    <row r="593" spans="1:10" ht="15" customHeight="1">
      <c r="A593" s="309"/>
      <c r="B593" s="1"/>
      <c r="C593" s="287"/>
      <c r="D593" s="287"/>
      <c r="E593" s="25"/>
      <c r="F593" s="299"/>
      <c r="H593" s="126"/>
      <c r="I593" s="292"/>
      <c r="J593" s="40" t="str">
        <f t="shared" si="14"/>
        <v/>
      </c>
    </row>
    <row r="594" spans="1:10" ht="15" customHeight="1">
      <c r="A594" s="309"/>
      <c r="B594" s="1"/>
      <c r="C594" s="287"/>
      <c r="D594" s="287"/>
      <c r="E594" s="25"/>
      <c r="F594" s="299"/>
      <c r="H594" s="126"/>
      <c r="I594" s="292"/>
      <c r="J594" s="40" t="str">
        <f t="shared" si="14"/>
        <v/>
      </c>
    </row>
    <row r="595" spans="1:10" ht="15" customHeight="1">
      <c r="A595" s="309"/>
      <c r="B595" s="1"/>
      <c r="C595" s="287"/>
      <c r="D595" s="287"/>
      <c r="E595" s="25"/>
      <c r="F595" s="299"/>
      <c r="H595" s="126"/>
      <c r="I595" s="292"/>
      <c r="J595" s="40" t="str">
        <f t="shared" si="14"/>
        <v/>
      </c>
    </row>
    <row r="596" spans="1:10" ht="15" customHeight="1">
      <c r="A596" s="309"/>
      <c r="B596" s="1"/>
      <c r="C596" s="287"/>
      <c r="D596" s="287"/>
      <c r="E596" s="25"/>
      <c r="F596" s="299"/>
      <c r="H596" s="126"/>
      <c r="I596" s="292"/>
      <c r="J596" s="40" t="str">
        <f t="shared" si="14"/>
        <v/>
      </c>
    </row>
    <row r="597" spans="1:10" ht="15" customHeight="1">
      <c r="A597" s="309"/>
      <c r="B597" s="1"/>
      <c r="C597" s="287"/>
      <c r="D597" s="287"/>
      <c r="E597" s="25"/>
      <c r="F597" s="299"/>
      <c r="H597" s="126"/>
      <c r="I597" s="292"/>
      <c r="J597" s="40" t="str">
        <f t="shared" si="14"/>
        <v/>
      </c>
    </row>
    <row r="598" spans="1:10" ht="15" customHeight="1">
      <c r="A598" s="309"/>
      <c r="B598" s="1"/>
      <c r="C598" s="287"/>
      <c r="D598" s="287"/>
      <c r="E598" s="25"/>
      <c r="F598" s="299"/>
      <c r="H598" s="126"/>
      <c r="I598" s="292"/>
      <c r="J598" s="40" t="str">
        <f t="shared" si="14"/>
        <v/>
      </c>
    </row>
    <row r="599" spans="1:10" ht="15" customHeight="1">
      <c r="A599" s="309"/>
      <c r="B599" s="1"/>
      <c r="C599" s="287"/>
      <c r="D599" s="287"/>
      <c r="E599" s="25"/>
      <c r="F599" s="299"/>
      <c r="H599" s="126"/>
      <c r="I599" s="292"/>
      <c r="J599" s="40" t="str">
        <f t="shared" si="14"/>
        <v/>
      </c>
    </row>
    <row r="600" spans="1:10" ht="15" customHeight="1">
      <c r="A600" s="309"/>
      <c r="B600" s="1"/>
      <c r="C600" s="287"/>
      <c r="D600" s="287"/>
      <c r="E600" s="25"/>
      <c r="F600" s="299"/>
      <c r="H600" s="126"/>
      <c r="I600" s="292"/>
      <c r="J600" s="40" t="str">
        <f t="shared" si="14"/>
        <v/>
      </c>
    </row>
    <row r="601" spans="1:10" ht="15" customHeight="1">
      <c r="A601" s="309"/>
      <c r="B601" s="1"/>
      <c r="C601" s="287"/>
      <c r="D601" s="287"/>
      <c r="E601" s="25"/>
      <c r="F601" s="299"/>
      <c r="H601" s="126"/>
      <c r="I601" s="292"/>
      <c r="J601" s="40" t="str">
        <f t="shared" si="14"/>
        <v/>
      </c>
    </row>
    <row r="602" spans="1:10" ht="15" customHeight="1">
      <c r="A602" s="309"/>
      <c r="B602" s="1"/>
      <c r="C602" s="287"/>
      <c r="D602" s="287"/>
      <c r="E602" s="25"/>
      <c r="F602" s="299"/>
      <c r="H602" s="126"/>
      <c r="I602" s="292"/>
      <c r="J602" s="40" t="str">
        <f t="shared" si="14"/>
        <v/>
      </c>
    </row>
    <row r="603" spans="1:10" ht="15" customHeight="1">
      <c r="A603" s="309"/>
      <c r="B603" s="1"/>
      <c r="C603" s="287"/>
      <c r="D603" s="287"/>
      <c r="E603" s="25"/>
      <c r="F603" s="299"/>
      <c r="H603" s="126"/>
      <c r="I603" s="292"/>
      <c r="J603" s="40" t="str">
        <f t="shared" si="14"/>
        <v/>
      </c>
    </row>
    <row r="604" spans="1:10" ht="15" customHeight="1">
      <c r="A604" s="309"/>
      <c r="B604" s="1"/>
      <c r="C604" s="287"/>
      <c r="D604" s="287"/>
      <c r="E604" s="25"/>
      <c r="F604" s="299"/>
      <c r="H604" s="126"/>
      <c r="I604" s="292"/>
      <c r="J604" s="40" t="str">
        <f t="shared" si="14"/>
        <v/>
      </c>
    </row>
    <row r="605" spans="1:10" ht="15" customHeight="1">
      <c r="A605" s="309"/>
      <c r="B605" s="1"/>
      <c r="C605" s="287"/>
      <c r="D605" s="287"/>
      <c r="E605" s="25"/>
      <c r="F605" s="299"/>
      <c r="H605" s="126"/>
      <c r="I605" s="292"/>
      <c r="J605" s="40" t="str">
        <f t="shared" si="14"/>
        <v/>
      </c>
    </row>
    <row r="606" spans="1:10" ht="15" customHeight="1">
      <c r="A606" s="309"/>
      <c r="B606" s="1"/>
      <c r="C606" s="287"/>
      <c r="D606" s="287"/>
      <c r="E606" s="25"/>
      <c r="F606" s="299"/>
      <c r="H606" s="126"/>
      <c r="I606" s="292"/>
      <c r="J606" s="40" t="str">
        <f t="shared" si="14"/>
        <v/>
      </c>
    </row>
    <row r="607" spans="1:10" ht="15" customHeight="1">
      <c r="A607" s="309"/>
      <c r="B607" s="1"/>
      <c r="C607" s="287"/>
      <c r="D607" s="287"/>
      <c r="E607" s="25"/>
      <c r="F607" s="299"/>
      <c r="H607" s="126"/>
      <c r="I607" s="292"/>
      <c r="J607" s="40" t="str">
        <f t="shared" si="14"/>
        <v/>
      </c>
    </row>
    <row r="608" spans="1:10" ht="15" customHeight="1">
      <c r="A608" s="309"/>
      <c r="B608" s="1"/>
      <c r="C608" s="287"/>
      <c r="D608" s="287"/>
      <c r="E608" s="25"/>
      <c r="F608" s="299"/>
      <c r="H608" s="126"/>
      <c r="I608" s="292"/>
      <c r="J608" s="40" t="str">
        <f t="shared" si="14"/>
        <v/>
      </c>
    </row>
    <row r="609" spans="1:10" ht="15" customHeight="1">
      <c r="A609" s="309"/>
      <c r="B609" s="1"/>
      <c r="C609" s="287"/>
      <c r="D609" s="287"/>
      <c r="E609" s="25"/>
      <c r="F609" s="299"/>
      <c r="H609" s="126"/>
      <c r="I609" s="292"/>
      <c r="J609" s="40" t="str">
        <f t="shared" si="14"/>
        <v/>
      </c>
    </row>
    <row r="610" spans="1:10" ht="15" customHeight="1">
      <c r="A610" s="309"/>
      <c r="B610" s="1"/>
      <c r="C610" s="287"/>
      <c r="D610" s="287"/>
      <c r="E610" s="25"/>
      <c r="F610" s="299"/>
      <c r="H610" s="126"/>
      <c r="I610" s="292"/>
      <c r="J610" s="40" t="str">
        <f t="shared" si="14"/>
        <v/>
      </c>
    </row>
    <row r="611" spans="1:10" ht="15" customHeight="1">
      <c r="A611" s="309"/>
      <c r="B611" s="1"/>
      <c r="C611" s="287"/>
      <c r="D611" s="287"/>
      <c r="E611" s="25"/>
      <c r="F611" s="299"/>
      <c r="H611" s="126"/>
      <c r="I611" s="292"/>
      <c r="J611" s="40" t="str">
        <f t="shared" si="14"/>
        <v/>
      </c>
    </row>
    <row r="612" spans="1:10" ht="15" customHeight="1">
      <c r="A612" s="309"/>
      <c r="B612" s="1"/>
      <c r="C612" s="287"/>
      <c r="D612" s="287"/>
      <c r="E612" s="25"/>
      <c r="F612" s="299"/>
      <c r="H612" s="126"/>
      <c r="I612" s="292"/>
      <c r="J612" s="40" t="str">
        <f t="shared" si="14"/>
        <v/>
      </c>
    </row>
    <row r="613" spans="1:10" ht="15" customHeight="1">
      <c r="A613" s="309"/>
      <c r="B613" s="1"/>
      <c r="C613" s="287"/>
      <c r="D613" s="287"/>
      <c r="E613" s="25"/>
      <c r="F613" s="299"/>
      <c r="H613" s="126"/>
      <c r="I613" s="292"/>
      <c r="J613" s="40" t="str">
        <f t="shared" si="14"/>
        <v/>
      </c>
    </row>
    <row r="614" spans="1:10" ht="15" customHeight="1">
      <c r="A614" s="309"/>
      <c r="B614" s="1"/>
      <c r="C614" s="287"/>
      <c r="D614" s="287"/>
      <c r="E614" s="25"/>
      <c r="F614" s="299"/>
      <c r="H614" s="126"/>
      <c r="I614" s="292"/>
      <c r="J614" s="40" t="str">
        <f t="shared" si="14"/>
        <v/>
      </c>
    </row>
    <row r="615" spans="1:10" ht="15" customHeight="1">
      <c r="A615" s="309"/>
      <c r="B615" s="1"/>
      <c r="C615" s="287"/>
      <c r="D615" s="287"/>
      <c r="E615" s="25"/>
      <c r="F615" s="299"/>
      <c r="H615" s="126"/>
      <c r="I615" s="292"/>
      <c r="J615" s="40" t="str">
        <f t="shared" si="14"/>
        <v/>
      </c>
    </row>
    <row r="616" spans="1:10" ht="15" customHeight="1">
      <c r="A616" s="309"/>
      <c r="B616" s="1"/>
      <c r="C616" s="287"/>
      <c r="D616" s="287"/>
      <c r="E616" s="25"/>
      <c r="F616" s="299"/>
      <c r="H616" s="126"/>
      <c r="I616" s="292"/>
      <c r="J616" s="40" t="str">
        <f t="shared" si="14"/>
        <v/>
      </c>
    </row>
    <row r="617" spans="1:10" ht="15" customHeight="1">
      <c r="A617" s="309"/>
      <c r="B617" s="1"/>
      <c r="C617" s="287"/>
      <c r="D617" s="287"/>
      <c r="E617" s="25"/>
      <c r="F617" s="299"/>
      <c r="H617" s="126"/>
      <c r="I617" s="292"/>
      <c r="J617" s="40" t="str">
        <f t="shared" si="14"/>
        <v/>
      </c>
    </row>
    <row r="618" spans="1:10" ht="15" customHeight="1">
      <c r="A618" s="309"/>
      <c r="B618" s="1"/>
      <c r="C618" s="287"/>
      <c r="D618" s="287"/>
      <c r="E618" s="25"/>
      <c r="F618" s="299"/>
      <c r="H618" s="126"/>
      <c r="I618" s="292"/>
      <c r="J618" s="40" t="str">
        <f t="shared" si="14"/>
        <v/>
      </c>
    </row>
    <row r="619" spans="1:10" ht="15" customHeight="1">
      <c r="A619" s="309"/>
      <c r="B619" s="1"/>
      <c r="C619" s="287"/>
      <c r="D619" s="287"/>
      <c r="E619" s="25"/>
      <c r="F619" s="299"/>
      <c r="H619" s="126"/>
      <c r="I619" s="292"/>
      <c r="J619" s="40" t="str">
        <f t="shared" si="14"/>
        <v/>
      </c>
    </row>
    <row r="620" spans="1:10" ht="15" customHeight="1">
      <c r="A620" s="309"/>
      <c r="B620" s="1"/>
      <c r="C620" s="287"/>
      <c r="D620" s="287"/>
      <c r="E620" s="25"/>
      <c r="F620" s="299"/>
      <c r="H620" s="126"/>
      <c r="I620" s="292"/>
      <c r="J620" s="40" t="str">
        <f t="shared" si="14"/>
        <v/>
      </c>
    </row>
    <row r="621" spans="1:10" ht="15" customHeight="1">
      <c r="A621" s="309"/>
      <c r="B621" s="1"/>
      <c r="C621" s="287"/>
      <c r="D621" s="287"/>
      <c r="E621" s="25"/>
      <c r="F621" s="299"/>
      <c r="H621" s="126"/>
      <c r="I621" s="292"/>
      <c r="J621" s="40" t="str">
        <f t="shared" si="14"/>
        <v/>
      </c>
    </row>
    <row r="622" spans="1:10" ht="15" customHeight="1">
      <c r="A622" s="309"/>
      <c r="B622" s="1"/>
      <c r="C622" s="287"/>
      <c r="D622" s="287"/>
      <c r="E622" s="25"/>
      <c r="F622" s="299"/>
      <c r="H622" s="126"/>
      <c r="I622" s="292"/>
      <c r="J622" s="40" t="str">
        <f t="shared" si="14"/>
        <v/>
      </c>
    </row>
    <row r="623" spans="1:10" ht="15" customHeight="1">
      <c r="A623" s="309"/>
      <c r="B623" s="1"/>
      <c r="C623" s="287"/>
      <c r="D623" s="287"/>
      <c r="E623" s="25"/>
      <c r="F623" s="299"/>
      <c r="H623" s="126"/>
      <c r="I623" s="292"/>
      <c r="J623" s="40" t="str">
        <f t="shared" si="14"/>
        <v/>
      </c>
    </row>
    <row r="624" spans="1:10" ht="15" customHeight="1">
      <c r="A624" s="309"/>
      <c r="B624" s="1"/>
      <c r="C624" s="287"/>
      <c r="D624" s="287"/>
      <c r="E624" s="25"/>
      <c r="F624" s="299"/>
      <c r="H624" s="126"/>
      <c r="I624" s="292"/>
      <c r="J624" s="40" t="str">
        <f t="shared" si="14"/>
        <v/>
      </c>
    </row>
    <row r="625" spans="1:10" ht="15" customHeight="1">
      <c r="A625" s="309"/>
      <c r="B625" s="1"/>
      <c r="C625" s="287"/>
      <c r="D625" s="287"/>
      <c r="E625" s="25"/>
      <c r="F625" s="299"/>
      <c r="H625" s="126"/>
      <c r="I625" s="292"/>
      <c r="J625" s="40" t="str">
        <f t="shared" si="14"/>
        <v/>
      </c>
    </row>
    <row r="626" spans="1:10" ht="15" customHeight="1">
      <c r="A626" s="309"/>
      <c r="B626" s="1"/>
      <c r="C626" s="287"/>
      <c r="D626" s="287"/>
      <c r="E626" s="25"/>
      <c r="F626" s="299"/>
      <c r="H626" s="126"/>
      <c r="I626" s="292"/>
      <c r="J626" s="40" t="str">
        <f t="shared" si="14"/>
        <v/>
      </c>
    </row>
    <row r="627" spans="1:10" ht="15" customHeight="1">
      <c r="A627" s="309"/>
      <c r="B627" s="1"/>
      <c r="C627" s="287"/>
      <c r="D627" s="287"/>
      <c r="E627" s="25"/>
      <c r="F627" s="299"/>
      <c r="H627" s="126"/>
      <c r="I627" s="292"/>
      <c r="J627" s="40" t="str">
        <f t="shared" si="14"/>
        <v/>
      </c>
    </row>
    <row r="628" spans="1:10" ht="15" customHeight="1">
      <c r="A628" s="309"/>
      <c r="B628" s="1"/>
      <c r="C628" s="287"/>
      <c r="D628" s="287"/>
      <c r="E628" s="25"/>
      <c r="F628" s="299"/>
      <c r="H628" s="126"/>
      <c r="I628" s="292"/>
      <c r="J628" s="40" t="str">
        <f t="shared" si="14"/>
        <v/>
      </c>
    </row>
    <row r="629" spans="1:10" ht="15" customHeight="1">
      <c r="A629" s="309"/>
      <c r="B629" s="1"/>
      <c r="C629" s="287"/>
      <c r="D629" s="287"/>
      <c r="E629" s="25"/>
      <c r="F629" s="299"/>
      <c r="H629" s="126"/>
      <c r="I629" s="292"/>
      <c r="J629" s="40" t="str">
        <f t="shared" si="14"/>
        <v/>
      </c>
    </row>
    <row r="630" spans="1:10" ht="15" customHeight="1">
      <c r="A630" s="309"/>
      <c r="B630" s="1"/>
      <c r="C630" s="287"/>
      <c r="D630" s="287"/>
      <c r="E630" s="25"/>
      <c r="F630" s="299"/>
      <c r="H630" s="126"/>
      <c r="I630" s="292"/>
      <c r="J630" s="40" t="str">
        <f t="shared" si="14"/>
        <v/>
      </c>
    </row>
    <row r="631" spans="1:10" ht="15" customHeight="1">
      <c r="A631" s="309"/>
      <c r="B631" s="1"/>
      <c r="C631" s="287"/>
      <c r="D631" s="287"/>
      <c r="E631" s="25"/>
      <c r="F631" s="299"/>
      <c r="H631" s="126"/>
      <c r="I631" s="292"/>
      <c r="J631" s="40" t="str">
        <f t="shared" si="14"/>
        <v/>
      </c>
    </row>
    <row r="632" spans="1:10" ht="15" customHeight="1">
      <c r="A632" s="309"/>
      <c r="B632" s="1"/>
      <c r="C632" s="287"/>
      <c r="D632" s="287"/>
      <c r="E632" s="25"/>
      <c r="F632" s="299"/>
      <c r="H632" s="126"/>
      <c r="I632" s="292"/>
      <c r="J632" s="40" t="str">
        <f t="shared" ref="J632:J652" si="15">IF(E632=0,"",$J$20)</f>
        <v/>
      </c>
    </row>
    <row r="633" spans="1:10" ht="15" customHeight="1">
      <c r="A633" s="309"/>
      <c r="B633" s="1"/>
      <c r="C633" s="287"/>
      <c r="D633" s="287"/>
      <c r="E633" s="25"/>
      <c r="F633" s="299"/>
      <c r="H633" s="126"/>
      <c r="I633" s="292"/>
      <c r="J633" s="40" t="str">
        <f t="shared" si="15"/>
        <v/>
      </c>
    </row>
    <row r="634" spans="1:10" ht="15" customHeight="1">
      <c r="A634" s="309"/>
      <c r="B634" s="1"/>
      <c r="C634" s="287"/>
      <c r="D634" s="287"/>
      <c r="E634" s="25"/>
      <c r="F634" s="299"/>
      <c r="H634" s="126"/>
      <c r="I634" s="292"/>
      <c r="J634" s="40" t="str">
        <f t="shared" si="15"/>
        <v/>
      </c>
    </row>
    <row r="635" spans="1:10" ht="15" customHeight="1">
      <c r="A635" s="309"/>
      <c r="B635" s="1"/>
      <c r="C635" s="287"/>
      <c r="D635" s="287"/>
      <c r="E635" s="25"/>
      <c r="F635" s="299"/>
      <c r="H635" s="126"/>
      <c r="I635" s="292"/>
      <c r="J635" s="40" t="str">
        <f t="shared" si="15"/>
        <v/>
      </c>
    </row>
    <row r="636" spans="1:10" ht="15" customHeight="1">
      <c r="A636" s="309"/>
      <c r="B636" s="1"/>
      <c r="C636" s="287"/>
      <c r="D636" s="287"/>
      <c r="E636" s="25"/>
      <c r="F636" s="299"/>
      <c r="H636" s="126"/>
      <c r="I636" s="292"/>
      <c r="J636" s="40" t="str">
        <f t="shared" si="15"/>
        <v/>
      </c>
    </row>
    <row r="637" spans="1:10" ht="15" customHeight="1">
      <c r="A637" s="309"/>
      <c r="B637" s="1"/>
      <c r="C637" s="287"/>
      <c r="D637" s="287"/>
      <c r="E637" s="25"/>
      <c r="F637" s="299"/>
      <c r="H637" s="126"/>
      <c r="I637" s="292"/>
      <c r="J637" s="40" t="str">
        <f t="shared" si="15"/>
        <v/>
      </c>
    </row>
    <row r="638" spans="1:10" ht="15" customHeight="1">
      <c r="A638" s="309"/>
      <c r="B638" s="1"/>
      <c r="C638" s="287"/>
      <c r="D638" s="287"/>
      <c r="E638" s="25"/>
      <c r="F638" s="299"/>
      <c r="H638" s="126"/>
      <c r="I638" s="292"/>
      <c r="J638" s="40" t="str">
        <f t="shared" si="15"/>
        <v/>
      </c>
    </row>
    <row r="639" spans="1:10" ht="15" customHeight="1">
      <c r="A639" s="309"/>
      <c r="B639" s="1"/>
      <c r="C639" s="287"/>
      <c r="D639" s="287"/>
      <c r="E639" s="25"/>
      <c r="F639" s="299"/>
      <c r="H639" s="126"/>
      <c r="I639" s="292"/>
      <c r="J639" s="40" t="str">
        <f t="shared" si="15"/>
        <v/>
      </c>
    </row>
    <row r="640" spans="1:10" ht="15" customHeight="1">
      <c r="A640" s="309"/>
      <c r="B640" s="1"/>
      <c r="C640" s="287"/>
      <c r="D640" s="287"/>
      <c r="E640" s="25"/>
      <c r="F640" s="299"/>
      <c r="H640" s="126"/>
      <c r="I640" s="292"/>
      <c r="J640" s="40" t="str">
        <f t="shared" si="15"/>
        <v/>
      </c>
    </row>
    <row r="641" spans="1:12" ht="15" customHeight="1">
      <c r="A641" s="309"/>
      <c r="B641" s="1"/>
      <c r="C641" s="287"/>
      <c r="D641" s="287"/>
      <c r="E641" s="25"/>
      <c r="F641" s="299"/>
      <c r="H641" s="126"/>
      <c r="I641" s="292"/>
      <c r="J641" s="40" t="str">
        <f t="shared" si="15"/>
        <v/>
      </c>
    </row>
    <row r="642" spans="1:12" ht="15" customHeight="1">
      <c r="A642" s="309"/>
      <c r="B642" s="1"/>
      <c r="C642" s="287"/>
      <c r="D642" s="287"/>
      <c r="E642" s="25"/>
      <c r="F642" s="299"/>
      <c r="H642" s="126"/>
      <c r="I642" s="292"/>
      <c r="J642" s="40" t="str">
        <f t="shared" si="15"/>
        <v/>
      </c>
    </row>
    <row r="643" spans="1:12" ht="15" customHeight="1">
      <c r="A643" s="309"/>
      <c r="B643" s="1"/>
      <c r="C643" s="287"/>
      <c r="D643" s="287"/>
      <c r="E643" s="25"/>
      <c r="F643" s="299"/>
      <c r="H643" s="126"/>
      <c r="I643" s="292"/>
      <c r="J643" s="40" t="str">
        <f t="shared" si="15"/>
        <v/>
      </c>
    </row>
    <row r="644" spans="1:12" ht="15" customHeight="1">
      <c r="A644" s="309"/>
      <c r="B644" s="1"/>
      <c r="C644" s="287"/>
      <c r="D644" s="287"/>
      <c r="E644" s="25"/>
      <c r="F644" s="299"/>
      <c r="H644" s="126"/>
      <c r="I644" s="292"/>
      <c r="J644" s="40" t="str">
        <f t="shared" si="15"/>
        <v/>
      </c>
    </row>
    <row r="645" spans="1:12" ht="15" customHeight="1">
      <c r="A645" s="309"/>
      <c r="B645" s="1"/>
      <c r="C645" s="287"/>
      <c r="D645" s="287"/>
      <c r="E645" s="25"/>
      <c r="F645" s="299"/>
      <c r="H645" s="126"/>
      <c r="I645" s="292"/>
      <c r="J645" s="40" t="str">
        <f t="shared" si="15"/>
        <v/>
      </c>
    </row>
    <row r="646" spans="1:12" ht="15" customHeight="1">
      <c r="A646" s="309"/>
      <c r="B646" s="1"/>
      <c r="C646" s="287"/>
      <c r="D646" s="287"/>
      <c r="E646" s="25"/>
      <c r="F646" s="299"/>
      <c r="H646" s="126"/>
      <c r="I646" s="292"/>
      <c r="J646" s="40" t="str">
        <f t="shared" si="15"/>
        <v/>
      </c>
    </row>
    <row r="647" spans="1:12" ht="15" customHeight="1">
      <c r="A647" s="309"/>
      <c r="B647" s="1"/>
      <c r="C647" s="287"/>
      <c r="D647" s="287"/>
      <c r="E647" s="25"/>
      <c r="F647" s="299"/>
      <c r="H647" s="126"/>
      <c r="I647" s="292"/>
      <c r="J647" s="40" t="str">
        <f t="shared" si="15"/>
        <v/>
      </c>
    </row>
    <row r="648" spans="1:12" ht="15" customHeight="1">
      <c r="A648" s="309"/>
      <c r="B648" s="1"/>
      <c r="C648" s="287"/>
      <c r="D648" s="287"/>
      <c r="E648" s="25"/>
      <c r="F648" s="299"/>
      <c r="H648" s="126"/>
      <c r="I648" s="292"/>
      <c r="J648" s="40" t="str">
        <f t="shared" si="15"/>
        <v/>
      </c>
    </row>
    <row r="649" spans="1:12" ht="15" customHeight="1">
      <c r="A649" s="309"/>
      <c r="B649" s="1"/>
      <c r="C649" s="287"/>
      <c r="D649" s="287"/>
      <c r="E649" s="25"/>
      <c r="F649" s="299"/>
      <c r="H649" s="126"/>
      <c r="I649" s="292"/>
      <c r="J649" s="40" t="str">
        <f t="shared" si="15"/>
        <v/>
      </c>
    </row>
    <row r="650" spans="1:12" ht="15" customHeight="1">
      <c r="A650" s="309"/>
      <c r="B650" s="1"/>
      <c r="C650" s="287"/>
      <c r="D650" s="287"/>
      <c r="E650" s="25"/>
      <c r="F650" s="299"/>
      <c r="H650" s="126"/>
      <c r="I650" s="292"/>
      <c r="J650" s="40" t="str">
        <f t="shared" si="15"/>
        <v/>
      </c>
    </row>
    <row r="651" spans="1:12" ht="15" customHeight="1">
      <c r="A651" s="309"/>
      <c r="B651" s="1"/>
      <c r="C651" s="287"/>
      <c r="D651" s="287"/>
      <c r="E651" s="25"/>
      <c r="F651" s="299"/>
      <c r="H651" s="126"/>
      <c r="I651" s="292"/>
      <c r="J651" s="40" t="str">
        <f t="shared" si="15"/>
        <v/>
      </c>
    </row>
    <row r="652" spans="1:12" ht="15" customHeight="1">
      <c r="A652" s="309"/>
      <c r="B652" s="1"/>
      <c r="C652" s="287"/>
      <c r="D652" s="287"/>
      <c r="E652" s="25"/>
      <c r="F652" s="299"/>
      <c r="H652" s="126"/>
      <c r="I652" s="292"/>
      <c r="J652" s="40" t="str">
        <f t="shared" si="15"/>
        <v/>
      </c>
    </row>
    <row r="653" spans="1:12" ht="15" customHeight="1">
      <c r="A653" s="309"/>
      <c r="B653" s="1"/>
      <c r="C653" s="287"/>
      <c r="D653" s="287"/>
      <c r="E653" s="25"/>
      <c r="F653" s="299"/>
      <c r="H653" s="126"/>
      <c r="I653" s="292"/>
      <c r="J653" s="40" t="str">
        <f>IF(E653=0,"",$J$20)</f>
        <v/>
      </c>
    </row>
    <row r="654" spans="1:12" ht="18.75" customHeight="1" thickBot="1">
      <c r="A654" s="991" t="s">
        <v>178</v>
      </c>
      <c r="B654" s="992"/>
      <c r="C654" s="283" t="s">
        <v>2245</v>
      </c>
      <c r="D654" s="983">
        <f>SUM(E21:E653)</f>
        <v>0</v>
      </c>
      <c r="E654" s="984"/>
      <c r="F654" s="984"/>
      <c r="G654" s="297"/>
      <c r="H654" s="126"/>
      <c r="I654" s="292"/>
    </row>
    <row r="655" spans="1:12" ht="15.75" customHeight="1" thickBot="1">
      <c r="E655" s="362" t="s">
        <v>2194</v>
      </c>
      <c r="F655" s="363">
        <f ca="1">TODAY()</f>
        <v>44720</v>
      </c>
      <c r="I655" t="s">
        <v>1551</v>
      </c>
      <c r="J655" s="51">
        <f>SUMIF(pointage!B:B,'Etats des virements'!I655,pointage!A:A)+SUMIF(pointage!B:B,I656,pointage!A:A)+SUMIF(pointage!B:B,'Etats des virements'!I657,pointage!A:A)+SUMIF(pointage!B:B,'Etats des virements'!I658,pointage!A:A)</f>
        <v>245789913.07777777</v>
      </c>
      <c r="K655" s="282">
        <f ca="1">'Etats des virements2'!F57+F656-J655</f>
        <v>-213727737.07777777</v>
      </c>
    </row>
    <row r="656" spans="1:12" ht="18.75" customHeight="1" thickBot="1">
      <c r="C656" s="251">
        <v>0</v>
      </c>
      <c r="D656" s="354">
        <f>+G656</f>
        <v>0</v>
      </c>
      <c r="E656" s="302" t="s">
        <v>2192</v>
      </c>
      <c r="F656" s="300">
        <f>SUMIF($F$21:$F$653,E656,$E$21:$E$653)</f>
        <v>0</v>
      </c>
      <c r="G656" s="488">
        <f>SUMIF($F$21:$F$653,E656,$J$21:$J$653)</f>
        <v>0</v>
      </c>
      <c r="I656" s="29" t="s">
        <v>403</v>
      </c>
      <c r="L656" s="29"/>
    </row>
    <row r="657" spans="1:10" ht="19.5" customHeight="1" thickBot="1">
      <c r="C657" s="251">
        <v>58</v>
      </c>
      <c r="D657" s="355">
        <f>+G657</f>
        <v>0</v>
      </c>
      <c r="E657" s="489" t="s">
        <v>2193</v>
      </c>
      <c r="F657" s="490">
        <f>SUMIF($F$21:$F$653,E657,$E$21:$E$653)</f>
        <v>0</v>
      </c>
      <c r="G657" s="488">
        <f>SUMIF($F$21:$F$653,E657,$J$21:$J$653)</f>
        <v>0</v>
      </c>
      <c r="I657" t="s">
        <v>1586</v>
      </c>
      <c r="J657" s="51"/>
    </row>
    <row r="658" spans="1:10" ht="15.75" thickBot="1">
      <c r="I658" s="29" t="s">
        <v>2726</v>
      </c>
    </row>
    <row r="659" spans="1:10" ht="15.75" customHeight="1" thickBot="1">
      <c r="C659" s="251">
        <v>174</v>
      </c>
      <c r="E659" s="988" t="s">
        <v>2242</v>
      </c>
      <c r="F659" s="989"/>
    </row>
    <row r="660" spans="1:10" ht="18.75" customHeight="1" thickBot="1">
      <c r="C660" s="251">
        <v>232</v>
      </c>
      <c r="E660" s="302" t="s">
        <v>2192</v>
      </c>
      <c r="F660" s="300">
        <f ca="1">SUMIF($F$21:$F$653,E660,$E$21:$E$653)+'Etats des virements2'!F57</f>
        <v>32062176</v>
      </c>
      <c r="G660" s="297"/>
    </row>
    <row r="661" spans="1:10" ht="19.5" customHeight="1" thickBot="1">
      <c r="C661" s="251">
        <v>290</v>
      </c>
      <c r="E661" s="303" t="s">
        <v>2193</v>
      </c>
      <c r="F661" s="300">
        <f>SUMIF($F$21:$F$653,E661,$E$21:$E$653)</f>
        <v>0</v>
      </c>
      <c r="G661" s="297"/>
    </row>
    <row r="662" spans="1:10" ht="19.5" customHeight="1" thickBot="1">
      <c r="B662" s="289"/>
      <c r="E662" s="304" t="s">
        <v>2230</v>
      </c>
      <c r="F662" s="301">
        <f ca="1">SUM(F660:F661)</f>
        <v>32062176</v>
      </c>
    </row>
    <row r="664" spans="1:10" ht="23.25">
      <c r="A664" s="990" t="s">
        <v>2810</v>
      </c>
      <c r="B664" s="990"/>
      <c r="C664" s="990"/>
      <c r="D664" s="990"/>
      <c r="E664" s="990"/>
      <c r="F664" s="990"/>
    </row>
    <row r="665" spans="1:10" ht="15.75" thickBot="1"/>
    <row r="666" spans="1:10">
      <c r="A666" s="985" t="s">
        <v>2236</v>
      </c>
      <c r="B666" s="986"/>
      <c r="C666" s="986" t="s">
        <v>2237</v>
      </c>
      <c r="D666" s="986"/>
      <c r="E666" s="986" t="s">
        <v>2238</v>
      </c>
      <c r="F666" s="987"/>
      <c r="G666" s="305"/>
      <c r="H666" s="277"/>
      <c r="I666" s="33">
        <f ca="1">F660-E676</f>
        <v>-252686032.13993937</v>
      </c>
    </row>
    <row r="667" spans="1:10">
      <c r="A667" s="973" t="s">
        <v>2234</v>
      </c>
      <c r="B667" s="974"/>
      <c r="C667" s="980" t="s">
        <v>2231</v>
      </c>
      <c r="D667" s="980"/>
      <c r="E667" s="967">
        <f>+AVRIL!H44</f>
        <v>199817706.34090906</v>
      </c>
      <c r="F667" s="968"/>
    </row>
    <row r="668" spans="1:10">
      <c r="A668" s="975"/>
      <c r="B668" s="976"/>
      <c r="C668" s="980" t="s">
        <v>1901</v>
      </c>
      <c r="D668" s="980"/>
      <c r="E668" s="967">
        <f>+AVRIL!H46</f>
        <v>53418206.481818184</v>
      </c>
      <c r="F668" s="968"/>
    </row>
    <row r="669" spans="1:10" ht="15.75">
      <c r="A669" s="977"/>
      <c r="B669" s="978"/>
      <c r="C669" s="969" t="s">
        <v>2240</v>
      </c>
      <c r="D669" s="970"/>
      <c r="E669" s="971">
        <f>E667+E668</f>
        <v>253235912.82272726</v>
      </c>
      <c r="F669" s="972"/>
    </row>
    <row r="670" spans="1:10">
      <c r="A670" s="973" t="s">
        <v>2235</v>
      </c>
      <c r="B670" s="974"/>
      <c r="C670" s="979" t="s">
        <v>1008</v>
      </c>
      <c r="D670" s="276" t="s">
        <v>198</v>
      </c>
      <c r="E670" s="967">
        <f>AVRIL!B48+AVRIL!C48+AVRIL!B50+AVRIL!C50+AVRIL!B53+AVRIL!C53+AVRIL!B56+AVRIL!C56+AVRIL!B59+AVRIL!C59+AVRIL!B132+AVRIL!C132+AVRIL!B135+AVRIL!C135+AVRIL!B138+AVRIL!C138</f>
        <v>12487305.585409088</v>
      </c>
      <c r="F670" s="968"/>
      <c r="G670" s="297">
        <f>+'SUIVI JOURNALIER AVRIL'!D347</f>
        <v>12487305.585409088</v>
      </c>
    </row>
    <row r="671" spans="1:10">
      <c r="A671" s="975"/>
      <c r="B671" s="976"/>
      <c r="C671" s="979"/>
      <c r="D671" s="276" t="s">
        <v>2232</v>
      </c>
      <c r="E671" s="967">
        <f>AVRIL!H48-'Etats des virements'!E670:F670</f>
        <v>8403071.3639090974</v>
      </c>
      <c r="F671" s="968"/>
      <c r="G671" s="297">
        <f>E670-G670</f>
        <v>0</v>
      </c>
    </row>
    <row r="672" spans="1:10">
      <c r="A672" s="975"/>
      <c r="B672" s="976"/>
      <c r="C672" s="980" t="s">
        <v>1004</v>
      </c>
      <c r="D672" s="980"/>
      <c r="E672" s="967">
        <f>AVRIL!H52</f>
        <v>6838425.4084999999</v>
      </c>
      <c r="F672" s="968"/>
    </row>
    <row r="673" spans="1:7">
      <c r="A673" s="975"/>
      <c r="B673" s="976"/>
      <c r="C673" s="965" t="s">
        <v>2239</v>
      </c>
      <c r="D673" s="966"/>
      <c r="E673" s="967">
        <f>AVRIL!H54</f>
        <v>2599475.959393939</v>
      </c>
      <c r="F673" s="968"/>
    </row>
    <row r="674" spans="1:7">
      <c r="A674" s="975"/>
      <c r="B674" s="976"/>
      <c r="C674" s="980" t="s">
        <v>2233</v>
      </c>
      <c r="D674" s="980"/>
      <c r="E674" s="967">
        <f>AVRIL!H50-1</f>
        <v>1184017</v>
      </c>
      <c r="F674" s="968"/>
    </row>
    <row r="675" spans="1:7" ht="15.75">
      <c r="A675" s="977"/>
      <c r="B675" s="978"/>
      <c r="C675" s="969" t="s">
        <v>2241</v>
      </c>
      <c r="D675" s="970"/>
      <c r="E675" s="971">
        <f>SUM(E670:F674)</f>
        <v>31512295.317212127</v>
      </c>
      <c r="F675" s="972"/>
      <c r="G675"/>
    </row>
    <row r="676" spans="1:7" ht="19.5" thickBot="1">
      <c r="A676" s="960" t="s">
        <v>2243</v>
      </c>
      <c r="B676" s="961"/>
      <c r="C676" s="961"/>
      <c r="D676" s="962"/>
      <c r="E676" s="963">
        <f>+E669+E675</f>
        <v>284748208.13993937</v>
      </c>
      <c r="F676" s="964"/>
      <c r="G676"/>
    </row>
    <row r="678" spans="1:7">
      <c r="A678" s="764"/>
      <c r="B678" s="764"/>
      <c r="E678" s="306"/>
      <c r="F678" s="306"/>
      <c r="G678"/>
    </row>
  </sheetData>
  <autoFilter ref="A20:J657">
    <filterColumn colId="2"/>
    <filterColumn colId="4"/>
    <filterColumn colId="5"/>
    <filterColumn colId="7"/>
    <filterColumn colId="8"/>
  </autoFilter>
  <mergeCells count="58">
    <mergeCell ref="A2:C2"/>
    <mergeCell ref="A3:C3"/>
    <mergeCell ref="A4:C4"/>
    <mergeCell ref="A5:C5"/>
    <mergeCell ref="A6:C6"/>
    <mergeCell ref="D11:F11"/>
    <mergeCell ref="D12:F12"/>
    <mergeCell ref="A8:C8"/>
    <mergeCell ref="A9:C9"/>
    <mergeCell ref="A10:C10"/>
    <mergeCell ref="D8:F8"/>
    <mergeCell ref="D9:F9"/>
    <mergeCell ref="A7:C7"/>
    <mergeCell ref="E16:F16"/>
    <mergeCell ref="A11:C11"/>
    <mergeCell ref="D1:F1"/>
    <mergeCell ref="D2:F2"/>
    <mergeCell ref="D3:F3"/>
    <mergeCell ref="A1:C1"/>
    <mergeCell ref="D7:F7"/>
    <mergeCell ref="A12:C12"/>
    <mergeCell ref="D4:F4"/>
    <mergeCell ref="D5:F5"/>
    <mergeCell ref="D6:F6"/>
    <mergeCell ref="A13:B13"/>
    <mergeCell ref="A15:B15"/>
    <mergeCell ref="D13:F13"/>
    <mergeCell ref="D10:F10"/>
    <mergeCell ref="C667:D667"/>
    <mergeCell ref="C668:D668"/>
    <mergeCell ref="E667:F667"/>
    <mergeCell ref="A654:B654"/>
    <mergeCell ref="A667:B669"/>
    <mergeCell ref="E668:F668"/>
    <mergeCell ref="E669:F669"/>
    <mergeCell ref="C669:D669"/>
    <mergeCell ref="A18:C18"/>
    <mergeCell ref="D654:F654"/>
    <mergeCell ref="A666:B666"/>
    <mergeCell ref="C666:D666"/>
    <mergeCell ref="E666:F666"/>
    <mergeCell ref="E659:F659"/>
    <mergeCell ref="A664:F664"/>
    <mergeCell ref="A678:B678"/>
    <mergeCell ref="A676:D676"/>
    <mergeCell ref="E676:F676"/>
    <mergeCell ref="C673:D673"/>
    <mergeCell ref="E673:F673"/>
    <mergeCell ref="C675:D675"/>
    <mergeCell ref="E675:F675"/>
    <mergeCell ref="A670:B675"/>
    <mergeCell ref="C670:C671"/>
    <mergeCell ref="C672:D672"/>
    <mergeCell ref="C674:D674"/>
    <mergeCell ref="E674:F674"/>
    <mergeCell ref="E670:F670"/>
    <mergeCell ref="E671:F671"/>
    <mergeCell ref="E672:F672"/>
  </mergeCells>
  <pageMargins left="0.7" right="0.7" top="0.39" bottom="0.46" header="0.3" footer="0.34"/>
  <pageSetup paperSize="9" scale="73" orientation="portrait" r:id="rId1"/>
  <colBreaks count="1" manualBreakCount="1">
    <brk id="6" max="1048575" man="1"/>
  </col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Feuil13"/>
  <dimension ref="A1:J329"/>
  <sheetViews>
    <sheetView topLeftCell="A20" workbookViewId="0">
      <selection activeCell="G38" sqref="G38"/>
    </sheetView>
  </sheetViews>
  <sheetFormatPr baseColWidth="10" defaultRowHeight="15"/>
  <cols>
    <col min="1" max="1" width="4" bestFit="1" customWidth="1"/>
    <col min="2" max="2" width="37.7109375" customWidth="1"/>
    <col min="3" max="3" width="14.85546875" style="288" customWidth="1"/>
    <col min="4" max="4" width="15.42578125" style="126" customWidth="1"/>
    <col min="5" max="5" width="15.42578125" bestFit="1" customWidth="1"/>
    <col min="6" max="6" width="19.85546875" style="260" bestFit="1" customWidth="1"/>
    <col min="7" max="7" width="18.7109375" bestFit="1" customWidth="1"/>
    <col min="8" max="8" width="3.140625" bestFit="1" customWidth="1"/>
  </cols>
  <sheetData>
    <row r="1" spans="1:6" ht="9" customHeight="1">
      <c r="A1" s="993" t="s">
        <v>1903</v>
      </c>
      <c r="B1" s="993"/>
      <c r="C1" s="993"/>
      <c r="D1" s="993" t="s">
        <v>1904</v>
      </c>
      <c r="E1" s="993"/>
      <c r="F1" s="993"/>
    </row>
    <row r="2" spans="1:6" ht="9" customHeight="1">
      <c r="A2" s="993" t="s">
        <v>1905</v>
      </c>
      <c r="B2" s="993"/>
      <c r="C2" s="993"/>
      <c r="D2" s="993" t="s">
        <v>1906</v>
      </c>
      <c r="E2" s="993"/>
      <c r="F2" s="993"/>
    </row>
    <row r="3" spans="1:6" ht="9" customHeight="1">
      <c r="A3" s="993" t="s">
        <v>1907</v>
      </c>
      <c r="B3" s="993"/>
      <c r="C3" s="993"/>
      <c r="D3" s="993" t="s">
        <v>1907</v>
      </c>
      <c r="E3" s="993"/>
      <c r="F3" s="993"/>
    </row>
    <row r="4" spans="1:6" ht="9" customHeight="1">
      <c r="A4" s="993" t="s">
        <v>260</v>
      </c>
      <c r="B4" s="993"/>
      <c r="C4" s="993"/>
      <c r="D4" s="993" t="s">
        <v>1</v>
      </c>
      <c r="E4" s="993"/>
      <c r="F4" s="993"/>
    </row>
    <row r="5" spans="1:6" ht="9" customHeight="1">
      <c r="A5" s="993" t="s">
        <v>1907</v>
      </c>
      <c r="B5" s="993"/>
      <c r="C5" s="993"/>
      <c r="D5" s="993" t="s">
        <v>1907</v>
      </c>
      <c r="E5" s="993"/>
      <c r="F5" s="993"/>
    </row>
    <row r="6" spans="1:6" ht="9" customHeight="1">
      <c r="A6" s="993" t="s">
        <v>1908</v>
      </c>
      <c r="B6" s="993"/>
      <c r="C6" s="993"/>
      <c r="D6" s="993" t="s">
        <v>263</v>
      </c>
      <c r="E6" s="993"/>
      <c r="F6" s="993"/>
    </row>
    <row r="7" spans="1:6" ht="9" customHeight="1">
      <c r="A7" s="993" t="s">
        <v>1907</v>
      </c>
      <c r="B7" s="993"/>
      <c r="C7" s="993"/>
      <c r="D7" s="993" t="s">
        <v>1907</v>
      </c>
      <c r="E7" s="993"/>
      <c r="F7" s="993"/>
    </row>
    <row r="8" spans="1:6" ht="9" customHeight="1">
      <c r="A8" s="993" t="s">
        <v>262</v>
      </c>
      <c r="B8" s="993"/>
      <c r="C8" s="993"/>
      <c r="D8" s="993" t="s">
        <v>1909</v>
      </c>
      <c r="E8" s="993"/>
      <c r="F8" s="993"/>
    </row>
    <row r="9" spans="1:6" ht="9" customHeight="1">
      <c r="A9" s="993" t="s">
        <v>1907</v>
      </c>
      <c r="B9" s="993"/>
      <c r="C9" s="993"/>
      <c r="D9" s="993" t="s">
        <v>1907</v>
      </c>
      <c r="E9" s="993"/>
      <c r="F9" s="993"/>
    </row>
    <row r="10" spans="1:6" ht="9" customHeight="1">
      <c r="A10" s="993" t="s">
        <v>1910</v>
      </c>
      <c r="B10" s="993"/>
      <c r="C10" s="993"/>
      <c r="D10" s="993" t="s">
        <v>1911</v>
      </c>
      <c r="E10" s="993"/>
      <c r="F10" s="993"/>
    </row>
    <row r="11" spans="1:6" ht="9" customHeight="1">
      <c r="A11" s="993" t="s">
        <v>1907</v>
      </c>
      <c r="B11" s="993"/>
      <c r="C11" s="993"/>
      <c r="D11" s="993" t="s">
        <v>1907</v>
      </c>
      <c r="E11" s="993"/>
      <c r="F11" s="993"/>
    </row>
    <row r="12" spans="1:6" ht="9" customHeight="1">
      <c r="A12" s="281" t="s">
        <v>1912</v>
      </c>
      <c r="B12" s="281"/>
      <c r="C12" s="290"/>
      <c r="D12" s="993" t="s">
        <v>1913</v>
      </c>
      <c r="E12" s="993"/>
      <c r="F12" s="993"/>
    </row>
    <row r="13" spans="1:6" ht="9" customHeight="1">
      <c r="A13" s="993" t="s">
        <v>1907</v>
      </c>
      <c r="B13" s="993"/>
      <c r="C13" s="290"/>
      <c r="D13" s="993" t="s">
        <v>1907</v>
      </c>
      <c r="E13" s="993"/>
      <c r="F13" s="993"/>
    </row>
    <row r="14" spans="1:6" ht="9" customHeight="1">
      <c r="A14" s="252"/>
      <c r="B14" s="252"/>
      <c r="C14" s="290"/>
      <c r="D14" s="351"/>
      <c r="E14" s="278"/>
      <c r="F14" s="278"/>
    </row>
    <row r="15" spans="1:6" ht="9" customHeight="1">
      <c r="A15" s="995" t="s">
        <v>1914</v>
      </c>
      <c r="B15" s="995"/>
      <c r="C15" s="291"/>
      <c r="D15" s="285"/>
      <c r="E15" s="285" t="s">
        <v>2246</v>
      </c>
      <c r="F15" s="280">
        <f ca="1">TODAY()</f>
        <v>44720</v>
      </c>
    </row>
    <row r="16" spans="1:6">
      <c r="A16" s="253"/>
      <c r="B16" s="253"/>
      <c r="C16" s="123"/>
      <c r="D16" s="352"/>
      <c r="E16" s="1000" t="s">
        <v>1915</v>
      </c>
      <c r="F16" s="1000"/>
    </row>
    <row r="17" spans="1:10" ht="15.75" thickBot="1">
      <c r="E17" s="29"/>
    </row>
    <row r="18" spans="1:10" ht="15.75" thickBot="1">
      <c r="A18" s="998" t="s">
        <v>2179</v>
      </c>
      <c r="B18" s="999"/>
      <c r="C18" s="999"/>
      <c r="D18" s="999"/>
      <c r="E18" s="241" t="s">
        <v>2815</v>
      </c>
      <c r="F18" s="242">
        <f ca="1">TODAY()</f>
        <v>44720</v>
      </c>
    </row>
    <row r="19" spans="1:10">
      <c r="E19" s="29"/>
    </row>
    <row r="20" spans="1:10">
      <c r="A20" s="258" t="s">
        <v>192</v>
      </c>
      <c r="B20" s="258" t="s">
        <v>2138</v>
      </c>
      <c r="C20" s="258" t="s">
        <v>2164</v>
      </c>
      <c r="D20" s="259" t="s">
        <v>2165</v>
      </c>
      <c r="E20" s="54" t="s">
        <v>2139</v>
      </c>
      <c r="F20" s="54" t="s">
        <v>2191</v>
      </c>
    </row>
    <row r="21" spans="1:10" ht="15" customHeight="1">
      <c r="A21" s="309">
        <v>1</v>
      </c>
      <c r="B21" s="1" t="s">
        <v>2825</v>
      </c>
      <c r="C21" s="243">
        <v>44564</v>
      </c>
      <c r="D21" s="287" t="s">
        <v>2826</v>
      </c>
      <c r="E21" s="25">
        <v>156289</v>
      </c>
      <c r="F21" s="299" t="str">
        <f>IF(H21=0,"non comptabilisé","comptabilisé")</f>
        <v>comptabilisé</v>
      </c>
      <c r="G21" t="s">
        <v>2827</v>
      </c>
      <c r="H21" t="s">
        <v>2811</v>
      </c>
      <c r="J21" s="40"/>
    </row>
    <row r="22" spans="1:10" ht="15" customHeight="1">
      <c r="A22" s="309">
        <v>2</v>
      </c>
      <c r="B22" s="1" t="s">
        <v>2828</v>
      </c>
      <c r="C22" s="243">
        <v>44566</v>
      </c>
      <c r="D22" s="287" t="s">
        <v>2829</v>
      </c>
      <c r="E22" s="25">
        <v>5144316</v>
      </c>
      <c r="F22" s="299" t="str">
        <f t="shared" ref="F22:F54" si="0">IF(H22=0,"non comptabilisé","comptabilisé")</f>
        <v>comptabilisé</v>
      </c>
      <c r="G22" t="s">
        <v>2830</v>
      </c>
      <c r="H22" t="s">
        <v>2811</v>
      </c>
      <c r="J22" s="40"/>
    </row>
    <row r="23" spans="1:10" ht="15" customHeight="1">
      <c r="A23" s="309">
        <v>3</v>
      </c>
      <c r="B23" s="1" t="s">
        <v>2825</v>
      </c>
      <c r="C23" s="243">
        <v>44564</v>
      </c>
      <c r="D23" s="287" t="s">
        <v>2831</v>
      </c>
      <c r="E23" s="25">
        <v>157169</v>
      </c>
      <c r="F23" s="299" t="str">
        <f t="shared" si="0"/>
        <v>comptabilisé</v>
      </c>
      <c r="G23" t="s">
        <v>2832</v>
      </c>
      <c r="H23" t="s">
        <v>2811</v>
      </c>
      <c r="J23" s="40"/>
    </row>
    <row r="24" spans="1:10" ht="15" customHeight="1">
      <c r="A24" s="309">
        <v>4</v>
      </c>
      <c r="B24" s="1" t="s">
        <v>2833</v>
      </c>
      <c r="C24" s="243">
        <v>44565</v>
      </c>
      <c r="D24" s="287" t="s">
        <v>2834</v>
      </c>
      <c r="E24" s="25">
        <v>3484849</v>
      </c>
      <c r="F24" s="299" t="str">
        <f t="shared" si="0"/>
        <v>comptabilisé</v>
      </c>
      <c r="G24" t="s">
        <v>2835</v>
      </c>
      <c r="H24" t="s">
        <v>2811</v>
      </c>
      <c r="J24" s="40"/>
    </row>
    <row r="25" spans="1:10" ht="15" customHeight="1">
      <c r="A25" s="309">
        <v>5</v>
      </c>
      <c r="B25" s="1" t="s">
        <v>2833</v>
      </c>
      <c r="C25" s="243">
        <v>44566</v>
      </c>
      <c r="D25" s="287">
        <v>1588670</v>
      </c>
      <c r="E25" s="25">
        <v>5770299</v>
      </c>
      <c r="F25" s="299" t="str">
        <f t="shared" si="0"/>
        <v>comptabilisé</v>
      </c>
      <c r="G25" t="s">
        <v>2839</v>
      </c>
      <c r="H25" t="s">
        <v>2811</v>
      </c>
      <c r="J25" s="40"/>
    </row>
    <row r="26" spans="1:10" ht="15" customHeight="1">
      <c r="A26" s="309">
        <v>6</v>
      </c>
      <c r="B26" s="1" t="s">
        <v>2836</v>
      </c>
      <c r="C26" s="243">
        <v>44566</v>
      </c>
      <c r="D26" s="287" t="s">
        <v>2837</v>
      </c>
      <c r="E26" s="25">
        <v>2944322</v>
      </c>
      <c r="F26" s="299" t="str">
        <f t="shared" si="0"/>
        <v>comptabilisé</v>
      </c>
      <c r="H26" t="s">
        <v>2811</v>
      </c>
      <c r="J26" s="40"/>
    </row>
    <row r="27" spans="1:10" ht="15" customHeight="1">
      <c r="A27" s="309">
        <v>7</v>
      </c>
      <c r="B27" s="1" t="s">
        <v>2823</v>
      </c>
      <c r="C27" s="243">
        <v>44565</v>
      </c>
      <c r="D27" s="287" t="s">
        <v>2838</v>
      </c>
      <c r="E27" s="25">
        <v>5137997</v>
      </c>
      <c r="F27" s="299" t="str">
        <f t="shared" si="0"/>
        <v>comptabilisé</v>
      </c>
      <c r="G27" t="s">
        <v>2840</v>
      </c>
      <c r="H27" t="s">
        <v>2811</v>
      </c>
      <c r="J27" s="40"/>
    </row>
    <row r="28" spans="1:10" ht="15" customHeight="1">
      <c r="A28" s="309">
        <v>8</v>
      </c>
      <c r="B28" s="77" t="s">
        <v>2841</v>
      </c>
      <c r="C28" s="243">
        <v>44566</v>
      </c>
      <c r="D28" s="528">
        <v>1348572</v>
      </c>
      <c r="E28" s="25">
        <v>111622</v>
      </c>
      <c r="F28" s="299" t="str">
        <f t="shared" si="0"/>
        <v>comptabilisé</v>
      </c>
      <c r="G28" t="s">
        <v>2842</v>
      </c>
      <c r="H28" t="s">
        <v>2811</v>
      </c>
      <c r="J28" s="40"/>
    </row>
    <row r="29" spans="1:10" ht="15" customHeight="1">
      <c r="A29" s="309">
        <v>9</v>
      </c>
      <c r="B29" s="1" t="s">
        <v>2836</v>
      </c>
      <c r="C29" s="243">
        <v>44566</v>
      </c>
      <c r="D29" s="528">
        <v>1588801</v>
      </c>
      <c r="E29" s="25">
        <v>3542852</v>
      </c>
      <c r="F29" s="299" t="str">
        <f t="shared" si="0"/>
        <v>comptabilisé</v>
      </c>
      <c r="G29" t="s">
        <v>2843</v>
      </c>
      <c r="H29" t="s">
        <v>2811</v>
      </c>
      <c r="J29" s="40"/>
    </row>
    <row r="30" spans="1:10" ht="15" customHeight="1">
      <c r="A30" s="309">
        <v>10</v>
      </c>
      <c r="B30" s="77" t="s">
        <v>2844</v>
      </c>
      <c r="C30" s="243">
        <v>44585</v>
      </c>
      <c r="D30" s="528">
        <v>1348767</v>
      </c>
      <c r="E30" s="25">
        <v>896000</v>
      </c>
      <c r="F30" s="299" t="str">
        <f t="shared" si="0"/>
        <v>comptabilisé</v>
      </c>
      <c r="G30" t="s">
        <v>2845</v>
      </c>
      <c r="H30" t="s">
        <v>2811</v>
      </c>
      <c r="J30" s="40"/>
    </row>
    <row r="31" spans="1:10" ht="15" customHeight="1">
      <c r="A31" s="309">
        <v>11</v>
      </c>
      <c r="B31" s="77" t="s">
        <v>2825</v>
      </c>
      <c r="C31" s="243">
        <v>44564</v>
      </c>
      <c r="D31" s="528">
        <v>1002266</v>
      </c>
      <c r="E31" s="25">
        <v>156330</v>
      </c>
      <c r="F31" s="299" t="str">
        <f t="shared" si="0"/>
        <v>comptabilisé</v>
      </c>
      <c r="G31" t="s">
        <v>2846</v>
      </c>
      <c r="H31" t="s">
        <v>2811</v>
      </c>
      <c r="J31" s="40"/>
    </row>
    <row r="32" spans="1:10" ht="15" customHeight="1">
      <c r="A32" s="309">
        <v>12</v>
      </c>
      <c r="B32" s="1" t="s">
        <v>2836</v>
      </c>
      <c r="C32" s="243">
        <v>44566</v>
      </c>
      <c r="D32" s="528">
        <v>1588805</v>
      </c>
      <c r="E32" s="25">
        <v>3577502</v>
      </c>
      <c r="F32" s="299" t="str">
        <f t="shared" si="0"/>
        <v>comptabilisé</v>
      </c>
      <c r="G32" t="s">
        <v>2843</v>
      </c>
      <c r="H32" t="s">
        <v>2811</v>
      </c>
      <c r="J32" s="40"/>
    </row>
    <row r="33" spans="1:10" ht="15" customHeight="1">
      <c r="A33" s="309">
        <v>13</v>
      </c>
      <c r="B33" s="77" t="s">
        <v>2847</v>
      </c>
      <c r="C33" s="243">
        <v>44565</v>
      </c>
      <c r="D33" s="353">
        <v>1588085</v>
      </c>
      <c r="E33" s="25">
        <v>982629</v>
      </c>
      <c r="F33" s="299" t="str">
        <f t="shared" si="0"/>
        <v>comptabilisé</v>
      </c>
      <c r="G33" t="s">
        <v>2848</v>
      </c>
      <c r="H33" t="s">
        <v>2811</v>
      </c>
      <c r="J33" s="40"/>
    </row>
    <row r="34" spans="1:10" ht="15" customHeight="1">
      <c r="A34" s="309">
        <v>14</v>
      </c>
      <c r="B34" s="77" t="s">
        <v>2872</v>
      </c>
      <c r="C34" s="243">
        <v>44587</v>
      </c>
      <c r="D34" s="353">
        <v>1611849</v>
      </c>
      <c r="E34" s="25">
        <v>415094</v>
      </c>
      <c r="F34" s="299" t="str">
        <f t="shared" si="0"/>
        <v>non comptabilisé</v>
      </c>
      <c r="G34" t="s">
        <v>2876</v>
      </c>
      <c r="J34" s="40"/>
    </row>
    <row r="35" spans="1:10" ht="15" customHeight="1">
      <c r="A35" s="309">
        <v>15</v>
      </c>
      <c r="B35" s="77" t="s">
        <v>2873</v>
      </c>
      <c r="C35" s="243">
        <v>44587</v>
      </c>
      <c r="D35" s="353">
        <v>1611851</v>
      </c>
      <c r="E35" s="25">
        <v>415094</v>
      </c>
      <c r="F35" s="299" t="str">
        <f t="shared" si="0"/>
        <v>non comptabilisé</v>
      </c>
      <c r="G35" t="s">
        <v>2878</v>
      </c>
      <c r="J35" s="40"/>
    </row>
    <row r="36" spans="1:10" ht="15" customHeight="1">
      <c r="A36" s="309">
        <v>16</v>
      </c>
      <c r="B36" s="77" t="s">
        <v>2874</v>
      </c>
      <c r="C36" s="243">
        <v>44587</v>
      </c>
      <c r="D36" s="353">
        <v>1611844</v>
      </c>
      <c r="E36" s="25">
        <v>415094</v>
      </c>
      <c r="F36" s="299" t="str">
        <f t="shared" si="0"/>
        <v>non comptabilisé</v>
      </c>
      <c r="G36" t="s">
        <v>2877</v>
      </c>
      <c r="J36" s="40"/>
    </row>
    <row r="37" spans="1:10" ht="15" customHeight="1">
      <c r="A37" s="309">
        <v>17</v>
      </c>
      <c r="B37" s="77" t="s">
        <v>2875</v>
      </c>
      <c r="C37" s="243">
        <v>44587</v>
      </c>
      <c r="D37" s="353">
        <v>1611862</v>
      </c>
      <c r="E37" s="25">
        <v>38500</v>
      </c>
      <c r="F37" s="299" t="str">
        <f t="shared" si="0"/>
        <v>non comptabilisé</v>
      </c>
      <c r="G37" t="s">
        <v>2879</v>
      </c>
      <c r="J37" s="40"/>
    </row>
    <row r="38" spans="1:10">
      <c r="A38" s="309">
        <v>18</v>
      </c>
      <c r="B38" s="77" t="s">
        <v>2875</v>
      </c>
      <c r="C38" s="243">
        <v>44587</v>
      </c>
      <c r="D38" s="353">
        <v>1611860</v>
      </c>
      <c r="E38" s="25">
        <v>1079516</v>
      </c>
      <c r="F38" s="299" t="str">
        <f t="shared" si="0"/>
        <v>non comptabilisé</v>
      </c>
      <c r="G38" t="s">
        <v>2880</v>
      </c>
    </row>
    <row r="39" spans="1:10">
      <c r="A39" s="309">
        <v>19</v>
      </c>
      <c r="B39" s="1"/>
      <c r="C39" s="243"/>
      <c r="D39" s="353"/>
      <c r="E39" s="25"/>
      <c r="F39" s="299" t="str">
        <f t="shared" si="0"/>
        <v>non comptabilisé</v>
      </c>
    </row>
    <row r="40" spans="1:10">
      <c r="A40" s="309">
        <v>20</v>
      </c>
      <c r="B40" s="1"/>
      <c r="C40" s="243"/>
      <c r="D40" s="353"/>
      <c r="E40" s="25"/>
      <c r="F40" s="299" t="str">
        <f t="shared" si="0"/>
        <v>non comptabilisé</v>
      </c>
    </row>
    <row r="41" spans="1:10">
      <c r="A41" s="309">
        <v>21</v>
      </c>
      <c r="B41" s="1"/>
      <c r="C41" s="243"/>
      <c r="D41" s="353"/>
      <c r="E41" s="25"/>
      <c r="F41" s="299" t="str">
        <f t="shared" si="0"/>
        <v>non comptabilisé</v>
      </c>
    </row>
    <row r="42" spans="1:10">
      <c r="A42" s="309">
        <v>22</v>
      </c>
      <c r="B42" s="1"/>
      <c r="C42" s="243"/>
      <c r="D42" s="353"/>
      <c r="E42" s="25"/>
      <c r="F42" s="299" t="str">
        <f t="shared" si="0"/>
        <v>non comptabilisé</v>
      </c>
    </row>
    <row r="43" spans="1:10">
      <c r="A43" s="309">
        <v>23</v>
      </c>
      <c r="B43" s="1"/>
      <c r="C43" s="243"/>
      <c r="D43" s="353"/>
      <c r="E43" s="25"/>
      <c r="F43" s="299" t="str">
        <f t="shared" si="0"/>
        <v>non comptabilisé</v>
      </c>
    </row>
    <row r="44" spans="1:10">
      <c r="A44" s="309">
        <v>24</v>
      </c>
      <c r="B44" s="1"/>
      <c r="C44" s="243"/>
      <c r="D44" s="353"/>
      <c r="E44" s="25"/>
      <c r="F44" s="299" t="str">
        <f t="shared" si="0"/>
        <v>non comptabilisé</v>
      </c>
    </row>
    <row r="45" spans="1:10">
      <c r="A45" s="309">
        <v>25</v>
      </c>
      <c r="B45" s="1"/>
      <c r="C45" s="243"/>
      <c r="D45" s="353"/>
      <c r="E45" s="25"/>
      <c r="F45" s="299" t="str">
        <f t="shared" si="0"/>
        <v>non comptabilisé</v>
      </c>
    </row>
    <row r="46" spans="1:10">
      <c r="A46" s="309">
        <v>26</v>
      </c>
      <c r="B46" s="1"/>
      <c r="C46" s="243"/>
      <c r="D46" s="353"/>
      <c r="E46" s="25"/>
      <c r="F46" s="299" t="str">
        <f t="shared" si="0"/>
        <v>non comptabilisé</v>
      </c>
    </row>
    <row r="47" spans="1:10">
      <c r="A47" s="309">
        <v>27</v>
      </c>
      <c r="B47" s="1"/>
      <c r="C47" s="243"/>
      <c r="D47" s="353"/>
      <c r="E47" s="25"/>
      <c r="F47" s="299" t="str">
        <f t="shared" si="0"/>
        <v>non comptabilisé</v>
      </c>
    </row>
    <row r="48" spans="1:10">
      <c r="A48" s="309">
        <v>28</v>
      </c>
      <c r="B48" s="1"/>
      <c r="C48" s="243"/>
      <c r="D48" s="353"/>
      <c r="E48" s="25"/>
      <c r="F48" s="299" t="str">
        <f t="shared" si="0"/>
        <v>non comptabilisé</v>
      </c>
    </row>
    <row r="49" spans="1:6">
      <c r="A49" s="309">
        <v>29</v>
      </c>
      <c r="B49" s="1"/>
      <c r="C49" s="243"/>
      <c r="D49" s="353"/>
      <c r="E49" s="25"/>
      <c r="F49" s="299" t="str">
        <f t="shared" si="0"/>
        <v>non comptabilisé</v>
      </c>
    </row>
    <row r="50" spans="1:6">
      <c r="A50" s="309">
        <v>30</v>
      </c>
      <c r="B50" s="1"/>
      <c r="C50" s="243"/>
      <c r="D50" s="353"/>
      <c r="E50" s="25"/>
      <c r="F50" s="299" t="str">
        <f t="shared" si="0"/>
        <v>non comptabilisé</v>
      </c>
    </row>
    <row r="51" spans="1:6">
      <c r="A51" s="309">
        <v>31</v>
      </c>
      <c r="B51" s="1"/>
      <c r="C51" s="243"/>
      <c r="D51" s="353"/>
      <c r="E51" s="25"/>
      <c r="F51" s="299" t="str">
        <f t="shared" si="0"/>
        <v>non comptabilisé</v>
      </c>
    </row>
    <row r="52" spans="1:6">
      <c r="A52" s="309">
        <v>32</v>
      </c>
      <c r="B52" s="1"/>
      <c r="C52" s="243"/>
      <c r="D52" s="353"/>
      <c r="E52" s="25"/>
      <c r="F52" s="299" t="str">
        <f t="shared" si="0"/>
        <v>non comptabilisé</v>
      </c>
    </row>
    <row r="53" spans="1:6">
      <c r="A53" s="309">
        <v>33</v>
      </c>
      <c r="B53" s="1"/>
      <c r="C53" s="243"/>
      <c r="D53" s="353"/>
      <c r="E53" s="25"/>
      <c r="F53" s="299" t="str">
        <f t="shared" si="0"/>
        <v>non comptabilisé</v>
      </c>
    </row>
    <row r="54" spans="1:6">
      <c r="A54" s="309">
        <v>34</v>
      </c>
      <c r="B54" s="1"/>
      <c r="C54" s="243"/>
      <c r="D54" s="353"/>
      <c r="E54" s="25"/>
      <c r="F54" s="299" t="str">
        <f t="shared" si="0"/>
        <v>non comptabilisé</v>
      </c>
    </row>
    <row r="55" spans="1:6" ht="18.75">
      <c r="A55" s="996" t="s">
        <v>178</v>
      </c>
      <c r="B55" s="997"/>
      <c r="C55" s="997"/>
      <c r="D55" s="991">
        <f>SUM(E21:E54)</f>
        <v>34425474</v>
      </c>
      <c r="E55" s="983"/>
      <c r="F55" s="261"/>
    </row>
    <row r="56" spans="1:6" ht="15.75" thickBot="1">
      <c r="E56" s="274" t="s">
        <v>2194</v>
      </c>
      <c r="F56" s="275">
        <f ca="1">+TODAY()</f>
        <v>44720</v>
      </c>
    </row>
    <row r="57" spans="1:6" ht="18.75">
      <c r="E57" s="262" t="s">
        <v>2192</v>
      </c>
      <c r="F57" s="263">
        <f ca="1">SUMIF($F$21:$F$55,E57,$E$21:$E$39)</f>
        <v>32062176</v>
      </c>
    </row>
    <row r="58" spans="1:6" ht="19.5" thickBot="1">
      <c r="E58" s="264" t="s">
        <v>2193</v>
      </c>
      <c r="F58" s="265">
        <f ca="1">SUMIF($F$21:$F$55,E58,$E$21:$E$39)</f>
        <v>2363298</v>
      </c>
    </row>
    <row r="329" spans="1:1">
      <c r="A329" t="s">
        <v>2286</v>
      </c>
    </row>
  </sheetData>
  <autoFilter ref="A20:F58"/>
  <mergeCells count="30">
    <mergeCell ref="A13:B13"/>
    <mergeCell ref="D13:F13"/>
    <mergeCell ref="A15:B15"/>
    <mergeCell ref="E16:F16"/>
    <mergeCell ref="A10:C10"/>
    <mergeCell ref="D10:F10"/>
    <mergeCell ref="A11:C11"/>
    <mergeCell ref="D11:F11"/>
    <mergeCell ref="D12:F12"/>
    <mergeCell ref="D7:F7"/>
    <mergeCell ref="A8:C8"/>
    <mergeCell ref="D8:F8"/>
    <mergeCell ref="A9:C9"/>
    <mergeCell ref="D9:F9"/>
    <mergeCell ref="A55:C55"/>
    <mergeCell ref="A18:D18"/>
    <mergeCell ref="D55:E55"/>
    <mergeCell ref="A1:C1"/>
    <mergeCell ref="D1:F1"/>
    <mergeCell ref="A2:C2"/>
    <mergeCell ref="D2:F2"/>
    <mergeCell ref="A3:C3"/>
    <mergeCell ref="D3:F3"/>
    <mergeCell ref="A4:C4"/>
    <mergeCell ref="D4:F4"/>
    <mergeCell ref="A5:C5"/>
    <mergeCell ref="D5:F5"/>
    <mergeCell ref="A6:C6"/>
    <mergeCell ref="D6:F6"/>
    <mergeCell ref="A7:C7"/>
  </mergeCells>
  <pageMargins left="0.7" right="0.7" top="0.75" bottom="0.75" header="0.3" footer="0.3"/>
  <pageSetup paperSize="9" scale="83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Feuil14"/>
  <dimension ref="A1:I19"/>
  <sheetViews>
    <sheetView tabSelected="1" workbookViewId="0">
      <selection activeCell="G20" sqref="G20"/>
    </sheetView>
  </sheetViews>
  <sheetFormatPr baseColWidth="10" defaultRowHeight="15"/>
  <cols>
    <col min="1" max="1" width="10.85546875" customWidth="1"/>
    <col min="3" max="6" width="13.140625" customWidth="1"/>
    <col min="7" max="7" width="11.42578125" customWidth="1"/>
    <col min="8" max="8" width="14.140625" customWidth="1"/>
    <col min="10" max="10" width="12.28515625" bestFit="1" customWidth="1"/>
    <col min="11" max="11" width="11.5703125" bestFit="1" customWidth="1"/>
  </cols>
  <sheetData>
    <row r="1" spans="1:9" s="78" customFormat="1" ht="8.25" customHeight="1">
      <c r="A1" s="252"/>
      <c r="B1" s="252"/>
      <c r="C1" s="252"/>
      <c r="D1" s="252"/>
      <c r="E1" s="252"/>
      <c r="F1" s="252"/>
      <c r="G1" s="252"/>
      <c r="H1" s="252"/>
      <c r="I1" s="252"/>
    </row>
    <row r="2" spans="1:9" s="78" customFormat="1" ht="8.25" customHeight="1">
      <c r="A2" s="993" t="s">
        <v>1903</v>
      </c>
      <c r="B2" s="993"/>
      <c r="C2" s="993"/>
      <c r="D2" s="993"/>
      <c r="E2" s="993"/>
      <c r="F2" s="993" t="s">
        <v>1904</v>
      </c>
      <c r="G2" s="993"/>
      <c r="H2" s="993"/>
      <c r="I2" s="993"/>
    </row>
    <row r="3" spans="1:9" s="78" customFormat="1" ht="8.25" customHeight="1">
      <c r="A3" s="993" t="s">
        <v>1905</v>
      </c>
      <c r="B3" s="993"/>
      <c r="C3" s="993"/>
      <c r="D3" s="993"/>
      <c r="E3" s="993"/>
      <c r="F3" s="993" t="s">
        <v>1906</v>
      </c>
      <c r="G3" s="993"/>
      <c r="H3" s="993"/>
      <c r="I3" s="993"/>
    </row>
    <row r="4" spans="1:9" s="78" customFormat="1" ht="8.25" customHeight="1">
      <c r="A4" s="993" t="s">
        <v>1907</v>
      </c>
      <c r="B4" s="993"/>
      <c r="C4" s="993"/>
      <c r="D4" s="993"/>
      <c r="E4" s="993"/>
      <c r="F4" s="993" t="s">
        <v>1907</v>
      </c>
      <c r="G4" s="993"/>
      <c r="H4" s="993"/>
      <c r="I4" s="993"/>
    </row>
    <row r="5" spans="1:9" s="78" customFormat="1" ht="8.25" customHeight="1">
      <c r="A5" s="993" t="s">
        <v>260</v>
      </c>
      <c r="B5" s="993"/>
      <c r="C5" s="993"/>
      <c r="D5" s="993"/>
      <c r="E5" s="993"/>
      <c r="F5" s="993" t="s">
        <v>1</v>
      </c>
      <c r="G5" s="993"/>
      <c r="H5" s="993"/>
      <c r="I5" s="993"/>
    </row>
    <row r="6" spans="1:9" s="78" customFormat="1" ht="8.25" customHeight="1">
      <c r="A6" s="993" t="s">
        <v>1907</v>
      </c>
      <c r="B6" s="993"/>
      <c r="C6" s="993"/>
      <c r="D6" s="993"/>
      <c r="E6" s="993"/>
      <c r="F6" s="993" t="s">
        <v>1907</v>
      </c>
      <c r="G6" s="993"/>
      <c r="H6" s="993"/>
      <c r="I6" s="993"/>
    </row>
    <row r="7" spans="1:9" s="78" customFormat="1" ht="8.25" customHeight="1">
      <c r="A7" s="993" t="s">
        <v>1908</v>
      </c>
      <c r="B7" s="993"/>
      <c r="C7" s="993"/>
      <c r="D7" s="993"/>
      <c r="E7" s="993"/>
      <c r="F7" s="993" t="s">
        <v>263</v>
      </c>
      <c r="G7" s="993"/>
      <c r="H7" s="993"/>
      <c r="I7" s="993"/>
    </row>
    <row r="8" spans="1:9" s="78" customFormat="1" ht="8.25" customHeight="1">
      <c r="A8" s="993" t="s">
        <v>1907</v>
      </c>
      <c r="B8" s="993"/>
      <c r="C8" s="993"/>
      <c r="D8" s="993"/>
      <c r="E8" s="993"/>
      <c r="F8" s="993" t="s">
        <v>1907</v>
      </c>
      <c r="G8" s="993"/>
      <c r="H8" s="993"/>
      <c r="I8" s="993"/>
    </row>
    <row r="9" spans="1:9" s="78" customFormat="1" ht="8.25" customHeight="1">
      <c r="A9" s="993" t="s">
        <v>262</v>
      </c>
      <c r="B9" s="993"/>
      <c r="C9" s="993"/>
      <c r="D9" s="993"/>
      <c r="E9" s="993"/>
      <c r="F9" s="993" t="s">
        <v>1909</v>
      </c>
      <c r="G9" s="993"/>
      <c r="H9" s="993"/>
      <c r="I9" s="993"/>
    </row>
    <row r="10" spans="1:9" s="78" customFormat="1" ht="8.25" customHeight="1">
      <c r="A10" s="993" t="s">
        <v>1907</v>
      </c>
      <c r="B10" s="993"/>
      <c r="C10" s="993"/>
      <c r="D10" s="993"/>
      <c r="E10" s="993"/>
      <c r="F10" s="993" t="s">
        <v>1907</v>
      </c>
      <c r="G10" s="993"/>
      <c r="H10" s="993"/>
      <c r="I10" s="993"/>
    </row>
    <row r="11" spans="1:9" s="78" customFormat="1" ht="8.25" customHeight="1">
      <c r="A11" s="993" t="s">
        <v>1910</v>
      </c>
      <c r="B11" s="993"/>
      <c r="C11" s="993"/>
      <c r="D11" s="993"/>
      <c r="E11" s="993"/>
      <c r="F11" s="993" t="s">
        <v>1911</v>
      </c>
      <c r="G11" s="993"/>
      <c r="H11" s="993"/>
      <c r="I11" s="993"/>
    </row>
    <row r="12" spans="1:9" s="78" customFormat="1" ht="8.25" customHeight="1">
      <c r="A12" s="993" t="s">
        <v>1907</v>
      </c>
      <c r="B12" s="993"/>
      <c r="C12" s="993"/>
      <c r="D12" s="993"/>
      <c r="E12" s="254"/>
      <c r="F12" s="993"/>
      <c r="G12" s="993"/>
      <c r="H12" s="993" t="s">
        <v>1907</v>
      </c>
      <c r="I12" s="993"/>
    </row>
    <row r="13" spans="1:9" s="78" customFormat="1" ht="8.25" customHeight="1">
      <c r="A13" s="993" t="s">
        <v>1912</v>
      </c>
      <c r="B13" s="993"/>
      <c r="C13" s="993"/>
      <c r="D13" s="993"/>
      <c r="E13" s="993"/>
      <c r="F13" s="993" t="s">
        <v>1913</v>
      </c>
      <c r="G13" s="993"/>
      <c r="H13" s="993"/>
      <c r="I13" s="993"/>
    </row>
    <row r="14" spans="1:9" s="78" customFormat="1" ht="8.25" customHeight="1">
      <c r="A14" s="993" t="s">
        <v>1907</v>
      </c>
      <c r="B14" s="993"/>
      <c r="C14" s="993"/>
      <c r="D14" s="993"/>
      <c r="E14" s="993"/>
      <c r="F14" s="993" t="s">
        <v>1907</v>
      </c>
      <c r="G14" s="993"/>
      <c r="H14" s="993"/>
      <c r="I14" s="993"/>
    </row>
    <row r="15" spans="1:9" s="78" customFormat="1" ht="8.25" customHeight="1">
      <c r="A15" s="252"/>
      <c r="B15" s="252"/>
      <c r="C15" s="254"/>
      <c r="D15" s="254"/>
      <c r="E15" s="254"/>
      <c r="F15" s="254"/>
      <c r="G15" s="254"/>
      <c r="H15" s="254"/>
      <c r="I15" s="252"/>
    </row>
    <row r="16" spans="1:9" s="78" customFormat="1" ht="8.25" customHeight="1">
      <c r="A16" s="995" t="s">
        <v>1914</v>
      </c>
      <c r="B16" s="995"/>
      <c r="C16" s="995"/>
      <c r="D16" s="995"/>
      <c r="E16" s="255"/>
      <c r="F16" s="255"/>
      <c r="G16" s="255"/>
      <c r="H16" s="254"/>
      <c r="I16" s="252"/>
    </row>
    <row r="17" spans="1:9">
      <c r="A17" s="253"/>
      <c r="B17" s="253"/>
      <c r="C17" s="256"/>
      <c r="D17" s="256"/>
      <c r="E17" s="256"/>
      <c r="F17" s="256"/>
      <c r="G17" s="284" t="s">
        <v>2246</v>
      </c>
      <c r="H17" s="1001">
        <f ca="1">TODAY()</f>
        <v>44720</v>
      </c>
      <c r="I17" s="1001"/>
    </row>
    <row r="18" spans="1:9" ht="6" customHeight="1">
      <c r="A18" s="253"/>
      <c r="B18" s="253"/>
      <c r="C18" s="253"/>
      <c r="D18" s="253"/>
      <c r="E18" s="253"/>
      <c r="F18" s="253"/>
      <c r="G18" s="253"/>
      <c r="H18" s="1000" t="s">
        <v>1915</v>
      </c>
      <c r="I18" s="1000"/>
    </row>
    <row r="19" spans="1:9" ht="9.75" customHeight="1">
      <c r="A19" s="253"/>
      <c r="B19" s="253"/>
      <c r="C19" s="253"/>
      <c r="D19" s="253"/>
      <c r="E19" s="253"/>
      <c r="F19" s="253"/>
      <c r="G19" s="253"/>
      <c r="H19" s="253"/>
      <c r="I19" s="253"/>
    </row>
  </sheetData>
  <mergeCells count="29">
    <mergeCell ref="A7:E7"/>
    <mergeCell ref="F7:I7"/>
    <mergeCell ref="A8:E8"/>
    <mergeCell ref="F8:I8"/>
    <mergeCell ref="A9:E9"/>
    <mergeCell ref="F9:I9"/>
    <mergeCell ref="A10:E10"/>
    <mergeCell ref="F10:I10"/>
    <mergeCell ref="A11:E11"/>
    <mergeCell ref="F11:I11"/>
    <mergeCell ref="A12:D12"/>
    <mergeCell ref="F12:I12"/>
    <mergeCell ref="A13:E13"/>
    <mergeCell ref="F13:I13"/>
    <mergeCell ref="A14:E14"/>
    <mergeCell ref="F14:I14"/>
    <mergeCell ref="A16:D16"/>
    <mergeCell ref="H17:I17"/>
    <mergeCell ref="H18:I18"/>
    <mergeCell ref="A2:E2"/>
    <mergeCell ref="F2:I2"/>
    <mergeCell ref="A3:E3"/>
    <mergeCell ref="F3:I3"/>
    <mergeCell ref="A4:E4"/>
    <mergeCell ref="F4:I4"/>
    <mergeCell ref="A5:E5"/>
    <mergeCell ref="F5:I5"/>
    <mergeCell ref="A6:E6"/>
    <mergeCell ref="F6:I6"/>
  </mergeCells>
  <printOptions horizontalCentered="1"/>
  <pageMargins left="0.70866141732283472" right="0.70866141732283472" top="0.55118110236220474" bottom="0.18" header="0.23622047244094491" footer="0.15748031496062992"/>
  <pageSetup paperSize="9" scale="69" orientation="portrait" r:id="rId1"/>
  <colBreaks count="1" manualBreakCount="1">
    <brk id="9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7295"/>
  <sheetViews>
    <sheetView topLeftCell="A32" workbookViewId="0">
      <selection activeCell="B33" sqref="B33:B36"/>
    </sheetView>
  </sheetViews>
  <sheetFormatPr baseColWidth="10" defaultRowHeight="15"/>
  <cols>
    <col min="1" max="1" width="55.85546875" style="51" customWidth="1"/>
    <col min="2" max="4" width="12.7109375" bestFit="1" customWidth="1"/>
    <col min="5" max="5" width="13.85546875" style="40" bestFit="1" customWidth="1"/>
  </cols>
  <sheetData>
    <row r="1" spans="1:5">
      <c r="A1" s="322" t="s">
        <v>1441</v>
      </c>
      <c r="B1" s="39" t="s">
        <v>404</v>
      </c>
      <c r="C1" s="40" t="s">
        <v>1994</v>
      </c>
      <c r="D1" s="39" t="s">
        <v>404</v>
      </c>
      <c r="E1" s="40" t="s">
        <v>1994</v>
      </c>
    </row>
    <row r="2" spans="1:5">
      <c r="A2" s="614" t="s">
        <v>2926</v>
      </c>
      <c r="B2" s="47">
        <f>+D2-E2</f>
        <v>0</v>
      </c>
      <c r="C2" s="106">
        <v>0</v>
      </c>
      <c r="D2" s="47">
        <v>0</v>
      </c>
      <c r="E2" s="106">
        <v>0</v>
      </c>
    </row>
    <row r="3" spans="1:5">
      <c r="A3" s="614" t="s">
        <v>2927</v>
      </c>
      <c r="B3" s="47">
        <f t="shared" ref="B3:B4" si="0">+D3-E3</f>
        <v>0</v>
      </c>
      <c r="C3" s="106">
        <v>0</v>
      </c>
      <c r="D3" s="47">
        <v>0</v>
      </c>
      <c r="E3" s="106">
        <v>0</v>
      </c>
    </row>
    <row r="4" spans="1:5">
      <c r="A4" s="614" t="s">
        <v>2928</v>
      </c>
      <c r="B4" s="47">
        <f t="shared" si="0"/>
        <v>0</v>
      </c>
      <c r="C4" s="106">
        <v>0</v>
      </c>
      <c r="D4" s="47">
        <v>0</v>
      </c>
      <c r="E4" s="106">
        <v>0</v>
      </c>
    </row>
    <row r="5" spans="1:5">
      <c r="A5" s="614" t="s">
        <v>2929</v>
      </c>
      <c r="B5" s="47">
        <f t="shared" ref="B5:B68" si="1">+D5-E5</f>
        <v>0</v>
      </c>
      <c r="C5" s="106">
        <v>0</v>
      </c>
      <c r="D5" s="47">
        <v>0</v>
      </c>
      <c r="E5" s="106">
        <v>0</v>
      </c>
    </row>
    <row r="6" spans="1:5">
      <c r="A6" s="614" t="s">
        <v>2930</v>
      </c>
      <c r="B6" s="47">
        <f t="shared" si="1"/>
        <v>0</v>
      </c>
      <c r="C6" s="106">
        <v>0</v>
      </c>
      <c r="D6" s="47">
        <v>0</v>
      </c>
      <c r="E6" s="106">
        <v>0</v>
      </c>
    </row>
    <row r="7" spans="1:5">
      <c r="A7" s="614" t="s">
        <v>2931</v>
      </c>
      <c r="B7" s="47">
        <f t="shared" si="1"/>
        <v>0</v>
      </c>
      <c r="C7" s="106">
        <v>0</v>
      </c>
      <c r="D7" s="47">
        <v>0</v>
      </c>
      <c r="E7" s="106">
        <v>0</v>
      </c>
    </row>
    <row r="8" spans="1:5">
      <c r="A8" s="614" t="s">
        <v>2932</v>
      </c>
      <c r="B8" s="47">
        <f t="shared" si="1"/>
        <v>0</v>
      </c>
      <c r="C8" s="106">
        <v>0</v>
      </c>
      <c r="D8" s="47">
        <v>0</v>
      </c>
      <c r="E8" s="106">
        <v>0</v>
      </c>
    </row>
    <row r="9" spans="1:5">
      <c r="A9" s="614" t="s">
        <v>2933</v>
      </c>
      <c r="B9" s="47">
        <f t="shared" si="1"/>
        <v>0</v>
      </c>
      <c r="C9" s="106">
        <v>0</v>
      </c>
      <c r="D9" s="47">
        <v>0</v>
      </c>
      <c r="E9" s="106">
        <v>0</v>
      </c>
    </row>
    <row r="10" spans="1:5">
      <c r="A10" s="614" t="s">
        <v>2934</v>
      </c>
      <c r="B10" s="47">
        <f t="shared" si="1"/>
        <v>0</v>
      </c>
      <c r="C10" s="106">
        <v>0</v>
      </c>
      <c r="D10" s="47">
        <v>0</v>
      </c>
      <c r="E10" s="106">
        <v>0</v>
      </c>
    </row>
    <row r="11" spans="1:5">
      <c r="A11" s="614" t="s">
        <v>2935</v>
      </c>
      <c r="B11" s="47">
        <f t="shared" si="1"/>
        <v>0</v>
      </c>
      <c r="C11" s="106">
        <v>0</v>
      </c>
      <c r="D11" s="47">
        <v>0</v>
      </c>
      <c r="E11" s="106">
        <v>0</v>
      </c>
    </row>
    <row r="12" spans="1:5">
      <c r="A12" s="614" t="s">
        <v>2936</v>
      </c>
      <c r="B12" s="47">
        <f t="shared" si="1"/>
        <v>0</v>
      </c>
      <c r="C12" s="106">
        <v>0</v>
      </c>
      <c r="D12" s="47">
        <v>0</v>
      </c>
      <c r="E12" s="106">
        <v>0</v>
      </c>
    </row>
    <row r="13" spans="1:5">
      <c r="A13" s="614" t="s">
        <v>2937</v>
      </c>
      <c r="B13" s="47">
        <f t="shared" si="1"/>
        <v>0</v>
      </c>
      <c r="C13" s="106">
        <v>0</v>
      </c>
      <c r="D13" s="47">
        <v>0</v>
      </c>
      <c r="E13" s="106">
        <v>0</v>
      </c>
    </row>
    <row r="14" spans="1:5">
      <c r="A14" s="614" t="s">
        <v>2938</v>
      </c>
      <c r="B14" s="47">
        <f t="shared" si="1"/>
        <v>0</v>
      </c>
      <c r="C14" s="106">
        <v>0</v>
      </c>
      <c r="D14" s="47">
        <v>0</v>
      </c>
      <c r="E14" s="106">
        <v>0</v>
      </c>
    </row>
    <row r="15" spans="1:5">
      <c r="A15" s="614" t="s">
        <v>2939</v>
      </c>
      <c r="B15" s="47">
        <f t="shared" si="1"/>
        <v>0</v>
      </c>
      <c r="C15" s="106">
        <v>0</v>
      </c>
      <c r="D15" s="47">
        <v>0</v>
      </c>
      <c r="E15" s="106">
        <v>0</v>
      </c>
    </row>
    <row r="16" spans="1:5">
      <c r="A16" s="361" t="s">
        <v>2940</v>
      </c>
      <c r="B16" s="47">
        <f t="shared" si="1"/>
        <v>1605922.7272727271</v>
      </c>
      <c r="C16" s="106">
        <v>0</v>
      </c>
      <c r="D16" s="47">
        <v>1605922.7272727271</v>
      </c>
      <c r="E16" s="106">
        <v>0</v>
      </c>
    </row>
    <row r="17" spans="1:5">
      <c r="A17" s="361" t="s">
        <v>2941</v>
      </c>
      <c r="B17" s="47">
        <f t="shared" si="1"/>
        <v>4741955.4545454541</v>
      </c>
      <c r="C17" s="106">
        <v>0</v>
      </c>
      <c r="D17" s="47">
        <v>4741955.4545454541</v>
      </c>
      <c r="E17" s="106">
        <v>0</v>
      </c>
    </row>
    <row r="18" spans="1:5">
      <c r="A18" s="361" t="s">
        <v>2942</v>
      </c>
      <c r="B18" s="47">
        <f t="shared" si="1"/>
        <v>356272.72727272724</v>
      </c>
      <c r="C18" s="106">
        <v>0</v>
      </c>
      <c r="D18" s="47">
        <v>356272.72727272724</v>
      </c>
      <c r="E18" s="106">
        <v>0</v>
      </c>
    </row>
    <row r="19" spans="1:5">
      <c r="A19" s="361" t="s">
        <v>2943</v>
      </c>
      <c r="B19" s="47">
        <f>+D19-E19</f>
        <v>6209707.2727272725</v>
      </c>
      <c r="C19" s="106">
        <v>0</v>
      </c>
      <c r="D19" s="47">
        <v>6209707.2727272725</v>
      </c>
      <c r="E19" s="106">
        <v>0</v>
      </c>
    </row>
    <row r="20" spans="1:5">
      <c r="A20" s="361" t="s">
        <v>2944</v>
      </c>
      <c r="B20" s="47">
        <f t="shared" si="1"/>
        <v>5086050.9090909082</v>
      </c>
      <c r="C20" s="106">
        <v>0</v>
      </c>
      <c r="D20" s="47">
        <v>5086050.9090909082</v>
      </c>
      <c r="E20" s="106">
        <v>0</v>
      </c>
    </row>
    <row r="21" spans="1:5">
      <c r="A21" s="511" t="s">
        <v>2945</v>
      </c>
      <c r="B21" s="47">
        <f t="shared" si="1"/>
        <v>3000000</v>
      </c>
      <c r="C21" s="106">
        <v>0</v>
      </c>
      <c r="D21" s="47">
        <v>3000000</v>
      </c>
      <c r="E21" s="106">
        <v>0</v>
      </c>
    </row>
    <row r="22" spans="1:5">
      <c r="A22" s="511" t="s">
        <v>2946</v>
      </c>
      <c r="B22" s="47">
        <f t="shared" si="1"/>
        <v>5500000</v>
      </c>
      <c r="C22" s="106">
        <v>0</v>
      </c>
      <c r="D22" s="47">
        <v>5500000</v>
      </c>
      <c r="E22" s="106">
        <v>0</v>
      </c>
    </row>
    <row r="23" spans="1:5">
      <c r="A23" s="511" t="s">
        <v>2947</v>
      </c>
      <c r="B23" s="47">
        <f t="shared" si="1"/>
        <v>2200000</v>
      </c>
      <c r="C23" s="106">
        <v>0</v>
      </c>
      <c r="D23" s="47">
        <v>2200000</v>
      </c>
      <c r="E23" s="106">
        <v>0</v>
      </c>
    </row>
    <row r="24" spans="1:5">
      <c r="A24" s="511" t="s">
        <v>2948</v>
      </c>
      <c r="B24" s="47">
        <f t="shared" si="1"/>
        <v>5500000</v>
      </c>
      <c r="C24" s="106">
        <v>0</v>
      </c>
      <c r="D24" s="47">
        <v>5500000</v>
      </c>
      <c r="E24" s="106">
        <v>0</v>
      </c>
    </row>
    <row r="25" spans="1:5">
      <c r="A25" s="511" t="s">
        <v>2949</v>
      </c>
      <c r="B25" s="47">
        <f t="shared" si="1"/>
        <v>5000000</v>
      </c>
      <c r="C25" s="106">
        <v>0</v>
      </c>
      <c r="D25" s="47">
        <v>5000000</v>
      </c>
      <c r="E25" s="106">
        <v>0</v>
      </c>
    </row>
    <row r="26" spans="1:5">
      <c r="A26" s="511" t="s">
        <v>2950</v>
      </c>
      <c r="B26" s="47">
        <f t="shared" si="1"/>
        <v>1000000</v>
      </c>
      <c r="C26" s="106">
        <v>0</v>
      </c>
      <c r="D26" s="47">
        <v>1000000</v>
      </c>
      <c r="E26" s="106">
        <v>0</v>
      </c>
    </row>
    <row r="27" spans="1:5">
      <c r="A27" s="511" t="s">
        <v>2951</v>
      </c>
      <c r="B27" s="47">
        <f t="shared" si="1"/>
        <v>3000000</v>
      </c>
      <c r="C27" s="106">
        <v>0</v>
      </c>
      <c r="D27" s="47">
        <v>3000000</v>
      </c>
      <c r="E27" s="106">
        <v>0</v>
      </c>
    </row>
    <row r="28" spans="1:5">
      <c r="A28" s="511" t="s">
        <v>2952</v>
      </c>
      <c r="B28" s="47">
        <f t="shared" si="1"/>
        <v>7700000</v>
      </c>
      <c r="C28" s="106">
        <v>0</v>
      </c>
      <c r="D28" s="47">
        <v>7700000</v>
      </c>
      <c r="E28" s="106">
        <v>0</v>
      </c>
    </row>
    <row r="29" spans="1:5">
      <c r="A29" s="511" t="s">
        <v>2953</v>
      </c>
      <c r="B29" s="47">
        <f t="shared" si="1"/>
        <v>2200000</v>
      </c>
      <c r="C29" s="106">
        <v>0</v>
      </c>
      <c r="D29" s="47">
        <v>2200000</v>
      </c>
      <c r="E29" s="106">
        <v>0</v>
      </c>
    </row>
    <row r="30" spans="1:5">
      <c r="A30" s="511" t="s">
        <v>2954</v>
      </c>
      <c r="B30" s="47">
        <f t="shared" si="1"/>
        <v>550000</v>
      </c>
      <c r="C30" s="106">
        <v>0</v>
      </c>
      <c r="D30" s="47">
        <v>550000</v>
      </c>
      <c r="E30" s="106">
        <v>0</v>
      </c>
    </row>
    <row r="31" spans="1:5">
      <c r="A31" s="361" t="s">
        <v>2955</v>
      </c>
      <c r="B31" s="47">
        <f t="shared" si="1"/>
        <v>90000</v>
      </c>
      <c r="C31" s="106">
        <v>0</v>
      </c>
      <c r="D31" s="47">
        <v>90000</v>
      </c>
      <c r="E31" s="106">
        <v>0</v>
      </c>
    </row>
    <row r="32" spans="1:5">
      <c r="A32" s="361" t="s">
        <v>2956</v>
      </c>
      <c r="B32" s="47">
        <f t="shared" si="1"/>
        <v>19381886</v>
      </c>
      <c r="C32" s="106">
        <v>0</v>
      </c>
      <c r="D32" s="47">
        <v>19381886</v>
      </c>
      <c r="E32" s="106">
        <v>0</v>
      </c>
    </row>
    <row r="33" spans="1:5">
      <c r="A33" s="361" t="s">
        <v>2957</v>
      </c>
      <c r="B33" s="47">
        <f t="shared" si="1"/>
        <v>5242321</v>
      </c>
      <c r="C33" s="106">
        <v>0</v>
      </c>
      <c r="D33" s="47">
        <v>5242321</v>
      </c>
      <c r="E33" s="106">
        <v>0</v>
      </c>
    </row>
    <row r="34" spans="1:5">
      <c r="A34" s="361" t="s">
        <v>2958</v>
      </c>
      <c r="B34" s="47">
        <f t="shared" si="1"/>
        <v>6332508</v>
      </c>
      <c r="C34" s="106">
        <v>0</v>
      </c>
      <c r="D34" s="47">
        <v>6332508</v>
      </c>
      <c r="E34" s="106">
        <v>0</v>
      </c>
    </row>
    <row r="35" spans="1:5">
      <c r="A35" s="361" t="s">
        <v>2959</v>
      </c>
      <c r="B35" s="47">
        <f t="shared" si="1"/>
        <v>4702213</v>
      </c>
      <c r="C35" s="106">
        <v>0</v>
      </c>
      <c r="D35" s="47">
        <v>4702213</v>
      </c>
      <c r="E35" s="106">
        <v>0</v>
      </c>
    </row>
    <row r="36" spans="1:5">
      <c r="A36" s="361" t="s">
        <v>2960</v>
      </c>
      <c r="B36" s="47">
        <f t="shared" si="1"/>
        <v>2314264</v>
      </c>
      <c r="C36" s="106">
        <v>0</v>
      </c>
      <c r="D36" s="47">
        <v>2314264</v>
      </c>
      <c r="E36" s="106">
        <v>0</v>
      </c>
    </row>
    <row r="37" spans="1:5">
      <c r="A37" s="361" t="s">
        <v>2961</v>
      </c>
      <c r="B37" s="47">
        <f t="shared" si="1"/>
        <v>300000</v>
      </c>
      <c r="C37" s="106">
        <v>0</v>
      </c>
      <c r="D37" s="47">
        <v>300000</v>
      </c>
      <c r="E37" s="106">
        <v>0</v>
      </c>
    </row>
    <row r="38" spans="1:5">
      <c r="A38" s="361" t="s">
        <v>2962</v>
      </c>
      <c r="B38" s="47">
        <f t="shared" si="1"/>
        <v>119899</v>
      </c>
      <c r="C38" s="106">
        <v>0</v>
      </c>
      <c r="D38" s="47">
        <v>119899</v>
      </c>
      <c r="E38" s="106">
        <v>0</v>
      </c>
    </row>
    <row r="39" spans="1:5">
      <c r="A39" s="361" t="s">
        <v>2963</v>
      </c>
      <c r="B39" s="47">
        <f t="shared" si="1"/>
        <v>312099</v>
      </c>
      <c r="C39" s="106">
        <v>0</v>
      </c>
      <c r="D39" s="47">
        <v>312099</v>
      </c>
      <c r="E39" s="106">
        <v>0</v>
      </c>
    </row>
    <row r="40" spans="1:5">
      <c r="A40" s="361" t="s">
        <v>2964</v>
      </c>
      <c r="B40" s="47">
        <f t="shared" si="1"/>
        <v>228594</v>
      </c>
      <c r="C40" s="106">
        <v>0</v>
      </c>
      <c r="D40" s="47">
        <v>228594</v>
      </c>
      <c r="E40" s="106">
        <v>0</v>
      </c>
    </row>
    <row r="41" spans="1:5">
      <c r="A41" s="325" t="s">
        <v>364</v>
      </c>
      <c r="B41" s="47">
        <f t="shared" si="1"/>
        <v>22490251.545454547</v>
      </c>
      <c r="C41" s="106">
        <v>0</v>
      </c>
      <c r="D41" s="47">
        <v>22490251.545454547</v>
      </c>
      <c r="E41" s="106">
        <v>0</v>
      </c>
    </row>
    <row r="42" spans="1:5">
      <c r="A42" s="649" t="s">
        <v>2965</v>
      </c>
      <c r="B42" s="47">
        <f t="shared" si="1"/>
        <v>4071439</v>
      </c>
      <c r="C42" s="106">
        <v>0</v>
      </c>
      <c r="D42" s="47">
        <v>4071439</v>
      </c>
      <c r="E42" s="106">
        <v>0</v>
      </c>
    </row>
    <row r="43" spans="1:5">
      <c r="A43" s="650" t="s">
        <v>2966</v>
      </c>
      <c r="B43" s="47">
        <f t="shared" si="1"/>
        <v>2702324</v>
      </c>
      <c r="C43" s="106">
        <v>0</v>
      </c>
      <c r="D43" s="47">
        <v>2702324</v>
      </c>
      <c r="E43" s="106">
        <v>0</v>
      </c>
    </row>
    <row r="44" spans="1:5">
      <c r="A44" s="325" t="s">
        <v>1899</v>
      </c>
      <c r="B44" s="47">
        <f t="shared" si="1"/>
        <v>2464526</v>
      </c>
      <c r="C44" s="106">
        <v>0</v>
      </c>
      <c r="D44" s="47">
        <v>2678653.2727272725</v>
      </c>
      <c r="E44" s="106">
        <v>214127.27272727271</v>
      </c>
    </row>
    <row r="45" spans="1:5">
      <c r="A45" s="361" t="s">
        <v>2967</v>
      </c>
      <c r="B45" s="47">
        <f t="shared" si="1"/>
        <v>1103452</v>
      </c>
      <c r="C45" s="106">
        <v>0</v>
      </c>
      <c r="D45" s="47">
        <v>1103452</v>
      </c>
      <c r="E45" s="106">
        <v>0</v>
      </c>
    </row>
    <row r="46" spans="1:5">
      <c r="A46" s="361" t="s">
        <v>2968</v>
      </c>
      <c r="B46" s="47">
        <f t="shared" si="1"/>
        <v>25000</v>
      </c>
      <c r="C46" s="106">
        <v>0</v>
      </c>
      <c r="D46" s="47">
        <v>25000</v>
      </c>
      <c r="E46" s="106">
        <v>0</v>
      </c>
    </row>
    <row r="47" spans="1:5">
      <c r="A47" s="361" t="s">
        <v>2969</v>
      </c>
      <c r="B47" s="47">
        <f t="shared" si="1"/>
        <v>25000</v>
      </c>
      <c r="C47" s="106">
        <v>0</v>
      </c>
      <c r="D47" s="47">
        <v>25000</v>
      </c>
      <c r="E47" s="106">
        <v>0</v>
      </c>
    </row>
    <row r="48" spans="1:5">
      <c r="A48" s="361" t="s">
        <v>2970</v>
      </c>
      <c r="B48" s="47">
        <f t="shared" si="1"/>
        <v>25000</v>
      </c>
      <c r="C48" s="106">
        <v>0</v>
      </c>
      <c r="D48" s="47">
        <v>25000</v>
      </c>
      <c r="E48" s="106">
        <v>0</v>
      </c>
    </row>
    <row r="49" spans="1:5">
      <c r="A49" s="361" t="s">
        <v>2971</v>
      </c>
      <c r="B49" s="47">
        <f t="shared" si="1"/>
        <v>25000</v>
      </c>
      <c r="C49" s="106">
        <v>0</v>
      </c>
      <c r="D49" s="47">
        <v>25000</v>
      </c>
      <c r="E49" s="106">
        <v>0</v>
      </c>
    </row>
    <row r="50" spans="1:5">
      <c r="A50" s="361" t="s">
        <v>2972</v>
      </c>
      <c r="B50" s="47">
        <f t="shared" si="1"/>
        <v>10000</v>
      </c>
      <c r="C50" s="106">
        <v>0</v>
      </c>
      <c r="D50" s="47">
        <v>10000</v>
      </c>
      <c r="E50" s="106">
        <v>0</v>
      </c>
    </row>
    <row r="51" spans="1:5">
      <c r="A51" s="361" t="s">
        <v>2973</v>
      </c>
      <c r="B51" s="47">
        <f t="shared" si="1"/>
        <v>25000</v>
      </c>
      <c r="C51" s="106">
        <v>0</v>
      </c>
      <c r="D51" s="47">
        <v>25000</v>
      </c>
      <c r="E51" s="106">
        <v>0</v>
      </c>
    </row>
    <row r="52" spans="1:5">
      <c r="A52" s="361" t="s">
        <v>2974</v>
      </c>
      <c r="B52" s="47">
        <f t="shared" si="1"/>
        <v>25000</v>
      </c>
      <c r="C52" s="106">
        <v>0</v>
      </c>
      <c r="D52" s="47">
        <v>25000</v>
      </c>
      <c r="E52" s="106">
        <v>0</v>
      </c>
    </row>
    <row r="53" spans="1:5">
      <c r="A53" s="361" t="s">
        <v>2975</v>
      </c>
      <c r="B53" s="47">
        <f t="shared" si="1"/>
        <v>10000</v>
      </c>
      <c r="C53" s="106">
        <v>0</v>
      </c>
      <c r="D53" s="47">
        <v>10000</v>
      </c>
      <c r="E53" s="106">
        <v>0</v>
      </c>
    </row>
    <row r="54" spans="1:5">
      <c r="A54" s="325" t="s">
        <v>1626</v>
      </c>
      <c r="B54" s="47">
        <f t="shared" si="1"/>
        <v>3228678</v>
      </c>
      <c r="C54" s="106">
        <v>0</v>
      </c>
      <c r="D54" s="47">
        <v>3228678</v>
      </c>
      <c r="E54" s="106">
        <v>0</v>
      </c>
    </row>
    <row r="55" spans="1:5">
      <c r="A55" s="361" t="s">
        <v>2515</v>
      </c>
      <c r="B55" s="47">
        <f t="shared" si="1"/>
        <v>10000</v>
      </c>
      <c r="C55" s="106">
        <v>0</v>
      </c>
      <c r="D55" s="47">
        <v>10000</v>
      </c>
      <c r="E55" s="106">
        <v>0</v>
      </c>
    </row>
    <row r="56" spans="1:5">
      <c r="A56" s="361" t="s">
        <v>2976</v>
      </c>
      <c r="B56" s="47">
        <f t="shared" si="1"/>
        <v>10000</v>
      </c>
      <c r="C56" s="106">
        <v>0</v>
      </c>
      <c r="D56" s="47">
        <v>10000</v>
      </c>
      <c r="E56" s="106">
        <v>0</v>
      </c>
    </row>
    <row r="57" spans="1:5">
      <c r="A57" s="361" t="s">
        <v>2977</v>
      </c>
      <c r="B57" s="47">
        <f t="shared" si="1"/>
        <v>25000</v>
      </c>
      <c r="C57" s="106">
        <v>0</v>
      </c>
      <c r="D57" s="47">
        <v>25000</v>
      </c>
      <c r="E57" s="106">
        <v>0</v>
      </c>
    </row>
    <row r="58" spans="1:5">
      <c r="A58" s="361" t="s">
        <v>2978</v>
      </c>
      <c r="B58" s="47">
        <f t="shared" si="1"/>
        <v>10000</v>
      </c>
      <c r="C58" s="106">
        <v>0</v>
      </c>
      <c r="D58" s="47">
        <v>10000</v>
      </c>
      <c r="E58" s="106">
        <v>0</v>
      </c>
    </row>
    <row r="59" spans="1:5">
      <c r="A59" s="77" t="s">
        <v>2355</v>
      </c>
      <c r="B59" s="47">
        <f t="shared" si="1"/>
        <v>435337.36363636365</v>
      </c>
      <c r="C59" s="106">
        <v>0</v>
      </c>
      <c r="D59" s="47">
        <v>435337.36363636365</v>
      </c>
      <c r="E59" s="106">
        <v>0</v>
      </c>
    </row>
    <row r="60" spans="1:5">
      <c r="A60" s="614" t="s">
        <v>2979</v>
      </c>
      <c r="B60" s="47">
        <f t="shared" si="1"/>
        <v>0</v>
      </c>
      <c r="C60" s="106">
        <v>0</v>
      </c>
      <c r="D60" s="47">
        <v>0</v>
      </c>
      <c r="E60" s="106">
        <v>0</v>
      </c>
    </row>
    <row r="61" spans="1:5">
      <c r="A61" s="325" t="s">
        <v>328</v>
      </c>
      <c r="B61" s="47">
        <f t="shared" si="1"/>
        <v>98167</v>
      </c>
      <c r="C61" s="106">
        <v>0</v>
      </c>
      <c r="D61" s="47">
        <v>98167</v>
      </c>
      <c r="E61" s="106">
        <v>0</v>
      </c>
    </row>
    <row r="62" spans="1:5">
      <c r="A62" s="325" t="s">
        <v>378</v>
      </c>
      <c r="B62" s="47">
        <f t="shared" si="1"/>
        <v>344341</v>
      </c>
      <c r="C62" s="106">
        <v>0</v>
      </c>
      <c r="D62" s="47">
        <v>344341</v>
      </c>
      <c r="E62" s="106">
        <v>0</v>
      </c>
    </row>
    <row r="63" spans="1:5">
      <c r="A63" s="339" t="s">
        <v>2906</v>
      </c>
      <c r="B63" s="47">
        <f t="shared" si="1"/>
        <v>65185</v>
      </c>
      <c r="C63" s="106">
        <v>0</v>
      </c>
      <c r="D63" s="47">
        <v>65185</v>
      </c>
      <c r="E63" s="106">
        <v>0</v>
      </c>
    </row>
    <row r="64" spans="1:5">
      <c r="A64" s="325" t="s">
        <v>1916</v>
      </c>
      <c r="B64" s="47">
        <f t="shared" si="1"/>
        <v>61788</v>
      </c>
      <c r="C64" s="106">
        <v>0</v>
      </c>
      <c r="D64" s="47">
        <v>61788</v>
      </c>
      <c r="E64" s="106">
        <v>0</v>
      </c>
    </row>
    <row r="65" spans="1:5">
      <c r="A65" s="325" t="s">
        <v>280</v>
      </c>
      <c r="B65" s="47">
        <f t="shared" si="1"/>
        <v>684119.5</v>
      </c>
      <c r="C65" s="106">
        <v>0</v>
      </c>
      <c r="D65" s="47">
        <v>684119.5</v>
      </c>
      <c r="E65" s="106">
        <v>0</v>
      </c>
    </row>
    <row r="66" spans="1:5">
      <c r="A66" s="325" t="s">
        <v>287</v>
      </c>
      <c r="B66" s="47">
        <f t="shared" si="1"/>
        <v>907414.5</v>
      </c>
      <c r="C66" s="106">
        <v>0</v>
      </c>
      <c r="D66" s="47">
        <v>1346179.9545454546</v>
      </c>
      <c r="E66" s="106">
        <v>438765.45454545453</v>
      </c>
    </row>
    <row r="67" spans="1:5">
      <c r="A67" s="325" t="s">
        <v>281</v>
      </c>
      <c r="B67" s="47">
        <f t="shared" si="1"/>
        <v>53287.5</v>
      </c>
      <c r="C67" s="106">
        <v>0</v>
      </c>
      <c r="D67" s="47">
        <v>53287.5</v>
      </c>
      <c r="E67" s="106">
        <v>0</v>
      </c>
    </row>
    <row r="68" spans="1:5">
      <c r="A68" s="325" t="s">
        <v>367</v>
      </c>
      <c r="B68" s="47">
        <f t="shared" si="1"/>
        <v>193326</v>
      </c>
      <c r="C68" s="106">
        <v>0</v>
      </c>
      <c r="D68" s="47">
        <v>193326</v>
      </c>
      <c r="E68" s="106">
        <v>0</v>
      </c>
    </row>
    <row r="69" spans="1:5">
      <c r="A69" s="325" t="s">
        <v>269</v>
      </c>
      <c r="B69" s="47">
        <f t="shared" ref="B69:B132" si="2">+D69-E69</f>
        <v>249382</v>
      </c>
      <c r="C69" s="106">
        <v>0</v>
      </c>
      <c r="D69" s="47">
        <v>249382</v>
      </c>
      <c r="E69" s="106">
        <v>0</v>
      </c>
    </row>
    <row r="70" spans="1:5">
      <c r="A70" s="325" t="s">
        <v>373</v>
      </c>
      <c r="B70" s="47">
        <f t="shared" si="2"/>
        <v>172823</v>
      </c>
      <c r="C70" s="106">
        <v>0</v>
      </c>
      <c r="D70" s="47">
        <v>172823</v>
      </c>
      <c r="E70" s="106">
        <v>0</v>
      </c>
    </row>
    <row r="71" spans="1:5">
      <c r="A71" s="339" t="s">
        <v>2980</v>
      </c>
      <c r="B71" s="47">
        <f t="shared" si="2"/>
        <v>160217</v>
      </c>
      <c r="C71" s="106">
        <v>0</v>
      </c>
      <c r="D71" s="47">
        <v>160217</v>
      </c>
      <c r="E71" s="106">
        <v>0</v>
      </c>
    </row>
    <row r="72" spans="1:5">
      <c r="A72" s="325" t="s">
        <v>2302</v>
      </c>
      <c r="B72" s="47">
        <f t="shared" si="2"/>
        <v>130268</v>
      </c>
      <c r="C72" s="106">
        <v>0</v>
      </c>
      <c r="D72" s="47">
        <v>130268</v>
      </c>
      <c r="E72" s="106">
        <v>0</v>
      </c>
    </row>
    <row r="73" spans="1:5">
      <c r="A73" s="339" t="s">
        <v>2981</v>
      </c>
      <c r="B73" s="47">
        <f t="shared" si="2"/>
        <v>74339</v>
      </c>
      <c r="C73" s="106">
        <v>0</v>
      </c>
      <c r="D73" s="47">
        <v>74339</v>
      </c>
      <c r="E73" s="106">
        <v>0</v>
      </c>
    </row>
    <row r="74" spans="1:5">
      <c r="A74" s="1" t="s">
        <v>763</v>
      </c>
      <c r="B74" s="47">
        <f t="shared" si="2"/>
        <v>16755</v>
      </c>
      <c r="C74" s="106">
        <v>0</v>
      </c>
      <c r="D74" s="47">
        <v>16755</v>
      </c>
      <c r="E74" s="106">
        <v>0</v>
      </c>
    </row>
    <row r="75" spans="1:5">
      <c r="A75" t="s">
        <v>2648</v>
      </c>
      <c r="B75" s="47">
        <f t="shared" si="2"/>
        <v>0</v>
      </c>
      <c r="C75" s="106">
        <v>0</v>
      </c>
      <c r="D75" s="47">
        <v>0</v>
      </c>
      <c r="E75" s="106">
        <v>0</v>
      </c>
    </row>
    <row r="76" spans="1:5">
      <c r="A76" s="361" t="s">
        <v>2982</v>
      </c>
      <c r="B76" s="47">
        <f t="shared" si="2"/>
        <v>25000</v>
      </c>
      <c r="C76" s="106">
        <v>0</v>
      </c>
      <c r="D76" s="47">
        <v>25000</v>
      </c>
      <c r="E76" s="106">
        <v>0</v>
      </c>
    </row>
    <row r="77" spans="1:5">
      <c r="A77" s="325" t="s">
        <v>2130</v>
      </c>
      <c r="B77" s="47">
        <f t="shared" si="2"/>
        <v>865277</v>
      </c>
      <c r="C77" s="106">
        <v>0</v>
      </c>
      <c r="D77" s="47">
        <v>5471018.8181818184</v>
      </c>
      <c r="E77" s="106">
        <v>4605741.8181818184</v>
      </c>
    </row>
    <row r="78" spans="1:5">
      <c r="A78" s="325" t="s">
        <v>278</v>
      </c>
      <c r="B78" s="47">
        <f t="shared" si="2"/>
        <v>26775</v>
      </c>
      <c r="C78" s="106">
        <v>0</v>
      </c>
      <c r="D78" s="47">
        <v>26775</v>
      </c>
      <c r="E78" s="106">
        <v>0</v>
      </c>
    </row>
    <row r="79" spans="1:5">
      <c r="A79" s="325" t="s">
        <v>321</v>
      </c>
      <c r="B79" s="47">
        <f t="shared" si="2"/>
        <v>26775</v>
      </c>
      <c r="C79" s="106">
        <v>0</v>
      </c>
      <c r="D79" s="47">
        <v>26775</v>
      </c>
      <c r="E79" s="106">
        <v>0</v>
      </c>
    </row>
    <row r="80" spans="1:5">
      <c r="A80" s="339" t="s">
        <v>2754</v>
      </c>
      <c r="B80" s="47">
        <f t="shared" si="2"/>
        <v>28665</v>
      </c>
      <c r="C80" s="106">
        <v>0</v>
      </c>
      <c r="D80" s="47">
        <v>28665</v>
      </c>
      <c r="E80" s="106">
        <v>0</v>
      </c>
    </row>
    <row r="81" spans="1:5">
      <c r="A81" s="325" t="s">
        <v>2352</v>
      </c>
      <c r="B81" s="47">
        <f t="shared" si="2"/>
        <v>28267.45</v>
      </c>
      <c r="C81" s="106">
        <v>0</v>
      </c>
      <c r="D81" s="47">
        <v>28267.45</v>
      </c>
      <c r="E81" s="106">
        <v>0</v>
      </c>
    </row>
    <row r="82" spans="1:5">
      <c r="A82" s="325" t="s">
        <v>2350</v>
      </c>
      <c r="B82" s="47">
        <f t="shared" si="2"/>
        <v>28625.15</v>
      </c>
      <c r="C82" s="106">
        <v>0</v>
      </c>
      <c r="D82">
        <v>28625.15</v>
      </c>
      <c r="E82" s="106">
        <v>0</v>
      </c>
    </row>
    <row r="83" spans="1:5">
      <c r="A83" s="325" t="s">
        <v>2983</v>
      </c>
      <c r="B83" s="47">
        <f t="shared" si="2"/>
        <v>44590</v>
      </c>
      <c r="C83" s="106">
        <v>0</v>
      </c>
      <c r="D83">
        <v>44590</v>
      </c>
      <c r="E83" s="106">
        <v>0</v>
      </c>
    </row>
    <row r="84" spans="1:5">
      <c r="A84" s="325" t="s">
        <v>1957</v>
      </c>
      <c r="B84" s="47">
        <f t="shared" si="2"/>
        <v>16265</v>
      </c>
      <c r="C84" s="106">
        <v>0</v>
      </c>
      <c r="D84">
        <v>16265</v>
      </c>
      <c r="E84" s="106">
        <v>0</v>
      </c>
    </row>
    <row r="85" spans="1:5">
      <c r="A85" s="325" t="s">
        <v>2391</v>
      </c>
      <c r="B85" s="47">
        <f t="shared" si="2"/>
        <v>32805.5</v>
      </c>
      <c r="C85" s="106">
        <v>0</v>
      </c>
      <c r="D85">
        <v>32805.5</v>
      </c>
      <c r="E85" s="106">
        <v>0</v>
      </c>
    </row>
    <row r="86" spans="1:5">
      <c r="A86" s="325" t="s">
        <v>304</v>
      </c>
      <c r="B86" s="47">
        <f t="shared" si="2"/>
        <v>175500</v>
      </c>
      <c r="C86" s="106">
        <v>0</v>
      </c>
      <c r="D86">
        <v>175500</v>
      </c>
      <c r="E86" s="106">
        <v>0</v>
      </c>
    </row>
    <row r="87" spans="1:5">
      <c r="A87" s="325" t="s">
        <v>365</v>
      </c>
      <c r="B87" s="47">
        <f t="shared" si="2"/>
        <v>2931749</v>
      </c>
      <c r="C87" s="106">
        <v>0</v>
      </c>
      <c r="D87">
        <v>2931749</v>
      </c>
      <c r="E87" s="106">
        <v>0</v>
      </c>
    </row>
    <row r="88" spans="1:5">
      <c r="A88" s="325" t="s">
        <v>2363</v>
      </c>
      <c r="B88" s="47">
        <f t="shared" si="2"/>
        <v>1244914</v>
      </c>
      <c r="C88" s="106">
        <v>0</v>
      </c>
      <c r="D88">
        <v>1244914</v>
      </c>
      <c r="E88" s="106">
        <v>0</v>
      </c>
    </row>
    <row r="89" spans="1:5">
      <c r="A89" s="325" t="s">
        <v>2362</v>
      </c>
      <c r="B89" s="47">
        <f t="shared" si="2"/>
        <v>148796.25</v>
      </c>
      <c r="C89" s="106">
        <v>0</v>
      </c>
      <c r="D89">
        <v>148796.25</v>
      </c>
      <c r="E89" s="106">
        <v>0</v>
      </c>
    </row>
    <row r="90" spans="1:5">
      <c r="A90" s="325" t="s">
        <v>817</v>
      </c>
      <c r="B90" s="47">
        <f t="shared" si="2"/>
        <v>294674.72727272729</v>
      </c>
      <c r="C90" s="106">
        <v>0</v>
      </c>
      <c r="D90">
        <v>294674.72727272729</v>
      </c>
      <c r="E90" s="106">
        <v>0</v>
      </c>
    </row>
    <row r="91" spans="1:5">
      <c r="A91" s="325" t="s">
        <v>375</v>
      </c>
      <c r="B91" s="47">
        <f t="shared" si="2"/>
        <v>190454.36363636362</v>
      </c>
      <c r="C91" s="106">
        <v>0</v>
      </c>
      <c r="D91">
        <v>190454.36363636362</v>
      </c>
      <c r="E91" s="106">
        <v>0</v>
      </c>
    </row>
    <row r="92" spans="1:5">
      <c r="A92" s="325" t="s">
        <v>370</v>
      </c>
      <c r="B92" s="47">
        <f t="shared" si="2"/>
        <v>198078</v>
      </c>
      <c r="C92" s="106">
        <v>0</v>
      </c>
      <c r="D92">
        <v>198078</v>
      </c>
      <c r="E92" s="106">
        <v>0</v>
      </c>
    </row>
    <row r="93" spans="1:5">
      <c r="A93" s="325" t="s">
        <v>1717</v>
      </c>
      <c r="B93" s="47">
        <f t="shared" si="2"/>
        <v>441432.27272727271</v>
      </c>
      <c r="C93" s="106">
        <v>0</v>
      </c>
      <c r="D93">
        <v>441432.27272727271</v>
      </c>
      <c r="E93" s="106">
        <v>0</v>
      </c>
    </row>
    <row r="94" spans="1:5">
      <c r="A94" s="325" t="s">
        <v>290</v>
      </c>
      <c r="B94" s="47">
        <f t="shared" si="2"/>
        <v>243435.09090909091</v>
      </c>
      <c r="C94" s="106">
        <v>0</v>
      </c>
      <c r="D94">
        <v>243435.09090909091</v>
      </c>
      <c r="E94" s="106">
        <v>0</v>
      </c>
    </row>
    <row r="95" spans="1:5">
      <c r="A95" s="325" t="s">
        <v>275</v>
      </c>
      <c r="B95" s="47">
        <f t="shared" si="2"/>
        <v>170835.9</v>
      </c>
      <c r="C95" s="106">
        <v>0</v>
      </c>
      <c r="D95">
        <v>170835.9</v>
      </c>
      <c r="E95" s="106">
        <v>0</v>
      </c>
    </row>
    <row r="96" spans="1:5">
      <c r="A96" s="325" t="s">
        <v>374</v>
      </c>
      <c r="B96" s="47">
        <f t="shared" si="2"/>
        <v>276060.45454545453</v>
      </c>
      <c r="C96" s="106">
        <v>0</v>
      </c>
      <c r="D96">
        <v>276060.45454545453</v>
      </c>
      <c r="E96" s="106">
        <v>0</v>
      </c>
    </row>
    <row r="97" spans="1:5">
      <c r="A97" s="1" t="s">
        <v>475</v>
      </c>
      <c r="B97" s="47">
        <f t="shared" si="2"/>
        <v>194569.81818181818</v>
      </c>
      <c r="C97" s="106">
        <v>0</v>
      </c>
      <c r="D97">
        <v>194569.81818181818</v>
      </c>
      <c r="E97" s="106">
        <v>0</v>
      </c>
    </row>
    <row r="98" spans="1:5">
      <c r="A98" s="1" t="s">
        <v>533</v>
      </c>
      <c r="B98" s="47">
        <f t="shared" si="2"/>
        <v>2330497.0909090899</v>
      </c>
      <c r="C98" s="106">
        <v>0</v>
      </c>
      <c r="D98">
        <v>17835855.27272727</v>
      </c>
      <c r="E98" s="106">
        <v>15505358.18181818</v>
      </c>
    </row>
    <row r="99" spans="1:5">
      <c r="A99" s="1" t="s">
        <v>288</v>
      </c>
      <c r="B99" s="47">
        <f t="shared" si="2"/>
        <v>541076</v>
      </c>
      <c r="C99" s="106">
        <v>0</v>
      </c>
      <c r="D99">
        <v>541076</v>
      </c>
      <c r="E99" s="106">
        <v>0</v>
      </c>
    </row>
    <row r="100" spans="1:5">
      <c r="A100" s="1" t="s">
        <v>2984</v>
      </c>
      <c r="B100" s="47">
        <f t="shared" si="2"/>
        <v>62400</v>
      </c>
      <c r="C100" s="106">
        <v>0</v>
      </c>
      <c r="D100">
        <v>62400</v>
      </c>
      <c r="E100" s="106">
        <v>0</v>
      </c>
    </row>
    <row r="101" spans="1:5">
      <c r="A101" s="1" t="s">
        <v>362</v>
      </c>
      <c r="B101" s="47">
        <f t="shared" si="2"/>
        <v>1028619</v>
      </c>
      <c r="C101" s="106">
        <v>0</v>
      </c>
      <c r="D101">
        <v>1028619</v>
      </c>
      <c r="E101" s="106">
        <v>0</v>
      </c>
    </row>
    <row r="102" spans="1:5">
      <c r="A102" s="1" t="s">
        <v>2133</v>
      </c>
      <c r="B102" s="47">
        <f t="shared" si="2"/>
        <v>108683</v>
      </c>
      <c r="C102" s="106">
        <v>0</v>
      </c>
      <c r="D102">
        <v>108683</v>
      </c>
      <c r="E102" s="106">
        <v>0</v>
      </c>
    </row>
    <row r="103" spans="1:5">
      <c r="A103" s="1" t="s">
        <v>317</v>
      </c>
      <c r="B103" s="47">
        <f t="shared" si="2"/>
        <v>585288</v>
      </c>
      <c r="C103" s="106">
        <v>0</v>
      </c>
      <c r="D103">
        <v>585288</v>
      </c>
      <c r="E103" s="106">
        <v>0</v>
      </c>
    </row>
    <row r="104" spans="1:5">
      <c r="A104" s="1" t="s">
        <v>1917</v>
      </c>
      <c r="B104" s="47">
        <f t="shared" si="2"/>
        <v>1431379</v>
      </c>
      <c r="C104" s="106">
        <v>0</v>
      </c>
      <c r="D104">
        <v>1431379</v>
      </c>
      <c r="E104" s="106">
        <v>0</v>
      </c>
    </row>
    <row r="105" spans="1:5">
      <c r="A105" s="1" t="s">
        <v>300</v>
      </c>
      <c r="B105" s="47">
        <f t="shared" si="2"/>
        <v>77538</v>
      </c>
      <c r="C105" s="106">
        <v>0</v>
      </c>
      <c r="D105">
        <v>77538</v>
      </c>
      <c r="E105" s="106">
        <v>0</v>
      </c>
    </row>
    <row r="106" spans="1:5">
      <c r="A106" s="325" t="s">
        <v>286</v>
      </c>
      <c r="B106" s="47">
        <f t="shared" si="2"/>
        <v>0</v>
      </c>
      <c r="C106" s="106">
        <v>0</v>
      </c>
      <c r="D106">
        <v>10212</v>
      </c>
      <c r="E106" s="106">
        <v>10212</v>
      </c>
    </row>
    <row r="107" spans="1:5">
      <c r="A107" s="325" t="s">
        <v>361</v>
      </c>
      <c r="B107" s="47">
        <f t="shared" si="2"/>
        <v>7413979.0909090899</v>
      </c>
      <c r="C107" s="106">
        <v>0</v>
      </c>
      <c r="D107">
        <v>7413979.0909090899</v>
      </c>
      <c r="E107" s="106">
        <v>0</v>
      </c>
    </row>
    <row r="108" spans="1:5">
      <c r="A108" s="651" t="s">
        <v>2985</v>
      </c>
      <c r="B108" s="47">
        <f t="shared" si="2"/>
        <v>1269000</v>
      </c>
      <c r="C108" s="106">
        <v>0</v>
      </c>
      <c r="D108">
        <v>1269000</v>
      </c>
      <c r="E108" s="106">
        <v>0</v>
      </c>
    </row>
    <row r="109" spans="1:5">
      <c r="A109" s="1" t="s">
        <v>2986</v>
      </c>
      <c r="B109" s="47">
        <f t="shared" si="2"/>
        <v>18400</v>
      </c>
      <c r="C109" s="106">
        <v>0</v>
      </c>
      <c r="D109">
        <v>18400</v>
      </c>
      <c r="E109" s="106">
        <v>0</v>
      </c>
    </row>
    <row r="110" spans="1:5">
      <c r="A110" s="650" t="s">
        <v>2987</v>
      </c>
      <c r="B110" s="47">
        <f t="shared" si="2"/>
        <v>20255444</v>
      </c>
      <c r="C110" s="106">
        <v>0</v>
      </c>
      <c r="D110">
        <v>20255444</v>
      </c>
      <c r="E110" s="106">
        <v>0</v>
      </c>
    </row>
    <row r="111" spans="1:5">
      <c r="A111" s="1" t="s">
        <v>440</v>
      </c>
      <c r="B111" s="47">
        <f t="shared" si="2"/>
        <v>72000</v>
      </c>
      <c r="C111" s="106">
        <v>0</v>
      </c>
      <c r="D111">
        <v>96545.454545454544</v>
      </c>
      <c r="E111" s="106">
        <v>24545.454545454544</v>
      </c>
    </row>
    <row r="112" spans="1:5">
      <c r="A112" s="1" t="s">
        <v>318</v>
      </c>
      <c r="B112" s="47">
        <f t="shared" si="2"/>
        <v>160856</v>
      </c>
      <c r="C112" s="106">
        <v>0</v>
      </c>
      <c r="D112">
        <v>160856</v>
      </c>
      <c r="E112" s="106">
        <v>0</v>
      </c>
    </row>
    <row r="113" spans="1:5">
      <c r="A113" s="1" t="s">
        <v>319</v>
      </c>
      <c r="B113" s="47">
        <f t="shared" si="2"/>
        <v>143128</v>
      </c>
      <c r="C113" s="106">
        <v>0</v>
      </c>
      <c r="D113">
        <v>143128</v>
      </c>
      <c r="E113" s="106">
        <v>0</v>
      </c>
    </row>
    <row r="114" spans="1:5">
      <c r="A114" s="1" t="s">
        <v>352</v>
      </c>
      <c r="B114" s="47">
        <f t="shared" si="2"/>
        <v>154901</v>
      </c>
      <c r="C114" s="106">
        <v>0</v>
      </c>
      <c r="D114">
        <v>154901</v>
      </c>
      <c r="E114" s="106">
        <v>0</v>
      </c>
    </row>
    <row r="115" spans="1:5">
      <c r="A115" s="545" t="s">
        <v>1995</v>
      </c>
      <c r="B115" s="47">
        <f t="shared" si="2"/>
        <v>252710</v>
      </c>
      <c r="C115" s="106">
        <v>0</v>
      </c>
      <c r="D115">
        <v>252710</v>
      </c>
      <c r="E115" s="106">
        <v>0</v>
      </c>
    </row>
    <row r="116" spans="1:5">
      <c r="A116" s="545" t="s">
        <v>1514</v>
      </c>
      <c r="B116" s="47">
        <f t="shared" si="2"/>
        <v>931748</v>
      </c>
      <c r="C116" s="106">
        <v>0</v>
      </c>
      <c r="D116">
        <v>931748</v>
      </c>
      <c r="E116" s="106">
        <v>0</v>
      </c>
    </row>
    <row r="117" spans="1:5">
      <c r="A117" s="325" t="s">
        <v>2343</v>
      </c>
      <c r="B117" s="47">
        <f t="shared" si="2"/>
        <v>1085696</v>
      </c>
      <c r="C117" s="106">
        <v>0</v>
      </c>
      <c r="D117">
        <v>1085696</v>
      </c>
      <c r="E117" s="106">
        <v>0</v>
      </c>
    </row>
    <row r="118" spans="1:5">
      <c r="A118" s="1" t="s">
        <v>1515</v>
      </c>
      <c r="B118" s="47">
        <f t="shared" si="2"/>
        <v>208794</v>
      </c>
      <c r="C118" s="106">
        <v>0</v>
      </c>
      <c r="D118">
        <v>208794</v>
      </c>
      <c r="E118" s="106">
        <v>0</v>
      </c>
    </row>
    <row r="119" spans="1:5">
      <c r="A119" s="1" t="s">
        <v>1518</v>
      </c>
      <c r="B119" s="47">
        <f t="shared" si="2"/>
        <v>2587</v>
      </c>
      <c r="C119" s="106">
        <v>0</v>
      </c>
      <c r="D119">
        <v>2587</v>
      </c>
      <c r="E119" s="106">
        <v>0</v>
      </c>
    </row>
    <row r="120" spans="1:5">
      <c r="A120" s="1" t="s">
        <v>293</v>
      </c>
      <c r="B120" s="47">
        <f t="shared" si="2"/>
        <v>16270</v>
      </c>
      <c r="C120" s="106">
        <v>0</v>
      </c>
      <c r="D120">
        <v>16270</v>
      </c>
      <c r="E120" s="106">
        <v>0</v>
      </c>
    </row>
    <row r="121" spans="1:5">
      <c r="A121" s="1" t="s">
        <v>840</v>
      </c>
      <c r="B121" s="47">
        <f t="shared" si="2"/>
        <v>0</v>
      </c>
      <c r="C121" s="106">
        <v>0</v>
      </c>
      <c r="D121">
        <v>0</v>
      </c>
      <c r="E121" s="106">
        <v>0</v>
      </c>
    </row>
    <row r="122" spans="1:5">
      <c r="A122" s="652" t="s">
        <v>2988</v>
      </c>
      <c r="B122" s="47">
        <f t="shared" si="2"/>
        <v>603</v>
      </c>
      <c r="C122" s="106">
        <v>0</v>
      </c>
      <c r="D122">
        <v>603</v>
      </c>
      <c r="E122" s="106">
        <v>0</v>
      </c>
    </row>
    <row r="123" spans="1:5">
      <c r="A123" s="618" t="s">
        <v>489</v>
      </c>
      <c r="B123" s="47">
        <f t="shared" si="2"/>
        <v>134832</v>
      </c>
      <c r="C123" s="106">
        <v>0</v>
      </c>
      <c r="D123">
        <v>134832</v>
      </c>
      <c r="E123" s="106">
        <v>0</v>
      </c>
    </row>
    <row r="124" spans="1:5">
      <c r="A124" s="618" t="s">
        <v>351</v>
      </c>
      <c r="B124" s="47">
        <f t="shared" si="2"/>
        <v>175888</v>
      </c>
      <c r="C124" s="106">
        <v>0</v>
      </c>
      <c r="D124">
        <v>175888</v>
      </c>
      <c r="E124" s="106">
        <v>0</v>
      </c>
    </row>
    <row r="125" spans="1:5">
      <c r="A125" s="618" t="s">
        <v>312</v>
      </c>
      <c r="B125" s="47">
        <f t="shared" si="2"/>
        <v>353190</v>
      </c>
      <c r="C125" s="106">
        <v>0</v>
      </c>
      <c r="D125">
        <v>353190</v>
      </c>
      <c r="E125" s="106">
        <v>0</v>
      </c>
    </row>
    <row r="126" spans="1:5">
      <c r="A126" s="618" t="s">
        <v>346</v>
      </c>
      <c r="B126" s="47">
        <f t="shared" si="2"/>
        <v>339245</v>
      </c>
      <c r="C126" s="106">
        <v>0</v>
      </c>
      <c r="D126">
        <v>339245</v>
      </c>
      <c r="E126" s="106">
        <v>0</v>
      </c>
    </row>
    <row r="127" spans="1:5">
      <c r="A127" s="618" t="s">
        <v>345</v>
      </c>
      <c r="B127" s="47">
        <f t="shared" si="2"/>
        <v>95336</v>
      </c>
      <c r="C127" s="106">
        <v>0</v>
      </c>
      <c r="D127">
        <v>95336</v>
      </c>
      <c r="E127" s="106">
        <v>0</v>
      </c>
    </row>
    <row r="128" spans="1:5">
      <c r="A128" s="1" t="s">
        <v>2989</v>
      </c>
      <c r="B128" s="47">
        <f t="shared" si="2"/>
        <v>165097.27272727271</v>
      </c>
      <c r="C128" s="106">
        <v>0</v>
      </c>
      <c r="D128">
        <v>165097.27272727271</v>
      </c>
      <c r="E128" s="106">
        <v>0</v>
      </c>
    </row>
    <row r="129" spans="1:5">
      <c r="A129" s="77" t="s">
        <v>382</v>
      </c>
      <c r="B129" s="47">
        <f t="shared" si="2"/>
        <v>104298</v>
      </c>
      <c r="C129" s="106">
        <v>0</v>
      </c>
      <c r="D129">
        <v>361011.63636363635</v>
      </c>
      <c r="E129" s="106">
        <v>256713.63636363635</v>
      </c>
    </row>
    <row r="130" spans="1:5">
      <c r="A130" s="77" t="s">
        <v>1504</v>
      </c>
      <c r="B130" s="47">
        <f t="shared" si="2"/>
        <v>12746.181818181809</v>
      </c>
      <c r="C130" s="106">
        <v>0</v>
      </c>
      <c r="D130">
        <v>66362.545454545441</v>
      </c>
      <c r="E130" s="106">
        <v>53616.363636363632</v>
      </c>
    </row>
    <row r="131" spans="1:5">
      <c r="A131" s="77" t="s">
        <v>769</v>
      </c>
      <c r="B131" s="47">
        <f t="shared" si="2"/>
        <v>0</v>
      </c>
      <c r="C131" s="106">
        <v>0</v>
      </c>
      <c r="D131">
        <v>132160.90909090909</v>
      </c>
      <c r="E131" s="106">
        <v>132160.90909090909</v>
      </c>
    </row>
    <row r="132" spans="1:5">
      <c r="A132" s="77" t="s">
        <v>2259</v>
      </c>
      <c r="B132" s="47">
        <f t="shared" si="2"/>
        <v>1283236</v>
      </c>
      <c r="C132" s="106">
        <v>0</v>
      </c>
      <c r="D132">
        <v>1591498.7272727273</v>
      </c>
      <c r="E132" s="106">
        <v>308262.72727272724</v>
      </c>
    </row>
    <row r="133" spans="1:5">
      <c r="A133" s="77" t="s">
        <v>283</v>
      </c>
      <c r="B133" s="47">
        <f t="shared" ref="B133:B196" si="3">+D133-E133</f>
        <v>4594492.0000000009</v>
      </c>
      <c r="C133" s="106">
        <v>0</v>
      </c>
      <c r="D133">
        <v>10945575.636363637</v>
      </c>
      <c r="E133" s="106">
        <v>6351083.6363636358</v>
      </c>
    </row>
    <row r="134" spans="1:5">
      <c r="A134" s="77" t="s">
        <v>811</v>
      </c>
      <c r="B134" s="47">
        <f t="shared" si="3"/>
        <v>2439053.9999999995</v>
      </c>
      <c r="C134" s="106">
        <v>0</v>
      </c>
      <c r="D134">
        <v>6381143.0909090899</v>
      </c>
      <c r="E134" s="106">
        <v>3942089.0909090904</v>
      </c>
    </row>
    <row r="135" spans="1:5">
      <c r="A135" s="77" t="s">
        <v>1572</v>
      </c>
      <c r="B135" s="47">
        <f t="shared" si="3"/>
        <v>456693</v>
      </c>
      <c r="C135" s="106">
        <v>0</v>
      </c>
      <c r="D135">
        <v>715450.27272727271</v>
      </c>
      <c r="E135" s="106">
        <v>258757.27272727271</v>
      </c>
    </row>
    <row r="136" spans="1:5">
      <c r="A136" s="77" t="s">
        <v>855</v>
      </c>
      <c r="B136" s="47">
        <f t="shared" si="3"/>
        <v>27542</v>
      </c>
      <c r="C136" s="106">
        <v>0</v>
      </c>
      <c r="D136">
        <v>129561.99999999999</v>
      </c>
      <c r="E136" s="106">
        <v>102019.99999999999</v>
      </c>
    </row>
    <row r="137" spans="1:5">
      <c r="A137" s="77" t="s">
        <v>2360</v>
      </c>
      <c r="B137" s="47">
        <f t="shared" si="3"/>
        <v>79935.999999999985</v>
      </c>
      <c r="C137" s="106">
        <v>0</v>
      </c>
      <c r="D137">
        <v>157453.27272727271</v>
      </c>
      <c r="E137" s="106">
        <v>77517.272727272721</v>
      </c>
    </row>
    <row r="138" spans="1:5">
      <c r="A138" s="77" t="s">
        <v>1579</v>
      </c>
      <c r="B138" s="47">
        <f t="shared" si="3"/>
        <v>51658</v>
      </c>
      <c r="C138" s="106">
        <v>0</v>
      </c>
      <c r="D138">
        <v>51658</v>
      </c>
      <c r="E138" s="106">
        <v>0</v>
      </c>
    </row>
    <row r="139" spans="1:5">
      <c r="A139" s="77" t="s">
        <v>1582</v>
      </c>
      <c r="B139" s="47">
        <f t="shared" si="3"/>
        <v>39617</v>
      </c>
      <c r="C139" s="106">
        <v>0</v>
      </c>
      <c r="D139">
        <v>39617</v>
      </c>
      <c r="E139" s="106">
        <v>0</v>
      </c>
    </row>
    <row r="140" spans="1:5">
      <c r="A140" s="77" t="s">
        <v>310</v>
      </c>
      <c r="B140" s="47">
        <f t="shared" si="3"/>
        <v>119138</v>
      </c>
      <c r="C140" s="106">
        <v>0</v>
      </c>
      <c r="D140">
        <v>119138</v>
      </c>
      <c r="E140" s="106">
        <v>0</v>
      </c>
    </row>
    <row r="141" spans="1:5">
      <c r="A141" s="77" t="s">
        <v>1570</v>
      </c>
      <c r="B141" s="47">
        <f t="shared" si="3"/>
        <v>111509</v>
      </c>
      <c r="C141" s="106">
        <v>0</v>
      </c>
      <c r="D141">
        <v>111509</v>
      </c>
      <c r="E141" s="106">
        <v>0</v>
      </c>
    </row>
    <row r="142" spans="1:5">
      <c r="A142" s="77" t="s">
        <v>626</v>
      </c>
      <c r="B142" s="47">
        <f t="shared" si="3"/>
        <v>102728</v>
      </c>
      <c r="C142" s="106">
        <v>0</v>
      </c>
      <c r="D142">
        <v>102728</v>
      </c>
      <c r="E142" s="106">
        <v>0</v>
      </c>
    </row>
    <row r="143" spans="1:5">
      <c r="A143" s="77" t="s">
        <v>663</v>
      </c>
      <c r="B143" s="47">
        <f t="shared" si="3"/>
        <v>413820</v>
      </c>
      <c r="C143" s="106">
        <v>0</v>
      </c>
      <c r="D143">
        <v>413820</v>
      </c>
      <c r="E143" s="106">
        <v>0</v>
      </c>
    </row>
    <row r="144" spans="1:5">
      <c r="A144" s="77" t="s">
        <v>701</v>
      </c>
      <c r="B144" s="47">
        <f t="shared" si="3"/>
        <v>49464</v>
      </c>
      <c r="C144" s="106">
        <v>0</v>
      </c>
      <c r="D144">
        <v>49464</v>
      </c>
      <c r="E144" s="106">
        <v>0</v>
      </c>
    </row>
    <row r="145" spans="1:5">
      <c r="A145" s="77" t="s">
        <v>270</v>
      </c>
      <c r="B145" s="47">
        <f t="shared" si="3"/>
        <v>205937</v>
      </c>
      <c r="C145" s="106">
        <v>0</v>
      </c>
      <c r="D145">
        <v>205937</v>
      </c>
      <c r="E145" s="106">
        <v>0</v>
      </c>
    </row>
    <row r="146" spans="1:5">
      <c r="A146" s="77" t="s">
        <v>294</v>
      </c>
      <c r="B146" s="47">
        <f t="shared" si="3"/>
        <v>409725</v>
      </c>
      <c r="C146" s="106">
        <v>0</v>
      </c>
      <c r="D146">
        <v>409725</v>
      </c>
      <c r="E146" s="106">
        <v>0</v>
      </c>
    </row>
    <row r="147" spans="1:5">
      <c r="A147" s="77" t="s">
        <v>729</v>
      </c>
      <c r="B147" s="47">
        <f t="shared" si="3"/>
        <v>42947</v>
      </c>
      <c r="C147" s="106">
        <v>0</v>
      </c>
      <c r="D147">
        <v>42947</v>
      </c>
      <c r="E147" s="106">
        <v>0</v>
      </c>
    </row>
    <row r="148" spans="1:5">
      <c r="A148" s="77" t="s">
        <v>289</v>
      </c>
      <c r="B148" s="47">
        <f t="shared" si="3"/>
        <v>444633</v>
      </c>
      <c r="C148" s="106">
        <v>0</v>
      </c>
      <c r="D148">
        <v>444633</v>
      </c>
      <c r="E148" s="106">
        <v>0</v>
      </c>
    </row>
    <row r="149" spans="1:5">
      <c r="A149" s="77" t="s">
        <v>274</v>
      </c>
      <c r="B149" s="47">
        <f t="shared" si="3"/>
        <v>144768</v>
      </c>
      <c r="C149" s="106">
        <v>0</v>
      </c>
      <c r="D149">
        <v>144768</v>
      </c>
      <c r="E149" s="106">
        <v>0</v>
      </c>
    </row>
    <row r="150" spans="1:5">
      <c r="A150" s="77" t="s">
        <v>2198</v>
      </c>
      <c r="B150" s="47">
        <f t="shared" si="3"/>
        <v>186779</v>
      </c>
      <c r="C150" s="106">
        <v>0</v>
      </c>
      <c r="D150">
        <v>186779</v>
      </c>
      <c r="E150" s="106">
        <v>0</v>
      </c>
    </row>
    <row r="151" spans="1:5">
      <c r="A151" s="77" t="s">
        <v>1818</v>
      </c>
      <c r="B151" s="47">
        <f t="shared" si="3"/>
        <v>706649</v>
      </c>
      <c r="C151" s="106">
        <v>0</v>
      </c>
      <c r="D151">
        <v>706649</v>
      </c>
      <c r="E151" s="106">
        <v>0</v>
      </c>
    </row>
    <row r="152" spans="1:5">
      <c r="A152" s="77" t="s">
        <v>2361</v>
      </c>
      <c r="B152" s="47">
        <f t="shared" si="3"/>
        <v>43919</v>
      </c>
      <c r="C152" s="106">
        <v>0</v>
      </c>
      <c r="D152">
        <v>43919</v>
      </c>
      <c r="E152" s="106">
        <v>0</v>
      </c>
    </row>
    <row r="153" spans="1:5">
      <c r="A153" s="77" t="s">
        <v>1845</v>
      </c>
      <c r="B153" s="47">
        <f t="shared" si="3"/>
        <v>1277304</v>
      </c>
      <c r="C153" s="106">
        <v>0</v>
      </c>
      <c r="D153">
        <v>1277304</v>
      </c>
      <c r="E153" s="106">
        <v>0</v>
      </c>
    </row>
    <row r="154" spans="1:5">
      <c r="A154" s="77" t="s">
        <v>833</v>
      </c>
      <c r="B154" s="47">
        <f t="shared" si="3"/>
        <v>929745</v>
      </c>
      <c r="C154" s="106">
        <v>0</v>
      </c>
      <c r="D154">
        <v>929745</v>
      </c>
      <c r="E154" s="106">
        <v>0</v>
      </c>
    </row>
    <row r="155" spans="1:5">
      <c r="A155" s="77" t="s">
        <v>1860</v>
      </c>
      <c r="B155" s="47">
        <f t="shared" si="3"/>
        <v>1708672</v>
      </c>
      <c r="C155" s="106">
        <v>0</v>
      </c>
      <c r="D155">
        <v>1708672</v>
      </c>
      <c r="E155" s="106">
        <v>0</v>
      </c>
    </row>
    <row r="156" spans="1:5">
      <c r="A156" s="77" t="s">
        <v>315</v>
      </c>
      <c r="B156" s="47">
        <f t="shared" si="3"/>
        <v>73862</v>
      </c>
      <c r="C156" s="106">
        <v>0</v>
      </c>
      <c r="D156">
        <v>73862</v>
      </c>
      <c r="E156" s="106">
        <v>0</v>
      </c>
    </row>
    <row r="157" spans="1:5">
      <c r="A157" s="77" t="s">
        <v>299</v>
      </c>
      <c r="B157" s="47">
        <f t="shared" si="3"/>
        <v>1790667</v>
      </c>
      <c r="C157" s="106">
        <v>0</v>
      </c>
      <c r="D157">
        <v>1833417</v>
      </c>
      <c r="E157" s="106">
        <v>42750</v>
      </c>
    </row>
    <row r="158" spans="1:5">
      <c r="A158" s="1" t="s">
        <v>2737</v>
      </c>
      <c r="B158" s="47">
        <f t="shared" si="3"/>
        <v>4989</v>
      </c>
      <c r="C158" s="106">
        <v>0</v>
      </c>
      <c r="D158">
        <v>4989</v>
      </c>
      <c r="E158" s="106">
        <v>0</v>
      </c>
    </row>
    <row r="159" spans="1:5">
      <c r="A159" s="77" t="s">
        <v>2650</v>
      </c>
      <c r="B159" s="47">
        <f t="shared" si="3"/>
        <v>76423</v>
      </c>
      <c r="C159" s="106">
        <v>0</v>
      </c>
      <c r="D159">
        <v>76423</v>
      </c>
      <c r="E159" s="106">
        <v>0</v>
      </c>
    </row>
    <row r="160" spans="1:5">
      <c r="A160" s="77" t="s">
        <v>380</v>
      </c>
      <c r="B160" s="47">
        <f t="shared" si="3"/>
        <v>931617</v>
      </c>
      <c r="C160" s="106">
        <v>0</v>
      </c>
      <c r="D160">
        <v>931617</v>
      </c>
      <c r="E160" s="106">
        <v>0</v>
      </c>
    </row>
    <row r="161" spans="1:5">
      <c r="A161" s="77" t="s">
        <v>2311</v>
      </c>
      <c r="B161" s="47">
        <f t="shared" si="3"/>
        <v>862378</v>
      </c>
      <c r="C161" s="106">
        <v>0</v>
      </c>
      <c r="D161">
        <v>862378</v>
      </c>
      <c r="E161" s="106">
        <v>0</v>
      </c>
    </row>
    <row r="162" spans="1:5">
      <c r="A162" s="77" t="s">
        <v>566</v>
      </c>
      <c r="B162" s="47">
        <f t="shared" si="3"/>
        <v>203625.09090909091</v>
      </c>
      <c r="C162" s="106">
        <v>0</v>
      </c>
      <c r="D162">
        <v>203625.09090909091</v>
      </c>
      <c r="E162" s="106">
        <v>0</v>
      </c>
    </row>
    <row r="163" spans="1:5">
      <c r="A163" s="77" t="s">
        <v>308</v>
      </c>
      <c r="B163" s="47">
        <f t="shared" si="3"/>
        <v>133870</v>
      </c>
      <c r="C163" s="106">
        <v>0</v>
      </c>
      <c r="D163">
        <v>133870</v>
      </c>
      <c r="E163" s="106">
        <v>0</v>
      </c>
    </row>
    <row r="164" spans="1:5">
      <c r="A164" s="77" t="s">
        <v>302</v>
      </c>
      <c r="B164" s="47">
        <f t="shared" si="3"/>
        <v>1691394</v>
      </c>
      <c r="C164" s="106">
        <v>0</v>
      </c>
      <c r="D164">
        <v>1691394</v>
      </c>
      <c r="E164" s="106">
        <v>0</v>
      </c>
    </row>
    <row r="165" spans="1:5">
      <c r="A165" s="77" t="s">
        <v>676</v>
      </c>
      <c r="B165" s="47">
        <f t="shared" si="3"/>
        <v>70051</v>
      </c>
      <c r="C165" s="106">
        <v>0</v>
      </c>
      <c r="D165">
        <v>70051</v>
      </c>
      <c r="E165" s="106">
        <v>0</v>
      </c>
    </row>
    <row r="166" spans="1:5">
      <c r="A166" s="77" t="s">
        <v>384</v>
      </c>
      <c r="B166" s="47">
        <f t="shared" si="3"/>
        <v>4510618</v>
      </c>
      <c r="C166" s="106">
        <v>0</v>
      </c>
      <c r="D166">
        <v>4510618</v>
      </c>
      <c r="E166" s="106">
        <v>0</v>
      </c>
    </row>
    <row r="167" spans="1:5">
      <c r="A167" s="77" t="s">
        <v>363</v>
      </c>
      <c r="B167" s="47">
        <f t="shared" si="3"/>
        <v>67888</v>
      </c>
      <c r="C167" s="106">
        <v>0</v>
      </c>
      <c r="D167">
        <v>67888</v>
      </c>
      <c r="E167" s="106">
        <v>0</v>
      </c>
    </row>
    <row r="168" spans="1:5">
      <c r="A168" s="478" t="s">
        <v>383</v>
      </c>
      <c r="B168" s="47">
        <f t="shared" si="3"/>
        <v>141897</v>
      </c>
      <c r="C168" s="106">
        <v>0</v>
      </c>
      <c r="D168">
        <v>1342408.8181818181</v>
      </c>
      <c r="E168" s="106">
        <v>1200511.8181818181</v>
      </c>
    </row>
    <row r="169" spans="1:5">
      <c r="A169" s="77" t="s">
        <v>2132</v>
      </c>
      <c r="B169" s="47">
        <f t="shared" si="3"/>
        <v>547784</v>
      </c>
      <c r="C169" s="106">
        <v>0</v>
      </c>
      <c r="D169">
        <v>547784</v>
      </c>
      <c r="E169" s="106">
        <v>0</v>
      </c>
    </row>
    <row r="170" spans="1:5">
      <c r="A170" s="77" t="s">
        <v>2358</v>
      </c>
      <c r="B170" s="47">
        <f t="shared" si="3"/>
        <v>226994</v>
      </c>
      <c r="C170" s="106">
        <v>0</v>
      </c>
      <c r="D170">
        <v>226994</v>
      </c>
      <c r="E170" s="106">
        <v>0</v>
      </c>
    </row>
    <row r="171" spans="1:5">
      <c r="A171" s="77" t="s">
        <v>821</v>
      </c>
      <c r="B171" s="47">
        <f t="shared" si="3"/>
        <v>214428</v>
      </c>
      <c r="C171" s="106">
        <v>0</v>
      </c>
      <c r="D171">
        <v>214428</v>
      </c>
      <c r="E171" s="106">
        <v>0</v>
      </c>
    </row>
    <row r="172" spans="1:5">
      <c r="A172" s="77" t="s">
        <v>385</v>
      </c>
      <c r="B172" s="47">
        <f t="shared" si="3"/>
        <v>309631</v>
      </c>
      <c r="C172" s="106">
        <v>0</v>
      </c>
      <c r="D172">
        <v>309631</v>
      </c>
      <c r="E172" s="106">
        <v>0</v>
      </c>
    </row>
    <row r="173" spans="1:5">
      <c r="A173" s="77" t="s">
        <v>386</v>
      </c>
      <c r="B173" s="47">
        <f t="shared" si="3"/>
        <v>77942</v>
      </c>
      <c r="C173" s="106">
        <v>0</v>
      </c>
      <c r="D173">
        <v>77942</v>
      </c>
      <c r="E173" s="106">
        <v>0</v>
      </c>
    </row>
    <row r="174" spans="1:5">
      <c r="A174" s="77" t="s">
        <v>285</v>
      </c>
      <c r="B174" s="47">
        <f t="shared" si="3"/>
        <v>324258</v>
      </c>
      <c r="C174" s="106">
        <v>0</v>
      </c>
      <c r="D174">
        <v>324258</v>
      </c>
      <c r="E174" s="106">
        <v>0</v>
      </c>
    </row>
    <row r="175" spans="1:5">
      <c r="A175" s="77" t="s">
        <v>2376</v>
      </c>
      <c r="B175" s="47">
        <f t="shared" si="3"/>
        <v>187876</v>
      </c>
      <c r="C175" s="106">
        <v>0</v>
      </c>
      <c r="D175">
        <v>187876</v>
      </c>
      <c r="E175" s="106">
        <v>0</v>
      </c>
    </row>
    <row r="176" spans="1:5">
      <c r="A176" s="478" t="s">
        <v>298</v>
      </c>
      <c r="B176" s="47">
        <f t="shared" si="3"/>
        <v>386484</v>
      </c>
      <c r="C176" s="106">
        <v>0</v>
      </c>
      <c r="D176">
        <v>386484</v>
      </c>
      <c r="E176" s="106">
        <v>0</v>
      </c>
    </row>
    <row r="177" spans="1:5">
      <c r="A177" s="478" t="s">
        <v>2199</v>
      </c>
      <c r="B177" s="47">
        <f t="shared" si="3"/>
        <v>58001</v>
      </c>
      <c r="C177" s="106">
        <v>0</v>
      </c>
      <c r="D177">
        <v>58001</v>
      </c>
      <c r="E177" s="106">
        <v>0</v>
      </c>
    </row>
    <row r="178" spans="1:5">
      <c r="A178" s="478" t="s">
        <v>2347</v>
      </c>
      <c r="B178" s="47">
        <f t="shared" si="3"/>
        <v>136480.90909090909</v>
      </c>
      <c r="C178" s="106">
        <v>0</v>
      </c>
      <c r="D178">
        <v>136480.90909090909</v>
      </c>
      <c r="E178" s="106">
        <v>0</v>
      </c>
    </row>
    <row r="179" spans="1:5">
      <c r="A179" s="653" t="s">
        <v>2990</v>
      </c>
      <c r="B179" s="47">
        <f t="shared" si="3"/>
        <v>86630</v>
      </c>
      <c r="C179" s="106">
        <v>0</v>
      </c>
      <c r="D179">
        <v>86630</v>
      </c>
      <c r="E179" s="106">
        <v>0</v>
      </c>
    </row>
    <row r="180" spans="1:5">
      <c r="A180" s="325" t="s">
        <v>2328</v>
      </c>
      <c r="B180" s="47">
        <f t="shared" si="3"/>
        <v>26276.75</v>
      </c>
      <c r="C180" s="106">
        <v>0</v>
      </c>
      <c r="D180">
        <v>26276.75</v>
      </c>
      <c r="E180" s="106">
        <v>0</v>
      </c>
    </row>
    <row r="181" spans="1:5">
      <c r="A181" s="325" t="s">
        <v>1540</v>
      </c>
      <c r="B181" s="47">
        <f t="shared" si="3"/>
        <v>52931.818181818177</v>
      </c>
      <c r="C181" s="106">
        <v>0</v>
      </c>
      <c r="D181">
        <v>52931.818181818177</v>
      </c>
      <c r="E181" s="106">
        <v>0</v>
      </c>
    </row>
    <row r="182" spans="1:5">
      <c r="A182" s="650" t="s">
        <v>2991</v>
      </c>
      <c r="B182" s="47">
        <f t="shared" si="3"/>
        <v>135439.09090909091</v>
      </c>
      <c r="C182" s="106">
        <v>0</v>
      </c>
      <c r="D182">
        <v>135439.09090909091</v>
      </c>
      <c r="E182" s="106">
        <v>0</v>
      </c>
    </row>
    <row r="183" spans="1:5">
      <c r="A183" s="650" t="s">
        <v>2992</v>
      </c>
      <c r="B183" s="47">
        <f t="shared" si="3"/>
        <v>17269.090909090908</v>
      </c>
      <c r="C183" s="106">
        <v>0</v>
      </c>
      <c r="D183">
        <v>17269.090909090908</v>
      </c>
      <c r="E183" s="106">
        <v>0</v>
      </c>
    </row>
    <row r="184" spans="1:5">
      <c r="A184" s="325" t="s">
        <v>368</v>
      </c>
      <c r="B184" s="47">
        <f t="shared" si="3"/>
        <v>3062</v>
      </c>
      <c r="C184" s="106">
        <v>0</v>
      </c>
      <c r="D184">
        <v>3062</v>
      </c>
      <c r="E184" s="106">
        <v>0</v>
      </c>
    </row>
    <row r="185" spans="1:5">
      <c r="A185" s="325" t="s">
        <v>1532</v>
      </c>
      <c r="B185" s="47">
        <f t="shared" si="3"/>
        <v>2419</v>
      </c>
      <c r="C185" s="106">
        <v>0</v>
      </c>
      <c r="D185">
        <v>2419</v>
      </c>
      <c r="E185" s="106">
        <v>0</v>
      </c>
    </row>
    <row r="186" spans="1:5">
      <c r="A186" s="325" t="s">
        <v>381</v>
      </c>
      <c r="B186" s="47">
        <f t="shared" si="3"/>
        <v>487869.00000000006</v>
      </c>
      <c r="C186" s="106">
        <v>0</v>
      </c>
      <c r="D186">
        <v>795324.45454545459</v>
      </c>
      <c r="E186" s="106">
        <v>307455.45454545453</v>
      </c>
    </row>
    <row r="187" spans="1:5">
      <c r="A187" s="654" t="s">
        <v>2993</v>
      </c>
      <c r="B187" s="47">
        <f t="shared" si="3"/>
        <v>71571</v>
      </c>
      <c r="C187" s="106">
        <v>0</v>
      </c>
      <c r="D187">
        <v>71571</v>
      </c>
      <c r="E187" s="106">
        <v>0</v>
      </c>
    </row>
    <row r="188" spans="1:5">
      <c r="A188" s="325" t="s">
        <v>2322</v>
      </c>
      <c r="B188" s="47">
        <f t="shared" si="3"/>
        <v>37500</v>
      </c>
      <c r="C188" s="106">
        <v>0</v>
      </c>
      <c r="D188">
        <v>37500</v>
      </c>
      <c r="E188" s="106">
        <v>0</v>
      </c>
    </row>
    <row r="189" spans="1:5">
      <c r="A189" s="617" t="s">
        <v>2994</v>
      </c>
      <c r="B189" s="47">
        <f t="shared" si="3"/>
        <v>204750</v>
      </c>
      <c r="C189" s="106">
        <v>0</v>
      </c>
      <c r="D189">
        <v>204750</v>
      </c>
      <c r="E189" s="106">
        <v>0</v>
      </c>
    </row>
    <row r="190" spans="1:5">
      <c r="A190" s="325" t="s">
        <v>309</v>
      </c>
      <c r="B190" s="47">
        <f t="shared" si="3"/>
        <v>311500</v>
      </c>
      <c r="C190" s="106">
        <v>0</v>
      </c>
      <c r="D190">
        <v>340242.72727272729</v>
      </c>
      <c r="E190" s="106">
        <v>28742.727272727272</v>
      </c>
    </row>
    <row r="191" spans="1:5">
      <c r="A191" s="325" t="s">
        <v>444</v>
      </c>
      <c r="B191" s="47">
        <f t="shared" si="3"/>
        <v>0</v>
      </c>
      <c r="C191" s="106">
        <v>0</v>
      </c>
      <c r="D191">
        <v>19673</v>
      </c>
      <c r="E191" s="106">
        <v>19673</v>
      </c>
    </row>
    <row r="192" spans="1:5">
      <c r="A192" s="325" t="s">
        <v>641</v>
      </c>
      <c r="B192" s="47">
        <f t="shared" si="3"/>
        <v>35649</v>
      </c>
      <c r="D192">
        <v>108491</v>
      </c>
      <c r="E192" s="106">
        <v>72842</v>
      </c>
    </row>
    <row r="193" spans="1:5">
      <c r="A193" s="325" t="s">
        <v>658</v>
      </c>
      <c r="B193" s="47">
        <f t="shared" si="3"/>
        <v>15818.18181818182</v>
      </c>
      <c r="D193">
        <v>34000</v>
      </c>
      <c r="E193" s="106">
        <v>18181.81818181818</v>
      </c>
    </row>
    <row r="194" spans="1:5">
      <c r="A194" s="325" t="s">
        <v>718</v>
      </c>
      <c r="B194" s="47">
        <f t="shared" si="3"/>
        <v>0</v>
      </c>
      <c r="D194">
        <v>18181.81818181818</v>
      </c>
      <c r="E194" s="106">
        <v>18181.81818181818</v>
      </c>
    </row>
    <row r="195" spans="1:5">
      <c r="A195" s="325" t="s">
        <v>303</v>
      </c>
      <c r="B195" s="47">
        <f t="shared" si="3"/>
        <v>213143</v>
      </c>
      <c r="D195">
        <v>535520.27272727271</v>
      </c>
      <c r="E195" s="106">
        <v>322377.27272727271</v>
      </c>
    </row>
    <row r="196" spans="1:5">
      <c r="A196" s="325" t="s">
        <v>335</v>
      </c>
      <c r="B196" s="47">
        <f t="shared" si="3"/>
        <v>11939</v>
      </c>
      <c r="D196">
        <v>11939</v>
      </c>
      <c r="E196" s="106">
        <v>0</v>
      </c>
    </row>
    <row r="197" spans="1:5">
      <c r="A197" s="325" t="s">
        <v>390</v>
      </c>
      <c r="B197" s="47">
        <f t="shared" ref="B197:B234" si="4">+D197-E197</f>
        <v>1467547</v>
      </c>
      <c r="D197">
        <v>1467547</v>
      </c>
      <c r="E197" s="106">
        <v>0</v>
      </c>
    </row>
    <row r="198" spans="1:5">
      <c r="A198" s="325" t="s">
        <v>479</v>
      </c>
      <c r="B198" s="47">
        <f t="shared" si="4"/>
        <v>448441</v>
      </c>
      <c r="D198">
        <v>448441</v>
      </c>
      <c r="E198" s="106">
        <v>0</v>
      </c>
    </row>
    <row r="199" spans="1:5">
      <c r="A199" s="325" t="s">
        <v>2203</v>
      </c>
      <c r="B199" s="47">
        <f t="shared" si="4"/>
        <v>90909</v>
      </c>
      <c r="D199">
        <v>90909</v>
      </c>
      <c r="E199" s="106">
        <v>0</v>
      </c>
    </row>
    <row r="200" spans="1:5">
      <c r="A200" s="325" t="s">
        <v>2033</v>
      </c>
      <c r="B200" s="47">
        <f t="shared" si="4"/>
        <v>846291</v>
      </c>
      <c r="D200">
        <v>846291</v>
      </c>
      <c r="E200" s="106">
        <v>0</v>
      </c>
    </row>
    <row r="201" spans="1:5">
      <c r="A201" s="325" t="s">
        <v>2195</v>
      </c>
      <c r="B201" s="47">
        <f t="shared" si="4"/>
        <v>261025</v>
      </c>
      <c r="D201">
        <v>261025</v>
      </c>
      <c r="E201" s="106">
        <v>0</v>
      </c>
    </row>
    <row r="202" spans="1:5">
      <c r="A202" s="325" t="s">
        <v>1565</v>
      </c>
      <c r="B202" s="47">
        <f t="shared" si="4"/>
        <v>4528119</v>
      </c>
      <c r="D202">
        <v>4528119</v>
      </c>
      <c r="E202" s="106">
        <v>0</v>
      </c>
    </row>
    <row r="203" spans="1:5">
      <c r="A203" s="325" t="s">
        <v>284</v>
      </c>
      <c r="B203" s="47">
        <f t="shared" si="4"/>
        <v>2434942</v>
      </c>
      <c r="D203">
        <v>2434942</v>
      </c>
      <c r="E203" s="106">
        <v>0</v>
      </c>
    </row>
    <row r="204" spans="1:5">
      <c r="A204" s="325" t="s">
        <v>705</v>
      </c>
      <c r="B204" s="47">
        <f t="shared" si="4"/>
        <v>836898</v>
      </c>
      <c r="D204">
        <v>836898</v>
      </c>
      <c r="E204" s="106">
        <v>0</v>
      </c>
    </row>
    <row r="205" spans="1:5">
      <c r="A205" s="325" t="s">
        <v>389</v>
      </c>
      <c r="B205" s="47">
        <f t="shared" si="4"/>
        <v>494164</v>
      </c>
      <c r="D205">
        <v>494164</v>
      </c>
      <c r="E205" s="106">
        <v>0</v>
      </c>
    </row>
    <row r="206" spans="1:5">
      <c r="A206" s="325" t="s">
        <v>2310</v>
      </c>
      <c r="B206" s="47">
        <f t="shared" si="4"/>
        <v>462063</v>
      </c>
      <c r="D206">
        <v>462063</v>
      </c>
      <c r="E206" s="106">
        <v>0</v>
      </c>
    </row>
    <row r="207" spans="1:5">
      <c r="A207" s="325" t="s">
        <v>857</v>
      </c>
      <c r="B207" s="47">
        <f t="shared" si="4"/>
        <v>1548770</v>
      </c>
      <c r="D207">
        <v>1548770</v>
      </c>
      <c r="E207" s="106">
        <v>0</v>
      </c>
    </row>
    <row r="208" spans="1:5">
      <c r="A208" s="614" t="s">
        <v>2995</v>
      </c>
      <c r="B208" s="47">
        <f t="shared" si="4"/>
        <v>0</v>
      </c>
      <c r="D208">
        <v>0</v>
      </c>
      <c r="E208" s="106">
        <v>0</v>
      </c>
    </row>
    <row r="209" spans="1:5">
      <c r="A209" s="655" t="s">
        <v>2996</v>
      </c>
      <c r="B209" s="47">
        <f t="shared" si="4"/>
        <v>252180</v>
      </c>
      <c r="D209">
        <v>252180</v>
      </c>
      <c r="E209" s="106">
        <v>0</v>
      </c>
    </row>
    <row r="210" spans="1:5">
      <c r="A210" s="325" t="s">
        <v>837</v>
      </c>
      <c r="B210" s="47">
        <f t="shared" si="4"/>
        <v>109264</v>
      </c>
      <c r="D210">
        <v>109264</v>
      </c>
      <c r="E210" s="106">
        <v>0</v>
      </c>
    </row>
    <row r="211" spans="1:5">
      <c r="A211" s="361" t="s">
        <v>2997</v>
      </c>
      <c r="B211" s="47">
        <f t="shared" si="4"/>
        <v>100000</v>
      </c>
      <c r="D211">
        <v>100000</v>
      </c>
      <c r="E211" s="106">
        <v>0</v>
      </c>
    </row>
    <row r="212" spans="1:5">
      <c r="A212" s="325" t="s">
        <v>2317</v>
      </c>
      <c r="B212" s="47">
        <f t="shared" si="4"/>
        <v>5500</v>
      </c>
      <c r="D212">
        <v>5500</v>
      </c>
      <c r="E212" s="106">
        <v>0</v>
      </c>
    </row>
    <row r="213" spans="1:5">
      <c r="A213" s="325" t="s">
        <v>447</v>
      </c>
      <c r="B213" s="47">
        <f t="shared" si="4"/>
        <v>1399</v>
      </c>
      <c r="D213">
        <v>1399</v>
      </c>
      <c r="E213" s="106">
        <v>0</v>
      </c>
    </row>
    <row r="214" spans="1:5">
      <c r="A214" s="325" t="s">
        <v>462</v>
      </c>
      <c r="B214" s="47">
        <f t="shared" si="4"/>
        <v>0</v>
      </c>
      <c r="D214">
        <v>0</v>
      </c>
      <c r="E214" s="106">
        <v>0</v>
      </c>
    </row>
    <row r="215" spans="1:5">
      <c r="A215" s="325" t="s">
        <v>330</v>
      </c>
      <c r="B215" s="47">
        <f t="shared" si="4"/>
        <v>7464</v>
      </c>
      <c r="D215">
        <v>7464</v>
      </c>
      <c r="E215" s="106">
        <v>0</v>
      </c>
    </row>
    <row r="216" spans="1:5">
      <c r="A216" s="325" t="s">
        <v>406</v>
      </c>
      <c r="B216" s="47">
        <f t="shared" si="4"/>
        <v>61681</v>
      </c>
      <c r="D216">
        <v>61681</v>
      </c>
      <c r="E216" s="106">
        <v>0</v>
      </c>
    </row>
    <row r="217" spans="1:5">
      <c r="A217" s="325" t="s">
        <v>550</v>
      </c>
      <c r="B217" s="47">
        <f t="shared" si="4"/>
        <v>13660</v>
      </c>
      <c r="D217">
        <v>13660</v>
      </c>
      <c r="E217" s="106">
        <v>0</v>
      </c>
    </row>
    <row r="218" spans="1:5">
      <c r="A218" s="325" t="s">
        <v>2063</v>
      </c>
      <c r="B218" s="47">
        <f t="shared" si="4"/>
        <v>4545</v>
      </c>
      <c r="D218">
        <v>4545</v>
      </c>
      <c r="E218" s="106">
        <v>0</v>
      </c>
    </row>
    <row r="219" spans="1:5">
      <c r="A219" s="325" t="s">
        <v>598</v>
      </c>
      <c r="B219" s="47">
        <f t="shared" si="4"/>
        <v>0</v>
      </c>
      <c r="D219">
        <v>98618.181818181809</v>
      </c>
      <c r="E219" s="106">
        <v>98618.181818181809</v>
      </c>
    </row>
    <row r="220" spans="1:5">
      <c r="A220" s="325" t="s">
        <v>615</v>
      </c>
      <c r="B220" s="47">
        <f t="shared" si="4"/>
        <v>4000</v>
      </c>
      <c r="D220">
        <v>4000</v>
      </c>
      <c r="E220" s="106">
        <v>0</v>
      </c>
    </row>
    <row r="221" spans="1:5">
      <c r="A221" s="325" t="s">
        <v>638</v>
      </c>
      <c r="B221" s="47">
        <f t="shared" si="4"/>
        <v>12000</v>
      </c>
      <c r="D221">
        <v>12000</v>
      </c>
      <c r="E221" s="106">
        <v>0</v>
      </c>
    </row>
    <row r="222" spans="1:5">
      <c r="A222" s="325" t="s">
        <v>2335</v>
      </c>
      <c r="B222" s="47">
        <f t="shared" si="4"/>
        <v>2177</v>
      </c>
      <c r="D222">
        <v>2177</v>
      </c>
      <c r="E222" s="106">
        <v>0</v>
      </c>
    </row>
    <row r="223" spans="1:5">
      <c r="A223" s="325" t="s">
        <v>644</v>
      </c>
      <c r="B223" s="47">
        <f t="shared" si="4"/>
        <v>2798</v>
      </c>
      <c r="D223">
        <v>2798</v>
      </c>
      <c r="E223" s="106">
        <v>0</v>
      </c>
    </row>
    <row r="224" spans="1:5">
      <c r="A224" s="325" t="s">
        <v>647</v>
      </c>
      <c r="B224" s="47">
        <f t="shared" si="4"/>
        <v>1788</v>
      </c>
      <c r="D224">
        <v>1788</v>
      </c>
      <c r="E224" s="106">
        <v>0</v>
      </c>
    </row>
    <row r="225" spans="1:5">
      <c r="A225" s="325" t="s">
        <v>331</v>
      </c>
      <c r="B225" s="47">
        <f t="shared" si="4"/>
        <v>20000</v>
      </c>
      <c r="D225">
        <v>20000</v>
      </c>
      <c r="E225" s="106">
        <v>0</v>
      </c>
    </row>
    <row r="226" spans="1:5">
      <c r="A226" s="325" t="s">
        <v>666</v>
      </c>
      <c r="B226" s="47">
        <f t="shared" si="4"/>
        <v>537</v>
      </c>
      <c r="D226">
        <v>537</v>
      </c>
      <c r="E226" s="106">
        <v>0</v>
      </c>
    </row>
    <row r="227" spans="1:5">
      <c r="A227" s="325" t="s">
        <v>669</v>
      </c>
      <c r="B227" s="47">
        <f t="shared" si="4"/>
        <v>8030</v>
      </c>
      <c r="D227">
        <v>8030</v>
      </c>
      <c r="E227" s="106">
        <v>0</v>
      </c>
    </row>
    <row r="228" spans="1:5">
      <c r="A228" s="325" t="s">
        <v>1508</v>
      </c>
      <c r="B228" s="47">
        <f t="shared" si="4"/>
        <v>0</v>
      </c>
      <c r="D228">
        <v>0</v>
      </c>
      <c r="E228" s="106">
        <v>0</v>
      </c>
    </row>
    <row r="229" spans="1:5">
      <c r="A229" s="325" t="s">
        <v>688</v>
      </c>
      <c r="B229" s="47">
        <f t="shared" si="4"/>
        <v>0</v>
      </c>
      <c r="D229">
        <v>0</v>
      </c>
      <c r="E229" s="106">
        <v>0</v>
      </c>
    </row>
    <row r="230" spans="1:5">
      <c r="A230" s="325" t="s">
        <v>314</v>
      </c>
      <c r="B230" s="47">
        <f t="shared" si="4"/>
        <v>26760</v>
      </c>
      <c r="D230">
        <v>160396</v>
      </c>
      <c r="E230" s="106">
        <v>133636</v>
      </c>
    </row>
    <row r="231" spans="1:5">
      <c r="A231" s="325" t="s">
        <v>754</v>
      </c>
      <c r="B231" s="47">
        <f t="shared" si="4"/>
        <v>9700</v>
      </c>
      <c r="D231">
        <v>9700</v>
      </c>
      <c r="E231" s="106">
        <v>0</v>
      </c>
    </row>
    <row r="232" spans="1:5">
      <c r="A232" s="325" t="s">
        <v>772</v>
      </c>
      <c r="B232" s="47">
        <f t="shared" si="4"/>
        <v>9000</v>
      </c>
      <c r="D232">
        <v>9000</v>
      </c>
      <c r="E232" s="106">
        <v>0</v>
      </c>
    </row>
    <row r="233" spans="1:5">
      <c r="A233" s="325" t="s">
        <v>2148</v>
      </c>
      <c r="B233" s="47">
        <f t="shared" si="4"/>
        <v>97500</v>
      </c>
      <c r="D233">
        <v>97500</v>
      </c>
      <c r="E233" s="106">
        <v>0</v>
      </c>
    </row>
    <row r="234" spans="1:5">
      <c r="A234" s="325" t="s">
        <v>1916</v>
      </c>
      <c r="B234" s="47">
        <f t="shared" si="4"/>
        <v>61788</v>
      </c>
      <c r="D234">
        <v>61788</v>
      </c>
      <c r="E234" s="106">
        <v>0</v>
      </c>
    </row>
    <row r="235" spans="1:5">
      <c r="A235" s="325" t="s">
        <v>295</v>
      </c>
      <c r="D235">
        <v>0</v>
      </c>
      <c r="E235" s="106">
        <v>0</v>
      </c>
    </row>
    <row r="236" spans="1:5">
      <c r="A236" s="325" t="s">
        <v>2104</v>
      </c>
      <c r="D236">
        <v>7912</v>
      </c>
      <c r="E236" s="106">
        <v>0</v>
      </c>
    </row>
    <row r="237" spans="1:5">
      <c r="A237" s="325" t="s">
        <v>881</v>
      </c>
      <c r="D237">
        <v>0</v>
      </c>
      <c r="E237" s="106">
        <v>0</v>
      </c>
    </row>
    <row r="238" spans="1:5">
      <c r="A238" s="325" t="s">
        <v>305</v>
      </c>
      <c r="D238">
        <v>5500</v>
      </c>
      <c r="E238" s="106">
        <v>0</v>
      </c>
    </row>
    <row r="239" spans="1:5">
      <c r="A239" s="615" t="s">
        <v>2998</v>
      </c>
      <c r="D239">
        <v>402650</v>
      </c>
      <c r="E239" s="106">
        <v>0</v>
      </c>
    </row>
    <row r="240" spans="1:5">
      <c r="A240" s="325" t="s">
        <v>406</v>
      </c>
      <c r="D240">
        <v>70371</v>
      </c>
      <c r="E240" s="106">
        <v>0</v>
      </c>
    </row>
    <row r="241" spans="1:5">
      <c r="A241" s="325" t="s">
        <v>718</v>
      </c>
      <c r="D241">
        <v>0</v>
      </c>
      <c r="E241" s="106">
        <v>0</v>
      </c>
    </row>
    <row r="242" spans="1:5">
      <c r="A242" s="325" t="s">
        <v>669</v>
      </c>
      <c r="D242">
        <v>7902</v>
      </c>
      <c r="E242" s="106">
        <v>0</v>
      </c>
    </row>
    <row r="243" spans="1:5">
      <c r="A243" s="616" t="s">
        <v>2999</v>
      </c>
      <c r="D243">
        <v>147900</v>
      </c>
      <c r="E243" s="106">
        <v>0</v>
      </c>
    </row>
    <row r="244" spans="1:5">
      <c r="A244" s="325" t="s">
        <v>2318</v>
      </c>
      <c r="D244">
        <v>12727.272727272726</v>
      </c>
      <c r="E244" s="106">
        <v>12727.272727272726</v>
      </c>
    </row>
    <row r="245" spans="1:5">
      <c r="E245" s="51"/>
    </row>
    <row r="246" spans="1:5">
      <c r="E246" s="51"/>
    </row>
    <row r="247" spans="1:5">
      <c r="E247" s="51"/>
    </row>
    <row r="248" spans="1:5">
      <c r="E248" s="51"/>
    </row>
    <row r="249" spans="1:5">
      <c r="E249" s="51"/>
    </row>
    <row r="250" spans="1:5">
      <c r="E250" s="51"/>
    </row>
    <row r="251" spans="1:5">
      <c r="E251" s="51"/>
    </row>
    <row r="252" spans="1:5">
      <c r="E252" s="51"/>
    </row>
    <row r="253" spans="1:5">
      <c r="E253" s="51"/>
    </row>
    <row r="254" spans="1:5">
      <c r="E254" s="51"/>
    </row>
    <row r="255" spans="1:5">
      <c r="E255" s="51"/>
    </row>
    <row r="256" spans="1:5">
      <c r="E256" s="51"/>
    </row>
    <row r="257" spans="5:5">
      <c r="E257" s="51"/>
    </row>
    <row r="258" spans="5:5">
      <c r="E258" s="51"/>
    </row>
    <row r="259" spans="5:5">
      <c r="E259" s="51"/>
    </row>
    <row r="260" spans="5:5">
      <c r="E260" s="51"/>
    </row>
    <row r="261" spans="5:5">
      <c r="E261" s="51"/>
    </row>
    <row r="262" spans="5:5">
      <c r="E262" s="51"/>
    </row>
    <row r="263" spans="5:5">
      <c r="E263" s="51"/>
    </row>
    <row r="264" spans="5:5">
      <c r="E264" s="51"/>
    </row>
    <row r="265" spans="5:5">
      <c r="E265" s="51"/>
    </row>
    <row r="266" spans="5:5">
      <c r="E266" s="51"/>
    </row>
    <row r="267" spans="5:5">
      <c r="E267" s="51"/>
    </row>
    <row r="268" spans="5:5">
      <c r="E268" s="51"/>
    </row>
    <row r="269" spans="5:5">
      <c r="E269" s="51"/>
    </row>
    <row r="270" spans="5:5">
      <c r="E270" s="51"/>
    </row>
    <row r="271" spans="5:5">
      <c r="E271" s="51"/>
    </row>
    <row r="272" spans="5:5">
      <c r="E272" s="51"/>
    </row>
    <row r="273" spans="5:5">
      <c r="E273" s="51"/>
    </row>
    <row r="274" spans="5:5">
      <c r="E274" s="51"/>
    </row>
    <row r="275" spans="5:5">
      <c r="E275" s="51"/>
    </row>
    <row r="276" spans="5:5">
      <c r="E276" s="51"/>
    </row>
    <row r="277" spans="5:5">
      <c r="E277" s="51"/>
    </row>
    <row r="278" spans="5:5">
      <c r="E278" s="51"/>
    </row>
    <row r="279" spans="5:5">
      <c r="E279" s="51"/>
    </row>
    <row r="280" spans="5:5">
      <c r="E280" s="51"/>
    </row>
    <row r="281" spans="5:5">
      <c r="E281" s="51"/>
    </row>
    <row r="282" spans="5:5">
      <c r="E282" s="51"/>
    </row>
    <row r="283" spans="5:5">
      <c r="E283" s="51"/>
    </row>
    <row r="284" spans="5:5">
      <c r="E284" s="51"/>
    </row>
    <row r="285" spans="5:5">
      <c r="E285" s="51"/>
    </row>
    <row r="286" spans="5:5">
      <c r="E286" s="51"/>
    </row>
    <row r="287" spans="5:5">
      <c r="E287" s="51"/>
    </row>
    <row r="288" spans="5:5">
      <c r="E288" s="51"/>
    </row>
    <row r="289" spans="5:5">
      <c r="E289" s="51"/>
    </row>
    <row r="290" spans="5:5">
      <c r="E290" s="51"/>
    </row>
    <row r="291" spans="5:5">
      <c r="E291" s="51"/>
    </row>
    <row r="292" spans="5:5">
      <c r="E292" s="51"/>
    </row>
    <row r="293" spans="5:5">
      <c r="E293" s="51"/>
    </row>
    <row r="294" spans="5:5">
      <c r="E294" s="51"/>
    </row>
    <row r="295" spans="5:5">
      <c r="E295" s="51"/>
    </row>
    <row r="296" spans="5:5">
      <c r="E296" s="51"/>
    </row>
    <row r="297" spans="5:5">
      <c r="E297" s="51"/>
    </row>
    <row r="298" spans="5:5">
      <c r="E298" s="51"/>
    </row>
    <row r="299" spans="5:5">
      <c r="E299" s="51"/>
    </row>
    <row r="300" spans="5:5">
      <c r="E300" s="51"/>
    </row>
    <row r="301" spans="5:5">
      <c r="E301" s="51"/>
    </row>
    <row r="302" spans="5:5">
      <c r="E302" s="51"/>
    </row>
    <row r="303" spans="5:5">
      <c r="E303" s="51"/>
    </row>
    <row r="304" spans="5:5">
      <c r="E304" s="51"/>
    </row>
    <row r="305" spans="5:5">
      <c r="E305" s="51"/>
    </row>
    <row r="306" spans="5:5">
      <c r="E306" s="51"/>
    </row>
    <row r="307" spans="5:5">
      <c r="E307" s="51"/>
    </row>
    <row r="308" spans="5:5">
      <c r="E308" s="51"/>
    </row>
    <row r="309" spans="5:5">
      <c r="E309" s="51"/>
    </row>
    <row r="310" spans="5:5">
      <c r="E310" s="51"/>
    </row>
    <row r="311" spans="5:5">
      <c r="E311" s="51"/>
    </row>
    <row r="312" spans="5:5">
      <c r="E312" s="51"/>
    </row>
    <row r="313" spans="5:5">
      <c r="E313" s="51"/>
    </row>
    <row r="314" spans="5:5">
      <c r="E314" s="51"/>
    </row>
    <row r="315" spans="5:5">
      <c r="E315" s="51"/>
    </row>
    <row r="316" spans="5:5">
      <c r="E316" s="51"/>
    </row>
    <row r="317" spans="5:5">
      <c r="E317" s="51"/>
    </row>
    <row r="318" spans="5:5">
      <c r="E318" s="51"/>
    </row>
    <row r="319" spans="5:5">
      <c r="E319" s="51"/>
    </row>
    <row r="320" spans="5:5">
      <c r="E320" s="51"/>
    </row>
    <row r="321" spans="5:5">
      <c r="E321" s="51"/>
    </row>
    <row r="322" spans="5:5">
      <c r="E322" s="51"/>
    </row>
    <row r="323" spans="5:5">
      <c r="E323" s="51"/>
    </row>
    <row r="324" spans="5:5">
      <c r="E324" s="51"/>
    </row>
    <row r="325" spans="5:5">
      <c r="E325" s="51"/>
    </row>
    <row r="326" spans="5:5">
      <c r="E326" s="51"/>
    </row>
    <row r="327" spans="5:5">
      <c r="E327" s="51"/>
    </row>
    <row r="328" spans="5:5">
      <c r="E328" s="51"/>
    </row>
    <row r="329" spans="5:5">
      <c r="E329" s="51"/>
    </row>
    <row r="330" spans="5:5">
      <c r="E330" s="51"/>
    </row>
    <row r="331" spans="5:5">
      <c r="E331" s="51"/>
    </row>
    <row r="332" spans="5:5">
      <c r="E332" s="51"/>
    </row>
    <row r="333" spans="5:5">
      <c r="E333" s="51"/>
    </row>
    <row r="334" spans="5:5">
      <c r="E334" s="51"/>
    </row>
    <row r="335" spans="5:5">
      <c r="E335" s="51"/>
    </row>
    <row r="336" spans="5:5">
      <c r="E336" s="51"/>
    </row>
    <row r="337" spans="5:5">
      <c r="E337" s="51"/>
    </row>
    <row r="338" spans="5:5">
      <c r="E338" s="51"/>
    </row>
    <row r="339" spans="5:5">
      <c r="E339" s="51"/>
    </row>
    <row r="340" spans="5:5">
      <c r="E340" s="51"/>
    </row>
    <row r="341" spans="5:5">
      <c r="E341" s="51"/>
    </row>
    <row r="342" spans="5:5">
      <c r="E342" s="51"/>
    </row>
    <row r="343" spans="5:5">
      <c r="E343" s="51"/>
    </row>
    <row r="344" spans="5:5">
      <c r="E344" s="51"/>
    </row>
    <row r="345" spans="5:5">
      <c r="E345" s="51"/>
    </row>
    <row r="346" spans="5:5">
      <c r="E346" s="51"/>
    </row>
    <row r="347" spans="5:5">
      <c r="E347" s="51"/>
    </row>
    <row r="348" spans="5:5">
      <c r="E348" s="51"/>
    </row>
    <row r="349" spans="5:5">
      <c r="E349" s="51"/>
    </row>
    <row r="350" spans="5:5">
      <c r="E350" s="51"/>
    </row>
    <row r="351" spans="5:5">
      <c r="E351" s="51"/>
    </row>
    <row r="352" spans="5:5">
      <c r="E352" s="51"/>
    </row>
    <row r="353" spans="5:5">
      <c r="E353" s="51"/>
    </row>
    <row r="354" spans="5:5">
      <c r="E354" s="51"/>
    </row>
    <row r="355" spans="5:5">
      <c r="E355" s="51"/>
    </row>
    <row r="356" spans="5:5">
      <c r="E356" s="51"/>
    </row>
    <row r="357" spans="5:5">
      <c r="E357" s="51"/>
    </row>
    <row r="358" spans="5:5">
      <c r="E358" s="51"/>
    </row>
    <row r="359" spans="5:5">
      <c r="E359" s="51"/>
    </row>
    <row r="360" spans="5:5">
      <c r="E360" s="51"/>
    </row>
    <row r="361" spans="5:5">
      <c r="E361" s="51"/>
    </row>
    <row r="362" spans="5:5">
      <c r="E362" s="51"/>
    </row>
    <row r="363" spans="5:5">
      <c r="E363" s="51"/>
    </row>
    <row r="364" spans="5:5">
      <c r="E364" s="51"/>
    </row>
    <row r="365" spans="5:5">
      <c r="E365" s="51"/>
    </row>
    <row r="366" spans="5:5">
      <c r="E366" s="51"/>
    </row>
    <row r="367" spans="5:5">
      <c r="E367" s="51"/>
    </row>
    <row r="368" spans="5:5">
      <c r="E368" s="51"/>
    </row>
    <row r="369" spans="5:5">
      <c r="E369" s="51"/>
    </row>
    <row r="370" spans="5:5">
      <c r="E370" s="51"/>
    </row>
    <row r="371" spans="5:5">
      <c r="E371" s="51"/>
    </row>
    <row r="372" spans="5:5">
      <c r="E372" s="51"/>
    </row>
    <row r="373" spans="5:5">
      <c r="E373" s="51"/>
    </row>
    <row r="374" spans="5:5">
      <c r="E374" s="51"/>
    </row>
    <row r="375" spans="5:5">
      <c r="E375" s="51"/>
    </row>
    <row r="376" spans="5:5">
      <c r="E376" s="51"/>
    </row>
    <row r="377" spans="5:5">
      <c r="E377" s="51"/>
    </row>
    <row r="378" spans="5:5">
      <c r="E378" s="51"/>
    </row>
    <row r="379" spans="5:5">
      <c r="E379" s="51"/>
    </row>
    <row r="380" spans="5:5">
      <c r="E380" s="51"/>
    </row>
    <row r="381" spans="5:5">
      <c r="E381" s="51"/>
    </row>
    <row r="382" spans="5:5">
      <c r="E382" s="51"/>
    </row>
    <row r="383" spans="5:5">
      <c r="E383" s="51"/>
    </row>
    <row r="384" spans="5:5">
      <c r="E384" s="51"/>
    </row>
    <row r="385" spans="5:5">
      <c r="E385" s="51"/>
    </row>
    <row r="386" spans="5:5">
      <c r="E386" s="51"/>
    </row>
    <row r="387" spans="5:5">
      <c r="E387" s="51"/>
    </row>
    <row r="388" spans="5:5">
      <c r="E388" s="51"/>
    </row>
    <row r="389" spans="5:5">
      <c r="E389" s="51"/>
    </row>
    <row r="390" spans="5:5">
      <c r="E390" s="51"/>
    </row>
    <row r="391" spans="5:5">
      <c r="E391" s="51"/>
    </row>
    <row r="392" spans="5:5">
      <c r="E392" s="51"/>
    </row>
    <row r="393" spans="5:5">
      <c r="E393" s="51"/>
    </row>
    <row r="394" spans="5:5">
      <c r="E394" s="51"/>
    </row>
    <row r="395" spans="5:5">
      <c r="E395" s="51"/>
    </row>
    <row r="396" spans="5:5">
      <c r="E396" s="51"/>
    </row>
    <row r="397" spans="5:5">
      <c r="E397" s="51"/>
    </row>
    <row r="398" spans="5:5">
      <c r="E398" s="51"/>
    </row>
    <row r="399" spans="5:5">
      <c r="E399" s="51"/>
    </row>
    <row r="400" spans="5:5">
      <c r="E400" s="51"/>
    </row>
    <row r="401" spans="5:5">
      <c r="E401" s="51"/>
    </row>
    <row r="402" spans="5:5">
      <c r="E402" s="51"/>
    </row>
    <row r="403" spans="5:5">
      <c r="E403" s="51"/>
    </row>
    <row r="404" spans="5:5">
      <c r="E404" s="51"/>
    </row>
    <row r="405" spans="5:5">
      <c r="E405" s="51"/>
    </row>
    <row r="406" spans="5:5">
      <c r="E406" s="51"/>
    </row>
    <row r="407" spans="5:5">
      <c r="E407" s="51"/>
    </row>
    <row r="408" spans="5:5">
      <c r="E408" s="51"/>
    </row>
    <row r="409" spans="5:5">
      <c r="E409" s="51"/>
    </row>
    <row r="410" spans="5:5">
      <c r="E410" s="51"/>
    </row>
    <row r="411" spans="5:5">
      <c r="E411" s="51"/>
    </row>
    <row r="412" spans="5:5">
      <c r="E412" s="51"/>
    </row>
    <row r="413" spans="5:5">
      <c r="E413" s="51"/>
    </row>
    <row r="414" spans="5:5">
      <c r="E414" s="51"/>
    </row>
    <row r="415" spans="5:5">
      <c r="E415" s="51"/>
    </row>
    <row r="416" spans="5:5">
      <c r="E416" s="51"/>
    </row>
    <row r="417" spans="5:5">
      <c r="E417" s="51"/>
    </row>
    <row r="418" spans="5:5">
      <c r="E418" s="51"/>
    </row>
    <row r="419" spans="5:5">
      <c r="E419" s="51"/>
    </row>
    <row r="420" spans="5:5">
      <c r="E420" s="51"/>
    </row>
    <row r="421" spans="5:5">
      <c r="E421" s="51"/>
    </row>
    <row r="422" spans="5:5">
      <c r="E422" s="51"/>
    </row>
    <row r="423" spans="5:5">
      <c r="E423" s="51"/>
    </row>
    <row r="424" spans="5:5">
      <c r="E424" s="51"/>
    </row>
    <row r="425" spans="5:5">
      <c r="E425" s="51"/>
    </row>
    <row r="426" spans="5:5">
      <c r="E426" s="51"/>
    </row>
    <row r="427" spans="5:5">
      <c r="E427" s="51"/>
    </row>
    <row r="428" spans="5:5">
      <c r="E428" s="51"/>
    </row>
    <row r="429" spans="5:5">
      <c r="E429" s="51"/>
    </row>
    <row r="430" spans="5:5">
      <c r="E430" s="51"/>
    </row>
    <row r="431" spans="5:5">
      <c r="E431" s="51"/>
    </row>
    <row r="432" spans="5:5">
      <c r="E432" s="51"/>
    </row>
    <row r="433" spans="5:5">
      <c r="E433" s="51"/>
    </row>
    <row r="434" spans="5:5">
      <c r="E434" s="51"/>
    </row>
    <row r="435" spans="5:5">
      <c r="E435" s="51"/>
    </row>
    <row r="436" spans="5:5">
      <c r="E436" s="51"/>
    </row>
    <row r="437" spans="5:5">
      <c r="E437" s="51"/>
    </row>
    <row r="438" spans="5:5">
      <c r="E438" s="51"/>
    </row>
    <row r="439" spans="5:5">
      <c r="E439" s="51"/>
    </row>
    <row r="440" spans="5:5">
      <c r="E440" s="51"/>
    </row>
    <row r="441" spans="5:5">
      <c r="E441" s="51"/>
    </row>
    <row r="442" spans="5:5">
      <c r="E442" s="51"/>
    </row>
    <row r="443" spans="5:5">
      <c r="E443" s="51"/>
    </row>
    <row r="444" spans="5:5">
      <c r="E444" s="51"/>
    </row>
    <row r="445" spans="5:5">
      <c r="E445" s="51"/>
    </row>
    <row r="446" spans="5:5">
      <c r="E446" s="51"/>
    </row>
    <row r="447" spans="5:5">
      <c r="E447" s="51"/>
    </row>
    <row r="448" spans="5:5">
      <c r="E448" s="51"/>
    </row>
    <row r="449" spans="5:5">
      <c r="E449" s="51"/>
    </row>
    <row r="450" spans="5:5">
      <c r="E450" s="51"/>
    </row>
    <row r="451" spans="5:5">
      <c r="E451" s="51"/>
    </row>
    <row r="452" spans="5:5">
      <c r="E452" s="51"/>
    </row>
    <row r="453" spans="5:5">
      <c r="E453" s="51"/>
    </row>
    <row r="454" spans="5:5">
      <c r="E454" s="51"/>
    </row>
    <row r="455" spans="5:5">
      <c r="E455" s="51"/>
    </row>
    <row r="456" spans="5:5">
      <c r="E456" s="51"/>
    </row>
    <row r="457" spans="5:5">
      <c r="E457" s="51"/>
    </row>
    <row r="458" spans="5:5">
      <c r="E458" s="51"/>
    </row>
    <row r="459" spans="5:5">
      <c r="E459" s="51"/>
    </row>
    <row r="460" spans="5:5">
      <c r="E460" s="51"/>
    </row>
    <row r="461" spans="5:5">
      <c r="E461" s="51"/>
    </row>
    <row r="462" spans="5:5">
      <c r="E462" s="51"/>
    </row>
    <row r="463" spans="5:5">
      <c r="E463" s="51"/>
    </row>
    <row r="464" spans="5:5">
      <c r="E464" s="51"/>
    </row>
    <row r="465" spans="5:5">
      <c r="E465" s="51"/>
    </row>
    <row r="466" spans="5:5">
      <c r="E466" s="51"/>
    </row>
    <row r="467" spans="5:5">
      <c r="E467" s="51"/>
    </row>
    <row r="468" spans="5:5">
      <c r="E468" s="51"/>
    </row>
    <row r="469" spans="5:5">
      <c r="E469" s="51"/>
    </row>
    <row r="470" spans="5:5">
      <c r="E470" s="51"/>
    </row>
    <row r="471" spans="5:5">
      <c r="E471" s="51"/>
    </row>
    <row r="472" spans="5:5">
      <c r="E472" s="51"/>
    </row>
    <row r="473" spans="5:5">
      <c r="E473" s="51"/>
    </row>
    <row r="474" spans="5:5">
      <c r="E474" s="51"/>
    </row>
    <row r="475" spans="5:5">
      <c r="E475" s="51"/>
    </row>
    <row r="476" spans="5:5">
      <c r="E476" s="51"/>
    </row>
    <row r="477" spans="5:5">
      <c r="E477" s="51"/>
    </row>
    <row r="478" spans="5:5">
      <c r="E478" s="51"/>
    </row>
    <row r="479" spans="5:5">
      <c r="E479" s="51"/>
    </row>
    <row r="480" spans="5:5">
      <c r="E480" s="51"/>
    </row>
    <row r="481" spans="5:5">
      <c r="E481" s="51"/>
    </row>
    <row r="482" spans="5:5">
      <c r="E482" s="51"/>
    </row>
    <row r="483" spans="5:5">
      <c r="E483" s="51"/>
    </row>
    <row r="484" spans="5:5">
      <c r="E484" s="51"/>
    </row>
    <row r="485" spans="5:5">
      <c r="E485" s="51"/>
    </row>
    <row r="486" spans="5:5">
      <c r="E486" s="51"/>
    </row>
    <row r="487" spans="5:5">
      <c r="E487" s="51"/>
    </row>
    <row r="488" spans="5:5">
      <c r="E488" s="51"/>
    </row>
    <row r="489" spans="5:5">
      <c r="E489" s="51"/>
    </row>
    <row r="490" spans="5:5">
      <c r="E490" s="51"/>
    </row>
    <row r="491" spans="5:5">
      <c r="E491" s="51"/>
    </row>
    <row r="492" spans="5:5">
      <c r="E492" s="51"/>
    </row>
    <row r="493" spans="5:5">
      <c r="E493" s="51"/>
    </row>
    <row r="494" spans="5:5">
      <c r="E494" s="51"/>
    </row>
    <row r="495" spans="5:5">
      <c r="E495" s="51"/>
    </row>
    <row r="496" spans="5:5">
      <c r="E496" s="51"/>
    </row>
    <row r="497" spans="5:5">
      <c r="E497" s="51"/>
    </row>
    <row r="498" spans="5:5">
      <c r="E498" s="51"/>
    </row>
    <row r="499" spans="5:5">
      <c r="E499" s="51"/>
    </row>
    <row r="500" spans="5:5">
      <c r="E500" s="51"/>
    </row>
    <row r="501" spans="5:5">
      <c r="E501" s="51"/>
    </row>
    <row r="502" spans="5:5">
      <c r="E502" s="51"/>
    </row>
    <row r="503" spans="5:5">
      <c r="E503" s="51"/>
    </row>
    <row r="504" spans="5:5">
      <c r="E504" s="51"/>
    </row>
    <row r="505" spans="5:5">
      <c r="E505" s="51"/>
    </row>
    <row r="506" spans="5:5">
      <c r="E506" s="51"/>
    </row>
    <row r="507" spans="5:5">
      <c r="E507" s="51"/>
    </row>
    <row r="508" spans="5:5">
      <c r="E508" s="51"/>
    </row>
    <row r="509" spans="5:5">
      <c r="E509" s="51"/>
    </row>
    <row r="510" spans="5:5">
      <c r="E510" s="51"/>
    </row>
    <row r="511" spans="5:5">
      <c r="E511" s="51"/>
    </row>
    <row r="512" spans="5:5">
      <c r="E512" s="51"/>
    </row>
    <row r="513" spans="5:5">
      <c r="E513" s="51"/>
    </row>
    <row r="514" spans="5:5">
      <c r="E514" s="51"/>
    </row>
    <row r="515" spans="5:5">
      <c r="E515" s="51"/>
    </row>
    <row r="516" spans="5:5">
      <c r="E516" s="51"/>
    </row>
    <row r="517" spans="5:5">
      <c r="E517" s="51"/>
    </row>
    <row r="518" spans="5:5">
      <c r="E518" s="51"/>
    </row>
    <row r="519" spans="5:5">
      <c r="E519" s="51"/>
    </row>
    <row r="520" spans="5:5">
      <c r="E520" s="51"/>
    </row>
    <row r="521" spans="5:5">
      <c r="E521" s="51"/>
    </row>
    <row r="522" spans="5:5">
      <c r="E522" s="51"/>
    </row>
    <row r="523" spans="5:5">
      <c r="E523" s="51"/>
    </row>
    <row r="524" spans="5:5">
      <c r="E524" s="51"/>
    </row>
    <row r="525" spans="5:5">
      <c r="E525" s="51"/>
    </row>
    <row r="526" spans="5:5">
      <c r="E526" s="51"/>
    </row>
    <row r="527" spans="5:5">
      <c r="E527" s="51"/>
    </row>
    <row r="528" spans="5:5">
      <c r="E528" s="51"/>
    </row>
    <row r="529" spans="5:5">
      <c r="E529" s="51"/>
    </row>
    <row r="530" spans="5:5">
      <c r="E530" s="51"/>
    </row>
    <row r="531" spans="5:5">
      <c r="E531" s="51"/>
    </row>
    <row r="532" spans="5:5">
      <c r="E532" s="51"/>
    </row>
    <row r="533" spans="5:5">
      <c r="E533" s="51"/>
    </row>
    <row r="534" spans="5:5">
      <c r="E534" s="51"/>
    </row>
    <row r="535" spans="5:5">
      <c r="E535" s="51"/>
    </row>
    <row r="536" spans="5:5">
      <c r="E536" s="51"/>
    </row>
    <row r="537" spans="5:5">
      <c r="E537" s="51"/>
    </row>
    <row r="538" spans="5:5">
      <c r="E538" s="51"/>
    </row>
    <row r="539" spans="5:5">
      <c r="E539" s="51"/>
    </row>
    <row r="540" spans="5:5">
      <c r="E540" s="51"/>
    </row>
    <row r="541" spans="5:5">
      <c r="E541" s="51"/>
    </row>
    <row r="542" spans="5:5">
      <c r="E542" s="51"/>
    </row>
    <row r="543" spans="5:5">
      <c r="E543" s="51"/>
    </row>
    <row r="544" spans="5:5">
      <c r="E544" s="51"/>
    </row>
    <row r="545" spans="5:5">
      <c r="E545" s="51"/>
    </row>
    <row r="546" spans="5:5">
      <c r="E546" s="51"/>
    </row>
    <row r="547" spans="5:5">
      <c r="E547" s="51"/>
    </row>
    <row r="548" spans="5:5">
      <c r="E548" s="51"/>
    </row>
    <row r="549" spans="5:5">
      <c r="E549" s="51"/>
    </row>
    <row r="550" spans="5:5">
      <c r="E550" s="51"/>
    </row>
    <row r="551" spans="5:5">
      <c r="E551" s="51"/>
    </row>
    <row r="552" spans="5:5">
      <c r="E552" s="51"/>
    </row>
    <row r="553" spans="5:5">
      <c r="E553" s="51"/>
    </row>
    <row r="554" spans="5:5">
      <c r="E554" s="51"/>
    </row>
    <row r="555" spans="5:5">
      <c r="E555" s="51"/>
    </row>
    <row r="556" spans="5:5">
      <c r="E556" s="51"/>
    </row>
    <row r="557" spans="5:5">
      <c r="E557" s="51"/>
    </row>
    <row r="558" spans="5:5">
      <c r="E558" s="51"/>
    </row>
    <row r="559" spans="5:5">
      <c r="E559" s="51"/>
    </row>
    <row r="560" spans="5:5">
      <c r="E560" s="51"/>
    </row>
    <row r="561" spans="5:5">
      <c r="E561" s="51"/>
    </row>
    <row r="562" spans="5:5">
      <c r="E562" s="51"/>
    </row>
    <row r="563" spans="5:5">
      <c r="E563" s="51"/>
    </row>
    <row r="564" spans="5:5">
      <c r="E564" s="51"/>
    </row>
    <row r="565" spans="5:5">
      <c r="E565" s="51"/>
    </row>
    <row r="566" spans="5:5">
      <c r="E566" s="51"/>
    </row>
    <row r="567" spans="5:5">
      <c r="E567" s="51"/>
    </row>
    <row r="568" spans="5:5">
      <c r="E568" s="51"/>
    </row>
    <row r="569" spans="5:5">
      <c r="E569" s="51"/>
    </row>
    <row r="570" spans="5:5">
      <c r="E570" s="51"/>
    </row>
    <row r="571" spans="5:5">
      <c r="E571" s="51"/>
    </row>
    <row r="572" spans="5:5">
      <c r="E572" s="51"/>
    </row>
    <row r="573" spans="5:5">
      <c r="E573" s="51"/>
    </row>
    <row r="574" spans="5:5">
      <c r="E574" s="51"/>
    </row>
    <row r="575" spans="5:5">
      <c r="E575" s="51"/>
    </row>
    <row r="576" spans="5:5">
      <c r="E576" s="51"/>
    </row>
    <row r="577" spans="5:5">
      <c r="E577" s="51"/>
    </row>
    <row r="578" spans="5:5">
      <c r="E578" s="51"/>
    </row>
    <row r="579" spans="5:5">
      <c r="E579" s="51"/>
    </row>
    <row r="580" spans="5:5">
      <c r="E580" s="51"/>
    </row>
    <row r="581" spans="5:5">
      <c r="E581" s="51"/>
    </row>
    <row r="582" spans="5:5">
      <c r="E582" s="51"/>
    </row>
    <row r="583" spans="5:5">
      <c r="E583" s="51"/>
    </row>
    <row r="584" spans="5:5">
      <c r="E584" s="51"/>
    </row>
    <row r="585" spans="5:5">
      <c r="E585" s="51"/>
    </row>
    <row r="586" spans="5:5">
      <c r="E586" s="51"/>
    </row>
    <row r="587" spans="5:5">
      <c r="E587" s="51"/>
    </row>
    <row r="588" spans="5:5">
      <c r="E588" s="51"/>
    </row>
    <row r="589" spans="5:5">
      <c r="E589" s="51"/>
    </row>
    <row r="590" spans="5:5">
      <c r="E590" s="51"/>
    </row>
    <row r="591" spans="5:5">
      <c r="E591" s="51"/>
    </row>
    <row r="592" spans="5:5">
      <c r="E592" s="51"/>
    </row>
    <row r="593" spans="5:5">
      <c r="E593" s="51"/>
    </row>
    <row r="594" spans="5:5">
      <c r="E594" s="51"/>
    </row>
    <row r="595" spans="5:5">
      <c r="E595" s="51"/>
    </row>
    <row r="596" spans="5:5">
      <c r="E596" s="51"/>
    </row>
    <row r="597" spans="5:5">
      <c r="E597" s="51"/>
    </row>
    <row r="598" spans="5:5">
      <c r="E598" s="51"/>
    </row>
    <row r="599" spans="5:5">
      <c r="E599" s="51"/>
    </row>
    <row r="600" spans="5:5">
      <c r="E600" s="51"/>
    </row>
    <row r="601" spans="5:5">
      <c r="E601" s="51"/>
    </row>
    <row r="602" spans="5:5">
      <c r="E602" s="51"/>
    </row>
    <row r="603" spans="5:5">
      <c r="E603" s="51"/>
    </row>
    <row r="604" spans="5:5">
      <c r="E604" s="51"/>
    </row>
    <row r="605" spans="5:5">
      <c r="E605" s="51"/>
    </row>
    <row r="606" spans="5:5">
      <c r="E606" s="51"/>
    </row>
    <row r="607" spans="5:5">
      <c r="E607" s="51"/>
    </row>
    <row r="608" spans="5:5">
      <c r="E608" s="51"/>
    </row>
    <row r="609" spans="5:5">
      <c r="E609" s="51"/>
    </row>
    <row r="610" spans="5:5">
      <c r="E610" s="51"/>
    </row>
    <row r="611" spans="5:5">
      <c r="E611" s="51"/>
    </row>
    <row r="612" spans="5:5">
      <c r="E612" s="51"/>
    </row>
    <row r="613" spans="5:5">
      <c r="E613" s="51"/>
    </row>
    <row r="614" spans="5:5">
      <c r="E614" s="51"/>
    </row>
    <row r="615" spans="5:5">
      <c r="E615" s="51"/>
    </row>
    <row r="616" spans="5:5">
      <c r="E616" s="51"/>
    </row>
    <row r="617" spans="5:5">
      <c r="E617" s="51"/>
    </row>
    <row r="618" spans="5:5">
      <c r="E618" s="51"/>
    </row>
    <row r="619" spans="5:5">
      <c r="E619" s="51"/>
    </row>
    <row r="620" spans="5:5">
      <c r="E620" s="51"/>
    </row>
    <row r="621" spans="5:5">
      <c r="E621" s="51"/>
    </row>
    <row r="622" spans="5:5">
      <c r="E622" s="51"/>
    </row>
    <row r="623" spans="5:5">
      <c r="E623" s="51"/>
    </row>
    <row r="624" spans="5:5">
      <c r="E624" s="51"/>
    </row>
    <row r="625" spans="5:5">
      <c r="E625" s="51"/>
    </row>
    <row r="626" spans="5:5">
      <c r="E626" s="51"/>
    </row>
    <row r="627" spans="5:5">
      <c r="E627" s="51"/>
    </row>
    <row r="628" spans="5:5">
      <c r="E628" s="51"/>
    </row>
    <row r="629" spans="5:5">
      <c r="E629" s="51"/>
    </row>
    <row r="630" spans="5:5">
      <c r="E630" s="51"/>
    </row>
    <row r="631" spans="5:5">
      <c r="E631" s="51"/>
    </row>
    <row r="632" spans="5:5">
      <c r="E632" s="51"/>
    </row>
    <row r="633" spans="5:5">
      <c r="E633" s="51"/>
    </row>
    <row r="634" spans="5:5">
      <c r="E634" s="51"/>
    </row>
    <row r="635" spans="5:5">
      <c r="E635" s="51"/>
    </row>
    <row r="636" spans="5:5">
      <c r="E636" s="51"/>
    </row>
    <row r="637" spans="5:5">
      <c r="E637" s="51"/>
    </row>
    <row r="638" spans="5:5">
      <c r="E638" s="51"/>
    </row>
    <row r="639" spans="5:5">
      <c r="E639" s="51"/>
    </row>
    <row r="640" spans="5:5">
      <c r="E640" s="51"/>
    </row>
    <row r="641" spans="5:5">
      <c r="E641" s="51"/>
    </row>
    <row r="642" spans="5:5">
      <c r="E642" s="51"/>
    </row>
    <row r="643" spans="5:5">
      <c r="E643" s="51"/>
    </row>
    <row r="644" spans="5:5">
      <c r="E644" s="51"/>
    </row>
    <row r="645" spans="5:5">
      <c r="E645" s="51"/>
    </row>
    <row r="646" spans="5:5">
      <c r="E646" s="51"/>
    </row>
    <row r="647" spans="5:5">
      <c r="E647" s="51"/>
    </row>
    <row r="648" spans="5:5">
      <c r="E648" s="51"/>
    </row>
    <row r="649" spans="5:5">
      <c r="E649" s="51"/>
    </row>
    <row r="650" spans="5:5">
      <c r="E650" s="51"/>
    </row>
    <row r="651" spans="5:5">
      <c r="E651" s="51"/>
    </row>
    <row r="652" spans="5:5">
      <c r="E652" s="51"/>
    </row>
    <row r="653" spans="5:5">
      <c r="E653" s="51"/>
    </row>
    <row r="654" spans="5:5">
      <c r="E654" s="51"/>
    </row>
    <row r="655" spans="5:5">
      <c r="E655" s="51"/>
    </row>
    <row r="656" spans="5:5">
      <c r="E656" s="51"/>
    </row>
    <row r="657" spans="5:5">
      <c r="E657" s="51"/>
    </row>
    <row r="658" spans="5:5">
      <c r="E658" s="51"/>
    </row>
    <row r="659" spans="5:5">
      <c r="E659" s="51"/>
    </row>
    <row r="660" spans="5:5">
      <c r="E660" s="51"/>
    </row>
    <row r="661" spans="5:5">
      <c r="E661" s="51"/>
    </row>
    <row r="662" spans="5:5">
      <c r="E662" s="51"/>
    </row>
    <row r="663" spans="5:5">
      <c r="E663" s="51"/>
    </row>
    <row r="664" spans="5:5">
      <c r="E664" s="51"/>
    </row>
    <row r="665" spans="5:5">
      <c r="E665" s="51"/>
    </row>
    <row r="666" spans="5:5">
      <c r="E666" s="51"/>
    </row>
    <row r="667" spans="5:5">
      <c r="E667" s="51"/>
    </row>
    <row r="668" spans="5:5">
      <c r="E668" s="51"/>
    </row>
    <row r="669" spans="5:5">
      <c r="E669" s="51"/>
    </row>
    <row r="670" spans="5:5">
      <c r="E670" s="51"/>
    </row>
    <row r="671" spans="5:5">
      <c r="E671" s="51"/>
    </row>
    <row r="672" spans="5:5">
      <c r="E672" s="51"/>
    </row>
    <row r="673" spans="5:5">
      <c r="E673" s="51"/>
    </row>
    <row r="674" spans="5:5">
      <c r="E674" s="51"/>
    </row>
    <row r="675" spans="5:5">
      <c r="E675" s="51"/>
    </row>
    <row r="676" spans="5:5">
      <c r="E676" s="51"/>
    </row>
    <row r="677" spans="5:5">
      <c r="E677" s="51"/>
    </row>
    <row r="678" spans="5:5">
      <c r="E678" s="51"/>
    </row>
    <row r="679" spans="5:5">
      <c r="E679" s="51"/>
    </row>
    <row r="680" spans="5:5">
      <c r="E680" s="51"/>
    </row>
    <row r="681" spans="5:5">
      <c r="E681" s="51"/>
    </row>
    <row r="682" spans="5:5">
      <c r="E682" s="51"/>
    </row>
    <row r="683" spans="5:5">
      <c r="E683" s="51"/>
    </row>
    <row r="684" spans="5:5">
      <c r="E684" s="51"/>
    </row>
    <row r="685" spans="5:5">
      <c r="E685" s="51"/>
    </row>
    <row r="686" spans="5:5">
      <c r="E686" s="51"/>
    </row>
    <row r="687" spans="5:5">
      <c r="E687" s="51"/>
    </row>
    <row r="688" spans="5:5">
      <c r="E688" s="51"/>
    </row>
    <row r="689" spans="5:5">
      <c r="E689" s="51"/>
    </row>
    <row r="690" spans="5:5">
      <c r="E690" s="51"/>
    </row>
    <row r="691" spans="5:5">
      <c r="E691" s="51"/>
    </row>
    <row r="692" spans="5:5">
      <c r="E692" s="51"/>
    </row>
    <row r="693" spans="5:5">
      <c r="E693" s="51"/>
    </row>
    <row r="694" spans="5:5">
      <c r="E694" s="51"/>
    </row>
    <row r="695" spans="5:5">
      <c r="E695" s="51"/>
    </row>
    <row r="696" spans="5:5">
      <c r="E696" s="51"/>
    </row>
    <row r="697" spans="5:5">
      <c r="E697" s="51"/>
    </row>
    <row r="698" spans="5:5">
      <c r="E698" s="51"/>
    </row>
    <row r="699" spans="5:5">
      <c r="E699" s="51"/>
    </row>
    <row r="700" spans="5:5">
      <c r="E700" s="51"/>
    </row>
    <row r="701" spans="5:5">
      <c r="E701" s="51"/>
    </row>
    <row r="702" spans="5:5">
      <c r="E702" s="51"/>
    </row>
    <row r="703" spans="5:5">
      <c r="E703" s="51"/>
    </row>
    <row r="704" spans="5:5">
      <c r="E704" s="51"/>
    </row>
    <row r="705" spans="5:5">
      <c r="E705" s="51"/>
    </row>
    <row r="706" spans="5:5">
      <c r="E706" s="51"/>
    </row>
    <row r="707" spans="5:5">
      <c r="E707" s="51"/>
    </row>
    <row r="708" spans="5:5">
      <c r="E708" s="51"/>
    </row>
    <row r="709" spans="5:5">
      <c r="E709" s="51"/>
    </row>
    <row r="710" spans="5:5">
      <c r="E710" s="51"/>
    </row>
    <row r="711" spans="5:5">
      <c r="E711" s="51"/>
    </row>
    <row r="712" spans="5:5">
      <c r="E712" s="51"/>
    </row>
    <row r="713" spans="5:5">
      <c r="E713" s="51"/>
    </row>
    <row r="714" spans="5:5">
      <c r="E714" s="51"/>
    </row>
    <row r="715" spans="5:5">
      <c r="E715" s="51"/>
    </row>
    <row r="716" spans="5:5">
      <c r="E716" s="51"/>
    </row>
    <row r="717" spans="5:5">
      <c r="E717" s="51"/>
    </row>
    <row r="718" spans="5:5">
      <c r="E718" s="51"/>
    </row>
    <row r="719" spans="5:5">
      <c r="E719" s="51"/>
    </row>
    <row r="720" spans="5:5">
      <c r="E720" s="51"/>
    </row>
    <row r="721" spans="5:5">
      <c r="E721" s="51"/>
    </row>
    <row r="722" spans="5:5">
      <c r="E722" s="51"/>
    </row>
    <row r="723" spans="5:5">
      <c r="E723" s="51"/>
    </row>
    <row r="724" spans="5:5">
      <c r="E724" s="51"/>
    </row>
    <row r="725" spans="5:5">
      <c r="E725" s="51"/>
    </row>
    <row r="726" spans="5:5">
      <c r="E726" s="51"/>
    </row>
    <row r="727" spans="5:5">
      <c r="E727" s="51"/>
    </row>
    <row r="728" spans="5:5">
      <c r="E728" s="51"/>
    </row>
    <row r="729" spans="5:5">
      <c r="E729" s="51"/>
    </row>
    <row r="730" spans="5:5">
      <c r="E730" s="51"/>
    </row>
    <row r="731" spans="5:5">
      <c r="E731" s="51"/>
    </row>
    <row r="732" spans="5:5">
      <c r="E732" s="51"/>
    </row>
    <row r="733" spans="5:5">
      <c r="E733" s="51"/>
    </row>
    <row r="734" spans="5:5">
      <c r="E734" s="51"/>
    </row>
    <row r="735" spans="5:5">
      <c r="E735" s="51"/>
    </row>
    <row r="736" spans="5:5">
      <c r="E736" s="51"/>
    </row>
    <row r="737" spans="5:5">
      <c r="E737" s="51"/>
    </row>
    <row r="738" spans="5:5">
      <c r="E738" s="51"/>
    </row>
    <row r="739" spans="5:5">
      <c r="E739" s="51"/>
    </row>
    <row r="740" spans="5:5">
      <c r="E740" s="51"/>
    </row>
    <row r="741" spans="5:5">
      <c r="E741" s="51"/>
    </row>
    <row r="742" spans="5:5">
      <c r="E742" s="51"/>
    </row>
    <row r="743" spans="5:5">
      <c r="E743" s="51"/>
    </row>
    <row r="744" spans="5:5">
      <c r="E744" s="51"/>
    </row>
    <row r="745" spans="5:5">
      <c r="E745" s="51"/>
    </row>
    <row r="746" spans="5:5">
      <c r="E746" s="51"/>
    </row>
    <row r="747" spans="5:5">
      <c r="E747" s="51"/>
    </row>
    <row r="748" spans="5:5">
      <c r="E748" s="51"/>
    </row>
    <row r="749" spans="5:5">
      <c r="E749" s="51"/>
    </row>
    <row r="750" spans="5:5">
      <c r="E750" s="51"/>
    </row>
    <row r="751" spans="5:5">
      <c r="E751" s="51"/>
    </row>
    <row r="752" spans="5:5">
      <c r="E752" s="51"/>
    </row>
    <row r="753" spans="5:5">
      <c r="E753" s="51"/>
    </row>
    <row r="754" spans="5:5">
      <c r="E754" s="51"/>
    </row>
    <row r="755" spans="5:5">
      <c r="E755" s="51"/>
    </row>
    <row r="756" spans="5:5">
      <c r="E756" s="51"/>
    </row>
    <row r="757" spans="5:5">
      <c r="E757" s="51"/>
    </row>
    <row r="758" spans="5:5">
      <c r="E758" s="51"/>
    </row>
    <row r="759" spans="5:5">
      <c r="E759" s="51"/>
    </row>
    <row r="760" spans="5:5">
      <c r="E760" s="51"/>
    </row>
    <row r="761" spans="5:5">
      <c r="E761" s="51"/>
    </row>
    <row r="762" spans="5:5">
      <c r="E762" s="51"/>
    </row>
    <row r="763" spans="5:5">
      <c r="E763" s="51"/>
    </row>
    <row r="764" spans="5:5">
      <c r="E764" s="51"/>
    </row>
    <row r="765" spans="5:5">
      <c r="E765" s="51"/>
    </row>
    <row r="766" spans="5:5">
      <c r="E766" s="51"/>
    </row>
    <row r="767" spans="5:5">
      <c r="E767" s="51"/>
    </row>
    <row r="768" spans="5:5">
      <c r="E768" s="51"/>
    </row>
    <row r="769" spans="5:5">
      <c r="E769" s="51"/>
    </row>
    <row r="770" spans="5:5">
      <c r="E770" s="51"/>
    </row>
    <row r="771" spans="5:5">
      <c r="E771" s="51"/>
    </row>
    <row r="772" spans="5:5">
      <c r="E772" s="51"/>
    </row>
    <row r="773" spans="5:5">
      <c r="E773" s="51"/>
    </row>
    <row r="774" spans="5:5">
      <c r="E774" s="51"/>
    </row>
    <row r="775" spans="5:5">
      <c r="E775" s="51"/>
    </row>
    <row r="776" spans="5:5">
      <c r="E776" s="51"/>
    </row>
    <row r="777" spans="5:5">
      <c r="E777" s="51"/>
    </row>
    <row r="778" spans="5:5">
      <c r="E778" s="51"/>
    </row>
    <row r="779" spans="5:5">
      <c r="E779" s="51"/>
    </row>
    <row r="780" spans="5:5">
      <c r="E780" s="51"/>
    </row>
    <row r="781" spans="5:5">
      <c r="E781" s="51"/>
    </row>
    <row r="782" spans="5:5">
      <c r="E782" s="51"/>
    </row>
    <row r="783" spans="5:5">
      <c r="E783" s="51"/>
    </row>
    <row r="784" spans="5:5">
      <c r="E784" s="51"/>
    </row>
    <row r="785" spans="5:5">
      <c r="E785" s="51"/>
    </row>
    <row r="786" spans="5:5">
      <c r="E786" s="51"/>
    </row>
    <row r="787" spans="5:5">
      <c r="E787" s="51"/>
    </row>
    <row r="788" spans="5:5">
      <c r="E788" s="51"/>
    </row>
    <row r="789" spans="5:5">
      <c r="E789" s="51"/>
    </row>
    <row r="790" spans="5:5">
      <c r="E790" s="51"/>
    </row>
    <row r="791" spans="5:5">
      <c r="E791" s="51"/>
    </row>
    <row r="792" spans="5:5">
      <c r="E792" s="51"/>
    </row>
    <row r="793" spans="5:5">
      <c r="E793" s="51"/>
    </row>
    <row r="794" spans="5:5">
      <c r="E794" s="51"/>
    </row>
    <row r="795" spans="5:5">
      <c r="E795" s="51"/>
    </row>
    <row r="796" spans="5:5">
      <c r="E796" s="51"/>
    </row>
    <row r="797" spans="5:5">
      <c r="E797" s="51"/>
    </row>
    <row r="798" spans="5:5">
      <c r="E798" s="51"/>
    </row>
    <row r="799" spans="5:5">
      <c r="E799" s="51"/>
    </row>
    <row r="800" spans="5:5">
      <c r="E800" s="51"/>
    </row>
    <row r="801" spans="5:5">
      <c r="E801" s="51"/>
    </row>
    <row r="802" spans="5:5">
      <c r="E802" s="51"/>
    </row>
    <row r="803" spans="5:5">
      <c r="E803" s="51"/>
    </row>
    <row r="804" spans="5:5">
      <c r="E804" s="51"/>
    </row>
    <row r="805" spans="5:5">
      <c r="E805" s="51"/>
    </row>
    <row r="806" spans="5:5">
      <c r="E806" s="51"/>
    </row>
    <row r="807" spans="5:5">
      <c r="E807" s="51"/>
    </row>
    <row r="808" spans="5:5">
      <c r="E808" s="51"/>
    </row>
    <row r="809" spans="5:5">
      <c r="E809" s="51"/>
    </row>
    <row r="810" spans="5:5">
      <c r="E810" s="51"/>
    </row>
    <row r="811" spans="5:5">
      <c r="E811" s="51"/>
    </row>
    <row r="812" spans="5:5">
      <c r="E812" s="51"/>
    </row>
    <row r="813" spans="5:5">
      <c r="E813" s="51"/>
    </row>
    <row r="814" spans="5:5">
      <c r="E814" s="51"/>
    </row>
    <row r="815" spans="5:5">
      <c r="E815" s="51"/>
    </row>
    <row r="816" spans="5:5">
      <c r="E816" s="51"/>
    </row>
    <row r="817" spans="5:5">
      <c r="E817" s="51"/>
    </row>
    <row r="818" spans="5:5">
      <c r="E818" s="51"/>
    </row>
    <row r="819" spans="5:5">
      <c r="E819" s="51"/>
    </row>
    <row r="820" spans="5:5">
      <c r="E820" s="51"/>
    </row>
    <row r="821" spans="5:5">
      <c r="E821" s="51"/>
    </row>
    <row r="822" spans="5:5">
      <c r="E822" s="51"/>
    </row>
    <row r="823" spans="5:5">
      <c r="E823" s="51"/>
    </row>
    <row r="824" spans="5:5">
      <c r="E824" s="51"/>
    </row>
    <row r="825" spans="5:5">
      <c r="E825" s="51"/>
    </row>
    <row r="826" spans="5:5">
      <c r="E826" s="51"/>
    </row>
    <row r="827" spans="5:5">
      <c r="E827" s="51"/>
    </row>
    <row r="828" spans="5:5">
      <c r="E828" s="51"/>
    </row>
    <row r="829" spans="5:5">
      <c r="E829" s="51"/>
    </row>
    <row r="830" spans="5:5">
      <c r="E830" s="51"/>
    </row>
    <row r="831" spans="5:5">
      <c r="E831" s="51"/>
    </row>
    <row r="832" spans="5:5">
      <c r="E832" s="51"/>
    </row>
    <row r="833" spans="5:5">
      <c r="E833" s="51"/>
    </row>
    <row r="834" spans="5:5">
      <c r="E834" s="51"/>
    </row>
    <row r="835" spans="5:5">
      <c r="E835" s="51"/>
    </row>
    <row r="836" spans="5:5">
      <c r="E836" s="51"/>
    </row>
    <row r="837" spans="5:5">
      <c r="E837" s="51"/>
    </row>
    <row r="838" spans="5:5">
      <c r="E838" s="51"/>
    </row>
    <row r="839" spans="5:5">
      <c r="E839" s="51"/>
    </row>
    <row r="840" spans="5:5">
      <c r="E840" s="51"/>
    </row>
    <row r="841" spans="5:5">
      <c r="E841" s="51"/>
    </row>
    <row r="842" spans="5:5">
      <c r="E842" s="51"/>
    </row>
    <row r="843" spans="5:5">
      <c r="E843" s="51"/>
    </row>
    <row r="844" spans="5:5">
      <c r="E844" s="51"/>
    </row>
    <row r="845" spans="5:5">
      <c r="E845" s="51"/>
    </row>
    <row r="846" spans="5:5">
      <c r="E846" s="51"/>
    </row>
    <row r="847" spans="5:5">
      <c r="E847" s="51"/>
    </row>
    <row r="848" spans="5:5">
      <c r="E848" s="51"/>
    </row>
    <row r="849" spans="5:5">
      <c r="E849" s="51"/>
    </row>
    <row r="850" spans="5:5">
      <c r="E850" s="51"/>
    </row>
    <row r="851" spans="5:5">
      <c r="E851" s="51"/>
    </row>
    <row r="852" spans="5:5">
      <c r="E852" s="51"/>
    </row>
    <row r="853" spans="5:5">
      <c r="E853" s="51"/>
    </row>
    <row r="854" spans="5:5">
      <c r="E854" s="51"/>
    </row>
    <row r="855" spans="5:5">
      <c r="E855" s="51"/>
    </row>
    <row r="856" spans="5:5">
      <c r="E856" s="51"/>
    </row>
    <row r="857" spans="5:5">
      <c r="E857" s="51"/>
    </row>
    <row r="858" spans="5:5">
      <c r="E858" s="51"/>
    </row>
    <row r="859" spans="5:5">
      <c r="E859" s="51"/>
    </row>
    <row r="860" spans="5:5">
      <c r="E860" s="51"/>
    </row>
    <row r="861" spans="5:5">
      <c r="E861" s="51"/>
    </row>
    <row r="862" spans="5:5">
      <c r="E862" s="51"/>
    </row>
    <row r="863" spans="5:5">
      <c r="E863" s="51"/>
    </row>
    <row r="864" spans="5:5">
      <c r="E864" s="51"/>
    </row>
    <row r="865" spans="5:5">
      <c r="E865" s="51"/>
    </row>
    <row r="866" spans="5:5">
      <c r="E866" s="51"/>
    </row>
    <row r="867" spans="5:5">
      <c r="E867" s="51"/>
    </row>
    <row r="868" spans="5:5">
      <c r="E868" s="51"/>
    </row>
    <row r="869" spans="5:5">
      <c r="E869" s="51"/>
    </row>
    <row r="870" spans="5:5">
      <c r="E870" s="51"/>
    </row>
    <row r="871" spans="5:5">
      <c r="E871" s="51"/>
    </row>
    <row r="872" spans="5:5">
      <c r="E872" s="51"/>
    </row>
    <row r="873" spans="5:5">
      <c r="E873" s="51"/>
    </row>
    <row r="874" spans="5:5">
      <c r="E874" s="51"/>
    </row>
    <row r="875" spans="5:5">
      <c r="E875" s="51"/>
    </row>
    <row r="876" spans="5:5">
      <c r="E876" s="51"/>
    </row>
    <row r="877" spans="5:5">
      <c r="E877" s="51"/>
    </row>
    <row r="878" spans="5:5">
      <c r="E878" s="51"/>
    </row>
    <row r="879" spans="5:5">
      <c r="E879" s="51"/>
    </row>
    <row r="880" spans="5:5">
      <c r="E880" s="51"/>
    </row>
    <row r="881" spans="5:5">
      <c r="E881" s="51"/>
    </row>
    <row r="882" spans="5:5">
      <c r="E882" s="51"/>
    </row>
    <row r="883" spans="5:5">
      <c r="E883" s="51"/>
    </row>
    <row r="884" spans="5:5">
      <c r="E884" s="51"/>
    </row>
    <row r="885" spans="5:5">
      <c r="E885" s="51"/>
    </row>
    <row r="886" spans="5:5">
      <c r="E886" s="51"/>
    </row>
    <row r="887" spans="5:5">
      <c r="E887" s="51"/>
    </row>
    <row r="888" spans="5:5">
      <c r="E888" s="51"/>
    </row>
    <row r="889" spans="5:5">
      <c r="E889" s="51"/>
    </row>
    <row r="890" spans="5:5">
      <c r="E890" s="51"/>
    </row>
    <row r="891" spans="5:5">
      <c r="E891" s="51"/>
    </row>
    <row r="892" spans="5:5">
      <c r="E892" s="51"/>
    </row>
    <row r="893" spans="5:5">
      <c r="E893" s="51"/>
    </row>
    <row r="894" spans="5:5">
      <c r="E894" s="51"/>
    </row>
    <row r="895" spans="5:5">
      <c r="E895" s="51"/>
    </row>
    <row r="896" spans="5:5">
      <c r="E896" s="51"/>
    </row>
    <row r="897" spans="5:5">
      <c r="E897" s="51"/>
    </row>
    <row r="898" spans="5:5">
      <c r="E898" s="51"/>
    </row>
    <row r="899" spans="5:5">
      <c r="E899" s="51"/>
    </row>
    <row r="900" spans="5:5">
      <c r="E900" s="51"/>
    </row>
    <row r="901" spans="5:5">
      <c r="E901" s="51"/>
    </row>
    <row r="902" spans="5:5">
      <c r="E902" s="51"/>
    </row>
    <row r="903" spans="5:5">
      <c r="E903" s="51"/>
    </row>
    <row r="904" spans="5:5">
      <c r="E904" s="51"/>
    </row>
    <row r="905" spans="5:5">
      <c r="E905" s="51"/>
    </row>
    <row r="906" spans="5:5">
      <c r="E906" s="51"/>
    </row>
    <row r="907" spans="5:5">
      <c r="E907" s="51"/>
    </row>
    <row r="908" spans="5:5">
      <c r="E908" s="51"/>
    </row>
    <row r="909" spans="5:5">
      <c r="E909" s="51"/>
    </row>
    <row r="910" spans="5:5">
      <c r="E910" s="51"/>
    </row>
    <row r="911" spans="5:5">
      <c r="E911" s="51"/>
    </row>
    <row r="912" spans="5:5">
      <c r="E912" s="51"/>
    </row>
    <row r="913" spans="5:5">
      <c r="E913" s="51"/>
    </row>
    <row r="914" spans="5:5">
      <c r="E914" s="51"/>
    </row>
    <row r="915" spans="5:5">
      <c r="E915" s="51"/>
    </row>
    <row r="916" spans="5:5">
      <c r="E916" s="51"/>
    </row>
    <row r="917" spans="5:5">
      <c r="E917" s="51"/>
    </row>
    <row r="918" spans="5:5">
      <c r="E918" s="51"/>
    </row>
    <row r="919" spans="5:5">
      <c r="E919" s="51"/>
    </row>
    <row r="920" spans="5:5">
      <c r="E920" s="51"/>
    </row>
    <row r="921" spans="5:5">
      <c r="E921" s="51"/>
    </row>
    <row r="922" spans="5:5">
      <c r="E922" s="51"/>
    </row>
    <row r="923" spans="5:5">
      <c r="E923" s="51"/>
    </row>
    <row r="924" spans="5:5">
      <c r="E924" s="51"/>
    </row>
    <row r="925" spans="5:5">
      <c r="E925" s="51"/>
    </row>
    <row r="926" spans="5:5">
      <c r="E926" s="51"/>
    </row>
    <row r="927" spans="5:5">
      <c r="E927" s="51"/>
    </row>
    <row r="928" spans="5:5">
      <c r="E928" s="51"/>
    </row>
    <row r="929" spans="5:5">
      <c r="E929" s="51"/>
    </row>
    <row r="930" spans="5:5">
      <c r="E930" s="51"/>
    </row>
    <row r="931" spans="5:5">
      <c r="E931" s="51"/>
    </row>
    <row r="932" spans="5:5">
      <c r="E932" s="51"/>
    </row>
    <row r="933" spans="5:5">
      <c r="E933" s="51"/>
    </row>
    <row r="934" spans="5:5">
      <c r="E934" s="51"/>
    </row>
    <row r="935" spans="5:5">
      <c r="E935" s="51"/>
    </row>
    <row r="936" spans="5:5">
      <c r="E936" s="51"/>
    </row>
    <row r="937" spans="5:5">
      <c r="E937" s="51"/>
    </row>
    <row r="938" spans="5:5">
      <c r="E938" s="51"/>
    </row>
    <row r="939" spans="5:5">
      <c r="E939" s="51"/>
    </row>
    <row r="940" spans="5:5">
      <c r="E940" s="51"/>
    </row>
    <row r="941" spans="5:5">
      <c r="E941" s="51"/>
    </row>
    <row r="942" spans="5:5">
      <c r="E942" s="51"/>
    </row>
    <row r="943" spans="5:5">
      <c r="E943" s="51"/>
    </row>
    <row r="944" spans="5:5">
      <c r="E944" s="51"/>
    </row>
    <row r="945" spans="5:5">
      <c r="E945" s="51"/>
    </row>
    <row r="946" spans="5:5">
      <c r="E946" s="51"/>
    </row>
    <row r="947" spans="5:5">
      <c r="E947" s="51"/>
    </row>
    <row r="948" spans="5:5">
      <c r="E948" s="51"/>
    </row>
    <row r="949" spans="5:5">
      <c r="E949" s="51"/>
    </row>
    <row r="950" spans="5:5">
      <c r="E950" s="51"/>
    </row>
    <row r="951" spans="5:5">
      <c r="E951" s="51"/>
    </row>
    <row r="952" spans="5:5">
      <c r="E952" s="51"/>
    </row>
    <row r="953" spans="5:5">
      <c r="E953" s="51"/>
    </row>
    <row r="954" spans="5:5">
      <c r="E954" s="51"/>
    </row>
    <row r="955" spans="5:5">
      <c r="E955" s="51"/>
    </row>
    <row r="956" spans="5:5">
      <c r="E956" s="51"/>
    </row>
    <row r="957" spans="5:5">
      <c r="E957" s="51"/>
    </row>
    <row r="958" spans="5:5">
      <c r="E958" s="51"/>
    </row>
    <row r="959" spans="5:5">
      <c r="E959" s="51"/>
    </row>
    <row r="960" spans="5:5">
      <c r="E960" s="51"/>
    </row>
    <row r="961" spans="5:5">
      <c r="E961" s="51"/>
    </row>
    <row r="962" spans="5:5">
      <c r="E962" s="51"/>
    </row>
    <row r="963" spans="5:5">
      <c r="E963" s="51"/>
    </row>
    <row r="964" spans="5:5">
      <c r="E964" s="51"/>
    </row>
    <row r="965" spans="5:5">
      <c r="E965" s="51"/>
    </row>
    <row r="966" spans="5:5">
      <c r="E966" s="51"/>
    </row>
    <row r="967" spans="5:5">
      <c r="E967" s="51"/>
    </row>
    <row r="968" spans="5:5">
      <c r="E968" s="51"/>
    </row>
    <row r="969" spans="5:5">
      <c r="E969" s="51"/>
    </row>
    <row r="970" spans="5:5">
      <c r="E970" s="51"/>
    </row>
    <row r="971" spans="5:5">
      <c r="E971" s="51"/>
    </row>
    <row r="972" spans="5:5">
      <c r="E972" s="51"/>
    </row>
    <row r="973" spans="5:5">
      <c r="E973" s="51"/>
    </row>
    <row r="974" spans="5:5">
      <c r="E974" s="51"/>
    </row>
    <row r="975" spans="5:5">
      <c r="E975" s="51"/>
    </row>
    <row r="976" spans="5:5">
      <c r="E976" s="51"/>
    </row>
    <row r="977" spans="5:5">
      <c r="E977" s="51"/>
    </row>
    <row r="978" spans="5:5">
      <c r="E978" s="51"/>
    </row>
    <row r="979" spans="5:5">
      <c r="E979" s="51"/>
    </row>
    <row r="980" spans="5:5">
      <c r="E980" s="51"/>
    </row>
    <row r="981" spans="5:5">
      <c r="E981" s="51"/>
    </row>
    <row r="982" spans="5:5">
      <c r="E982" s="51"/>
    </row>
    <row r="983" spans="5:5">
      <c r="E983" s="51"/>
    </row>
    <row r="984" spans="5:5">
      <c r="E984" s="51"/>
    </row>
    <row r="985" spans="5:5">
      <c r="E985" s="51"/>
    </row>
    <row r="986" spans="5:5">
      <c r="E986" s="51"/>
    </row>
    <row r="987" spans="5:5">
      <c r="E987" s="51"/>
    </row>
    <row r="988" spans="5:5">
      <c r="E988" s="51"/>
    </row>
    <row r="989" spans="5:5">
      <c r="E989" s="51"/>
    </row>
    <row r="990" spans="5:5">
      <c r="E990" s="51"/>
    </row>
    <row r="991" spans="5:5">
      <c r="E991" s="51"/>
    </row>
    <row r="992" spans="5:5">
      <c r="E992" s="51"/>
    </row>
    <row r="993" spans="5:5">
      <c r="E993" s="51"/>
    </row>
    <row r="994" spans="5:5">
      <c r="E994" s="51"/>
    </row>
    <row r="995" spans="5:5">
      <c r="E995" s="51"/>
    </row>
    <row r="996" spans="5:5">
      <c r="E996" s="51"/>
    </row>
    <row r="997" spans="5:5">
      <c r="E997" s="51"/>
    </row>
    <row r="998" spans="5:5">
      <c r="E998" s="51"/>
    </row>
    <row r="999" spans="5:5">
      <c r="E999" s="51"/>
    </row>
    <row r="1000" spans="5:5">
      <c r="E1000" s="51"/>
    </row>
    <row r="1001" spans="5:5">
      <c r="E1001" s="51"/>
    </row>
    <row r="1002" spans="5:5">
      <c r="E1002" s="51"/>
    </row>
    <row r="1003" spans="5:5">
      <c r="E1003" s="51"/>
    </row>
    <row r="1004" spans="5:5">
      <c r="E1004" s="51"/>
    </row>
    <row r="1005" spans="5:5">
      <c r="E1005" s="51"/>
    </row>
    <row r="1006" spans="5:5">
      <c r="E1006" s="51"/>
    </row>
    <row r="1007" spans="5:5">
      <c r="E1007" s="51"/>
    </row>
    <row r="1008" spans="5:5">
      <c r="E1008" s="51"/>
    </row>
    <row r="1009" spans="5:5">
      <c r="E1009" s="51"/>
    </row>
    <row r="1010" spans="5:5">
      <c r="E1010" s="51"/>
    </row>
    <row r="1011" spans="5:5">
      <c r="E1011" s="51"/>
    </row>
    <row r="1012" spans="5:5">
      <c r="E1012" s="51"/>
    </row>
    <row r="1013" spans="5:5">
      <c r="E1013" s="51"/>
    </row>
    <row r="1014" spans="5:5">
      <c r="E1014" s="51"/>
    </row>
    <row r="1015" spans="5:5">
      <c r="E1015" s="51"/>
    </row>
    <row r="1016" spans="5:5">
      <c r="E1016" s="51"/>
    </row>
    <row r="1017" spans="5:5">
      <c r="E1017" s="51"/>
    </row>
    <row r="1018" spans="5:5">
      <c r="E1018" s="51"/>
    </row>
    <row r="1019" spans="5:5">
      <c r="E1019" s="51"/>
    </row>
    <row r="1020" spans="5:5">
      <c r="E1020" s="51"/>
    </row>
    <row r="1021" spans="5:5">
      <c r="E1021" s="51"/>
    </row>
    <row r="1022" spans="5:5">
      <c r="E1022" s="51"/>
    </row>
    <row r="1023" spans="5:5">
      <c r="E1023" s="51"/>
    </row>
    <row r="1024" spans="5:5">
      <c r="E1024" s="51"/>
    </row>
    <row r="1025" spans="5:5">
      <c r="E1025" s="51"/>
    </row>
    <row r="1026" spans="5:5">
      <c r="E1026" s="51"/>
    </row>
    <row r="1027" spans="5:5">
      <c r="E1027" s="51"/>
    </row>
    <row r="1028" spans="5:5">
      <c r="E1028" s="51"/>
    </row>
    <row r="1029" spans="5:5">
      <c r="E1029" s="51"/>
    </row>
    <row r="1030" spans="5:5">
      <c r="E1030" s="51"/>
    </row>
    <row r="1031" spans="5:5">
      <c r="E1031" s="51"/>
    </row>
    <row r="1032" spans="5:5">
      <c r="E1032" s="51"/>
    </row>
    <row r="1033" spans="5:5">
      <c r="E1033" s="51"/>
    </row>
    <row r="1034" spans="5:5">
      <c r="E1034" s="51"/>
    </row>
    <row r="1035" spans="5:5">
      <c r="E1035" s="51"/>
    </row>
    <row r="1036" spans="5:5">
      <c r="E1036" s="51"/>
    </row>
    <row r="1037" spans="5:5">
      <c r="E1037" s="51"/>
    </row>
    <row r="1038" spans="5:5">
      <c r="E1038" s="51"/>
    </row>
    <row r="1039" spans="5:5">
      <c r="E1039" s="51"/>
    </row>
    <row r="1040" spans="5:5">
      <c r="E1040" s="51"/>
    </row>
    <row r="1041" spans="5:5">
      <c r="E1041" s="51"/>
    </row>
    <row r="1042" spans="5:5">
      <c r="E1042" s="51"/>
    </row>
    <row r="1043" spans="5:5">
      <c r="E1043" s="51"/>
    </row>
    <row r="1044" spans="5:5">
      <c r="E1044" s="51"/>
    </row>
    <row r="1045" spans="5:5">
      <c r="E1045" s="51"/>
    </row>
    <row r="1046" spans="5:5">
      <c r="E1046" s="51"/>
    </row>
    <row r="1047" spans="5:5">
      <c r="E1047" s="51"/>
    </row>
    <row r="1048" spans="5:5">
      <c r="E1048" s="51"/>
    </row>
    <row r="1049" spans="5:5">
      <c r="E1049" s="51"/>
    </row>
    <row r="1050" spans="5:5">
      <c r="E1050" s="51"/>
    </row>
    <row r="1051" spans="5:5">
      <c r="E1051" s="51"/>
    </row>
    <row r="1052" spans="5:5">
      <c r="E1052" s="51"/>
    </row>
    <row r="1053" spans="5:5">
      <c r="E1053" s="51"/>
    </row>
    <row r="1054" spans="5:5">
      <c r="E1054" s="51"/>
    </row>
    <row r="1055" spans="5:5">
      <c r="E1055" s="51"/>
    </row>
    <row r="1056" spans="5:5">
      <c r="E1056" s="51"/>
    </row>
    <row r="1057" spans="5:5">
      <c r="E1057" s="51"/>
    </row>
    <row r="1058" spans="5:5">
      <c r="E1058" s="51"/>
    </row>
    <row r="1059" spans="5:5">
      <c r="E1059" s="51"/>
    </row>
    <row r="1060" spans="5:5">
      <c r="E1060" s="51"/>
    </row>
    <row r="1061" spans="5:5">
      <c r="E1061" s="51"/>
    </row>
    <row r="1062" spans="5:5">
      <c r="E1062" s="51"/>
    </row>
    <row r="1063" spans="5:5">
      <c r="E1063" s="51"/>
    </row>
    <row r="1064" spans="5:5">
      <c r="E1064" s="51"/>
    </row>
    <row r="1065" spans="5:5">
      <c r="E1065" s="51"/>
    </row>
    <row r="1066" spans="5:5">
      <c r="E1066" s="51"/>
    </row>
    <row r="1067" spans="5:5">
      <c r="E1067" s="51"/>
    </row>
    <row r="1068" spans="5:5">
      <c r="E1068" s="51"/>
    </row>
    <row r="1069" spans="5:5">
      <c r="E1069" s="51"/>
    </row>
    <row r="1070" spans="5:5">
      <c r="E1070" s="51"/>
    </row>
    <row r="1071" spans="5:5">
      <c r="E1071" s="51"/>
    </row>
    <row r="1072" spans="5:5">
      <c r="E1072" s="51"/>
    </row>
    <row r="1073" spans="5:5">
      <c r="E1073" s="51"/>
    </row>
    <row r="1074" spans="5:5">
      <c r="E1074" s="51"/>
    </row>
    <row r="1075" spans="5:5">
      <c r="E1075" s="51"/>
    </row>
    <row r="1076" spans="5:5">
      <c r="E1076" s="51"/>
    </row>
    <row r="1077" spans="5:5">
      <c r="E1077" s="51"/>
    </row>
    <row r="1078" spans="5:5">
      <c r="E1078" s="51"/>
    </row>
    <row r="1079" spans="5:5">
      <c r="E1079" s="51"/>
    </row>
    <row r="1080" spans="5:5">
      <c r="E1080" s="51"/>
    </row>
    <row r="1081" spans="5:5">
      <c r="E1081" s="51"/>
    </row>
    <row r="1082" spans="5:5">
      <c r="E1082" s="51"/>
    </row>
    <row r="1083" spans="5:5">
      <c r="E1083" s="51"/>
    </row>
    <row r="1084" spans="5:5">
      <c r="E1084" s="51"/>
    </row>
    <row r="1085" spans="5:5">
      <c r="E1085" s="51"/>
    </row>
    <row r="1086" spans="5:5">
      <c r="E1086" s="51"/>
    </row>
    <row r="1087" spans="5:5">
      <c r="E1087" s="51"/>
    </row>
    <row r="1088" spans="5:5">
      <c r="E1088" s="51"/>
    </row>
    <row r="1089" spans="5:5">
      <c r="E1089" s="51"/>
    </row>
    <row r="1090" spans="5:5">
      <c r="E1090" s="51"/>
    </row>
    <row r="1091" spans="5:5">
      <c r="E1091" s="51"/>
    </row>
    <row r="1092" spans="5:5">
      <c r="E1092" s="51"/>
    </row>
    <row r="1093" spans="5:5">
      <c r="E1093" s="51"/>
    </row>
    <row r="1094" spans="5:5">
      <c r="E1094" s="51"/>
    </row>
    <row r="1095" spans="5:5">
      <c r="E1095" s="51"/>
    </row>
    <row r="1096" spans="5:5">
      <c r="E1096" s="51"/>
    </row>
    <row r="1097" spans="5:5">
      <c r="E1097" s="51"/>
    </row>
    <row r="1098" spans="5:5">
      <c r="E1098" s="51"/>
    </row>
    <row r="1099" spans="5:5">
      <c r="E1099" s="51"/>
    </row>
    <row r="1100" spans="5:5">
      <c r="E1100" s="51"/>
    </row>
    <row r="1101" spans="5:5">
      <c r="E1101" s="51"/>
    </row>
    <row r="1102" spans="5:5">
      <c r="E1102" s="51"/>
    </row>
    <row r="1103" spans="5:5">
      <c r="E1103" s="51"/>
    </row>
    <row r="1104" spans="5:5">
      <c r="E1104" s="51"/>
    </row>
    <row r="1105" spans="5:5">
      <c r="E1105" s="51"/>
    </row>
    <row r="1106" spans="5:5">
      <c r="E1106" s="51"/>
    </row>
    <row r="1107" spans="5:5">
      <c r="E1107" s="51"/>
    </row>
    <row r="1108" spans="5:5">
      <c r="E1108" s="51"/>
    </row>
    <row r="1109" spans="5:5">
      <c r="E1109" s="51"/>
    </row>
    <row r="1110" spans="5:5">
      <c r="E1110" s="51"/>
    </row>
    <row r="1111" spans="5:5">
      <c r="E1111" s="51"/>
    </row>
    <row r="1112" spans="5:5">
      <c r="E1112" s="51"/>
    </row>
    <row r="1113" spans="5:5">
      <c r="E1113" s="51"/>
    </row>
    <row r="1114" spans="5:5">
      <c r="E1114" s="51"/>
    </row>
    <row r="1115" spans="5:5">
      <c r="E1115" s="51"/>
    </row>
    <row r="1116" spans="5:5">
      <c r="E1116" s="51"/>
    </row>
    <row r="1117" spans="5:5">
      <c r="E1117" s="51"/>
    </row>
    <row r="1118" spans="5:5">
      <c r="E1118" s="51"/>
    </row>
    <row r="1119" spans="5:5">
      <c r="E1119" s="51"/>
    </row>
    <row r="1120" spans="5:5">
      <c r="E1120" s="51"/>
    </row>
    <row r="1121" spans="5:5">
      <c r="E1121" s="51"/>
    </row>
    <row r="1122" spans="5:5">
      <c r="E1122" s="51"/>
    </row>
    <row r="1123" spans="5:5">
      <c r="E1123" s="51"/>
    </row>
    <row r="1124" spans="5:5">
      <c r="E1124" s="51"/>
    </row>
    <row r="1125" spans="5:5">
      <c r="E1125" s="51"/>
    </row>
    <row r="1126" spans="5:5">
      <c r="E1126" s="51"/>
    </row>
    <row r="1127" spans="5:5">
      <c r="E1127" s="51"/>
    </row>
    <row r="1128" spans="5:5">
      <c r="E1128" s="51"/>
    </row>
    <row r="1129" spans="5:5">
      <c r="E1129" s="51"/>
    </row>
    <row r="1130" spans="5:5">
      <c r="E1130" s="51"/>
    </row>
    <row r="1131" spans="5:5">
      <c r="E1131" s="51"/>
    </row>
    <row r="1132" spans="5:5">
      <c r="E1132" s="51"/>
    </row>
    <row r="1133" spans="5:5">
      <c r="E1133" s="51"/>
    </row>
    <row r="1134" spans="5:5">
      <c r="E1134" s="51"/>
    </row>
    <row r="1135" spans="5:5">
      <c r="E1135" s="51"/>
    </row>
    <row r="1136" spans="5:5">
      <c r="E1136" s="51"/>
    </row>
    <row r="1137" spans="5:5">
      <c r="E1137" s="51"/>
    </row>
    <row r="1138" spans="5:5">
      <c r="E1138" s="51"/>
    </row>
    <row r="1139" spans="5:5">
      <c r="E1139" s="51"/>
    </row>
    <row r="1140" spans="5:5">
      <c r="E1140" s="51"/>
    </row>
    <row r="1141" spans="5:5">
      <c r="E1141" s="51"/>
    </row>
    <row r="1142" spans="5:5">
      <c r="E1142" s="51"/>
    </row>
    <row r="1143" spans="5:5">
      <c r="E1143" s="51"/>
    </row>
    <row r="1144" spans="5:5">
      <c r="E1144" s="51"/>
    </row>
    <row r="1145" spans="5:5">
      <c r="E1145" s="51"/>
    </row>
    <row r="1146" spans="5:5">
      <c r="E1146" s="51"/>
    </row>
    <row r="1147" spans="5:5">
      <c r="E1147" s="51"/>
    </row>
    <row r="1148" spans="5:5">
      <c r="E1148" s="51"/>
    </row>
    <row r="1149" spans="5:5">
      <c r="E1149" s="51"/>
    </row>
    <row r="1150" spans="5:5">
      <c r="E1150" s="51"/>
    </row>
    <row r="1151" spans="5:5">
      <c r="E1151" s="51"/>
    </row>
    <row r="1152" spans="5:5">
      <c r="E1152" s="51"/>
    </row>
    <row r="1153" spans="5:5">
      <c r="E1153" s="51"/>
    </row>
    <row r="1154" spans="5:5">
      <c r="E1154" s="51"/>
    </row>
    <row r="1155" spans="5:5">
      <c r="E1155" s="51"/>
    </row>
    <row r="1156" spans="5:5">
      <c r="E1156" s="51"/>
    </row>
    <row r="1157" spans="5:5">
      <c r="E1157" s="51"/>
    </row>
    <row r="1158" spans="5:5">
      <c r="E1158" s="51"/>
    </row>
    <row r="1159" spans="5:5">
      <c r="E1159" s="51"/>
    </row>
    <row r="1160" spans="5:5">
      <c r="E1160" s="51"/>
    </row>
    <row r="1161" spans="5:5">
      <c r="E1161" s="51"/>
    </row>
    <row r="1162" spans="5:5">
      <c r="E1162" s="51"/>
    </row>
    <row r="1163" spans="5:5">
      <c r="E1163" s="51"/>
    </row>
    <row r="1164" spans="5:5">
      <c r="E1164" s="51"/>
    </row>
    <row r="1165" spans="5:5">
      <c r="E1165" s="51"/>
    </row>
    <row r="1166" spans="5:5">
      <c r="E1166" s="51"/>
    </row>
    <row r="1167" spans="5:5">
      <c r="E1167" s="51"/>
    </row>
    <row r="1168" spans="5:5">
      <c r="E1168" s="51"/>
    </row>
    <row r="1169" spans="5:5">
      <c r="E1169" s="51"/>
    </row>
    <row r="1170" spans="5:5">
      <c r="E1170" s="51"/>
    </row>
    <row r="1171" spans="5:5">
      <c r="E1171" s="51"/>
    </row>
    <row r="1172" spans="5:5">
      <c r="E1172" s="51"/>
    </row>
    <row r="1173" spans="5:5">
      <c r="E1173" s="51"/>
    </row>
    <row r="1174" spans="5:5">
      <c r="E1174" s="51"/>
    </row>
    <row r="1175" spans="5:5">
      <c r="E1175" s="51"/>
    </row>
    <row r="1176" spans="5:5">
      <c r="E1176" s="51"/>
    </row>
    <row r="1177" spans="5:5">
      <c r="E1177" s="51"/>
    </row>
    <row r="1178" spans="5:5">
      <c r="E1178" s="51"/>
    </row>
    <row r="1179" spans="5:5">
      <c r="E1179" s="51"/>
    </row>
    <row r="1180" spans="5:5">
      <c r="E1180" s="51"/>
    </row>
    <row r="1181" spans="5:5">
      <c r="E1181" s="51"/>
    </row>
    <row r="1182" spans="5:5">
      <c r="E1182" s="51"/>
    </row>
    <row r="1183" spans="5:5">
      <c r="E1183" s="51"/>
    </row>
    <row r="1184" spans="5:5">
      <c r="E1184" s="51"/>
    </row>
    <row r="1185" spans="5:5">
      <c r="E1185" s="51"/>
    </row>
    <row r="1186" spans="5:5">
      <c r="E1186" s="51"/>
    </row>
    <row r="1187" spans="5:5">
      <c r="E1187" s="51"/>
    </row>
    <row r="1188" spans="5:5">
      <c r="E1188" s="51"/>
    </row>
    <row r="1189" spans="5:5">
      <c r="E1189" s="51"/>
    </row>
    <row r="1190" spans="5:5">
      <c r="E1190" s="51"/>
    </row>
    <row r="1191" spans="5:5">
      <c r="E1191" s="51"/>
    </row>
    <row r="1192" spans="5:5">
      <c r="E1192" s="51"/>
    </row>
    <row r="1193" spans="5:5">
      <c r="E1193" s="51"/>
    </row>
    <row r="1194" spans="5:5">
      <c r="E1194" s="51"/>
    </row>
    <row r="1195" spans="5:5">
      <c r="E1195" s="51"/>
    </row>
    <row r="1196" spans="5:5">
      <c r="E1196" s="51"/>
    </row>
    <row r="1197" spans="5:5">
      <c r="E1197" s="51"/>
    </row>
    <row r="1198" spans="5:5">
      <c r="E1198" s="51"/>
    </row>
    <row r="1199" spans="5:5">
      <c r="E1199" s="51"/>
    </row>
    <row r="1200" spans="5:5">
      <c r="E1200" s="51"/>
    </row>
    <row r="1201" spans="5:5">
      <c r="E1201" s="51"/>
    </row>
    <row r="1202" spans="5:5">
      <c r="E1202" s="51"/>
    </row>
    <row r="1203" spans="5:5">
      <c r="E1203" s="51"/>
    </row>
    <row r="1204" spans="5:5">
      <c r="E1204" s="51"/>
    </row>
    <row r="1205" spans="5:5">
      <c r="E1205" s="51"/>
    </row>
    <row r="1206" spans="5:5">
      <c r="E1206" s="51"/>
    </row>
    <row r="1207" spans="5:5">
      <c r="E1207" s="51"/>
    </row>
    <row r="1208" spans="5:5">
      <c r="E1208" s="51"/>
    </row>
    <row r="1209" spans="5:5">
      <c r="E1209" s="51"/>
    </row>
    <row r="1210" spans="5:5">
      <c r="E1210" s="51"/>
    </row>
    <row r="1211" spans="5:5">
      <c r="E1211" s="51"/>
    </row>
    <row r="1212" spans="5:5">
      <c r="E1212" s="51"/>
    </row>
    <row r="1213" spans="5:5">
      <c r="E1213" s="51"/>
    </row>
    <row r="1214" spans="5:5">
      <c r="E1214" s="51"/>
    </row>
    <row r="1215" spans="5:5">
      <c r="E1215" s="51"/>
    </row>
    <row r="1216" spans="5:5">
      <c r="E1216" s="51"/>
    </row>
    <row r="1217" spans="5:5">
      <c r="E1217" s="51"/>
    </row>
    <row r="1218" spans="5:5">
      <c r="E1218" s="51"/>
    </row>
    <row r="1219" spans="5:5">
      <c r="E1219" s="51"/>
    </row>
    <row r="1220" spans="5:5">
      <c r="E1220" s="51"/>
    </row>
    <row r="1221" spans="5:5">
      <c r="E1221" s="51"/>
    </row>
    <row r="1222" spans="5:5">
      <c r="E1222" s="51"/>
    </row>
    <row r="1223" spans="5:5">
      <c r="E1223" s="51"/>
    </row>
    <row r="1224" spans="5:5">
      <c r="E1224" s="51"/>
    </row>
    <row r="1225" spans="5:5">
      <c r="E1225" s="51"/>
    </row>
    <row r="1226" spans="5:5">
      <c r="E1226" s="51"/>
    </row>
    <row r="1227" spans="5:5">
      <c r="E1227" s="51"/>
    </row>
    <row r="1228" spans="5:5">
      <c r="E1228" s="51"/>
    </row>
    <row r="1229" spans="5:5">
      <c r="E1229" s="51"/>
    </row>
    <row r="1230" spans="5:5">
      <c r="E1230" s="51"/>
    </row>
    <row r="1231" spans="5:5">
      <c r="E1231" s="51"/>
    </row>
    <row r="1232" spans="5:5">
      <c r="E1232" s="51"/>
    </row>
    <row r="1233" spans="5:5">
      <c r="E1233" s="51"/>
    </row>
    <row r="1234" spans="5:5">
      <c r="E1234" s="51"/>
    </row>
    <row r="1235" spans="5:5">
      <c r="E1235" s="51"/>
    </row>
    <row r="1236" spans="5:5">
      <c r="E1236" s="51"/>
    </row>
    <row r="1237" spans="5:5">
      <c r="E1237" s="51"/>
    </row>
    <row r="1238" spans="5:5">
      <c r="E1238" s="51"/>
    </row>
    <row r="1239" spans="5:5">
      <c r="E1239" s="51"/>
    </row>
    <row r="1240" spans="5:5">
      <c r="E1240" s="51"/>
    </row>
    <row r="1241" spans="5:5">
      <c r="E1241" s="51"/>
    </row>
    <row r="1242" spans="5:5">
      <c r="E1242" s="51"/>
    </row>
    <row r="1243" spans="5:5">
      <c r="E1243" s="51"/>
    </row>
    <row r="1244" spans="5:5">
      <c r="E1244" s="51"/>
    </row>
    <row r="1245" spans="5:5">
      <c r="E1245" s="51"/>
    </row>
    <row r="1246" spans="5:5">
      <c r="E1246" s="51"/>
    </row>
    <row r="1247" spans="5:5">
      <c r="E1247" s="51"/>
    </row>
    <row r="1248" spans="5:5">
      <c r="E1248" s="51"/>
    </row>
    <row r="1249" spans="5:5">
      <c r="E1249" s="51"/>
    </row>
    <row r="1250" spans="5:5">
      <c r="E1250" s="51"/>
    </row>
    <row r="1251" spans="5:5">
      <c r="E1251" s="51"/>
    </row>
    <row r="1252" spans="5:5">
      <c r="E1252" s="51"/>
    </row>
    <row r="1253" spans="5:5">
      <c r="E1253" s="51"/>
    </row>
    <row r="1254" spans="5:5">
      <c r="E1254" s="51"/>
    </row>
    <row r="1255" spans="5:5">
      <c r="E1255" s="51"/>
    </row>
    <row r="1256" spans="5:5">
      <c r="E1256" s="51"/>
    </row>
    <row r="1257" spans="5:5">
      <c r="E1257" s="51"/>
    </row>
    <row r="1258" spans="5:5">
      <c r="E1258" s="51"/>
    </row>
    <row r="1259" spans="5:5">
      <c r="E1259" s="51"/>
    </row>
    <row r="1260" spans="5:5">
      <c r="E1260" s="51"/>
    </row>
    <row r="1261" spans="5:5">
      <c r="E1261" s="51"/>
    </row>
    <row r="1262" spans="5:5">
      <c r="E1262" s="51"/>
    </row>
    <row r="1263" spans="5:5">
      <c r="E1263" s="51"/>
    </row>
    <row r="1264" spans="5:5">
      <c r="E1264" s="51"/>
    </row>
    <row r="1265" spans="5:5">
      <c r="E1265" s="51"/>
    </row>
    <row r="1266" spans="5:5">
      <c r="E1266" s="51"/>
    </row>
    <row r="1267" spans="5:5">
      <c r="E1267" s="51"/>
    </row>
    <row r="1268" spans="5:5">
      <c r="E1268" s="51"/>
    </row>
    <row r="1269" spans="5:5">
      <c r="E1269" s="51"/>
    </row>
    <row r="1270" spans="5:5">
      <c r="E1270" s="51"/>
    </row>
    <row r="1271" spans="5:5">
      <c r="E1271" s="51"/>
    </row>
    <row r="1272" spans="5:5">
      <c r="E1272" s="51"/>
    </row>
    <row r="1273" spans="5:5">
      <c r="E1273" s="51"/>
    </row>
    <row r="1274" spans="5:5">
      <c r="E1274" s="51"/>
    </row>
    <row r="1275" spans="5:5">
      <c r="E1275" s="51"/>
    </row>
    <row r="1276" spans="5:5">
      <c r="E1276" s="51"/>
    </row>
    <row r="1277" spans="5:5">
      <c r="E1277" s="51"/>
    </row>
    <row r="1278" spans="5:5">
      <c r="E1278" s="51"/>
    </row>
    <row r="1279" spans="5:5">
      <c r="E1279" s="51"/>
    </row>
    <row r="1280" spans="5:5">
      <c r="E1280" s="51"/>
    </row>
    <row r="1281" spans="5:5">
      <c r="E1281" s="51"/>
    </row>
    <row r="1282" spans="5:5">
      <c r="E1282" s="51"/>
    </row>
    <row r="1283" spans="5:5">
      <c r="E1283" s="51"/>
    </row>
    <row r="1284" spans="5:5">
      <c r="E1284" s="51"/>
    </row>
    <row r="1285" spans="5:5">
      <c r="E1285" s="51"/>
    </row>
    <row r="1286" spans="5:5">
      <c r="E1286" s="51"/>
    </row>
    <row r="1287" spans="5:5">
      <c r="E1287" s="51"/>
    </row>
    <row r="1288" spans="5:5">
      <c r="E1288" s="51"/>
    </row>
    <row r="1289" spans="5:5">
      <c r="E1289" s="51"/>
    </row>
    <row r="1290" spans="5:5">
      <c r="E1290" s="51"/>
    </row>
    <row r="1291" spans="5:5">
      <c r="E1291" s="51"/>
    </row>
    <row r="1292" spans="5:5">
      <c r="E1292" s="51"/>
    </row>
    <row r="1293" spans="5:5">
      <c r="E1293" s="51"/>
    </row>
    <row r="1294" spans="5:5">
      <c r="E1294" s="51"/>
    </row>
    <row r="1295" spans="5:5">
      <c r="E1295" s="51"/>
    </row>
    <row r="1296" spans="5:5">
      <c r="E1296" s="51"/>
    </row>
    <row r="1297" spans="5:5">
      <c r="E1297" s="51"/>
    </row>
    <row r="1298" spans="5:5">
      <c r="E1298" s="51"/>
    </row>
    <row r="1299" spans="5:5">
      <c r="E1299" s="51"/>
    </row>
    <row r="1300" spans="5:5">
      <c r="E1300" s="51"/>
    </row>
    <row r="1301" spans="5:5">
      <c r="E1301" s="51"/>
    </row>
    <row r="1302" spans="5:5">
      <c r="E1302" s="51"/>
    </row>
    <row r="1303" spans="5:5">
      <c r="E1303" s="51"/>
    </row>
    <row r="1304" spans="5:5">
      <c r="E1304" s="51"/>
    </row>
    <row r="1305" spans="5:5">
      <c r="E1305" s="51"/>
    </row>
    <row r="1306" spans="5:5">
      <c r="E1306" s="51"/>
    </row>
    <row r="1307" spans="5:5">
      <c r="E1307" s="51"/>
    </row>
    <row r="1308" spans="5:5">
      <c r="E1308" s="51"/>
    </row>
    <row r="1309" spans="5:5">
      <c r="E1309" s="51"/>
    </row>
    <row r="1310" spans="5:5">
      <c r="E1310" s="51"/>
    </row>
    <row r="1311" spans="5:5">
      <c r="E1311" s="51"/>
    </row>
    <row r="1312" spans="5:5">
      <c r="E1312" s="51"/>
    </row>
    <row r="1313" spans="5:5">
      <c r="E1313" s="51"/>
    </row>
    <row r="1314" spans="5:5">
      <c r="E1314" s="51"/>
    </row>
    <row r="1315" spans="5:5">
      <c r="E1315" s="51"/>
    </row>
    <row r="1316" spans="5:5">
      <c r="E1316" s="51"/>
    </row>
    <row r="1317" spans="5:5">
      <c r="E1317" s="51"/>
    </row>
    <row r="1318" spans="5:5">
      <c r="E1318" s="51"/>
    </row>
    <row r="1319" spans="5:5">
      <c r="E1319" s="51"/>
    </row>
    <row r="1320" spans="5:5">
      <c r="E1320" s="51"/>
    </row>
    <row r="1321" spans="5:5">
      <c r="E1321" s="51"/>
    </row>
    <row r="1322" spans="5:5">
      <c r="E1322" s="51"/>
    </row>
    <row r="1323" spans="5:5">
      <c r="E1323" s="51"/>
    </row>
    <row r="1324" spans="5:5">
      <c r="E1324" s="51"/>
    </row>
    <row r="1325" spans="5:5">
      <c r="E1325" s="51"/>
    </row>
    <row r="1326" spans="5:5">
      <c r="E1326" s="51"/>
    </row>
    <row r="1327" spans="5:5">
      <c r="E1327" s="51"/>
    </row>
    <row r="1328" spans="5:5">
      <c r="E1328" s="51"/>
    </row>
    <row r="1329" spans="5:5">
      <c r="E1329" s="51"/>
    </row>
    <row r="1330" spans="5:5">
      <c r="E1330" s="51"/>
    </row>
    <row r="1331" spans="5:5">
      <c r="E1331" s="51"/>
    </row>
    <row r="1332" spans="5:5">
      <c r="E1332" s="51"/>
    </row>
    <row r="1333" spans="5:5">
      <c r="E1333" s="51"/>
    </row>
    <row r="1334" spans="5:5">
      <c r="E1334" s="51"/>
    </row>
    <row r="1335" spans="5:5">
      <c r="E1335" s="51"/>
    </row>
    <row r="1336" spans="5:5">
      <c r="E1336" s="51"/>
    </row>
    <row r="1337" spans="5:5">
      <c r="E1337" s="51"/>
    </row>
    <row r="1338" spans="5:5">
      <c r="E1338" s="51"/>
    </row>
    <row r="1339" spans="5:5">
      <c r="E1339" s="51"/>
    </row>
    <row r="1340" spans="5:5">
      <c r="E1340" s="51"/>
    </row>
    <row r="1341" spans="5:5">
      <c r="E1341" s="51"/>
    </row>
    <row r="1342" spans="5:5">
      <c r="E1342" s="51"/>
    </row>
    <row r="1343" spans="5:5">
      <c r="E1343" s="51"/>
    </row>
    <row r="1344" spans="5:5">
      <c r="E1344" s="51"/>
    </row>
    <row r="1345" spans="5:5">
      <c r="E1345" s="51"/>
    </row>
    <row r="1346" spans="5:5">
      <c r="E1346" s="51"/>
    </row>
    <row r="1347" spans="5:5">
      <c r="E1347" s="51"/>
    </row>
    <row r="1348" spans="5:5">
      <c r="E1348" s="51"/>
    </row>
    <row r="1349" spans="5:5">
      <c r="E1349" s="51"/>
    </row>
    <row r="1350" spans="5:5">
      <c r="E1350" s="51"/>
    </row>
    <row r="1351" spans="5:5">
      <c r="E1351" s="51"/>
    </row>
    <row r="1352" spans="5:5">
      <c r="E1352" s="51"/>
    </row>
    <row r="1353" spans="5:5">
      <c r="E1353" s="51"/>
    </row>
    <row r="1354" spans="5:5">
      <c r="E1354" s="51"/>
    </row>
    <row r="1355" spans="5:5">
      <c r="E1355" s="51"/>
    </row>
    <row r="1356" spans="5:5">
      <c r="E1356" s="51"/>
    </row>
    <row r="1357" spans="5:5">
      <c r="E1357" s="51"/>
    </row>
    <row r="1358" spans="5:5">
      <c r="E1358" s="51"/>
    </row>
    <row r="1359" spans="5:5">
      <c r="E1359" s="51"/>
    </row>
    <row r="1360" spans="5:5">
      <c r="E1360" s="51"/>
    </row>
    <row r="1361" spans="5:5">
      <c r="E1361" s="51"/>
    </row>
    <row r="1362" spans="5:5">
      <c r="E1362" s="51"/>
    </row>
    <row r="1363" spans="5:5">
      <c r="E1363" s="51"/>
    </row>
    <row r="1364" spans="5:5">
      <c r="E1364" s="51"/>
    </row>
    <row r="1365" spans="5:5">
      <c r="E1365" s="51"/>
    </row>
    <row r="1366" spans="5:5">
      <c r="E1366" s="51"/>
    </row>
    <row r="1367" spans="5:5">
      <c r="E1367" s="51"/>
    </row>
    <row r="1368" spans="5:5">
      <c r="E1368" s="51"/>
    </row>
    <row r="1369" spans="5:5">
      <c r="E1369" s="51"/>
    </row>
    <row r="1370" spans="5:5">
      <c r="E1370" s="51"/>
    </row>
    <row r="1371" spans="5:5">
      <c r="E1371" s="51"/>
    </row>
    <row r="1372" spans="5:5">
      <c r="E1372" s="51"/>
    </row>
    <row r="1373" spans="5:5">
      <c r="E1373" s="51"/>
    </row>
    <row r="1374" spans="5:5">
      <c r="E1374" s="51"/>
    </row>
    <row r="1375" spans="5:5">
      <c r="E1375" s="51"/>
    </row>
    <row r="1376" spans="5:5">
      <c r="E1376" s="51"/>
    </row>
    <row r="1377" spans="5:5">
      <c r="E1377" s="51"/>
    </row>
    <row r="1378" spans="5:5">
      <c r="E1378" s="51"/>
    </row>
    <row r="1379" spans="5:5">
      <c r="E1379" s="51"/>
    </row>
    <row r="1380" spans="5:5">
      <c r="E1380" s="51"/>
    </row>
    <row r="1381" spans="5:5">
      <c r="E1381" s="51"/>
    </row>
    <row r="1382" spans="5:5">
      <c r="E1382" s="51"/>
    </row>
    <row r="1383" spans="5:5">
      <c r="E1383" s="51"/>
    </row>
    <row r="1384" spans="5:5">
      <c r="E1384" s="51"/>
    </row>
    <row r="1385" spans="5:5">
      <c r="E1385" s="51"/>
    </row>
    <row r="1386" spans="5:5">
      <c r="E1386" s="51"/>
    </row>
    <row r="1387" spans="5:5">
      <c r="E1387" s="51"/>
    </row>
    <row r="1388" spans="5:5">
      <c r="E1388" s="51"/>
    </row>
    <row r="1389" spans="5:5">
      <c r="E1389" s="51"/>
    </row>
    <row r="1390" spans="5:5">
      <c r="E1390" s="51"/>
    </row>
    <row r="1391" spans="5:5">
      <c r="E1391" s="51"/>
    </row>
    <row r="1392" spans="5:5">
      <c r="E1392" s="51"/>
    </row>
    <row r="1393" spans="5:5">
      <c r="E1393" s="51"/>
    </row>
    <row r="1394" spans="5:5">
      <c r="E1394" s="51"/>
    </row>
    <row r="1395" spans="5:5">
      <c r="E1395" s="51"/>
    </row>
    <row r="1396" spans="5:5">
      <c r="E1396" s="51"/>
    </row>
    <row r="1397" spans="5:5">
      <c r="E1397" s="51"/>
    </row>
    <row r="1398" spans="5:5">
      <c r="E1398" s="51"/>
    </row>
    <row r="1399" spans="5:5">
      <c r="E1399" s="51"/>
    </row>
    <row r="1400" spans="5:5">
      <c r="E1400" s="51"/>
    </row>
    <row r="1401" spans="5:5">
      <c r="E1401" s="51"/>
    </row>
    <row r="1402" spans="5:5">
      <c r="E1402" s="51"/>
    </row>
    <row r="1403" spans="5:5">
      <c r="E1403" s="51"/>
    </row>
    <row r="1404" spans="5:5">
      <c r="E1404" s="51"/>
    </row>
    <row r="1405" spans="5:5">
      <c r="E1405" s="51"/>
    </row>
    <row r="1406" spans="5:5">
      <c r="E1406" s="51"/>
    </row>
    <row r="1407" spans="5:5">
      <c r="E1407" s="51"/>
    </row>
    <row r="1408" spans="5:5">
      <c r="E1408" s="51"/>
    </row>
    <row r="1409" spans="5:5">
      <c r="E1409" s="51"/>
    </row>
    <row r="1410" spans="5:5">
      <c r="E1410" s="51"/>
    </row>
    <row r="1411" spans="5:5">
      <c r="E1411" s="51"/>
    </row>
    <row r="1412" spans="5:5">
      <c r="E1412" s="51"/>
    </row>
    <row r="1413" spans="5:5">
      <c r="E1413" s="51"/>
    </row>
    <row r="1414" spans="5:5">
      <c r="E1414" s="51"/>
    </row>
    <row r="1415" spans="5:5">
      <c r="E1415" s="51"/>
    </row>
    <row r="1416" spans="5:5">
      <c r="E1416" s="51"/>
    </row>
    <row r="1417" spans="5:5">
      <c r="E1417" s="51"/>
    </row>
    <row r="1418" spans="5:5">
      <c r="E1418" s="51"/>
    </row>
    <row r="1419" spans="5:5">
      <c r="E1419" s="51"/>
    </row>
    <row r="1420" spans="5:5">
      <c r="E1420" s="51"/>
    </row>
    <row r="1421" spans="5:5">
      <c r="E1421" s="51"/>
    </row>
    <row r="1422" spans="5:5">
      <c r="E1422" s="51"/>
    </row>
    <row r="1423" spans="5:5">
      <c r="E1423" s="51"/>
    </row>
    <row r="1424" spans="5:5">
      <c r="E1424" s="51"/>
    </row>
    <row r="1425" spans="5:5">
      <c r="E1425" s="51"/>
    </row>
    <row r="1426" spans="5:5">
      <c r="E1426" s="51"/>
    </row>
    <row r="1427" spans="5:5">
      <c r="E1427" s="51"/>
    </row>
    <row r="1428" spans="5:5">
      <c r="E1428" s="51"/>
    </row>
    <row r="1429" spans="5:5">
      <c r="E1429" s="51"/>
    </row>
    <row r="1430" spans="5:5">
      <c r="E1430" s="51"/>
    </row>
    <row r="1431" spans="5:5">
      <c r="E1431" s="51"/>
    </row>
    <row r="1432" spans="5:5">
      <c r="E1432" s="51"/>
    </row>
    <row r="1433" spans="5:5">
      <c r="E1433" s="51"/>
    </row>
    <row r="1434" spans="5:5">
      <c r="E1434" s="51"/>
    </row>
    <row r="1435" spans="5:5">
      <c r="E1435" s="51"/>
    </row>
    <row r="1436" spans="5:5">
      <c r="E1436" s="51"/>
    </row>
    <row r="1437" spans="5:5">
      <c r="E1437" s="51"/>
    </row>
    <row r="1438" spans="5:5">
      <c r="E1438" s="51"/>
    </row>
    <row r="1439" spans="5:5">
      <c r="E1439" s="51"/>
    </row>
    <row r="1440" spans="5:5">
      <c r="E1440" s="51"/>
    </row>
    <row r="1441" spans="5:5">
      <c r="E1441" s="51"/>
    </row>
    <row r="1442" spans="5:5">
      <c r="E1442" s="51"/>
    </row>
    <row r="1443" spans="5:5">
      <c r="E1443" s="51"/>
    </row>
    <row r="1444" spans="5:5">
      <c r="E1444" s="51"/>
    </row>
    <row r="1445" spans="5:5">
      <c r="E1445" s="51"/>
    </row>
    <row r="1446" spans="5:5">
      <c r="E1446" s="51"/>
    </row>
    <row r="1447" spans="5:5">
      <c r="E1447" s="51"/>
    </row>
    <row r="1448" spans="5:5">
      <c r="E1448" s="51"/>
    </row>
    <row r="1449" spans="5:5">
      <c r="E1449" s="51"/>
    </row>
    <row r="1450" spans="5:5">
      <c r="E1450" s="51"/>
    </row>
    <row r="1451" spans="5:5">
      <c r="E1451" s="51"/>
    </row>
    <row r="1452" spans="5:5">
      <c r="E1452" s="51"/>
    </row>
    <row r="1453" spans="5:5">
      <c r="E1453" s="51"/>
    </row>
    <row r="1454" spans="5:5">
      <c r="E1454" s="51"/>
    </row>
    <row r="1455" spans="5:5">
      <c r="E1455" s="51"/>
    </row>
    <row r="1456" spans="5:5">
      <c r="E1456" s="51"/>
    </row>
    <row r="1457" spans="5:5">
      <c r="E1457" s="51"/>
    </row>
    <row r="1458" spans="5:5">
      <c r="E1458" s="51"/>
    </row>
    <row r="1459" spans="5:5">
      <c r="E1459" s="51"/>
    </row>
    <row r="1460" spans="5:5">
      <c r="E1460" s="51"/>
    </row>
    <row r="1461" spans="5:5">
      <c r="E1461" s="51"/>
    </row>
    <row r="1462" spans="5:5">
      <c r="E1462" s="51"/>
    </row>
    <row r="1463" spans="5:5">
      <c r="E1463" s="51"/>
    </row>
    <row r="1464" spans="5:5">
      <c r="E1464" s="51"/>
    </row>
    <row r="1465" spans="5:5">
      <c r="E1465" s="51"/>
    </row>
    <row r="1466" spans="5:5">
      <c r="E1466" s="51"/>
    </row>
    <row r="1467" spans="5:5">
      <c r="E1467" s="51"/>
    </row>
    <row r="1468" spans="5:5">
      <c r="E1468" s="51"/>
    </row>
    <row r="1469" spans="5:5">
      <c r="E1469" s="51"/>
    </row>
    <row r="1470" spans="5:5">
      <c r="E1470" s="51"/>
    </row>
    <row r="1471" spans="5:5">
      <c r="E1471" s="51"/>
    </row>
    <row r="1472" spans="5:5">
      <c r="E1472" s="51"/>
    </row>
    <row r="1473" spans="5:5">
      <c r="E1473" s="51"/>
    </row>
    <row r="1474" spans="5:5">
      <c r="E1474" s="51"/>
    </row>
    <row r="1475" spans="5:5">
      <c r="E1475" s="51"/>
    </row>
    <row r="1476" spans="5:5">
      <c r="E1476" s="51"/>
    </row>
    <row r="1477" spans="5:5">
      <c r="E1477" s="51"/>
    </row>
    <row r="1478" spans="5:5">
      <c r="E1478" s="51"/>
    </row>
    <row r="1479" spans="5:5">
      <c r="E1479" s="51"/>
    </row>
    <row r="1480" spans="5:5">
      <c r="E1480" s="51"/>
    </row>
    <row r="1481" spans="5:5">
      <c r="E1481" s="51"/>
    </row>
    <row r="1482" spans="5:5">
      <c r="E1482" s="51"/>
    </row>
    <row r="1483" spans="5:5">
      <c r="E1483" s="51"/>
    </row>
    <row r="1484" spans="5:5">
      <c r="E1484" s="51"/>
    </row>
    <row r="1485" spans="5:5">
      <c r="E1485" s="51"/>
    </row>
    <row r="1486" spans="5:5">
      <c r="E1486" s="51"/>
    </row>
    <row r="1487" spans="5:5">
      <c r="E1487" s="51"/>
    </row>
    <row r="1488" spans="5:5">
      <c r="E1488" s="51"/>
    </row>
    <row r="1489" spans="5:5">
      <c r="E1489" s="51"/>
    </row>
    <row r="1490" spans="5:5">
      <c r="E1490" s="51"/>
    </row>
    <row r="1491" spans="5:5">
      <c r="E1491" s="51"/>
    </row>
    <row r="1492" spans="5:5">
      <c r="E1492" s="51"/>
    </row>
    <row r="1493" spans="5:5">
      <c r="E1493" s="51"/>
    </row>
    <row r="1494" spans="5:5">
      <c r="E1494" s="51"/>
    </row>
    <row r="1495" spans="5:5">
      <c r="E1495" s="51"/>
    </row>
    <row r="1496" spans="5:5">
      <c r="E1496" s="51"/>
    </row>
    <row r="1497" spans="5:5">
      <c r="E1497" s="51"/>
    </row>
    <row r="1498" spans="5:5">
      <c r="E1498" s="51"/>
    </row>
    <row r="1499" spans="5:5">
      <c r="E1499" s="51"/>
    </row>
    <row r="1500" spans="5:5">
      <c r="E1500" s="51"/>
    </row>
    <row r="1501" spans="5:5">
      <c r="E1501" s="51"/>
    </row>
    <row r="1502" spans="5:5">
      <c r="E1502" s="51"/>
    </row>
    <row r="1503" spans="5:5">
      <c r="E1503" s="51"/>
    </row>
    <row r="1504" spans="5:5">
      <c r="E1504" s="51"/>
    </row>
    <row r="1505" spans="5:5">
      <c r="E1505" s="51"/>
    </row>
    <row r="1506" spans="5:5">
      <c r="E1506" s="51"/>
    </row>
    <row r="1507" spans="5:5">
      <c r="E1507" s="51"/>
    </row>
    <row r="1508" spans="5:5">
      <c r="E1508" s="51"/>
    </row>
    <row r="1509" spans="5:5">
      <c r="E1509" s="51"/>
    </row>
    <row r="1510" spans="5:5">
      <c r="E1510" s="51"/>
    </row>
    <row r="1511" spans="5:5">
      <c r="E1511" s="51"/>
    </row>
    <row r="1512" spans="5:5">
      <c r="E1512" s="51"/>
    </row>
    <row r="1513" spans="5:5">
      <c r="E1513" s="51"/>
    </row>
    <row r="1514" spans="5:5">
      <c r="E1514" s="51"/>
    </row>
    <row r="1515" spans="5:5">
      <c r="E1515" s="51"/>
    </row>
    <row r="1516" spans="5:5">
      <c r="E1516" s="51"/>
    </row>
    <row r="1517" spans="5:5">
      <c r="E1517" s="51"/>
    </row>
    <row r="1518" spans="5:5">
      <c r="E1518" s="51"/>
    </row>
    <row r="1519" spans="5:5">
      <c r="E1519" s="51"/>
    </row>
    <row r="1520" spans="5:5">
      <c r="E1520" s="51"/>
    </row>
    <row r="1521" spans="5:5">
      <c r="E1521" s="51"/>
    </row>
    <row r="1522" spans="5:5">
      <c r="E1522" s="51"/>
    </row>
    <row r="1523" spans="5:5">
      <c r="E1523" s="51"/>
    </row>
    <row r="1524" spans="5:5">
      <c r="E1524" s="51"/>
    </row>
    <row r="1525" spans="5:5">
      <c r="E1525" s="51"/>
    </row>
    <row r="1526" spans="5:5">
      <c r="E1526" s="51"/>
    </row>
    <row r="1527" spans="5:5">
      <c r="E1527" s="51"/>
    </row>
    <row r="1528" spans="5:5">
      <c r="E1528" s="51"/>
    </row>
    <row r="1529" spans="5:5">
      <c r="E1529" s="51"/>
    </row>
    <row r="1530" spans="5:5">
      <c r="E1530" s="51"/>
    </row>
    <row r="1531" spans="5:5">
      <c r="E1531" s="51"/>
    </row>
    <row r="1532" spans="5:5">
      <c r="E1532" s="51"/>
    </row>
    <row r="1533" spans="5:5">
      <c r="E1533" s="51"/>
    </row>
    <row r="1534" spans="5:5">
      <c r="E1534" s="51"/>
    </row>
    <row r="1535" spans="5:5">
      <c r="E1535" s="51"/>
    </row>
    <row r="1536" spans="5:5">
      <c r="E1536" s="51"/>
    </row>
    <row r="1537" spans="5:5">
      <c r="E1537" s="51"/>
    </row>
    <row r="1538" spans="5:5">
      <c r="E1538" s="51"/>
    </row>
    <row r="1539" spans="5:5">
      <c r="E1539" s="51"/>
    </row>
    <row r="1540" spans="5:5">
      <c r="E1540" s="51"/>
    </row>
    <row r="1541" spans="5:5">
      <c r="E1541" s="51"/>
    </row>
    <row r="1542" spans="5:5">
      <c r="E1542" s="51"/>
    </row>
    <row r="1543" spans="5:5">
      <c r="E1543" s="51"/>
    </row>
    <row r="1544" spans="5:5">
      <c r="E1544" s="51"/>
    </row>
    <row r="1545" spans="5:5">
      <c r="E1545" s="51"/>
    </row>
    <row r="1546" spans="5:5">
      <c r="E1546" s="51"/>
    </row>
    <row r="1547" spans="5:5">
      <c r="E1547" s="51"/>
    </row>
    <row r="1548" spans="5:5">
      <c r="E1548" s="51"/>
    </row>
    <row r="1549" spans="5:5">
      <c r="E1549" s="51"/>
    </row>
    <row r="1550" spans="5:5">
      <c r="E1550" s="51"/>
    </row>
    <row r="1551" spans="5:5">
      <c r="E1551" s="51"/>
    </row>
    <row r="1552" spans="5:5">
      <c r="E1552" s="51"/>
    </row>
    <row r="1553" spans="5:5">
      <c r="E1553" s="51"/>
    </row>
    <row r="1554" spans="5:5">
      <c r="E1554" s="51"/>
    </row>
    <row r="1555" spans="5:5">
      <c r="E1555" s="51"/>
    </row>
    <row r="1556" spans="5:5">
      <c r="E1556" s="51"/>
    </row>
    <row r="1557" spans="5:5">
      <c r="E1557" s="51"/>
    </row>
    <row r="1558" spans="5:5">
      <c r="E1558" s="51"/>
    </row>
    <row r="1559" spans="5:5">
      <c r="E1559" s="51"/>
    </row>
    <row r="1560" spans="5:5">
      <c r="E1560" s="51"/>
    </row>
    <row r="1561" spans="5:5">
      <c r="E1561" s="51"/>
    </row>
    <row r="1562" spans="5:5">
      <c r="E1562" s="51"/>
    </row>
    <row r="1563" spans="5:5">
      <c r="E1563" s="51"/>
    </row>
    <row r="1564" spans="5:5">
      <c r="E1564" s="51"/>
    </row>
    <row r="1565" spans="5:5">
      <c r="E1565" s="51"/>
    </row>
    <row r="1566" spans="5:5">
      <c r="E1566" s="51"/>
    </row>
    <row r="1567" spans="5:5">
      <c r="E1567" s="51"/>
    </row>
    <row r="1568" spans="5:5">
      <c r="E1568" s="51"/>
    </row>
    <row r="1569" spans="5:5">
      <c r="E1569" s="51"/>
    </row>
    <row r="1570" spans="5:5">
      <c r="E1570" s="51"/>
    </row>
    <row r="1571" spans="5:5">
      <c r="E1571" s="51"/>
    </row>
    <row r="1572" spans="5:5">
      <c r="E1572" s="51"/>
    </row>
    <row r="1573" spans="5:5">
      <c r="E1573" s="51"/>
    </row>
    <row r="1574" spans="5:5">
      <c r="E1574" s="51"/>
    </row>
    <row r="1575" spans="5:5">
      <c r="E1575" s="51"/>
    </row>
    <row r="1576" spans="5:5">
      <c r="E1576" s="51"/>
    </row>
    <row r="1577" spans="5:5">
      <c r="E1577" s="51"/>
    </row>
    <row r="1578" spans="5:5">
      <c r="E1578" s="51"/>
    </row>
    <row r="1579" spans="5:5">
      <c r="E1579" s="51"/>
    </row>
    <row r="1580" spans="5:5">
      <c r="E1580" s="51"/>
    </row>
    <row r="1581" spans="5:5">
      <c r="E1581" s="51"/>
    </row>
    <row r="1582" spans="5:5">
      <c r="E1582" s="51"/>
    </row>
    <row r="1583" spans="5:5">
      <c r="E1583" s="51"/>
    </row>
    <row r="1584" spans="5:5">
      <c r="E1584" s="51"/>
    </row>
    <row r="1585" spans="5:5">
      <c r="E1585" s="51"/>
    </row>
    <row r="1586" spans="5:5">
      <c r="E1586" s="51"/>
    </row>
    <row r="1587" spans="5:5">
      <c r="E1587" s="51"/>
    </row>
    <row r="1588" spans="5:5">
      <c r="E1588" s="51"/>
    </row>
    <row r="1589" spans="5:5">
      <c r="E1589" s="51"/>
    </row>
    <row r="1590" spans="5:5">
      <c r="E1590" s="51"/>
    </row>
    <row r="1591" spans="5:5">
      <c r="E1591" s="51"/>
    </row>
    <row r="1592" spans="5:5">
      <c r="E1592" s="51"/>
    </row>
    <row r="1593" spans="5:5">
      <c r="E1593" s="51"/>
    </row>
    <row r="1594" spans="5:5">
      <c r="E1594" s="51"/>
    </row>
    <row r="1595" spans="5:5">
      <c r="E1595" s="51"/>
    </row>
    <row r="1596" spans="5:5">
      <c r="E1596" s="51"/>
    </row>
    <row r="1597" spans="5:5">
      <c r="E1597" s="51"/>
    </row>
    <row r="1598" spans="5:5">
      <c r="E1598" s="51"/>
    </row>
    <row r="1599" spans="5:5">
      <c r="E1599" s="51"/>
    </row>
    <row r="1600" spans="5:5">
      <c r="E1600" s="51"/>
    </row>
    <row r="1601" spans="5:5">
      <c r="E1601" s="51"/>
    </row>
    <row r="1602" spans="5:5">
      <c r="E1602" s="51"/>
    </row>
    <row r="1603" spans="5:5">
      <c r="E1603" s="51"/>
    </row>
    <row r="1604" spans="5:5">
      <c r="E1604" s="51"/>
    </row>
    <row r="1605" spans="5:5">
      <c r="E1605" s="51"/>
    </row>
    <row r="1606" spans="5:5">
      <c r="E1606" s="51"/>
    </row>
    <row r="1607" spans="5:5">
      <c r="E1607" s="51"/>
    </row>
    <row r="1608" spans="5:5">
      <c r="E1608" s="51"/>
    </row>
    <row r="1609" spans="5:5">
      <c r="E1609" s="51"/>
    </row>
    <row r="1610" spans="5:5">
      <c r="E1610" s="51"/>
    </row>
    <row r="1611" spans="5:5">
      <c r="E1611" s="51"/>
    </row>
    <row r="1612" spans="5:5">
      <c r="E1612" s="51"/>
    </row>
    <row r="1613" spans="5:5">
      <c r="E1613" s="51"/>
    </row>
    <row r="1614" spans="5:5">
      <c r="E1614" s="51"/>
    </row>
    <row r="1615" spans="5:5">
      <c r="E1615" s="51"/>
    </row>
    <row r="1616" spans="5:5">
      <c r="E1616" s="51"/>
    </row>
    <row r="1617" spans="5:5">
      <c r="E1617" s="51"/>
    </row>
    <row r="1618" spans="5:5">
      <c r="E1618" s="51"/>
    </row>
    <row r="1619" spans="5:5">
      <c r="E1619" s="51"/>
    </row>
    <row r="1620" spans="5:5">
      <c r="E1620" s="51"/>
    </row>
    <row r="1621" spans="5:5">
      <c r="E1621" s="51"/>
    </row>
    <row r="1622" spans="5:5">
      <c r="E1622" s="51"/>
    </row>
    <row r="1623" spans="5:5">
      <c r="E1623" s="51"/>
    </row>
    <row r="1624" spans="5:5">
      <c r="E1624" s="51"/>
    </row>
    <row r="1625" spans="5:5">
      <c r="E1625" s="51"/>
    </row>
    <row r="1626" spans="5:5">
      <c r="E1626" s="51"/>
    </row>
    <row r="1627" spans="5:5">
      <c r="E1627" s="51"/>
    </row>
    <row r="1628" spans="5:5">
      <c r="E1628" s="51"/>
    </row>
    <row r="1629" spans="5:5">
      <c r="E1629" s="51"/>
    </row>
    <row r="1630" spans="5:5">
      <c r="E1630" s="51"/>
    </row>
    <row r="1631" spans="5:5">
      <c r="E1631" s="51"/>
    </row>
    <row r="1632" spans="5:5">
      <c r="E1632" s="51"/>
    </row>
    <row r="1633" spans="5:5">
      <c r="E1633" s="51"/>
    </row>
    <row r="1634" spans="5:5">
      <c r="E1634" s="51"/>
    </row>
    <row r="1635" spans="5:5">
      <c r="E1635" s="51"/>
    </row>
    <row r="1636" spans="5:5">
      <c r="E1636" s="51"/>
    </row>
    <row r="1637" spans="5:5">
      <c r="E1637" s="51"/>
    </row>
    <row r="1638" spans="5:5">
      <c r="E1638" s="51"/>
    </row>
    <row r="1639" spans="5:5">
      <c r="E1639" s="51"/>
    </row>
    <row r="1640" spans="5:5">
      <c r="E1640" s="51"/>
    </row>
    <row r="1641" spans="5:5">
      <c r="E1641" s="51"/>
    </row>
    <row r="1642" spans="5:5">
      <c r="E1642" s="51"/>
    </row>
    <row r="1643" spans="5:5">
      <c r="E1643" s="51"/>
    </row>
    <row r="1644" spans="5:5">
      <c r="E1644" s="51"/>
    </row>
    <row r="1645" spans="5:5">
      <c r="E1645" s="51"/>
    </row>
    <row r="1646" spans="5:5">
      <c r="E1646" s="51"/>
    </row>
    <row r="1647" spans="5:5">
      <c r="E1647" s="51"/>
    </row>
    <row r="1648" spans="5:5">
      <c r="E1648" s="51"/>
    </row>
    <row r="1649" spans="5:5">
      <c r="E1649" s="51"/>
    </row>
    <row r="1650" spans="5:5">
      <c r="E1650" s="51"/>
    </row>
    <row r="1651" spans="5:5">
      <c r="E1651" s="51"/>
    </row>
    <row r="1652" spans="5:5">
      <c r="E1652" s="51"/>
    </row>
    <row r="1653" spans="5:5">
      <c r="E1653" s="51"/>
    </row>
    <row r="1654" spans="5:5">
      <c r="E1654" s="51"/>
    </row>
    <row r="1655" spans="5:5">
      <c r="E1655" s="51"/>
    </row>
    <row r="1656" spans="5:5">
      <c r="E1656" s="51"/>
    </row>
    <row r="1657" spans="5:5">
      <c r="E1657" s="51"/>
    </row>
    <row r="1658" spans="5:5">
      <c r="E1658" s="51"/>
    </row>
    <row r="1659" spans="5:5">
      <c r="E1659" s="51"/>
    </row>
    <row r="1660" spans="5:5">
      <c r="E1660" s="51"/>
    </row>
    <row r="1661" spans="5:5">
      <c r="E1661" s="51"/>
    </row>
    <row r="1662" spans="5:5">
      <c r="E1662" s="51"/>
    </row>
    <row r="1663" spans="5:5">
      <c r="E1663" s="51"/>
    </row>
    <row r="1664" spans="5:5">
      <c r="E1664" s="51"/>
    </row>
    <row r="1665" spans="5:5">
      <c r="E1665" s="51"/>
    </row>
    <row r="1666" spans="5:5">
      <c r="E1666" s="51"/>
    </row>
    <row r="1667" spans="5:5">
      <c r="E1667" s="51"/>
    </row>
    <row r="1668" spans="5:5">
      <c r="E1668" s="51"/>
    </row>
    <row r="1669" spans="5:5">
      <c r="E1669" s="51"/>
    </row>
    <row r="1670" spans="5:5">
      <c r="E1670" s="51"/>
    </row>
    <row r="1671" spans="5:5">
      <c r="E1671" s="51"/>
    </row>
    <row r="1672" spans="5:5">
      <c r="E1672" s="51"/>
    </row>
    <row r="1673" spans="5:5">
      <c r="E1673" s="51"/>
    </row>
    <row r="1674" spans="5:5">
      <c r="E1674" s="51"/>
    </row>
    <row r="1675" spans="5:5">
      <c r="E1675" s="51"/>
    </row>
    <row r="1676" spans="5:5">
      <c r="E1676" s="51"/>
    </row>
    <row r="1677" spans="5:5">
      <c r="E1677" s="51"/>
    </row>
    <row r="1678" spans="5:5">
      <c r="E1678" s="51"/>
    </row>
    <row r="1679" spans="5:5">
      <c r="E1679" s="51"/>
    </row>
    <row r="1680" spans="5:5">
      <c r="E1680" s="51"/>
    </row>
    <row r="1681" spans="5:5">
      <c r="E1681" s="51"/>
    </row>
    <row r="1682" spans="5:5">
      <c r="E1682" s="51"/>
    </row>
    <row r="1683" spans="5:5">
      <c r="E1683" s="51"/>
    </row>
    <row r="1684" spans="5:5">
      <c r="E1684" s="51"/>
    </row>
    <row r="1685" spans="5:5">
      <c r="E1685" s="51"/>
    </row>
    <row r="1686" spans="5:5">
      <c r="E1686" s="51"/>
    </row>
    <row r="1687" spans="5:5">
      <c r="E1687" s="51"/>
    </row>
    <row r="1688" spans="5:5">
      <c r="E1688" s="51"/>
    </row>
    <row r="1689" spans="5:5">
      <c r="E1689" s="51"/>
    </row>
    <row r="1690" spans="5:5">
      <c r="E1690" s="51"/>
    </row>
    <row r="1691" spans="5:5">
      <c r="E1691" s="51"/>
    </row>
    <row r="1692" spans="5:5">
      <c r="E1692" s="51"/>
    </row>
    <row r="1693" spans="5:5">
      <c r="E1693" s="51"/>
    </row>
    <row r="1694" spans="5:5">
      <c r="E1694" s="51"/>
    </row>
    <row r="1695" spans="5:5">
      <c r="E1695" s="51"/>
    </row>
    <row r="1696" spans="5:5">
      <c r="E1696" s="51"/>
    </row>
    <row r="1697" spans="5:5">
      <c r="E1697" s="51"/>
    </row>
    <row r="1698" spans="5:5">
      <c r="E1698" s="51"/>
    </row>
    <row r="1699" spans="5:5">
      <c r="E1699" s="51"/>
    </row>
    <row r="1700" spans="5:5">
      <c r="E1700" s="51"/>
    </row>
    <row r="1701" spans="5:5">
      <c r="E1701" s="51"/>
    </row>
    <row r="1702" spans="5:5">
      <c r="E1702" s="51"/>
    </row>
    <row r="1703" spans="5:5">
      <c r="E1703" s="51"/>
    </row>
    <row r="1704" spans="5:5">
      <c r="E1704" s="51"/>
    </row>
    <row r="1705" spans="5:5">
      <c r="E1705" s="51"/>
    </row>
    <row r="1706" spans="5:5">
      <c r="E1706" s="51"/>
    </row>
    <row r="1707" spans="5:5">
      <c r="E1707" s="51"/>
    </row>
    <row r="1708" spans="5:5">
      <c r="E1708" s="51"/>
    </row>
    <row r="1709" spans="5:5">
      <c r="E1709" s="51"/>
    </row>
    <row r="1710" spans="5:5">
      <c r="E1710" s="51"/>
    </row>
    <row r="1711" spans="5:5">
      <c r="E1711" s="51"/>
    </row>
    <row r="1712" spans="5:5">
      <c r="E1712" s="51"/>
    </row>
    <row r="1713" spans="5:5">
      <c r="E1713" s="51"/>
    </row>
    <row r="1714" spans="5:5">
      <c r="E1714" s="51"/>
    </row>
    <row r="1715" spans="5:5">
      <c r="E1715" s="51"/>
    </row>
    <row r="1716" spans="5:5">
      <c r="E1716" s="51"/>
    </row>
    <row r="1717" spans="5:5">
      <c r="E1717" s="51"/>
    </row>
    <row r="1718" spans="5:5">
      <c r="E1718" s="51"/>
    </row>
    <row r="1719" spans="5:5">
      <c r="E1719" s="51"/>
    </row>
    <row r="1720" spans="5:5">
      <c r="E1720" s="51"/>
    </row>
    <row r="1721" spans="5:5">
      <c r="E1721" s="51"/>
    </row>
    <row r="1722" spans="5:5">
      <c r="E1722" s="51"/>
    </row>
    <row r="1723" spans="5:5">
      <c r="E1723" s="51"/>
    </row>
    <row r="1724" spans="5:5">
      <c r="E1724" s="51"/>
    </row>
    <row r="1725" spans="5:5">
      <c r="E1725" s="51"/>
    </row>
    <row r="1726" spans="5:5">
      <c r="E1726" s="51"/>
    </row>
    <row r="1727" spans="5:5">
      <c r="E1727" s="51"/>
    </row>
    <row r="1728" spans="5:5">
      <c r="E1728" s="51"/>
    </row>
    <row r="1729" spans="5:5">
      <c r="E1729" s="51"/>
    </row>
    <row r="1730" spans="5:5">
      <c r="E1730" s="51"/>
    </row>
    <row r="1731" spans="5:5">
      <c r="E1731" s="51"/>
    </row>
    <row r="1732" spans="5:5">
      <c r="E1732" s="51"/>
    </row>
    <row r="1733" spans="5:5">
      <c r="E1733" s="51"/>
    </row>
    <row r="1734" spans="5:5">
      <c r="E1734" s="51"/>
    </row>
    <row r="1735" spans="5:5">
      <c r="E1735" s="51"/>
    </row>
    <row r="1736" spans="5:5">
      <c r="E1736" s="51"/>
    </row>
    <row r="1737" spans="5:5">
      <c r="E1737" s="51"/>
    </row>
    <row r="1738" spans="5:5">
      <c r="E1738" s="51"/>
    </row>
    <row r="1739" spans="5:5">
      <c r="E1739" s="51"/>
    </row>
    <row r="1740" spans="5:5">
      <c r="E1740" s="51"/>
    </row>
    <row r="1741" spans="5:5">
      <c r="E1741" s="51"/>
    </row>
    <row r="1742" spans="5:5">
      <c r="E1742" s="51"/>
    </row>
    <row r="1743" spans="5:5">
      <c r="E1743" s="51"/>
    </row>
    <row r="1744" spans="5:5">
      <c r="E1744" s="51"/>
    </row>
    <row r="1745" spans="5:5">
      <c r="E1745" s="51"/>
    </row>
    <row r="1746" spans="5:5">
      <c r="E1746" s="51"/>
    </row>
    <row r="1747" spans="5:5">
      <c r="E1747" s="51"/>
    </row>
    <row r="1748" spans="5:5">
      <c r="E1748" s="51"/>
    </row>
    <row r="1749" spans="5:5">
      <c r="E1749" s="51"/>
    </row>
    <row r="1750" spans="5:5">
      <c r="E1750" s="51"/>
    </row>
    <row r="1751" spans="5:5">
      <c r="E1751" s="51"/>
    </row>
    <row r="1752" spans="5:5">
      <c r="E1752" s="51"/>
    </row>
    <row r="1753" spans="5:5">
      <c r="E1753" s="51"/>
    </row>
    <row r="1754" spans="5:5">
      <c r="E1754" s="51"/>
    </row>
    <row r="1755" spans="5:5">
      <c r="E1755" s="51"/>
    </row>
    <row r="1756" spans="5:5">
      <c r="E1756" s="51"/>
    </row>
    <row r="1757" spans="5:5">
      <c r="E1757" s="51"/>
    </row>
    <row r="1758" spans="5:5">
      <c r="E1758" s="51"/>
    </row>
    <row r="1759" spans="5:5">
      <c r="E1759" s="51"/>
    </row>
    <row r="1760" spans="5:5">
      <c r="E1760" s="51"/>
    </row>
    <row r="1761" spans="5:5">
      <c r="E1761" s="51"/>
    </row>
    <row r="1762" spans="5:5">
      <c r="E1762" s="51"/>
    </row>
    <row r="1763" spans="5:5">
      <c r="E1763" s="51"/>
    </row>
    <row r="1764" spans="5:5">
      <c r="E1764" s="51"/>
    </row>
    <row r="1765" spans="5:5">
      <c r="E1765" s="51"/>
    </row>
    <row r="1766" spans="5:5">
      <c r="E1766" s="51"/>
    </row>
    <row r="1767" spans="5:5">
      <c r="E1767" s="51"/>
    </row>
    <row r="1768" spans="5:5">
      <c r="E1768" s="51"/>
    </row>
    <row r="1769" spans="5:5">
      <c r="E1769" s="51"/>
    </row>
    <row r="1770" spans="5:5">
      <c r="E1770" s="51"/>
    </row>
    <row r="1771" spans="5:5">
      <c r="E1771" s="51"/>
    </row>
    <row r="1772" spans="5:5">
      <c r="E1772" s="51"/>
    </row>
    <row r="1773" spans="5:5">
      <c r="E1773" s="51"/>
    </row>
    <row r="1774" spans="5:5">
      <c r="E1774" s="51"/>
    </row>
    <row r="1775" spans="5:5">
      <c r="E1775" s="51"/>
    </row>
    <row r="1776" spans="5:5">
      <c r="E1776" s="51"/>
    </row>
    <row r="1777" spans="5:5">
      <c r="E1777" s="51"/>
    </row>
    <row r="1778" spans="5:5">
      <c r="E1778" s="51"/>
    </row>
    <row r="1779" spans="5:5">
      <c r="E1779" s="51"/>
    </row>
    <row r="1780" spans="5:5">
      <c r="E1780" s="51"/>
    </row>
    <row r="1781" spans="5:5">
      <c r="E1781" s="51"/>
    </row>
    <row r="1782" spans="5:5">
      <c r="E1782" s="51"/>
    </row>
    <row r="1783" spans="5:5">
      <c r="E1783" s="51"/>
    </row>
    <row r="1784" spans="5:5">
      <c r="E1784" s="51"/>
    </row>
    <row r="1785" spans="5:5">
      <c r="E1785" s="51"/>
    </row>
    <row r="1786" spans="5:5">
      <c r="E1786" s="51"/>
    </row>
    <row r="1787" spans="5:5">
      <c r="E1787" s="51"/>
    </row>
    <row r="1788" spans="5:5">
      <c r="E1788" s="51"/>
    </row>
    <row r="1789" spans="5:5">
      <c r="E1789" s="51"/>
    </row>
    <row r="1790" spans="5:5">
      <c r="E1790" s="51"/>
    </row>
    <row r="1791" spans="5:5">
      <c r="E1791" s="51"/>
    </row>
    <row r="1792" spans="5:5">
      <c r="E1792" s="51"/>
    </row>
    <row r="1793" spans="5:5">
      <c r="E1793" s="51"/>
    </row>
    <row r="1794" spans="5:5">
      <c r="E1794" s="51"/>
    </row>
    <row r="1795" spans="5:5">
      <c r="E1795" s="51"/>
    </row>
    <row r="1796" spans="5:5">
      <c r="E1796" s="51"/>
    </row>
    <row r="1797" spans="5:5">
      <c r="E1797" s="51"/>
    </row>
    <row r="1798" spans="5:5">
      <c r="E1798" s="51"/>
    </row>
    <row r="1799" spans="5:5">
      <c r="E1799" s="51"/>
    </row>
    <row r="1800" spans="5:5">
      <c r="E1800" s="51"/>
    </row>
    <row r="1801" spans="5:5">
      <c r="E1801" s="51"/>
    </row>
    <row r="1802" spans="5:5">
      <c r="E1802" s="51"/>
    </row>
    <row r="1803" spans="5:5">
      <c r="E1803" s="51"/>
    </row>
    <row r="1804" spans="5:5">
      <c r="E1804" s="51"/>
    </row>
    <row r="1805" spans="5:5">
      <c r="E1805" s="51"/>
    </row>
    <row r="1806" spans="5:5">
      <c r="E1806" s="51"/>
    </row>
    <row r="1807" spans="5:5">
      <c r="E1807" s="51"/>
    </row>
    <row r="1808" spans="5:5">
      <c r="E1808" s="51"/>
    </row>
    <row r="1809" spans="5:5">
      <c r="E1809" s="51"/>
    </row>
    <row r="1810" spans="5:5">
      <c r="E1810" s="51"/>
    </row>
    <row r="1811" spans="5:5">
      <c r="E1811" s="51"/>
    </row>
    <row r="1812" spans="5:5">
      <c r="E1812" s="51"/>
    </row>
    <row r="1813" spans="5:5">
      <c r="E1813" s="51"/>
    </row>
    <row r="1814" spans="5:5">
      <c r="E1814" s="51"/>
    </row>
    <row r="1815" spans="5:5">
      <c r="E1815" s="51"/>
    </row>
    <row r="1816" spans="5:5">
      <c r="E1816" s="51"/>
    </row>
    <row r="1817" spans="5:5">
      <c r="E1817" s="51"/>
    </row>
    <row r="1818" spans="5:5">
      <c r="E1818" s="51"/>
    </row>
    <row r="1819" spans="5:5">
      <c r="E1819" s="51"/>
    </row>
    <row r="1820" spans="5:5">
      <c r="E1820" s="51"/>
    </row>
    <row r="1821" spans="5:5">
      <c r="E1821" s="51"/>
    </row>
    <row r="1822" spans="5:5">
      <c r="E1822" s="51"/>
    </row>
    <row r="1823" spans="5:5">
      <c r="E1823" s="51"/>
    </row>
    <row r="1824" spans="5:5">
      <c r="E1824" s="51"/>
    </row>
    <row r="1825" spans="5:5">
      <c r="E1825" s="51"/>
    </row>
    <row r="1826" spans="5:5">
      <c r="E1826" s="51"/>
    </row>
    <row r="1827" spans="5:5">
      <c r="E1827" s="51"/>
    </row>
    <row r="1828" spans="5:5">
      <c r="E1828" s="51"/>
    </row>
    <row r="1829" spans="5:5">
      <c r="E1829" s="51"/>
    </row>
    <row r="1830" spans="5:5">
      <c r="E1830" s="51"/>
    </row>
    <row r="1831" spans="5:5">
      <c r="E1831" s="51"/>
    </row>
    <row r="1832" spans="5:5">
      <c r="E1832" s="51"/>
    </row>
    <row r="1833" spans="5:5">
      <c r="E1833" s="51"/>
    </row>
    <row r="1834" spans="5:5">
      <c r="E1834" s="51"/>
    </row>
    <row r="1835" spans="5:5">
      <c r="E1835" s="51"/>
    </row>
    <row r="1836" spans="5:5">
      <c r="E1836" s="51"/>
    </row>
    <row r="1837" spans="5:5">
      <c r="E1837" s="51"/>
    </row>
    <row r="1838" spans="5:5">
      <c r="E1838" s="51"/>
    </row>
    <row r="1839" spans="5:5">
      <c r="E1839" s="51"/>
    </row>
    <row r="1840" spans="5:5">
      <c r="E1840" s="51"/>
    </row>
    <row r="1841" spans="5:5">
      <c r="E1841" s="51"/>
    </row>
    <row r="1842" spans="5:5">
      <c r="E1842" s="51"/>
    </row>
    <row r="1843" spans="5:5">
      <c r="E1843" s="51"/>
    </row>
    <row r="1844" spans="5:5">
      <c r="E1844" s="51"/>
    </row>
    <row r="1845" spans="5:5">
      <c r="E1845" s="51"/>
    </row>
    <row r="1846" spans="5:5">
      <c r="E1846" s="51"/>
    </row>
    <row r="1847" spans="5:5">
      <c r="E1847" s="51"/>
    </row>
    <row r="1848" spans="5:5">
      <c r="E1848" s="51"/>
    </row>
    <row r="1849" spans="5:5">
      <c r="E1849" s="51"/>
    </row>
    <row r="1850" spans="5:5">
      <c r="E1850" s="51"/>
    </row>
    <row r="1851" spans="5:5">
      <c r="E1851" s="51"/>
    </row>
    <row r="1852" spans="5:5">
      <c r="E1852" s="51"/>
    </row>
    <row r="1853" spans="5:5">
      <c r="E1853" s="51"/>
    </row>
    <row r="1854" spans="5:5">
      <c r="E1854" s="51"/>
    </row>
    <row r="1855" spans="5:5">
      <c r="E1855" s="51"/>
    </row>
    <row r="1856" spans="5:5">
      <c r="E1856" s="51"/>
    </row>
    <row r="1857" spans="5:5">
      <c r="E1857" s="51"/>
    </row>
    <row r="1858" spans="5:5">
      <c r="E1858" s="51"/>
    </row>
    <row r="1859" spans="5:5">
      <c r="E1859" s="51"/>
    </row>
    <row r="1860" spans="5:5">
      <c r="E1860" s="51"/>
    </row>
    <row r="1861" spans="5:5">
      <c r="E1861" s="51"/>
    </row>
    <row r="1862" spans="5:5">
      <c r="E1862" s="51"/>
    </row>
    <row r="1863" spans="5:5">
      <c r="E1863" s="51"/>
    </row>
    <row r="1864" spans="5:5">
      <c r="E1864" s="51"/>
    </row>
    <row r="1865" spans="5:5">
      <c r="E1865" s="51"/>
    </row>
    <row r="1866" spans="5:5">
      <c r="E1866" s="51"/>
    </row>
    <row r="1867" spans="5:5">
      <c r="E1867" s="51"/>
    </row>
    <row r="1868" spans="5:5">
      <c r="E1868" s="51"/>
    </row>
    <row r="1869" spans="5:5">
      <c r="E1869" s="51"/>
    </row>
    <row r="1870" spans="5:5">
      <c r="E1870" s="51"/>
    </row>
    <row r="1871" spans="5:5">
      <c r="E1871" s="51"/>
    </row>
    <row r="1872" spans="5:5">
      <c r="E1872" s="51"/>
    </row>
    <row r="1873" spans="5:5">
      <c r="E1873" s="51"/>
    </row>
    <row r="1874" spans="5:5">
      <c r="E1874" s="51"/>
    </row>
    <row r="1875" spans="5:5">
      <c r="E1875" s="51"/>
    </row>
    <row r="1876" spans="5:5">
      <c r="E1876" s="51"/>
    </row>
    <row r="1877" spans="5:5">
      <c r="E1877" s="51"/>
    </row>
    <row r="1878" spans="5:5">
      <c r="E1878" s="51"/>
    </row>
    <row r="1879" spans="5:5">
      <c r="E1879" s="51"/>
    </row>
    <row r="1880" spans="5:5">
      <c r="E1880" s="51"/>
    </row>
    <row r="1881" spans="5:5">
      <c r="E1881" s="51"/>
    </row>
    <row r="1882" spans="5:5">
      <c r="E1882" s="51"/>
    </row>
    <row r="1883" spans="5:5">
      <c r="E1883" s="51"/>
    </row>
    <row r="1884" spans="5:5">
      <c r="E1884" s="51"/>
    </row>
    <row r="1885" spans="5:5">
      <c r="E1885" s="51"/>
    </row>
    <row r="1886" spans="5:5">
      <c r="E1886" s="51"/>
    </row>
    <row r="1887" spans="5:5">
      <c r="E1887" s="51"/>
    </row>
    <row r="1888" spans="5:5">
      <c r="E1888" s="51"/>
    </row>
    <row r="1889" spans="5:5">
      <c r="E1889" s="51"/>
    </row>
    <row r="1890" spans="5:5">
      <c r="E1890" s="51"/>
    </row>
    <row r="1891" spans="5:5">
      <c r="E1891" s="51"/>
    </row>
    <row r="1892" spans="5:5">
      <c r="E1892" s="51"/>
    </row>
    <row r="1893" spans="5:5">
      <c r="E1893" s="51"/>
    </row>
    <row r="1894" spans="5:5">
      <c r="E1894" s="51"/>
    </row>
    <row r="1895" spans="5:5">
      <c r="E1895" s="51"/>
    </row>
    <row r="1896" spans="5:5">
      <c r="E1896" s="51"/>
    </row>
    <row r="1897" spans="5:5">
      <c r="E1897" s="51"/>
    </row>
    <row r="1898" spans="5:5">
      <c r="E1898" s="51"/>
    </row>
    <row r="1899" spans="5:5">
      <c r="E1899" s="51"/>
    </row>
    <row r="1900" spans="5:5">
      <c r="E1900" s="51"/>
    </row>
    <row r="1901" spans="5:5">
      <c r="E1901" s="51"/>
    </row>
    <row r="1902" spans="5:5">
      <c r="E1902" s="51"/>
    </row>
    <row r="1903" spans="5:5">
      <c r="E1903" s="51"/>
    </row>
    <row r="1904" spans="5:5">
      <c r="E1904" s="51"/>
    </row>
    <row r="1905" spans="5:5">
      <c r="E1905" s="51"/>
    </row>
    <row r="1906" spans="5:5">
      <c r="E1906" s="51"/>
    </row>
    <row r="1907" spans="5:5">
      <c r="E1907" s="51"/>
    </row>
    <row r="1908" spans="5:5">
      <c r="E1908" s="51"/>
    </row>
    <row r="1909" spans="5:5">
      <c r="E1909" s="51"/>
    </row>
    <row r="1910" spans="5:5">
      <c r="E1910" s="51"/>
    </row>
    <row r="1911" spans="5:5">
      <c r="E1911" s="51"/>
    </row>
    <row r="1912" spans="5:5">
      <c r="E1912" s="51"/>
    </row>
    <row r="1913" spans="5:5">
      <c r="E1913" s="51"/>
    </row>
    <row r="1914" spans="5:5">
      <c r="E1914" s="51"/>
    </row>
    <row r="1915" spans="5:5">
      <c r="E1915" s="51"/>
    </row>
    <row r="1916" spans="5:5">
      <c r="E1916" s="51"/>
    </row>
    <row r="1917" spans="5:5">
      <c r="E1917" s="51"/>
    </row>
    <row r="1918" spans="5:5">
      <c r="E1918" s="51"/>
    </row>
    <row r="1919" spans="5:5">
      <c r="E1919" s="51"/>
    </row>
    <row r="1920" spans="5:5">
      <c r="E1920" s="51"/>
    </row>
    <row r="1921" spans="5:5">
      <c r="E1921" s="51"/>
    </row>
    <row r="1922" spans="5:5">
      <c r="E1922" s="51"/>
    </row>
    <row r="1923" spans="5:5">
      <c r="E1923" s="51"/>
    </row>
    <row r="1924" spans="5:5">
      <c r="E1924" s="51"/>
    </row>
    <row r="1925" spans="5:5">
      <c r="E1925" s="51"/>
    </row>
    <row r="1926" spans="5:5">
      <c r="E1926" s="51"/>
    </row>
    <row r="1927" spans="5:5">
      <c r="E1927" s="51"/>
    </row>
    <row r="1928" spans="5:5">
      <c r="E1928" s="51"/>
    </row>
    <row r="1929" spans="5:5">
      <c r="E1929" s="51"/>
    </row>
    <row r="1930" spans="5:5">
      <c r="E1930" s="51"/>
    </row>
    <row r="1931" spans="5:5">
      <c r="E1931" s="51"/>
    </row>
    <row r="1932" spans="5:5">
      <c r="E1932" s="51"/>
    </row>
    <row r="1933" spans="5:5">
      <c r="E1933" s="51"/>
    </row>
    <row r="1934" spans="5:5">
      <c r="E1934" s="51"/>
    </row>
    <row r="1935" spans="5:5">
      <c r="E1935" s="51"/>
    </row>
    <row r="1936" spans="5:5">
      <c r="E1936" s="51"/>
    </row>
    <row r="1937" spans="5:5">
      <c r="E1937" s="51"/>
    </row>
    <row r="1938" spans="5:5">
      <c r="E1938" s="51"/>
    </row>
    <row r="1939" spans="5:5">
      <c r="E1939" s="51"/>
    </row>
    <row r="1940" spans="5:5">
      <c r="E1940" s="51"/>
    </row>
    <row r="1941" spans="5:5">
      <c r="E1941" s="51"/>
    </row>
    <row r="1942" spans="5:5">
      <c r="E1942" s="51"/>
    </row>
    <row r="1943" spans="5:5">
      <c r="E1943" s="51"/>
    </row>
    <row r="1944" spans="5:5">
      <c r="E1944" s="51"/>
    </row>
    <row r="1945" spans="5:5">
      <c r="E1945" s="51"/>
    </row>
    <row r="1946" spans="5:5">
      <c r="E1946" s="51"/>
    </row>
    <row r="1947" spans="5:5">
      <c r="E1947" s="51"/>
    </row>
    <row r="1948" spans="5:5">
      <c r="E1948" s="51"/>
    </row>
    <row r="1949" spans="5:5">
      <c r="E1949" s="51"/>
    </row>
    <row r="1950" spans="5:5">
      <c r="E1950" s="51"/>
    </row>
    <row r="1951" spans="5:5">
      <c r="E1951" s="51"/>
    </row>
    <row r="1952" spans="5:5">
      <c r="E1952" s="51"/>
    </row>
    <row r="1953" spans="5:5">
      <c r="E1953" s="51"/>
    </row>
    <row r="1954" spans="5:5">
      <c r="E1954" s="51"/>
    </row>
    <row r="1955" spans="5:5">
      <c r="E1955" s="51"/>
    </row>
    <row r="1956" spans="5:5">
      <c r="E1956" s="51"/>
    </row>
    <row r="1957" spans="5:5">
      <c r="E1957" s="51"/>
    </row>
    <row r="1958" spans="5:5">
      <c r="E1958" s="51"/>
    </row>
    <row r="1959" spans="5:5">
      <c r="E1959" s="51"/>
    </row>
    <row r="1960" spans="5:5">
      <c r="E1960" s="51"/>
    </row>
    <row r="1961" spans="5:5">
      <c r="E1961" s="51"/>
    </row>
    <row r="1962" spans="5:5">
      <c r="E1962" s="51"/>
    </row>
    <row r="1963" spans="5:5">
      <c r="E1963" s="51"/>
    </row>
    <row r="1964" spans="5:5">
      <c r="E1964" s="51"/>
    </row>
    <row r="1965" spans="5:5">
      <c r="E1965" s="51"/>
    </row>
    <row r="1966" spans="5:5">
      <c r="E1966" s="51"/>
    </row>
    <row r="1967" spans="5:5">
      <c r="E1967" s="51"/>
    </row>
    <row r="1968" spans="5:5">
      <c r="E1968" s="51"/>
    </row>
    <row r="1969" spans="5:5">
      <c r="E1969" s="51"/>
    </row>
    <row r="1970" spans="5:5">
      <c r="E1970" s="51"/>
    </row>
    <row r="1971" spans="5:5">
      <c r="E1971" s="51"/>
    </row>
    <row r="1972" spans="5:5">
      <c r="E1972" s="51"/>
    </row>
    <row r="1973" spans="5:5">
      <c r="E1973" s="51"/>
    </row>
    <row r="1974" spans="5:5">
      <c r="E1974" s="51"/>
    </row>
    <row r="1975" spans="5:5">
      <c r="E1975" s="51"/>
    </row>
    <row r="1976" spans="5:5">
      <c r="E1976" s="51"/>
    </row>
    <row r="1977" spans="5:5">
      <c r="E1977" s="51"/>
    </row>
    <row r="1978" spans="5:5">
      <c r="E1978" s="51"/>
    </row>
    <row r="1979" spans="5:5">
      <c r="E1979" s="51"/>
    </row>
    <row r="1980" spans="5:5">
      <c r="E1980" s="51"/>
    </row>
    <row r="1981" spans="5:5">
      <c r="E1981" s="51"/>
    </row>
    <row r="1982" spans="5:5">
      <c r="E1982" s="51"/>
    </row>
    <row r="1983" spans="5:5">
      <c r="E1983" s="51"/>
    </row>
    <row r="1984" spans="5:5">
      <c r="E1984" s="51"/>
    </row>
    <row r="1985" spans="5:5">
      <c r="E1985" s="51"/>
    </row>
    <row r="1986" spans="5:5">
      <c r="E1986" s="51"/>
    </row>
    <row r="1987" spans="5:5">
      <c r="E1987" s="51"/>
    </row>
    <row r="1988" spans="5:5">
      <c r="E1988" s="51"/>
    </row>
    <row r="1989" spans="5:5">
      <c r="E1989" s="51"/>
    </row>
    <row r="1990" spans="5:5">
      <c r="E1990" s="51"/>
    </row>
    <row r="1991" spans="5:5">
      <c r="E1991" s="51"/>
    </row>
    <row r="1992" spans="5:5">
      <c r="E1992" s="51"/>
    </row>
    <row r="1993" spans="5:5">
      <c r="E1993" s="51"/>
    </row>
    <row r="1994" spans="5:5">
      <c r="E1994" s="51"/>
    </row>
    <row r="1995" spans="5:5">
      <c r="E1995" s="51"/>
    </row>
    <row r="1996" spans="5:5">
      <c r="E1996" s="51"/>
    </row>
    <row r="1997" spans="5:5">
      <c r="E1997" s="51"/>
    </row>
    <row r="1998" spans="5:5">
      <c r="E1998" s="51"/>
    </row>
    <row r="1999" spans="5:5">
      <c r="E1999" s="51"/>
    </row>
    <row r="2000" spans="5:5">
      <c r="E2000" s="51"/>
    </row>
    <row r="2001" spans="5:5">
      <c r="E2001" s="51"/>
    </row>
    <row r="2002" spans="5:5">
      <c r="E2002" s="51"/>
    </row>
    <row r="2003" spans="5:5">
      <c r="E2003" s="51"/>
    </row>
    <row r="2004" spans="5:5">
      <c r="E2004" s="51"/>
    </row>
    <row r="2005" spans="5:5">
      <c r="E2005" s="51"/>
    </row>
    <row r="2006" spans="5:5">
      <c r="E2006" s="51"/>
    </row>
    <row r="2007" spans="5:5">
      <c r="E2007" s="51"/>
    </row>
    <row r="2008" spans="5:5">
      <c r="E2008" s="51"/>
    </row>
    <row r="2009" spans="5:5">
      <c r="E2009" s="51"/>
    </row>
    <row r="2010" spans="5:5">
      <c r="E2010" s="51"/>
    </row>
    <row r="2011" spans="5:5">
      <c r="E2011" s="51"/>
    </row>
    <row r="2012" spans="5:5">
      <c r="E2012" s="51"/>
    </row>
    <row r="2013" spans="5:5">
      <c r="E2013" s="51"/>
    </row>
    <row r="2014" spans="5:5">
      <c r="E2014" s="51"/>
    </row>
    <row r="2015" spans="5:5">
      <c r="E2015" s="51"/>
    </row>
    <row r="2016" spans="5:5">
      <c r="E2016" s="51"/>
    </row>
    <row r="2017" spans="5:5">
      <c r="E2017" s="51"/>
    </row>
    <row r="2018" spans="5:5">
      <c r="E2018" s="51"/>
    </row>
    <row r="2019" spans="5:5">
      <c r="E2019" s="51"/>
    </row>
    <row r="2020" spans="5:5">
      <c r="E2020" s="51"/>
    </row>
    <row r="2021" spans="5:5">
      <c r="E2021" s="51"/>
    </row>
    <row r="2022" spans="5:5">
      <c r="E2022" s="51"/>
    </row>
    <row r="2023" spans="5:5">
      <c r="E2023" s="51"/>
    </row>
    <row r="2024" spans="5:5">
      <c r="E2024" s="51"/>
    </row>
    <row r="2025" spans="5:5">
      <c r="E2025" s="51"/>
    </row>
    <row r="2026" spans="5:5">
      <c r="E2026" s="51"/>
    </row>
    <row r="2027" spans="5:5">
      <c r="E2027" s="51"/>
    </row>
    <row r="2028" spans="5:5">
      <c r="E2028" s="51"/>
    </row>
    <row r="2029" spans="5:5">
      <c r="E2029" s="51"/>
    </row>
    <row r="2030" spans="5:5">
      <c r="E2030" s="51"/>
    </row>
    <row r="2031" spans="5:5">
      <c r="E2031" s="51"/>
    </row>
    <row r="2032" spans="5:5">
      <c r="E2032" s="51"/>
    </row>
    <row r="2033" spans="5:5">
      <c r="E2033" s="51"/>
    </row>
    <row r="2034" spans="5:5">
      <c r="E2034" s="51"/>
    </row>
    <row r="2035" spans="5:5">
      <c r="E2035" s="51"/>
    </row>
    <row r="2036" spans="5:5">
      <c r="E2036" s="51"/>
    </row>
    <row r="2037" spans="5:5">
      <c r="E2037" s="51"/>
    </row>
    <row r="2038" spans="5:5">
      <c r="E2038" s="51"/>
    </row>
    <row r="2039" spans="5:5">
      <c r="E2039" s="51"/>
    </row>
    <row r="2040" spans="5:5">
      <c r="E2040" s="51"/>
    </row>
    <row r="2041" spans="5:5">
      <c r="E2041" s="51"/>
    </row>
    <row r="2042" spans="5:5">
      <c r="E2042" s="51"/>
    </row>
    <row r="2043" spans="5:5">
      <c r="E2043" s="51"/>
    </row>
    <row r="2044" spans="5:5">
      <c r="E2044" s="51"/>
    </row>
    <row r="2045" spans="5:5">
      <c r="E2045" s="51"/>
    </row>
    <row r="2046" spans="5:5">
      <c r="E2046" s="51"/>
    </row>
    <row r="2047" spans="5:5">
      <c r="E2047" s="51"/>
    </row>
    <row r="2048" spans="5:5">
      <c r="E2048" s="51"/>
    </row>
    <row r="2049" spans="5:5">
      <c r="E2049" s="51"/>
    </row>
    <row r="2050" spans="5:5">
      <c r="E2050" s="51"/>
    </row>
    <row r="2051" spans="5:5">
      <c r="E2051" s="51"/>
    </row>
    <row r="2052" spans="5:5">
      <c r="E2052" s="51"/>
    </row>
    <row r="2053" spans="5:5">
      <c r="E2053" s="51"/>
    </row>
    <row r="2054" spans="5:5">
      <c r="E2054" s="51"/>
    </row>
    <row r="2055" spans="5:5">
      <c r="E2055" s="51"/>
    </row>
    <row r="2056" spans="5:5">
      <c r="E2056" s="51"/>
    </row>
    <row r="2057" spans="5:5">
      <c r="E2057" s="51"/>
    </row>
    <row r="2058" spans="5:5">
      <c r="E2058" s="51"/>
    </row>
    <row r="2059" spans="5:5">
      <c r="E2059" s="51"/>
    </row>
    <row r="2060" spans="5:5">
      <c r="E2060" s="51"/>
    </row>
    <row r="2061" spans="5:5">
      <c r="E2061" s="51"/>
    </row>
    <row r="2062" spans="5:5">
      <c r="E2062" s="51"/>
    </row>
    <row r="2063" spans="5:5">
      <c r="E2063" s="51"/>
    </row>
    <row r="2064" spans="5:5">
      <c r="E2064" s="51"/>
    </row>
    <row r="2065" spans="5:5">
      <c r="E2065" s="51"/>
    </row>
    <row r="2066" spans="5:5">
      <c r="E2066" s="51"/>
    </row>
    <row r="2067" spans="5:5">
      <c r="E2067" s="51"/>
    </row>
    <row r="2068" spans="5:5">
      <c r="E2068" s="51"/>
    </row>
    <row r="2069" spans="5:5">
      <c r="E2069" s="51"/>
    </row>
    <row r="2070" spans="5:5">
      <c r="E2070" s="51"/>
    </row>
    <row r="2071" spans="5:5">
      <c r="E2071" s="51"/>
    </row>
    <row r="2072" spans="5:5">
      <c r="E2072" s="51"/>
    </row>
    <row r="2073" spans="5:5">
      <c r="E2073" s="51"/>
    </row>
    <row r="2074" spans="5:5">
      <c r="E2074" s="51"/>
    </row>
    <row r="2075" spans="5:5">
      <c r="E2075" s="51"/>
    </row>
    <row r="2076" spans="5:5">
      <c r="E2076" s="51"/>
    </row>
    <row r="2077" spans="5:5">
      <c r="E2077" s="51"/>
    </row>
    <row r="2078" spans="5:5">
      <c r="E2078" s="51"/>
    </row>
    <row r="2079" spans="5:5">
      <c r="E2079" s="51"/>
    </row>
    <row r="2080" spans="5:5">
      <c r="E2080" s="51"/>
    </row>
    <row r="2081" spans="5:5">
      <c r="E2081" s="51"/>
    </row>
    <row r="2082" spans="5:5">
      <c r="E2082" s="51"/>
    </row>
    <row r="2083" spans="5:5">
      <c r="E2083" s="51"/>
    </row>
    <row r="2084" spans="5:5">
      <c r="E2084" s="51"/>
    </row>
    <row r="2085" spans="5:5">
      <c r="E2085" s="51"/>
    </row>
    <row r="2086" spans="5:5">
      <c r="E2086" s="51"/>
    </row>
    <row r="2087" spans="5:5">
      <c r="E2087" s="51"/>
    </row>
    <row r="2088" spans="5:5">
      <c r="E2088" s="51"/>
    </row>
    <row r="2089" spans="5:5">
      <c r="E2089" s="51"/>
    </row>
    <row r="2090" spans="5:5">
      <c r="E2090" s="51"/>
    </row>
    <row r="2091" spans="5:5">
      <c r="E2091" s="51"/>
    </row>
    <row r="2092" spans="5:5">
      <c r="E2092" s="51"/>
    </row>
    <row r="2093" spans="5:5">
      <c r="E2093" s="51"/>
    </row>
    <row r="2094" spans="5:5">
      <c r="E2094" s="51"/>
    </row>
    <row r="2095" spans="5:5">
      <c r="E2095" s="51"/>
    </row>
    <row r="2096" spans="5:5">
      <c r="E2096" s="51"/>
    </row>
    <row r="2097" spans="5:5">
      <c r="E2097" s="51"/>
    </row>
    <row r="2098" spans="5:5">
      <c r="E2098" s="51"/>
    </row>
    <row r="2099" spans="5:5">
      <c r="E2099" s="51"/>
    </row>
    <row r="2100" spans="5:5">
      <c r="E2100" s="51"/>
    </row>
    <row r="2101" spans="5:5">
      <c r="E2101" s="51"/>
    </row>
    <row r="2102" spans="5:5">
      <c r="E2102" s="51"/>
    </row>
    <row r="2103" spans="5:5">
      <c r="E2103" s="51"/>
    </row>
    <row r="2104" spans="5:5">
      <c r="E2104" s="51"/>
    </row>
    <row r="2105" spans="5:5">
      <c r="E2105" s="51"/>
    </row>
    <row r="2106" spans="5:5">
      <c r="E2106" s="51"/>
    </row>
    <row r="2107" spans="5:5">
      <c r="E2107" s="51"/>
    </row>
    <row r="2108" spans="5:5">
      <c r="E2108" s="51"/>
    </row>
    <row r="2109" spans="5:5">
      <c r="E2109" s="51"/>
    </row>
    <row r="2110" spans="5:5">
      <c r="E2110" s="51"/>
    </row>
    <row r="2111" spans="5:5">
      <c r="E2111" s="51"/>
    </row>
    <row r="2112" spans="5:5">
      <c r="E2112" s="51"/>
    </row>
    <row r="2113" spans="5:5">
      <c r="E2113" s="51"/>
    </row>
    <row r="2114" spans="5:5">
      <c r="E2114" s="51"/>
    </row>
    <row r="2115" spans="5:5">
      <c r="E2115" s="51"/>
    </row>
    <row r="2116" spans="5:5">
      <c r="E2116" s="51"/>
    </row>
    <row r="2117" spans="5:5">
      <c r="E2117" s="51"/>
    </row>
    <row r="2118" spans="5:5">
      <c r="E2118" s="51"/>
    </row>
    <row r="2119" spans="5:5">
      <c r="E2119" s="51"/>
    </row>
    <row r="2120" spans="5:5">
      <c r="E2120" s="51"/>
    </row>
    <row r="2121" spans="5:5">
      <c r="E2121" s="51"/>
    </row>
    <row r="2122" spans="5:5">
      <c r="E2122" s="51"/>
    </row>
    <row r="2123" spans="5:5">
      <c r="E2123" s="51"/>
    </row>
    <row r="2124" spans="5:5">
      <c r="E2124" s="51"/>
    </row>
    <row r="2125" spans="5:5">
      <c r="E2125" s="51"/>
    </row>
    <row r="2126" spans="5:5">
      <c r="E2126" s="51"/>
    </row>
    <row r="2127" spans="5:5">
      <c r="E2127" s="51"/>
    </row>
    <row r="2128" spans="5:5">
      <c r="E2128" s="51"/>
    </row>
    <row r="2129" spans="5:5">
      <c r="E2129" s="51"/>
    </row>
    <row r="2130" spans="5:5">
      <c r="E2130" s="51"/>
    </row>
    <row r="2131" spans="5:5">
      <c r="E2131" s="51"/>
    </row>
    <row r="2132" spans="5:5">
      <c r="E2132" s="51"/>
    </row>
    <row r="2133" spans="5:5">
      <c r="E2133" s="51"/>
    </row>
    <row r="2134" spans="5:5">
      <c r="E2134" s="51"/>
    </row>
    <row r="2135" spans="5:5">
      <c r="E2135" s="51"/>
    </row>
    <row r="2136" spans="5:5">
      <c r="E2136" s="51"/>
    </row>
    <row r="2137" spans="5:5">
      <c r="E2137" s="51"/>
    </row>
    <row r="2138" spans="5:5">
      <c r="E2138" s="51"/>
    </row>
    <row r="2139" spans="5:5">
      <c r="E2139" s="51"/>
    </row>
    <row r="2140" spans="5:5">
      <c r="E2140" s="51"/>
    </row>
    <row r="2141" spans="5:5">
      <c r="E2141" s="51"/>
    </row>
    <row r="2142" spans="5:5">
      <c r="E2142" s="51"/>
    </row>
    <row r="2143" spans="5:5">
      <c r="E2143" s="51"/>
    </row>
    <row r="2144" spans="5:5">
      <c r="E2144" s="51"/>
    </row>
    <row r="2145" spans="5:5">
      <c r="E2145" s="51"/>
    </row>
    <row r="2146" spans="5:5">
      <c r="E2146" s="51"/>
    </row>
    <row r="2147" spans="5:5">
      <c r="E2147" s="51"/>
    </row>
    <row r="2148" spans="5:5">
      <c r="E2148" s="51"/>
    </row>
    <row r="2149" spans="5:5">
      <c r="E2149" s="51"/>
    </row>
    <row r="2150" spans="5:5">
      <c r="E2150" s="51"/>
    </row>
    <row r="2151" spans="5:5">
      <c r="E2151" s="51"/>
    </row>
    <row r="2152" spans="5:5">
      <c r="E2152" s="51"/>
    </row>
    <row r="2153" spans="5:5">
      <c r="E2153" s="51"/>
    </row>
    <row r="2154" spans="5:5">
      <c r="E2154" s="51"/>
    </row>
    <row r="2155" spans="5:5">
      <c r="E2155" s="51"/>
    </row>
    <row r="2156" spans="5:5">
      <c r="E2156" s="51"/>
    </row>
    <row r="2157" spans="5:5">
      <c r="E2157" s="51"/>
    </row>
    <row r="2158" spans="5:5">
      <c r="E2158" s="51"/>
    </row>
    <row r="2159" spans="5:5">
      <c r="E2159" s="51"/>
    </row>
    <row r="2160" spans="5:5">
      <c r="E2160" s="51"/>
    </row>
    <row r="2161" spans="5:5">
      <c r="E2161" s="51"/>
    </row>
    <row r="2162" spans="5:5">
      <c r="E2162" s="51"/>
    </row>
    <row r="2163" spans="5:5">
      <c r="E2163" s="51"/>
    </row>
    <row r="2164" spans="5:5">
      <c r="E2164" s="51"/>
    </row>
    <row r="2165" spans="5:5">
      <c r="E2165" s="51"/>
    </row>
    <row r="2166" spans="5:5">
      <c r="E2166" s="51"/>
    </row>
    <row r="2167" spans="5:5">
      <c r="E2167" s="51"/>
    </row>
    <row r="2168" spans="5:5">
      <c r="E2168" s="51"/>
    </row>
    <row r="2169" spans="5:5">
      <c r="E2169" s="51"/>
    </row>
    <row r="2170" spans="5:5">
      <c r="E2170" s="51"/>
    </row>
    <row r="2171" spans="5:5">
      <c r="E2171" s="51"/>
    </row>
    <row r="2172" spans="5:5">
      <c r="E2172" s="51"/>
    </row>
    <row r="2173" spans="5:5">
      <c r="E2173" s="51"/>
    </row>
    <row r="2174" spans="5:5">
      <c r="E2174" s="51"/>
    </row>
    <row r="2175" spans="5:5">
      <c r="E2175" s="51"/>
    </row>
    <row r="2176" spans="5:5">
      <c r="E2176" s="51"/>
    </row>
    <row r="2177" spans="5:5">
      <c r="E2177" s="51"/>
    </row>
    <row r="2178" spans="5:5">
      <c r="E2178" s="51"/>
    </row>
    <row r="2179" spans="5:5">
      <c r="E2179" s="51"/>
    </row>
    <row r="2180" spans="5:5">
      <c r="E2180" s="51"/>
    </row>
    <row r="2181" spans="5:5">
      <c r="E2181" s="51"/>
    </row>
    <row r="2182" spans="5:5">
      <c r="E2182" s="51"/>
    </row>
    <row r="2183" spans="5:5">
      <c r="E2183" s="51"/>
    </row>
    <row r="2184" spans="5:5">
      <c r="E2184" s="51"/>
    </row>
    <row r="2185" spans="5:5">
      <c r="E2185" s="51"/>
    </row>
    <row r="2186" spans="5:5">
      <c r="E2186" s="51"/>
    </row>
    <row r="2187" spans="5:5">
      <c r="E2187" s="51"/>
    </row>
    <row r="2188" spans="5:5">
      <c r="E2188" s="51"/>
    </row>
    <row r="2189" spans="5:5">
      <c r="E2189" s="51"/>
    </row>
    <row r="2190" spans="5:5">
      <c r="E2190" s="51"/>
    </row>
    <row r="2191" spans="5:5">
      <c r="E2191" s="51"/>
    </row>
    <row r="2192" spans="5:5">
      <c r="E2192" s="51"/>
    </row>
    <row r="2193" spans="5:5">
      <c r="E2193" s="51"/>
    </row>
    <row r="2194" spans="5:5">
      <c r="E2194" s="51"/>
    </row>
    <row r="2195" spans="5:5">
      <c r="E2195" s="51"/>
    </row>
    <row r="2196" spans="5:5">
      <c r="E2196" s="51"/>
    </row>
    <row r="2197" spans="5:5">
      <c r="E2197" s="51"/>
    </row>
    <row r="2198" spans="5:5">
      <c r="E2198" s="51"/>
    </row>
    <row r="2199" spans="5:5">
      <c r="E2199" s="51"/>
    </row>
    <row r="2200" spans="5:5">
      <c r="E2200" s="51"/>
    </row>
    <row r="2201" spans="5:5">
      <c r="E2201" s="51"/>
    </row>
    <row r="2202" spans="5:5">
      <c r="E2202" s="51"/>
    </row>
    <row r="2203" spans="5:5">
      <c r="E2203" s="51"/>
    </row>
    <row r="2204" spans="5:5">
      <c r="E2204" s="51"/>
    </row>
    <row r="2205" spans="5:5">
      <c r="E2205" s="51"/>
    </row>
    <row r="2206" spans="5:5">
      <c r="E2206" s="51"/>
    </row>
    <row r="2207" spans="5:5">
      <c r="E2207" s="51"/>
    </row>
    <row r="2208" spans="5:5">
      <c r="E2208" s="51"/>
    </row>
    <row r="2209" spans="5:5">
      <c r="E2209" s="51"/>
    </row>
    <row r="2210" spans="5:5">
      <c r="E2210" s="51"/>
    </row>
    <row r="2211" spans="5:5">
      <c r="E2211" s="51"/>
    </row>
    <row r="2212" spans="5:5">
      <c r="E2212" s="51"/>
    </row>
    <row r="2213" spans="5:5">
      <c r="E2213" s="51"/>
    </row>
    <row r="2214" spans="5:5">
      <c r="E2214" s="51"/>
    </row>
    <row r="2215" spans="5:5">
      <c r="E2215" s="51"/>
    </row>
    <row r="2216" spans="5:5">
      <c r="E2216" s="51"/>
    </row>
    <row r="2217" spans="5:5">
      <c r="E2217" s="51"/>
    </row>
    <row r="2218" spans="5:5">
      <c r="E2218" s="51"/>
    </row>
    <row r="2219" spans="5:5">
      <c r="E2219" s="51"/>
    </row>
    <row r="2220" spans="5:5">
      <c r="E2220" s="51"/>
    </row>
    <row r="2221" spans="5:5">
      <c r="E2221" s="51"/>
    </row>
    <row r="2222" spans="5:5">
      <c r="E2222" s="51"/>
    </row>
    <row r="2223" spans="5:5">
      <c r="E2223" s="51"/>
    </row>
    <row r="2224" spans="5:5">
      <c r="E2224" s="51"/>
    </row>
    <row r="2225" spans="5:5">
      <c r="E2225" s="51"/>
    </row>
    <row r="2226" spans="5:5">
      <c r="E2226" s="51"/>
    </row>
    <row r="2227" spans="5:5">
      <c r="E2227" s="51"/>
    </row>
    <row r="2228" spans="5:5">
      <c r="E2228" s="51"/>
    </row>
    <row r="2229" spans="5:5">
      <c r="E2229" s="51"/>
    </row>
    <row r="2230" spans="5:5">
      <c r="E2230" s="51"/>
    </row>
    <row r="2231" spans="5:5">
      <c r="E2231" s="51"/>
    </row>
    <row r="2232" spans="5:5">
      <c r="E2232" s="51"/>
    </row>
    <row r="2233" spans="5:5">
      <c r="E2233" s="51"/>
    </row>
    <row r="2234" spans="5:5">
      <c r="E2234" s="51"/>
    </row>
    <row r="2235" spans="5:5">
      <c r="E2235" s="51"/>
    </row>
    <row r="2236" spans="5:5">
      <c r="E2236" s="51"/>
    </row>
    <row r="2237" spans="5:5">
      <c r="E2237" s="51"/>
    </row>
    <row r="2238" spans="5:5">
      <c r="E2238" s="51"/>
    </row>
    <row r="2239" spans="5:5">
      <c r="E2239" s="51"/>
    </row>
    <row r="2240" spans="5:5">
      <c r="E2240" s="51"/>
    </row>
    <row r="2241" spans="5:5">
      <c r="E2241" s="51"/>
    </row>
    <row r="2242" spans="5:5">
      <c r="E2242" s="51"/>
    </row>
    <row r="2243" spans="5:5">
      <c r="E2243" s="51"/>
    </row>
    <row r="2244" spans="5:5">
      <c r="E2244" s="51"/>
    </row>
    <row r="2245" spans="5:5">
      <c r="E2245" s="51"/>
    </row>
    <row r="2246" spans="5:5">
      <c r="E2246" s="51"/>
    </row>
    <row r="2247" spans="5:5">
      <c r="E2247" s="51"/>
    </row>
    <row r="2248" spans="5:5">
      <c r="E2248" s="51"/>
    </row>
    <row r="2249" spans="5:5">
      <c r="E2249" s="51"/>
    </row>
    <row r="2250" spans="5:5">
      <c r="E2250" s="51"/>
    </row>
    <row r="2251" spans="5:5">
      <c r="E2251" s="51"/>
    </row>
    <row r="2252" spans="5:5">
      <c r="E2252" s="51"/>
    </row>
    <row r="2253" spans="5:5">
      <c r="E2253" s="51"/>
    </row>
    <row r="2254" spans="5:5">
      <c r="E2254" s="51"/>
    </row>
    <row r="2255" spans="5:5">
      <c r="E2255" s="51"/>
    </row>
    <row r="2256" spans="5:5">
      <c r="E2256" s="51"/>
    </row>
    <row r="2257" spans="5:5">
      <c r="E2257" s="51"/>
    </row>
    <row r="2258" spans="5:5">
      <c r="E2258" s="51"/>
    </row>
    <row r="2259" spans="5:5">
      <c r="E2259" s="51"/>
    </row>
    <row r="2260" spans="5:5">
      <c r="E2260" s="51"/>
    </row>
    <row r="2261" spans="5:5">
      <c r="E2261" s="51"/>
    </row>
    <row r="2262" spans="5:5">
      <c r="E2262" s="51"/>
    </row>
    <row r="2263" spans="5:5">
      <c r="E2263" s="51"/>
    </row>
    <row r="2264" spans="5:5">
      <c r="E2264" s="51"/>
    </row>
    <row r="2265" spans="5:5">
      <c r="E2265" s="51"/>
    </row>
    <row r="2266" spans="5:5">
      <c r="E2266" s="51"/>
    </row>
    <row r="2267" spans="5:5">
      <c r="E2267" s="51"/>
    </row>
    <row r="2268" spans="5:5">
      <c r="E2268" s="51"/>
    </row>
    <row r="2269" spans="5:5">
      <c r="E2269" s="51"/>
    </row>
    <row r="2270" spans="5:5">
      <c r="E2270" s="51"/>
    </row>
    <row r="2271" spans="5:5">
      <c r="E2271" s="51"/>
    </row>
    <row r="2272" spans="5:5">
      <c r="E2272" s="51"/>
    </row>
    <row r="2273" spans="5:5">
      <c r="E2273" s="51"/>
    </row>
    <row r="2274" spans="5:5">
      <c r="E2274" s="51"/>
    </row>
    <row r="2275" spans="5:5">
      <c r="E2275" s="51"/>
    </row>
    <row r="2276" spans="5:5">
      <c r="E2276" s="51"/>
    </row>
    <row r="2277" spans="5:5">
      <c r="E2277" s="51"/>
    </row>
    <row r="2278" spans="5:5">
      <c r="E2278" s="51"/>
    </row>
    <row r="2279" spans="5:5">
      <c r="E2279" s="51"/>
    </row>
    <row r="2280" spans="5:5">
      <c r="E2280" s="51"/>
    </row>
    <row r="2281" spans="5:5">
      <c r="E2281" s="51"/>
    </row>
    <row r="2282" spans="5:5">
      <c r="E2282" s="51"/>
    </row>
    <row r="2283" spans="5:5">
      <c r="E2283" s="51"/>
    </row>
    <row r="2284" spans="5:5">
      <c r="E2284" s="51"/>
    </row>
    <row r="2285" spans="5:5">
      <c r="E2285" s="51"/>
    </row>
    <row r="2286" spans="5:5">
      <c r="E2286" s="51"/>
    </row>
    <row r="2287" spans="5:5">
      <c r="E2287" s="51"/>
    </row>
    <row r="2288" spans="5:5">
      <c r="E2288" s="51"/>
    </row>
    <row r="2289" spans="5:5">
      <c r="E2289" s="51"/>
    </row>
    <row r="2290" spans="5:5">
      <c r="E2290" s="51"/>
    </row>
    <row r="2291" spans="5:5">
      <c r="E2291" s="51"/>
    </row>
    <row r="2292" spans="5:5">
      <c r="E2292" s="51"/>
    </row>
    <row r="2293" spans="5:5">
      <c r="E2293" s="51"/>
    </row>
    <row r="2294" spans="5:5">
      <c r="E2294" s="51"/>
    </row>
    <row r="2295" spans="5:5">
      <c r="E2295" s="51"/>
    </row>
    <row r="2296" spans="5:5">
      <c r="E2296" s="51"/>
    </row>
    <row r="2297" spans="5:5">
      <c r="E2297" s="51"/>
    </row>
    <row r="2298" spans="5:5">
      <c r="E2298" s="51"/>
    </row>
    <row r="2299" spans="5:5">
      <c r="E2299" s="51"/>
    </row>
    <row r="2300" spans="5:5">
      <c r="E2300" s="51"/>
    </row>
    <row r="2301" spans="5:5">
      <c r="E2301" s="51"/>
    </row>
    <row r="2302" spans="5:5">
      <c r="E2302" s="51"/>
    </row>
    <row r="2303" spans="5:5">
      <c r="E2303" s="51"/>
    </row>
    <row r="2304" spans="5:5">
      <c r="E2304" s="51"/>
    </row>
    <row r="2305" spans="5:5">
      <c r="E2305" s="51"/>
    </row>
    <row r="2306" spans="5:5">
      <c r="E2306" s="51"/>
    </row>
    <row r="2307" spans="5:5">
      <c r="E2307" s="51"/>
    </row>
    <row r="2308" spans="5:5">
      <c r="E2308" s="51"/>
    </row>
    <row r="2309" spans="5:5">
      <c r="E2309" s="51"/>
    </row>
    <row r="2310" spans="5:5">
      <c r="E2310" s="51"/>
    </row>
    <row r="2311" spans="5:5">
      <c r="E2311" s="51"/>
    </row>
    <row r="2312" spans="5:5">
      <c r="E2312" s="51"/>
    </row>
    <row r="2313" spans="5:5">
      <c r="E2313" s="51"/>
    </row>
    <row r="2314" spans="5:5">
      <c r="E2314" s="51"/>
    </row>
    <row r="2315" spans="5:5">
      <c r="E2315" s="51"/>
    </row>
    <row r="2316" spans="5:5">
      <c r="E2316" s="51"/>
    </row>
    <row r="2317" spans="5:5">
      <c r="E2317" s="51"/>
    </row>
    <row r="2318" spans="5:5">
      <c r="E2318" s="51"/>
    </row>
    <row r="2319" spans="5:5">
      <c r="E2319" s="51"/>
    </row>
    <row r="2320" spans="5:5">
      <c r="E2320" s="51"/>
    </row>
    <row r="2321" spans="5:5">
      <c r="E2321" s="51"/>
    </row>
    <row r="2322" spans="5:5">
      <c r="E2322" s="51"/>
    </row>
    <row r="2323" spans="5:5">
      <c r="E2323" s="51"/>
    </row>
    <row r="2324" spans="5:5">
      <c r="E2324" s="51"/>
    </row>
    <row r="2325" spans="5:5">
      <c r="E2325" s="51"/>
    </row>
    <row r="2326" spans="5:5">
      <c r="E2326" s="51"/>
    </row>
    <row r="2327" spans="5:5">
      <c r="E2327" s="51"/>
    </row>
    <row r="2328" spans="5:5">
      <c r="E2328" s="51"/>
    </row>
    <row r="2329" spans="5:5">
      <c r="E2329" s="51"/>
    </row>
    <row r="2330" spans="5:5">
      <c r="E2330" s="51"/>
    </row>
    <row r="2331" spans="5:5">
      <c r="E2331" s="51"/>
    </row>
    <row r="2332" spans="5:5">
      <c r="E2332" s="51"/>
    </row>
    <row r="2333" spans="5:5">
      <c r="E2333" s="51"/>
    </row>
    <row r="2334" spans="5:5">
      <c r="E2334" s="51"/>
    </row>
    <row r="2335" spans="5:5">
      <c r="E2335" s="51"/>
    </row>
    <row r="2336" spans="5:5">
      <c r="E2336" s="51"/>
    </row>
    <row r="2337" spans="5:5">
      <c r="E2337" s="51"/>
    </row>
    <row r="2338" spans="5:5">
      <c r="E2338" s="51"/>
    </row>
    <row r="2339" spans="5:5">
      <c r="E2339" s="51"/>
    </row>
    <row r="2340" spans="5:5">
      <c r="E2340" s="51"/>
    </row>
    <row r="2341" spans="5:5">
      <c r="E2341" s="51"/>
    </row>
    <row r="2342" spans="5:5">
      <c r="E2342" s="51"/>
    </row>
    <row r="2343" spans="5:5">
      <c r="E2343" s="51"/>
    </row>
    <row r="2344" spans="5:5">
      <c r="E2344" s="51"/>
    </row>
    <row r="2345" spans="5:5">
      <c r="E2345" s="51"/>
    </row>
    <row r="2346" spans="5:5">
      <c r="E2346" s="51"/>
    </row>
    <row r="2347" spans="5:5">
      <c r="E2347" s="51"/>
    </row>
    <row r="2348" spans="5:5">
      <c r="E2348" s="51"/>
    </row>
    <row r="2349" spans="5:5">
      <c r="E2349" s="51"/>
    </row>
    <row r="2350" spans="5:5">
      <c r="E2350" s="51"/>
    </row>
    <row r="2351" spans="5:5">
      <c r="E2351" s="51"/>
    </row>
    <row r="2352" spans="5:5">
      <c r="E2352" s="51"/>
    </row>
    <row r="2353" spans="5:5">
      <c r="E2353" s="51"/>
    </row>
    <row r="2354" spans="5:5">
      <c r="E2354" s="51"/>
    </row>
    <row r="2355" spans="5:5">
      <c r="E2355" s="51"/>
    </row>
    <row r="2356" spans="5:5">
      <c r="E2356" s="51"/>
    </row>
    <row r="2357" spans="5:5">
      <c r="E2357" s="51"/>
    </row>
    <row r="2358" spans="5:5">
      <c r="E2358" s="51"/>
    </row>
    <row r="2359" spans="5:5">
      <c r="E2359" s="51"/>
    </row>
    <row r="2360" spans="5:5">
      <c r="E2360" s="51"/>
    </row>
    <row r="2361" spans="5:5">
      <c r="E2361" s="51"/>
    </row>
    <row r="2362" spans="5:5">
      <c r="E2362" s="51"/>
    </row>
    <row r="2363" spans="5:5">
      <c r="E2363" s="51"/>
    </row>
    <row r="2364" spans="5:5">
      <c r="E2364" s="51"/>
    </row>
    <row r="2365" spans="5:5">
      <c r="E2365" s="51"/>
    </row>
    <row r="2366" spans="5:5">
      <c r="E2366" s="51"/>
    </row>
    <row r="2367" spans="5:5">
      <c r="E2367" s="51"/>
    </row>
    <row r="2368" spans="5:5">
      <c r="E2368" s="51"/>
    </row>
    <row r="2369" spans="5:5">
      <c r="E2369" s="51"/>
    </row>
    <row r="2370" spans="5:5">
      <c r="E2370" s="51"/>
    </row>
    <row r="2371" spans="5:5">
      <c r="E2371" s="51"/>
    </row>
    <row r="2372" spans="5:5">
      <c r="E2372" s="51"/>
    </row>
    <row r="2373" spans="5:5">
      <c r="E2373" s="51"/>
    </row>
    <row r="2374" spans="5:5">
      <c r="E2374" s="51"/>
    </row>
    <row r="2375" spans="5:5">
      <c r="E2375" s="51"/>
    </row>
    <row r="2376" spans="5:5">
      <c r="E2376" s="51"/>
    </row>
    <row r="2377" spans="5:5">
      <c r="E2377" s="51"/>
    </row>
    <row r="2378" spans="5:5">
      <c r="E2378" s="51"/>
    </row>
    <row r="2379" spans="5:5">
      <c r="E2379" s="51"/>
    </row>
    <row r="2380" spans="5:5">
      <c r="E2380" s="51"/>
    </row>
    <row r="2381" spans="5:5">
      <c r="E2381" s="51"/>
    </row>
    <row r="2382" spans="5:5">
      <c r="E2382" s="51"/>
    </row>
    <row r="2383" spans="5:5">
      <c r="E2383" s="51"/>
    </row>
    <row r="2384" spans="5:5">
      <c r="E2384" s="51"/>
    </row>
    <row r="2385" spans="5:5">
      <c r="E2385" s="51"/>
    </row>
    <row r="2386" spans="5:5">
      <c r="E2386" s="51"/>
    </row>
    <row r="2387" spans="5:5">
      <c r="E2387" s="51"/>
    </row>
    <row r="2388" spans="5:5">
      <c r="E2388" s="51"/>
    </row>
    <row r="2389" spans="5:5">
      <c r="E2389" s="51"/>
    </row>
    <row r="2390" spans="5:5">
      <c r="E2390" s="51"/>
    </row>
    <row r="2391" spans="5:5">
      <c r="E2391" s="51"/>
    </row>
    <row r="2392" spans="5:5">
      <c r="E2392" s="51"/>
    </row>
    <row r="2393" spans="5:5">
      <c r="E2393" s="51"/>
    </row>
    <row r="2394" spans="5:5">
      <c r="E2394" s="51"/>
    </row>
    <row r="2395" spans="5:5">
      <c r="E2395" s="51"/>
    </row>
    <row r="2396" spans="5:5">
      <c r="E2396" s="51"/>
    </row>
    <row r="2397" spans="5:5">
      <c r="E2397" s="51"/>
    </row>
    <row r="2398" spans="5:5">
      <c r="E2398" s="51"/>
    </row>
    <row r="2399" spans="5:5">
      <c r="E2399" s="51"/>
    </row>
    <row r="2400" spans="5:5">
      <c r="E2400" s="51"/>
    </row>
    <row r="2401" spans="5:5">
      <c r="E2401" s="51"/>
    </row>
    <row r="2402" spans="5:5">
      <c r="E2402" s="51"/>
    </row>
    <row r="2403" spans="5:5">
      <c r="E2403" s="51"/>
    </row>
    <row r="2404" spans="5:5">
      <c r="E2404" s="51"/>
    </row>
    <row r="2405" spans="5:5">
      <c r="E2405" s="51"/>
    </row>
    <row r="2406" spans="5:5">
      <c r="E2406" s="51"/>
    </row>
    <row r="2407" spans="5:5">
      <c r="E2407" s="51"/>
    </row>
    <row r="2408" spans="5:5">
      <c r="E2408" s="51"/>
    </row>
    <row r="2409" spans="5:5">
      <c r="E2409" s="51"/>
    </row>
    <row r="2410" spans="5:5">
      <c r="E2410" s="51"/>
    </row>
    <row r="2411" spans="5:5">
      <c r="E2411" s="51"/>
    </row>
    <row r="2412" spans="5:5">
      <c r="E2412" s="51"/>
    </row>
    <row r="2413" spans="5:5">
      <c r="E2413" s="51"/>
    </row>
    <row r="2414" spans="5:5">
      <c r="E2414" s="51"/>
    </row>
    <row r="2415" spans="5:5">
      <c r="E2415" s="51"/>
    </row>
    <row r="2416" spans="5:5">
      <c r="E2416" s="51"/>
    </row>
    <row r="2417" spans="5:5">
      <c r="E2417" s="51"/>
    </row>
    <row r="2418" spans="5:5">
      <c r="E2418" s="51"/>
    </row>
    <row r="2419" spans="5:5">
      <c r="E2419" s="51"/>
    </row>
    <row r="2420" spans="5:5">
      <c r="E2420" s="51"/>
    </row>
    <row r="2421" spans="5:5">
      <c r="E2421" s="51"/>
    </row>
    <row r="2422" spans="5:5">
      <c r="E2422" s="51"/>
    </row>
    <row r="2423" spans="5:5">
      <c r="E2423" s="51"/>
    </row>
    <row r="2424" spans="5:5">
      <c r="E2424" s="51"/>
    </row>
    <row r="2425" spans="5:5">
      <c r="E2425" s="51"/>
    </row>
    <row r="2426" spans="5:5">
      <c r="E2426" s="51"/>
    </row>
    <row r="2427" spans="5:5">
      <c r="E2427" s="51"/>
    </row>
    <row r="2428" spans="5:5">
      <c r="E2428" s="51"/>
    </row>
    <row r="2429" spans="5:5">
      <c r="E2429" s="51"/>
    </row>
    <row r="2430" spans="5:5">
      <c r="E2430" s="51"/>
    </row>
    <row r="2431" spans="5:5">
      <c r="E2431" s="51"/>
    </row>
    <row r="2432" spans="5:5">
      <c r="E2432" s="51"/>
    </row>
    <row r="2433" spans="5:5">
      <c r="E2433" s="51"/>
    </row>
    <row r="2434" spans="5:5">
      <c r="E2434" s="51"/>
    </row>
    <row r="2435" spans="5:5">
      <c r="E2435" s="51"/>
    </row>
    <row r="2436" spans="5:5">
      <c r="E2436" s="51"/>
    </row>
    <row r="2437" spans="5:5">
      <c r="E2437" s="51"/>
    </row>
    <row r="2438" spans="5:5">
      <c r="E2438" s="51"/>
    </row>
    <row r="2439" spans="5:5">
      <c r="E2439" s="51"/>
    </row>
    <row r="2440" spans="5:5">
      <c r="E2440" s="51"/>
    </row>
    <row r="2441" spans="5:5">
      <c r="E2441" s="51"/>
    </row>
    <row r="2442" spans="5:5">
      <c r="E2442" s="51"/>
    </row>
    <row r="2443" spans="5:5">
      <c r="E2443" s="51"/>
    </row>
    <row r="2444" spans="5:5">
      <c r="E2444" s="51"/>
    </row>
    <row r="2445" spans="5:5">
      <c r="E2445" s="51"/>
    </row>
    <row r="2446" spans="5:5">
      <c r="E2446" s="51"/>
    </row>
    <row r="2447" spans="5:5">
      <c r="E2447" s="51"/>
    </row>
    <row r="2448" spans="5:5">
      <c r="E2448" s="51"/>
    </row>
    <row r="2449" spans="5:5">
      <c r="E2449" s="51"/>
    </row>
    <row r="2450" spans="5:5">
      <c r="E2450" s="51"/>
    </row>
    <row r="2451" spans="5:5">
      <c r="E2451" s="51"/>
    </row>
    <row r="2452" spans="5:5">
      <c r="E2452" s="51"/>
    </row>
    <row r="2453" spans="5:5">
      <c r="E2453" s="51"/>
    </row>
    <row r="2454" spans="5:5">
      <c r="E2454" s="51"/>
    </row>
    <row r="2455" spans="5:5">
      <c r="E2455" s="51"/>
    </row>
    <row r="2456" spans="5:5">
      <c r="E2456" s="51"/>
    </row>
    <row r="2457" spans="5:5">
      <c r="E2457" s="51"/>
    </row>
    <row r="2458" spans="5:5">
      <c r="E2458" s="51"/>
    </row>
    <row r="2459" spans="5:5">
      <c r="E2459" s="51"/>
    </row>
    <row r="2460" spans="5:5">
      <c r="E2460" s="51"/>
    </row>
    <row r="2461" spans="5:5">
      <c r="E2461" s="51"/>
    </row>
    <row r="2462" spans="5:5">
      <c r="E2462" s="51"/>
    </row>
    <row r="2463" spans="5:5">
      <c r="E2463" s="51"/>
    </row>
    <row r="2464" spans="5:5">
      <c r="E2464" s="51"/>
    </row>
    <row r="2465" spans="5:5">
      <c r="E2465" s="51"/>
    </row>
    <row r="2466" spans="5:5">
      <c r="E2466" s="51"/>
    </row>
    <row r="2467" spans="5:5">
      <c r="E2467" s="51"/>
    </row>
    <row r="2468" spans="5:5">
      <c r="E2468" s="51"/>
    </row>
    <row r="2469" spans="5:5">
      <c r="E2469" s="51"/>
    </row>
    <row r="2470" spans="5:5">
      <c r="E2470" s="51"/>
    </row>
    <row r="2471" spans="5:5">
      <c r="E2471" s="51"/>
    </row>
    <row r="2472" spans="5:5">
      <c r="E2472" s="51"/>
    </row>
    <row r="2473" spans="5:5">
      <c r="E2473" s="51"/>
    </row>
    <row r="2474" spans="5:5">
      <c r="E2474" s="51"/>
    </row>
    <row r="2475" spans="5:5">
      <c r="E2475" s="51"/>
    </row>
    <row r="2476" spans="5:5">
      <c r="E2476" s="51"/>
    </row>
    <row r="2477" spans="5:5">
      <c r="E2477" s="51"/>
    </row>
    <row r="2478" spans="5:5">
      <c r="E2478" s="51"/>
    </row>
    <row r="2479" spans="5:5">
      <c r="E2479" s="51"/>
    </row>
    <row r="2480" spans="5:5">
      <c r="E2480" s="51"/>
    </row>
    <row r="2481" spans="5:5">
      <c r="E2481" s="51"/>
    </row>
    <row r="2482" spans="5:5">
      <c r="E2482" s="51"/>
    </row>
    <row r="2483" spans="5:5">
      <c r="E2483" s="51"/>
    </row>
    <row r="2484" spans="5:5">
      <c r="E2484" s="51"/>
    </row>
    <row r="2485" spans="5:5">
      <c r="E2485" s="51"/>
    </row>
    <row r="2486" spans="5:5">
      <c r="E2486" s="51"/>
    </row>
    <row r="2487" spans="5:5">
      <c r="E2487" s="51"/>
    </row>
    <row r="2488" spans="5:5">
      <c r="E2488" s="51"/>
    </row>
    <row r="2489" spans="5:5">
      <c r="E2489" s="51"/>
    </row>
    <row r="2490" spans="5:5">
      <c r="E2490" s="51"/>
    </row>
    <row r="2491" spans="5:5">
      <c r="E2491" s="51"/>
    </row>
    <row r="2492" spans="5:5">
      <c r="E2492" s="51"/>
    </row>
    <row r="2493" spans="5:5">
      <c r="E2493" s="51"/>
    </row>
    <row r="2494" spans="5:5">
      <c r="E2494" s="51"/>
    </row>
    <row r="2495" spans="5:5">
      <c r="E2495" s="51"/>
    </row>
    <row r="2496" spans="5:5">
      <c r="E2496" s="51"/>
    </row>
    <row r="2497" spans="5:5">
      <c r="E2497" s="51"/>
    </row>
    <row r="2498" spans="5:5">
      <c r="E2498" s="51"/>
    </row>
    <row r="2499" spans="5:5">
      <c r="E2499" s="51"/>
    </row>
    <row r="2500" spans="5:5">
      <c r="E2500" s="51"/>
    </row>
    <row r="2501" spans="5:5">
      <c r="E2501" s="51"/>
    </row>
    <row r="2502" spans="5:5">
      <c r="E2502" s="51"/>
    </row>
    <row r="2503" spans="5:5">
      <c r="E2503" s="51"/>
    </row>
    <row r="2504" spans="5:5">
      <c r="E2504" s="51"/>
    </row>
    <row r="2505" spans="5:5">
      <c r="E2505" s="51"/>
    </row>
    <row r="2506" spans="5:5">
      <c r="E2506" s="51"/>
    </row>
    <row r="2507" spans="5:5">
      <c r="E2507" s="51"/>
    </row>
    <row r="2508" spans="5:5">
      <c r="E2508" s="51"/>
    </row>
    <row r="2509" spans="5:5">
      <c r="E2509" s="51"/>
    </row>
    <row r="2510" spans="5:5">
      <c r="E2510" s="51"/>
    </row>
    <row r="2511" spans="5:5">
      <c r="E2511" s="51"/>
    </row>
    <row r="2512" spans="5:5">
      <c r="E2512" s="51"/>
    </row>
    <row r="2513" spans="5:5">
      <c r="E2513" s="51"/>
    </row>
    <row r="2514" spans="5:5">
      <c r="E2514" s="51"/>
    </row>
    <row r="2515" spans="5:5">
      <c r="E2515" s="51"/>
    </row>
    <row r="2516" spans="5:5">
      <c r="E2516" s="51"/>
    </row>
    <row r="2517" spans="5:5">
      <c r="E2517" s="51"/>
    </row>
    <row r="2518" spans="5:5">
      <c r="E2518" s="51"/>
    </row>
    <row r="2519" spans="5:5">
      <c r="E2519" s="51"/>
    </row>
    <row r="2520" spans="5:5">
      <c r="E2520" s="51"/>
    </row>
    <row r="2521" spans="5:5">
      <c r="E2521" s="51"/>
    </row>
    <row r="2522" spans="5:5">
      <c r="E2522" s="51"/>
    </row>
    <row r="2523" spans="5:5">
      <c r="E2523" s="51"/>
    </row>
    <row r="2524" spans="5:5">
      <c r="E2524" s="51"/>
    </row>
    <row r="2525" spans="5:5">
      <c r="E2525" s="51"/>
    </row>
    <row r="2526" spans="5:5">
      <c r="E2526" s="51"/>
    </row>
    <row r="2527" spans="5:5">
      <c r="E2527" s="51"/>
    </row>
    <row r="2528" spans="5:5">
      <c r="E2528" s="51"/>
    </row>
    <row r="2529" spans="5:5">
      <c r="E2529" s="51"/>
    </row>
    <row r="2530" spans="5:5">
      <c r="E2530" s="51"/>
    </row>
    <row r="2531" spans="5:5">
      <c r="E2531" s="51"/>
    </row>
    <row r="2532" spans="5:5">
      <c r="E2532" s="51"/>
    </row>
    <row r="2533" spans="5:5">
      <c r="E2533" s="51"/>
    </row>
    <row r="2534" spans="5:5">
      <c r="E2534" s="51"/>
    </row>
    <row r="2535" spans="5:5">
      <c r="E2535" s="51"/>
    </row>
    <row r="2536" spans="5:5">
      <c r="E2536" s="51"/>
    </row>
    <row r="2537" spans="5:5">
      <c r="E2537" s="51"/>
    </row>
    <row r="2538" spans="5:5">
      <c r="E2538" s="51"/>
    </row>
    <row r="2539" spans="5:5">
      <c r="E2539" s="51"/>
    </row>
    <row r="2540" spans="5:5">
      <c r="E2540" s="51"/>
    </row>
    <row r="2541" spans="5:5">
      <c r="E2541" s="51"/>
    </row>
    <row r="2542" spans="5:5">
      <c r="E2542" s="51"/>
    </row>
    <row r="2543" spans="5:5">
      <c r="E2543" s="51"/>
    </row>
    <row r="2544" spans="5:5">
      <c r="E2544" s="51"/>
    </row>
    <row r="2545" spans="5:5">
      <c r="E2545" s="51"/>
    </row>
    <row r="2546" spans="5:5">
      <c r="E2546" s="51"/>
    </row>
    <row r="2547" spans="5:5">
      <c r="E2547" s="51"/>
    </row>
    <row r="2548" spans="5:5">
      <c r="E2548" s="51"/>
    </row>
    <row r="2549" spans="5:5">
      <c r="E2549" s="51"/>
    </row>
    <row r="2550" spans="5:5">
      <c r="E2550" s="51"/>
    </row>
    <row r="2551" spans="5:5">
      <c r="E2551" s="51"/>
    </row>
    <row r="2552" spans="5:5">
      <c r="E2552" s="51"/>
    </row>
    <row r="2553" spans="5:5">
      <c r="E2553" s="51"/>
    </row>
    <row r="2554" spans="5:5">
      <c r="E2554" s="51"/>
    </row>
    <row r="2555" spans="5:5">
      <c r="E2555" s="51"/>
    </row>
    <row r="2556" spans="5:5">
      <c r="E2556" s="51"/>
    </row>
    <row r="2557" spans="5:5">
      <c r="E2557" s="51"/>
    </row>
    <row r="2558" spans="5:5">
      <c r="E2558" s="51"/>
    </row>
    <row r="2559" spans="5:5">
      <c r="E2559" s="51"/>
    </row>
    <row r="2560" spans="5:5">
      <c r="E2560" s="51"/>
    </row>
    <row r="2561" spans="5:5">
      <c r="E2561" s="51"/>
    </row>
    <row r="2562" spans="5:5">
      <c r="E2562" s="51"/>
    </row>
    <row r="2563" spans="5:5">
      <c r="E2563" s="51"/>
    </row>
    <row r="2564" spans="5:5">
      <c r="E2564" s="51"/>
    </row>
    <row r="2565" spans="5:5">
      <c r="E2565" s="51"/>
    </row>
    <row r="2566" spans="5:5">
      <c r="E2566" s="51"/>
    </row>
    <row r="2567" spans="5:5">
      <c r="E2567" s="51"/>
    </row>
    <row r="2568" spans="5:5">
      <c r="E2568" s="51"/>
    </row>
    <row r="2569" spans="5:5">
      <c r="E2569" s="51"/>
    </row>
    <row r="2570" spans="5:5">
      <c r="E2570" s="51"/>
    </row>
    <row r="2571" spans="5:5">
      <c r="E2571" s="51"/>
    </row>
    <row r="2572" spans="5:5">
      <c r="E2572" s="51"/>
    </row>
    <row r="2573" spans="5:5">
      <c r="E2573" s="51"/>
    </row>
    <row r="2574" spans="5:5">
      <c r="E2574" s="51"/>
    </row>
    <row r="2575" spans="5:5">
      <c r="E2575" s="51"/>
    </row>
    <row r="2576" spans="5:5">
      <c r="E2576" s="51"/>
    </row>
    <row r="2577" spans="5:5">
      <c r="E2577" s="51"/>
    </row>
    <row r="2578" spans="5:5">
      <c r="E2578" s="51"/>
    </row>
    <row r="2579" spans="5:5">
      <c r="E2579" s="51"/>
    </row>
    <row r="2580" spans="5:5">
      <c r="E2580" s="51"/>
    </row>
    <row r="2581" spans="5:5">
      <c r="E2581" s="51"/>
    </row>
    <row r="2582" spans="5:5">
      <c r="E2582" s="51"/>
    </row>
    <row r="2583" spans="5:5">
      <c r="E2583" s="51"/>
    </row>
    <row r="2584" spans="5:5">
      <c r="E2584" s="51"/>
    </row>
    <row r="2585" spans="5:5">
      <c r="E2585" s="51"/>
    </row>
    <row r="2586" spans="5:5">
      <c r="E2586" s="51"/>
    </row>
    <row r="2587" spans="5:5">
      <c r="E2587" s="51"/>
    </row>
    <row r="2588" spans="5:5">
      <c r="E2588" s="51"/>
    </row>
    <row r="2589" spans="5:5">
      <c r="E2589" s="51"/>
    </row>
    <row r="2590" spans="5:5">
      <c r="E2590" s="51"/>
    </row>
    <row r="2591" spans="5:5">
      <c r="E2591" s="51"/>
    </row>
    <row r="2592" spans="5:5">
      <c r="E2592" s="51"/>
    </row>
    <row r="2593" spans="5:5">
      <c r="E2593" s="51"/>
    </row>
    <row r="2594" spans="5:5">
      <c r="E2594" s="51"/>
    </row>
    <row r="2595" spans="5:5">
      <c r="E2595" s="51"/>
    </row>
    <row r="2596" spans="5:5">
      <c r="E2596" s="51"/>
    </row>
    <row r="2597" spans="5:5">
      <c r="E2597" s="51"/>
    </row>
    <row r="2598" spans="5:5">
      <c r="E2598" s="51"/>
    </row>
    <row r="2599" spans="5:5">
      <c r="E2599" s="51"/>
    </row>
    <row r="2600" spans="5:5">
      <c r="E2600" s="51"/>
    </row>
    <row r="2601" spans="5:5">
      <c r="E2601" s="51"/>
    </row>
    <row r="2602" spans="5:5">
      <c r="E2602" s="51"/>
    </row>
    <row r="2603" spans="5:5">
      <c r="E2603" s="51"/>
    </row>
    <row r="2604" spans="5:5">
      <c r="E2604" s="51"/>
    </row>
    <row r="2605" spans="5:5">
      <c r="E2605" s="51"/>
    </row>
    <row r="2606" spans="5:5">
      <c r="E2606" s="51"/>
    </row>
    <row r="2607" spans="5:5">
      <c r="E2607" s="51"/>
    </row>
    <row r="2608" spans="5:5">
      <c r="E2608" s="51"/>
    </row>
    <row r="2609" spans="5:5">
      <c r="E2609" s="51"/>
    </row>
    <row r="2610" spans="5:5">
      <c r="E2610" s="51"/>
    </row>
    <row r="2611" spans="5:5">
      <c r="E2611" s="51"/>
    </row>
    <row r="2612" spans="5:5">
      <c r="E2612" s="51"/>
    </row>
    <row r="2613" spans="5:5">
      <c r="E2613" s="51"/>
    </row>
    <row r="2614" spans="5:5">
      <c r="E2614" s="51"/>
    </row>
    <row r="2615" spans="5:5">
      <c r="E2615" s="51"/>
    </row>
    <row r="2616" spans="5:5">
      <c r="E2616" s="51"/>
    </row>
    <row r="2617" spans="5:5">
      <c r="E2617" s="51"/>
    </row>
    <row r="2618" spans="5:5">
      <c r="E2618" s="51"/>
    </row>
    <row r="2619" spans="5:5">
      <c r="E2619" s="51"/>
    </row>
    <row r="2620" spans="5:5">
      <c r="E2620" s="51"/>
    </row>
    <row r="2621" spans="5:5">
      <c r="E2621" s="51"/>
    </row>
    <row r="2622" spans="5:5">
      <c r="E2622" s="51"/>
    </row>
    <row r="2623" spans="5:5">
      <c r="E2623" s="51"/>
    </row>
    <row r="2624" spans="5:5">
      <c r="E2624" s="51"/>
    </row>
    <row r="2625" spans="5:5">
      <c r="E2625" s="51"/>
    </row>
    <row r="2626" spans="5:5">
      <c r="E2626" s="51"/>
    </row>
    <row r="2627" spans="5:5">
      <c r="E2627" s="51"/>
    </row>
    <row r="2628" spans="5:5">
      <c r="E2628" s="51"/>
    </row>
    <row r="2629" spans="5:5">
      <c r="E2629" s="51"/>
    </row>
    <row r="2630" spans="5:5">
      <c r="E2630" s="51"/>
    </row>
    <row r="2631" spans="5:5">
      <c r="E2631" s="51"/>
    </row>
    <row r="2632" spans="5:5">
      <c r="E2632" s="51"/>
    </row>
    <row r="2633" spans="5:5">
      <c r="E2633" s="51"/>
    </row>
    <row r="2634" spans="5:5">
      <c r="E2634" s="51"/>
    </row>
    <row r="2635" spans="5:5">
      <c r="E2635" s="51"/>
    </row>
    <row r="2636" spans="5:5">
      <c r="E2636" s="51"/>
    </row>
    <row r="2637" spans="5:5">
      <c r="E2637" s="51"/>
    </row>
    <row r="2638" spans="5:5">
      <c r="E2638" s="51"/>
    </row>
    <row r="2639" spans="5:5">
      <c r="E2639" s="51"/>
    </row>
    <row r="2640" spans="5:5">
      <c r="E2640" s="51"/>
    </row>
    <row r="2641" spans="5:5">
      <c r="E2641" s="51"/>
    </row>
    <row r="2642" spans="5:5">
      <c r="E2642" s="51"/>
    </row>
    <row r="2643" spans="5:5">
      <c r="E2643" s="51"/>
    </row>
    <row r="2644" spans="5:5">
      <c r="E2644" s="51"/>
    </row>
    <row r="2645" spans="5:5">
      <c r="E2645" s="51"/>
    </row>
    <row r="2646" spans="5:5">
      <c r="E2646" s="51"/>
    </row>
    <row r="2647" spans="5:5">
      <c r="E2647" s="51"/>
    </row>
    <row r="2648" spans="5:5">
      <c r="E2648" s="51"/>
    </row>
    <row r="2649" spans="5:5">
      <c r="E2649" s="51"/>
    </row>
    <row r="2650" spans="5:5">
      <c r="E2650" s="51"/>
    </row>
    <row r="2651" spans="5:5">
      <c r="E2651" s="51"/>
    </row>
    <row r="2652" spans="5:5">
      <c r="E2652" s="51"/>
    </row>
    <row r="2653" spans="5:5">
      <c r="E2653" s="51"/>
    </row>
    <row r="2654" spans="5:5">
      <c r="E2654" s="51"/>
    </row>
    <row r="2655" spans="5:5">
      <c r="E2655" s="51"/>
    </row>
    <row r="2656" spans="5:5">
      <c r="E2656" s="51"/>
    </row>
    <row r="2657" spans="5:5">
      <c r="E2657" s="51"/>
    </row>
    <row r="2658" spans="5:5">
      <c r="E2658" s="51"/>
    </row>
    <row r="2659" spans="5:5">
      <c r="E2659" s="51"/>
    </row>
    <row r="2660" spans="5:5">
      <c r="E2660" s="51"/>
    </row>
    <row r="2661" spans="5:5">
      <c r="E2661" s="51"/>
    </row>
    <row r="2662" spans="5:5">
      <c r="E2662" s="51"/>
    </row>
    <row r="2663" spans="5:5">
      <c r="E2663" s="51"/>
    </row>
    <row r="2664" spans="5:5">
      <c r="E2664" s="51"/>
    </row>
    <row r="2665" spans="5:5">
      <c r="E2665" s="51"/>
    </row>
    <row r="2666" spans="5:5">
      <c r="E2666" s="51"/>
    </row>
    <row r="2667" spans="5:5">
      <c r="E2667" s="51"/>
    </row>
    <row r="2668" spans="5:5">
      <c r="E2668" s="51"/>
    </row>
    <row r="2669" spans="5:5">
      <c r="E2669" s="51"/>
    </row>
    <row r="2670" spans="5:5">
      <c r="E2670" s="51"/>
    </row>
    <row r="2671" spans="5:5">
      <c r="E2671" s="51"/>
    </row>
    <row r="2672" spans="5:5">
      <c r="E2672" s="51"/>
    </row>
    <row r="2673" spans="5:5">
      <c r="E2673" s="51"/>
    </row>
    <row r="2674" spans="5:5">
      <c r="E2674" s="51"/>
    </row>
    <row r="2675" spans="5:5">
      <c r="E2675" s="51"/>
    </row>
    <row r="2676" spans="5:5">
      <c r="E2676" s="51"/>
    </row>
    <row r="2677" spans="5:5">
      <c r="E2677" s="51"/>
    </row>
    <row r="2678" spans="5:5">
      <c r="E2678" s="51"/>
    </row>
    <row r="2679" spans="5:5">
      <c r="E2679" s="51"/>
    </row>
    <row r="2680" spans="5:5">
      <c r="E2680" s="51"/>
    </row>
    <row r="2681" spans="5:5">
      <c r="E2681" s="51"/>
    </row>
    <row r="2682" spans="5:5">
      <c r="E2682" s="51"/>
    </row>
    <row r="2683" spans="5:5">
      <c r="E2683" s="51"/>
    </row>
    <row r="2684" spans="5:5">
      <c r="E2684" s="51"/>
    </row>
    <row r="2685" spans="5:5">
      <c r="E2685" s="51"/>
    </row>
    <row r="2686" spans="5:5">
      <c r="E2686" s="51"/>
    </row>
    <row r="2687" spans="5:5">
      <c r="E2687" s="51"/>
    </row>
    <row r="2688" spans="5:5">
      <c r="E2688" s="51"/>
    </row>
    <row r="2689" spans="5:5">
      <c r="E2689" s="51"/>
    </row>
    <row r="2690" spans="5:5">
      <c r="E2690" s="51"/>
    </row>
    <row r="2691" spans="5:5">
      <c r="E2691" s="51"/>
    </row>
    <row r="2692" spans="5:5">
      <c r="E2692" s="51"/>
    </row>
    <row r="2693" spans="5:5">
      <c r="E2693" s="51"/>
    </row>
    <row r="2694" spans="5:5">
      <c r="E2694" s="51"/>
    </row>
    <row r="2695" spans="5:5">
      <c r="E2695" s="51"/>
    </row>
    <row r="2696" spans="5:5">
      <c r="E2696" s="51"/>
    </row>
    <row r="2697" spans="5:5">
      <c r="E2697" s="51"/>
    </row>
    <row r="2698" spans="5:5">
      <c r="E2698" s="51"/>
    </row>
    <row r="2699" spans="5:5">
      <c r="E2699" s="51"/>
    </row>
    <row r="2700" spans="5:5">
      <c r="E2700" s="51"/>
    </row>
    <row r="2701" spans="5:5">
      <c r="E2701" s="51"/>
    </row>
    <row r="2702" spans="5:5">
      <c r="E2702" s="51"/>
    </row>
    <row r="2703" spans="5:5">
      <c r="E2703" s="51"/>
    </row>
    <row r="2704" spans="5:5">
      <c r="E2704" s="51"/>
    </row>
    <row r="2705" spans="5:5">
      <c r="E2705" s="51"/>
    </row>
    <row r="2706" spans="5:5">
      <c r="E2706" s="51"/>
    </row>
    <row r="2707" spans="5:5">
      <c r="E2707" s="51"/>
    </row>
    <row r="2708" spans="5:5">
      <c r="E2708" s="51"/>
    </row>
    <row r="2709" spans="5:5">
      <c r="E2709" s="51"/>
    </row>
    <row r="2710" spans="5:5">
      <c r="E2710" s="51"/>
    </row>
    <row r="2711" spans="5:5">
      <c r="E2711" s="51"/>
    </row>
    <row r="2712" spans="5:5">
      <c r="E2712" s="51"/>
    </row>
    <row r="2713" spans="5:5">
      <c r="E2713" s="51"/>
    </row>
    <row r="2714" spans="5:5">
      <c r="E2714" s="51"/>
    </row>
    <row r="2715" spans="5:5">
      <c r="E2715" s="51"/>
    </row>
    <row r="2716" spans="5:5">
      <c r="E2716" s="51"/>
    </row>
    <row r="2717" spans="5:5">
      <c r="E2717" s="51"/>
    </row>
    <row r="2718" spans="5:5">
      <c r="E2718" s="51"/>
    </row>
    <row r="2719" spans="5:5">
      <c r="E2719" s="51"/>
    </row>
    <row r="2720" spans="5:5">
      <c r="E2720" s="51"/>
    </row>
    <row r="2721" spans="5:5">
      <c r="E2721" s="51"/>
    </row>
    <row r="2722" spans="5:5">
      <c r="E2722" s="51"/>
    </row>
    <row r="2723" spans="5:5">
      <c r="E2723" s="51"/>
    </row>
    <row r="2724" spans="5:5">
      <c r="E2724" s="51"/>
    </row>
    <row r="2725" spans="5:5">
      <c r="E2725" s="51"/>
    </row>
    <row r="2726" spans="5:5">
      <c r="E2726" s="51"/>
    </row>
    <row r="2727" spans="5:5">
      <c r="E2727" s="51"/>
    </row>
    <row r="2728" spans="5:5">
      <c r="E2728" s="51"/>
    </row>
    <row r="2729" spans="5:5">
      <c r="E2729" s="51"/>
    </row>
    <row r="2730" spans="5:5">
      <c r="E2730" s="51"/>
    </row>
    <row r="2731" spans="5:5">
      <c r="E2731" s="51"/>
    </row>
    <row r="2732" spans="5:5">
      <c r="E2732" s="51"/>
    </row>
    <row r="2733" spans="5:5">
      <c r="E2733" s="51"/>
    </row>
    <row r="2734" spans="5:5">
      <c r="E2734" s="51"/>
    </row>
    <row r="2735" spans="5:5">
      <c r="E2735" s="51"/>
    </row>
    <row r="2736" spans="5:5">
      <c r="E2736" s="51"/>
    </row>
    <row r="2737" spans="5:5">
      <c r="E2737" s="51"/>
    </row>
    <row r="2738" spans="5:5">
      <c r="E2738" s="51"/>
    </row>
    <row r="2739" spans="5:5">
      <c r="E2739" s="51"/>
    </row>
    <row r="2740" spans="5:5">
      <c r="E2740" s="51"/>
    </row>
    <row r="2741" spans="5:5">
      <c r="E2741" s="51"/>
    </row>
    <row r="2742" spans="5:5">
      <c r="E2742" s="51"/>
    </row>
    <row r="2743" spans="5:5">
      <c r="E2743" s="51"/>
    </row>
    <row r="2744" spans="5:5">
      <c r="E2744" s="51"/>
    </row>
    <row r="2745" spans="5:5">
      <c r="E2745" s="51"/>
    </row>
    <row r="2746" spans="5:5">
      <c r="E2746" s="51"/>
    </row>
    <row r="2747" spans="5:5">
      <c r="E2747" s="51"/>
    </row>
    <row r="2748" spans="5:5">
      <c r="E2748" s="51"/>
    </row>
    <row r="2749" spans="5:5">
      <c r="E2749" s="51"/>
    </row>
    <row r="2750" spans="5:5">
      <c r="E2750" s="51"/>
    </row>
    <row r="2751" spans="5:5">
      <c r="E2751" s="51"/>
    </row>
    <row r="2752" spans="5:5">
      <c r="E2752" s="51"/>
    </row>
    <row r="2753" spans="5:5">
      <c r="E2753" s="51"/>
    </row>
    <row r="2754" spans="5:5">
      <c r="E2754" s="51"/>
    </row>
    <row r="2755" spans="5:5">
      <c r="E2755" s="51"/>
    </row>
    <row r="2756" spans="5:5">
      <c r="E2756" s="51"/>
    </row>
    <row r="2757" spans="5:5">
      <c r="E2757" s="51"/>
    </row>
    <row r="2758" spans="5:5">
      <c r="E2758" s="51"/>
    </row>
    <row r="2759" spans="5:5">
      <c r="E2759" s="51"/>
    </row>
    <row r="2760" spans="5:5">
      <c r="E2760" s="51"/>
    </row>
    <row r="2761" spans="5:5">
      <c r="E2761" s="51"/>
    </row>
    <row r="2762" spans="5:5">
      <c r="E2762" s="51"/>
    </row>
    <row r="2763" spans="5:5">
      <c r="E2763" s="51"/>
    </row>
    <row r="2764" spans="5:5">
      <c r="E2764" s="51"/>
    </row>
    <row r="2765" spans="5:5">
      <c r="E2765" s="51"/>
    </row>
    <row r="2766" spans="5:5">
      <c r="E2766" s="51"/>
    </row>
    <row r="2767" spans="5:5">
      <c r="E2767" s="51"/>
    </row>
    <row r="2768" spans="5:5">
      <c r="E2768" s="51"/>
    </row>
    <row r="2769" spans="5:5">
      <c r="E2769" s="51"/>
    </row>
    <row r="2770" spans="5:5">
      <c r="E2770" s="51"/>
    </row>
    <row r="2771" spans="5:5">
      <c r="E2771" s="51"/>
    </row>
    <row r="2772" spans="5:5">
      <c r="E2772" s="51"/>
    </row>
    <row r="2773" spans="5:5">
      <c r="E2773" s="51"/>
    </row>
    <row r="2774" spans="5:5">
      <c r="E2774" s="51"/>
    </row>
    <row r="2775" spans="5:5">
      <c r="E2775" s="51"/>
    </row>
    <row r="2776" spans="5:5">
      <c r="E2776" s="51"/>
    </row>
    <row r="2777" spans="5:5">
      <c r="E2777" s="51"/>
    </row>
    <row r="2778" spans="5:5">
      <c r="E2778" s="51"/>
    </row>
    <row r="2779" spans="5:5">
      <c r="E2779" s="51"/>
    </row>
    <row r="2780" spans="5:5">
      <c r="E2780" s="51"/>
    </row>
    <row r="2781" spans="5:5">
      <c r="E2781" s="51"/>
    </row>
    <row r="2782" spans="5:5">
      <c r="E2782" s="51"/>
    </row>
    <row r="2783" spans="5:5">
      <c r="E2783" s="51"/>
    </row>
    <row r="2784" spans="5:5">
      <c r="E2784" s="51"/>
    </row>
    <row r="2785" spans="5:5">
      <c r="E2785" s="51"/>
    </row>
    <row r="2786" spans="5:5">
      <c r="E2786" s="51"/>
    </row>
    <row r="2787" spans="5:5">
      <c r="E2787" s="51"/>
    </row>
    <row r="2788" spans="5:5">
      <c r="E2788" s="51"/>
    </row>
    <row r="2789" spans="5:5">
      <c r="E2789" s="51"/>
    </row>
    <row r="2790" spans="5:5">
      <c r="E2790" s="51"/>
    </row>
    <row r="2791" spans="5:5">
      <c r="E2791" s="51"/>
    </row>
    <row r="2792" spans="5:5">
      <c r="E2792" s="51"/>
    </row>
    <row r="2793" spans="5:5">
      <c r="E2793" s="51"/>
    </row>
    <row r="2794" spans="5:5">
      <c r="E2794" s="51"/>
    </row>
    <row r="2795" spans="5:5">
      <c r="E2795" s="51"/>
    </row>
    <row r="2796" spans="5:5">
      <c r="E2796" s="51"/>
    </row>
    <row r="2797" spans="5:5">
      <c r="E2797" s="51"/>
    </row>
    <row r="2798" spans="5:5">
      <c r="E2798" s="51"/>
    </row>
    <row r="2799" spans="5:5">
      <c r="E2799" s="51"/>
    </row>
    <row r="2800" spans="5:5">
      <c r="E2800" s="51"/>
    </row>
    <row r="2801" spans="5:5">
      <c r="E2801" s="51"/>
    </row>
    <row r="2802" spans="5:5">
      <c r="E2802" s="51"/>
    </row>
    <row r="2803" spans="5:5">
      <c r="E2803" s="51"/>
    </row>
    <row r="2804" spans="5:5">
      <c r="E2804" s="51"/>
    </row>
    <row r="2805" spans="5:5">
      <c r="E2805" s="51"/>
    </row>
    <row r="2806" spans="5:5">
      <c r="E2806" s="51"/>
    </row>
    <row r="2807" spans="5:5">
      <c r="E2807" s="51"/>
    </row>
    <row r="2808" spans="5:5">
      <c r="E2808" s="51"/>
    </row>
    <row r="2809" spans="5:5">
      <c r="E2809" s="51"/>
    </row>
    <row r="2810" spans="5:5">
      <c r="E2810" s="51"/>
    </row>
    <row r="2811" spans="5:5">
      <c r="E2811" s="51"/>
    </row>
    <row r="2812" spans="5:5">
      <c r="E2812" s="51"/>
    </row>
    <row r="2813" spans="5:5">
      <c r="E2813" s="51"/>
    </row>
    <row r="2814" spans="5:5">
      <c r="E2814" s="51"/>
    </row>
    <row r="2815" spans="5:5">
      <c r="E2815" s="51"/>
    </row>
    <row r="2816" spans="5:5">
      <c r="E2816" s="51"/>
    </row>
    <row r="2817" spans="5:5">
      <c r="E2817" s="51"/>
    </row>
    <row r="2818" spans="5:5">
      <c r="E2818" s="51"/>
    </row>
    <row r="2819" spans="5:5">
      <c r="E2819" s="51"/>
    </row>
    <row r="2820" spans="5:5">
      <c r="E2820" s="51"/>
    </row>
    <row r="2821" spans="5:5">
      <c r="E2821" s="51"/>
    </row>
    <row r="2822" spans="5:5">
      <c r="E2822" s="51"/>
    </row>
    <row r="2823" spans="5:5">
      <c r="E2823" s="51"/>
    </row>
    <row r="2824" spans="5:5">
      <c r="E2824" s="51"/>
    </row>
    <row r="2825" spans="5:5">
      <c r="E2825" s="51"/>
    </row>
    <row r="2826" spans="5:5">
      <c r="E2826" s="51"/>
    </row>
    <row r="2827" spans="5:5">
      <c r="E2827" s="51"/>
    </row>
    <row r="2828" spans="5:5">
      <c r="E2828" s="51"/>
    </row>
    <row r="2829" spans="5:5">
      <c r="E2829" s="51"/>
    </row>
    <row r="2830" spans="5:5">
      <c r="E2830" s="51"/>
    </row>
    <row r="2831" spans="5:5">
      <c r="E2831" s="51"/>
    </row>
    <row r="2832" spans="5:5">
      <c r="E2832" s="51"/>
    </row>
    <row r="2833" spans="5:5">
      <c r="E2833" s="51"/>
    </row>
    <row r="2834" spans="5:5">
      <c r="E2834" s="51"/>
    </row>
    <row r="2835" spans="5:5">
      <c r="E2835" s="51"/>
    </row>
    <row r="2836" spans="5:5">
      <c r="E2836" s="51"/>
    </row>
    <row r="2837" spans="5:5">
      <c r="E2837" s="51"/>
    </row>
    <row r="2838" spans="5:5">
      <c r="E2838" s="51"/>
    </row>
    <row r="2839" spans="5:5">
      <c r="E2839" s="51"/>
    </row>
    <row r="2840" spans="5:5">
      <c r="E2840" s="51"/>
    </row>
    <row r="2841" spans="5:5">
      <c r="E2841" s="51"/>
    </row>
    <row r="2842" spans="5:5">
      <c r="E2842" s="51"/>
    </row>
    <row r="2843" spans="5:5">
      <c r="E2843" s="51"/>
    </row>
    <row r="2844" spans="5:5">
      <c r="E2844" s="51"/>
    </row>
    <row r="2845" spans="5:5">
      <c r="E2845" s="51"/>
    </row>
    <row r="2846" spans="5:5">
      <c r="E2846" s="51"/>
    </row>
    <row r="2847" spans="5:5">
      <c r="E2847" s="51"/>
    </row>
    <row r="2848" spans="5:5">
      <c r="E2848" s="51"/>
    </row>
    <row r="2849" spans="5:5">
      <c r="E2849" s="51"/>
    </row>
    <row r="2850" spans="5:5">
      <c r="E2850" s="51"/>
    </row>
    <row r="2851" spans="5:5">
      <c r="E2851" s="51"/>
    </row>
    <row r="2852" spans="5:5">
      <c r="E2852" s="51"/>
    </row>
    <row r="2853" spans="5:5">
      <c r="E2853" s="51"/>
    </row>
    <row r="2854" spans="5:5">
      <c r="E2854" s="51"/>
    </row>
    <row r="2855" spans="5:5">
      <c r="E2855" s="51"/>
    </row>
    <row r="2856" spans="5:5">
      <c r="E2856" s="51"/>
    </row>
    <row r="2857" spans="5:5">
      <c r="E2857" s="51"/>
    </row>
    <row r="2858" spans="5:5">
      <c r="E2858" s="51"/>
    </row>
    <row r="2859" spans="5:5">
      <c r="E2859" s="51"/>
    </row>
    <row r="2860" spans="5:5">
      <c r="E2860" s="51"/>
    </row>
    <row r="2861" spans="5:5">
      <c r="E2861" s="51"/>
    </row>
    <row r="2862" spans="5:5">
      <c r="E2862" s="51"/>
    </row>
    <row r="2863" spans="5:5">
      <c r="E2863" s="51"/>
    </row>
    <row r="2864" spans="5:5">
      <c r="E2864" s="51"/>
    </row>
    <row r="2865" spans="5:5">
      <c r="E2865" s="51"/>
    </row>
    <row r="2866" spans="5:5">
      <c r="E2866" s="51"/>
    </row>
    <row r="2867" spans="5:5">
      <c r="E2867" s="51"/>
    </row>
    <row r="2868" spans="5:5">
      <c r="E2868" s="51"/>
    </row>
    <row r="2869" spans="5:5">
      <c r="E2869" s="51"/>
    </row>
    <row r="2870" spans="5:5">
      <c r="E2870" s="51"/>
    </row>
    <row r="2871" spans="5:5">
      <c r="E2871" s="51"/>
    </row>
    <row r="2872" spans="5:5">
      <c r="E2872" s="51"/>
    </row>
    <row r="2873" spans="5:5">
      <c r="E2873" s="51"/>
    </row>
    <row r="2874" spans="5:5">
      <c r="E2874" s="51"/>
    </row>
    <row r="2875" spans="5:5">
      <c r="E2875" s="51"/>
    </row>
    <row r="2876" spans="5:5">
      <c r="E2876" s="51"/>
    </row>
    <row r="2877" spans="5:5">
      <c r="E2877" s="51"/>
    </row>
    <row r="2878" spans="5:5">
      <c r="E2878" s="51"/>
    </row>
    <row r="2879" spans="5:5">
      <c r="E2879" s="51"/>
    </row>
    <row r="2880" spans="5:5">
      <c r="E2880" s="51"/>
    </row>
    <row r="2881" spans="5:5">
      <c r="E2881" s="51"/>
    </row>
    <row r="2882" spans="5:5">
      <c r="E2882" s="51"/>
    </row>
    <row r="2883" spans="5:5">
      <c r="E2883" s="51"/>
    </row>
    <row r="2884" spans="5:5">
      <c r="E2884" s="51"/>
    </row>
    <row r="2885" spans="5:5">
      <c r="E2885" s="51"/>
    </row>
    <row r="2886" spans="5:5">
      <c r="E2886" s="51"/>
    </row>
    <row r="2887" spans="5:5">
      <c r="E2887" s="51"/>
    </row>
    <row r="2888" spans="5:5">
      <c r="E2888" s="51"/>
    </row>
    <row r="2889" spans="5:5">
      <c r="E2889" s="51"/>
    </row>
    <row r="2890" spans="5:5">
      <c r="E2890" s="51"/>
    </row>
    <row r="2891" spans="5:5">
      <c r="E2891" s="51"/>
    </row>
    <row r="2892" spans="5:5">
      <c r="E2892" s="51"/>
    </row>
    <row r="2893" spans="5:5">
      <c r="E2893" s="51"/>
    </row>
    <row r="2894" spans="5:5">
      <c r="E2894" s="51"/>
    </row>
    <row r="2895" spans="5:5">
      <c r="E2895" s="51"/>
    </row>
    <row r="2896" spans="5:5">
      <c r="E2896" s="51"/>
    </row>
    <row r="2897" spans="5:5">
      <c r="E2897" s="51"/>
    </row>
    <row r="2898" spans="5:5">
      <c r="E2898" s="51"/>
    </row>
    <row r="2899" spans="5:5">
      <c r="E2899" s="51"/>
    </row>
    <row r="2900" spans="5:5">
      <c r="E2900" s="51"/>
    </row>
    <row r="2901" spans="5:5">
      <c r="E2901" s="51"/>
    </row>
    <row r="2902" spans="5:5">
      <c r="E2902" s="51"/>
    </row>
    <row r="2903" spans="5:5">
      <c r="E2903" s="51"/>
    </row>
    <row r="2904" spans="5:5">
      <c r="E2904" s="51"/>
    </row>
    <row r="2905" spans="5:5">
      <c r="E2905" s="51"/>
    </row>
    <row r="2906" spans="5:5">
      <c r="E2906" s="51"/>
    </row>
    <row r="2907" spans="5:5">
      <c r="E2907" s="51"/>
    </row>
    <row r="2908" spans="5:5">
      <c r="E2908" s="51"/>
    </row>
    <row r="2909" spans="5:5">
      <c r="E2909" s="51"/>
    </row>
    <row r="2910" spans="5:5">
      <c r="E2910" s="51"/>
    </row>
    <row r="2911" spans="5:5">
      <c r="E2911" s="51"/>
    </row>
    <row r="2912" spans="5:5">
      <c r="E2912" s="51"/>
    </row>
    <row r="2913" spans="5:5">
      <c r="E2913" s="51"/>
    </row>
    <row r="2914" spans="5:5">
      <c r="E2914" s="51"/>
    </row>
    <row r="2915" spans="5:5">
      <c r="E2915" s="51"/>
    </row>
    <row r="2916" spans="5:5">
      <c r="E2916" s="51"/>
    </row>
    <row r="2917" spans="5:5">
      <c r="E2917" s="51"/>
    </row>
    <row r="2918" spans="5:5">
      <c r="E2918" s="51"/>
    </row>
    <row r="2919" spans="5:5">
      <c r="E2919" s="51"/>
    </row>
    <row r="2920" spans="5:5">
      <c r="E2920" s="51"/>
    </row>
    <row r="2921" spans="5:5">
      <c r="E2921" s="51"/>
    </row>
    <row r="2922" spans="5:5">
      <c r="E2922" s="51"/>
    </row>
    <row r="2923" spans="5:5">
      <c r="E2923" s="51"/>
    </row>
    <row r="2924" spans="5:5">
      <c r="E2924" s="51"/>
    </row>
    <row r="2925" spans="5:5">
      <c r="E2925" s="51"/>
    </row>
    <row r="2926" spans="5:5">
      <c r="E2926" s="51"/>
    </row>
    <row r="2927" spans="5:5">
      <c r="E2927" s="51"/>
    </row>
    <row r="2928" spans="5:5">
      <c r="E2928" s="51"/>
    </row>
    <row r="2929" spans="5:5">
      <c r="E2929" s="51"/>
    </row>
    <row r="2930" spans="5:5">
      <c r="E2930" s="51"/>
    </row>
    <row r="2931" spans="5:5">
      <c r="E2931" s="51"/>
    </row>
    <row r="2932" spans="5:5">
      <c r="E2932" s="51"/>
    </row>
    <row r="2933" spans="5:5">
      <c r="E2933" s="51"/>
    </row>
    <row r="2934" spans="5:5">
      <c r="E2934" s="51"/>
    </row>
    <row r="2935" spans="5:5">
      <c r="E2935" s="51"/>
    </row>
    <row r="2936" spans="5:5">
      <c r="E2936" s="51"/>
    </row>
    <row r="2937" spans="5:5">
      <c r="E2937" s="51"/>
    </row>
    <row r="2938" spans="5:5">
      <c r="E2938" s="51"/>
    </row>
    <row r="2939" spans="5:5">
      <c r="E2939" s="51"/>
    </row>
    <row r="2940" spans="5:5">
      <c r="E2940" s="51"/>
    </row>
    <row r="2941" spans="5:5">
      <c r="E2941" s="51"/>
    </row>
    <row r="2942" spans="5:5">
      <c r="E2942" s="51"/>
    </row>
    <row r="2943" spans="5:5">
      <c r="E2943" s="51"/>
    </row>
    <row r="2944" spans="5:5">
      <c r="E2944" s="51"/>
    </row>
    <row r="2945" spans="5:5">
      <c r="E2945" s="51"/>
    </row>
    <row r="2946" spans="5:5">
      <c r="E2946" s="51"/>
    </row>
    <row r="2947" spans="5:5">
      <c r="E2947" s="51"/>
    </row>
    <row r="2948" spans="5:5">
      <c r="E2948" s="51"/>
    </row>
    <row r="2949" spans="5:5">
      <c r="E2949" s="51"/>
    </row>
    <row r="2950" spans="5:5">
      <c r="E2950" s="51"/>
    </row>
    <row r="2951" spans="5:5">
      <c r="E2951" s="51"/>
    </row>
    <row r="2952" spans="5:5">
      <c r="E2952" s="51"/>
    </row>
    <row r="2953" spans="5:5">
      <c r="E2953" s="51"/>
    </row>
    <row r="2954" spans="5:5">
      <c r="E2954" s="51"/>
    </row>
    <row r="2955" spans="5:5">
      <c r="E2955" s="51"/>
    </row>
    <row r="2956" spans="5:5">
      <c r="E2956" s="51"/>
    </row>
    <row r="2957" spans="5:5">
      <c r="E2957" s="51"/>
    </row>
    <row r="2958" spans="5:5">
      <c r="E2958" s="51"/>
    </row>
    <row r="2959" spans="5:5">
      <c r="E2959" s="51"/>
    </row>
    <row r="2960" spans="5:5">
      <c r="E2960" s="51"/>
    </row>
    <row r="2961" spans="5:5">
      <c r="E2961" s="51"/>
    </row>
    <row r="2962" spans="5:5">
      <c r="E2962" s="51"/>
    </row>
    <row r="2963" spans="5:5">
      <c r="E2963" s="51"/>
    </row>
    <row r="2964" spans="5:5">
      <c r="E2964" s="51"/>
    </row>
    <row r="2965" spans="5:5">
      <c r="E2965" s="51"/>
    </row>
    <row r="2966" spans="5:5">
      <c r="E2966" s="51"/>
    </row>
    <row r="2967" spans="5:5">
      <c r="E2967" s="51"/>
    </row>
    <row r="2968" spans="5:5">
      <c r="E2968" s="51"/>
    </row>
    <row r="2969" spans="5:5">
      <c r="E2969" s="51"/>
    </row>
    <row r="2970" spans="5:5">
      <c r="E2970" s="51"/>
    </row>
    <row r="2971" spans="5:5">
      <c r="E2971" s="51"/>
    </row>
    <row r="2972" spans="5:5">
      <c r="E2972" s="51"/>
    </row>
    <row r="2973" spans="5:5">
      <c r="E2973" s="51"/>
    </row>
    <row r="2974" spans="5:5">
      <c r="E2974" s="51"/>
    </row>
    <row r="2975" spans="5:5">
      <c r="E2975" s="51"/>
    </row>
    <row r="2976" spans="5:5">
      <c r="E2976" s="51"/>
    </row>
    <row r="2977" spans="5:5">
      <c r="E2977" s="51"/>
    </row>
    <row r="2978" spans="5:5">
      <c r="E2978" s="51"/>
    </row>
    <row r="2979" spans="5:5">
      <c r="E2979" s="51"/>
    </row>
    <row r="2980" spans="5:5">
      <c r="E2980" s="51"/>
    </row>
    <row r="2981" spans="5:5">
      <c r="E2981" s="51"/>
    </row>
    <row r="2982" spans="5:5">
      <c r="E2982" s="51"/>
    </row>
    <row r="2983" spans="5:5">
      <c r="E2983" s="51"/>
    </row>
    <row r="2984" spans="5:5">
      <c r="E2984" s="51"/>
    </row>
    <row r="2985" spans="5:5">
      <c r="E2985" s="51"/>
    </row>
    <row r="2986" spans="5:5">
      <c r="E2986" s="51"/>
    </row>
    <row r="2987" spans="5:5">
      <c r="E2987" s="51"/>
    </row>
    <row r="2988" spans="5:5">
      <c r="E2988" s="51"/>
    </row>
    <row r="2989" spans="5:5">
      <c r="E2989" s="51"/>
    </row>
    <row r="2990" spans="5:5">
      <c r="E2990" s="51"/>
    </row>
    <row r="2991" spans="5:5">
      <c r="E2991" s="51"/>
    </row>
    <row r="2992" spans="5:5">
      <c r="E2992" s="51"/>
    </row>
    <row r="2993" spans="5:5">
      <c r="E2993" s="51"/>
    </row>
    <row r="2994" spans="5:5">
      <c r="E2994" s="51"/>
    </row>
    <row r="2995" spans="5:5">
      <c r="E2995" s="51"/>
    </row>
    <row r="2996" spans="5:5">
      <c r="E2996" s="51"/>
    </row>
    <row r="2997" spans="5:5">
      <c r="E2997" s="51"/>
    </row>
    <row r="2998" spans="5:5">
      <c r="E2998" s="51"/>
    </row>
    <row r="2999" spans="5:5">
      <c r="E2999" s="51"/>
    </row>
    <row r="3000" spans="5:5">
      <c r="E3000" s="51"/>
    </row>
    <row r="3001" spans="5:5">
      <c r="E3001" s="51"/>
    </row>
    <row r="3002" spans="5:5">
      <c r="E3002" s="51"/>
    </row>
    <row r="3003" spans="5:5">
      <c r="E3003" s="51"/>
    </row>
    <row r="3004" spans="5:5">
      <c r="E3004" s="51"/>
    </row>
    <row r="3005" spans="5:5">
      <c r="E3005" s="51"/>
    </row>
    <row r="3006" spans="5:5">
      <c r="E3006" s="51"/>
    </row>
    <row r="3007" spans="5:5">
      <c r="E3007" s="51"/>
    </row>
    <row r="3008" spans="5:5">
      <c r="E3008" s="51"/>
    </row>
    <row r="3009" spans="5:5">
      <c r="E3009" s="51"/>
    </row>
    <row r="3010" spans="5:5">
      <c r="E3010" s="51"/>
    </row>
    <row r="3011" spans="5:5">
      <c r="E3011" s="51"/>
    </row>
    <row r="3012" spans="5:5">
      <c r="E3012" s="51"/>
    </row>
    <row r="3013" spans="5:5">
      <c r="E3013" s="51"/>
    </row>
    <row r="3014" spans="5:5">
      <c r="E3014" s="51"/>
    </row>
    <row r="3015" spans="5:5">
      <c r="E3015" s="51"/>
    </row>
    <row r="3016" spans="5:5">
      <c r="E3016" s="51"/>
    </row>
    <row r="3017" spans="5:5">
      <c r="E3017" s="51"/>
    </row>
    <row r="3018" spans="5:5">
      <c r="E3018" s="51"/>
    </row>
    <row r="3019" spans="5:5">
      <c r="E3019" s="51"/>
    </row>
    <row r="3020" spans="5:5">
      <c r="E3020" s="51"/>
    </row>
    <row r="3021" spans="5:5">
      <c r="E3021" s="51"/>
    </row>
    <row r="3022" spans="5:5">
      <c r="E3022" s="51"/>
    </row>
    <row r="3023" spans="5:5">
      <c r="E3023" s="51"/>
    </row>
    <row r="3024" spans="5:5">
      <c r="E3024" s="51"/>
    </row>
    <row r="3025" spans="5:5">
      <c r="E3025" s="51"/>
    </row>
    <row r="3026" spans="5:5">
      <c r="E3026" s="51"/>
    </row>
    <row r="3027" spans="5:5">
      <c r="E3027" s="51"/>
    </row>
    <row r="3028" spans="5:5">
      <c r="E3028" s="51"/>
    </row>
    <row r="3029" spans="5:5">
      <c r="E3029" s="51"/>
    </row>
    <row r="3030" spans="5:5">
      <c r="E3030" s="51"/>
    </row>
    <row r="3031" spans="5:5">
      <c r="E3031" s="51"/>
    </row>
    <row r="3032" spans="5:5">
      <c r="E3032" s="51"/>
    </row>
    <row r="3033" spans="5:5">
      <c r="E3033" s="51"/>
    </row>
    <row r="3034" spans="5:5">
      <c r="E3034" s="51"/>
    </row>
    <row r="3035" spans="5:5">
      <c r="E3035" s="51"/>
    </row>
    <row r="3036" spans="5:5">
      <c r="E3036" s="51"/>
    </row>
    <row r="3037" spans="5:5">
      <c r="E3037" s="51"/>
    </row>
    <row r="3038" spans="5:5">
      <c r="E3038" s="51"/>
    </row>
    <row r="3039" spans="5:5">
      <c r="E3039" s="51"/>
    </row>
    <row r="3040" spans="5:5">
      <c r="E3040" s="51"/>
    </row>
    <row r="3041" spans="5:5">
      <c r="E3041" s="51"/>
    </row>
    <row r="3042" spans="5:5">
      <c r="E3042" s="51"/>
    </row>
    <row r="3043" spans="5:5">
      <c r="E3043" s="51"/>
    </row>
    <row r="3044" spans="5:5">
      <c r="E3044" s="51"/>
    </row>
    <row r="3045" spans="5:5">
      <c r="E3045" s="51"/>
    </row>
    <row r="3046" spans="5:5">
      <c r="E3046" s="51"/>
    </row>
    <row r="3047" spans="5:5">
      <c r="E3047" s="51"/>
    </row>
    <row r="3048" spans="5:5">
      <c r="E3048" s="51"/>
    </row>
    <row r="3049" spans="5:5">
      <c r="E3049" s="51"/>
    </row>
    <row r="3050" spans="5:5">
      <c r="E3050" s="51"/>
    </row>
    <row r="3051" spans="5:5">
      <c r="E3051" s="51"/>
    </row>
    <row r="3052" spans="5:5">
      <c r="E3052" s="51"/>
    </row>
    <row r="3053" spans="5:5">
      <c r="E3053" s="51"/>
    </row>
    <row r="3054" spans="5:5">
      <c r="E3054" s="51"/>
    </row>
    <row r="3055" spans="5:5">
      <c r="E3055" s="51"/>
    </row>
    <row r="3056" spans="5:5">
      <c r="E3056" s="51"/>
    </row>
    <row r="3057" spans="5:5">
      <c r="E3057" s="51"/>
    </row>
    <row r="3058" spans="5:5">
      <c r="E3058" s="51"/>
    </row>
    <row r="3059" spans="5:5">
      <c r="E3059" s="51"/>
    </row>
    <row r="3060" spans="5:5">
      <c r="E3060" s="51"/>
    </row>
    <row r="3061" spans="5:5">
      <c r="E3061" s="51"/>
    </row>
    <row r="3062" spans="5:5">
      <c r="E3062" s="51"/>
    </row>
    <row r="3063" spans="5:5">
      <c r="E3063" s="51"/>
    </row>
    <row r="3064" spans="5:5">
      <c r="E3064" s="51"/>
    </row>
    <row r="3065" spans="5:5">
      <c r="E3065" s="51"/>
    </row>
    <row r="3066" spans="5:5">
      <c r="E3066" s="51"/>
    </row>
    <row r="3067" spans="5:5">
      <c r="E3067" s="51"/>
    </row>
    <row r="3068" spans="5:5">
      <c r="E3068" s="51"/>
    </row>
    <row r="3069" spans="5:5">
      <c r="E3069" s="51"/>
    </row>
    <row r="3070" spans="5:5">
      <c r="E3070" s="51"/>
    </row>
    <row r="3071" spans="5:5">
      <c r="E3071" s="51"/>
    </row>
    <row r="3072" spans="5:5">
      <c r="E3072" s="51"/>
    </row>
    <row r="3073" spans="5:5">
      <c r="E3073" s="51"/>
    </row>
    <row r="3074" spans="5:5">
      <c r="E3074" s="51"/>
    </row>
    <row r="3075" spans="5:5">
      <c r="E3075" s="51"/>
    </row>
    <row r="3076" spans="5:5">
      <c r="E3076" s="51"/>
    </row>
    <row r="3077" spans="5:5">
      <c r="E3077" s="51"/>
    </row>
    <row r="3078" spans="5:5">
      <c r="E3078" s="51"/>
    </row>
    <row r="3079" spans="5:5">
      <c r="E3079" s="51"/>
    </row>
    <row r="3080" spans="5:5">
      <c r="E3080" s="51"/>
    </row>
    <row r="3081" spans="5:5">
      <c r="E3081" s="51"/>
    </row>
    <row r="3082" spans="5:5">
      <c r="E3082" s="51"/>
    </row>
    <row r="3083" spans="5:5">
      <c r="E3083" s="51"/>
    </row>
    <row r="3084" spans="5:5">
      <c r="E3084" s="51"/>
    </row>
    <row r="3085" spans="5:5">
      <c r="E3085" s="51"/>
    </row>
    <row r="3086" spans="5:5">
      <c r="E3086" s="51"/>
    </row>
    <row r="3087" spans="5:5">
      <c r="E3087" s="51"/>
    </row>
    <row r="3088" spans="5:5">
      <c r="E3088" s="51"/>
    </row>
    <row r="3089" spans="5:5">
      <c r="E3089" s="51"/>
    </row>
    <row r="3090" spans="5:5">
      <c r="E3090" s="51"/>
    </row>
    <row r="3091" spans="5:5">
      <c r="E3091" s="51"/>
    </row>
    <row r="3092" spans="5:5">
      <c r="E3092" s="51"/>
    </row>
    <row r="3093" spans="5:5">
      <c r="E3093" s="51"/>
    </row>
    <row r="3094" spans="5:5">
      <c r="E3094" s="51"/>
    </row>
    <row r="3095" spans="5:5">
      <c r="E3095" s="51"/>
    </row>
    <row r="3096" spans="5:5">
      <c r="E3096" s="51"/>
    </row>
    <row r="3097" spans="5:5">
      <c r="E3097" s="51"/>
    </row>
    <row r="3098" spans="5:5">
      <c r="E3098" s="51"/>
    </row>
    <row r="3099" spans="5:5">
      <c r="E3099" s="51"/>
    </row>
    <row r="3100" spans="5:5">
      <c r="E3100" s="51"/>
    </row>
    <row r="3101" spans="5:5">
      <c r="E3101" s="51"/>
    </row>
    <row r="3102" spans="5:5">
      <c r="E3102" s="51"/>
    </row>
    <row r="3103" spans="5:5">
      <c r="E3103" s="51"/>
    </row>
    <row r="3104" spans="5:5">
      <c r="E3104" s="51"/>
    </row>
    <row r="3105" spans="5:5">
      <c r="E3105" s="51"/>
    </row>
    <row r="3106" spans="5:5">
      <c r="E3106" s="51"/>
    </row>
    <row r="3107" spans="5:5">
      <c r="E3107" s="51"/>
    </row>
    <row r="3108" spans="5:5">
      <c r="E3108" s="51"/>
    </row>
    <row r="3109" spans="5:5">
      <c r="E3109" s="51"/>
    </row>
    <row r="3110" spans="5:5">
      <c r="E3110" s="51"/>
    </row>
    <row r="3111" spans="5:5">
      <c r="E3111" s="51"/>
    </row>
    <row r="3112" spans="5:5">
      <c r="E3112" s="51"/>
    </row>
    <row r="3113" spans="5:5">
      <c r="E3113" s="51"/>
    </row>
    <row r="3114" spans="5:5">
      <c r="E3114" s="51"/>
    </row>
    <row r="3115" spans="5:5">
      <c r="E3115" s="51"/>
    </row>
    <row r="3116" spans="5:5">
      <c r="E3116" s="51"/>
    </row>
    <row r="3117" spans="5:5">
      <c r="E3117" s="51"/>
    </row>
    <row r="3118" spans="5:5">
      <c r="E3118" s="51"/>
    </row>
    <row r="3119" spans="5:5">
      <c r="E3119" s="51"/>
    </row>
    <row r="3120" spans="5:5">
      <c r="E3120" s="51"/>
    </row>
    <row r="3121" spans="5:5">
      <c r="E3121" s="51"/>
    </row>
    <row r="3122" spans="5:5">
      <c r="E3122" s="51"/>
    </row>
    <row r="3123" spans="5:5">
      <c r="E3123" s="51"/>
    </row>
    <row r="3124" spans="5:5">
      <c r="E3124" s="51"/>
    </row>
    <row r="3125" spans="5:5">
      <c r="E3125" s="51"/>
    </row>
    <row r="3126" spans="5:5">
      <c r="E3126" s="51"/>
    </row>
    <row r="3127" spans="5:5">
      <c r="E3127" s="51"/>
    </row>
    <row r="3128" spans="5:5">
      <c r="E3128" s="51"/>
    </row>
    <row r="3129" spans="5:5">
      <c r="E3129" s="51"/>
    </row>
    <row r="3130" spans="5:5">
      <c r="E3130" s="51"/>
    </row>
    <row r="3131" spans="5:5">
      <c r="E3131" s="51"/>
    </row>
    <row r="3132" spans="5:5">
      <c r="E3132" s="51"/>
    </row>
    <row r="3133" spans="5:5">
      <c r="E3133" s="51"/>
    </row>
    <row r="3134" spans="5:5">
      <c r="E3134" s="51"/>
    </row>
    <row r="3135" spans="5:5">
      <c r="E3135" s="51"/>
    </row>
    <row r="3136" spans="5:5">
      <c r="E3136" s="51"/>
    </row>
    <row r="3137" spans="5:5">
      <c r="E3137" s="51"/>
    </row>
    <row r="3138" spans="5:5">
      <c r="E3138" s="51"/>
    </row>
    <row r="3139" spans="5:5">
      <c r="E3139" s="51"/>
    </row>
    <row r="3140" spans="5:5">
      <c r="E3140" s="51"/>
    </row>
    <row r="3141" spans="5:5">
      <c r="E3141" s="51"/>
    </row>
    <row r="3142" spans="5:5">
      <c r="E3142" s="51"/>
    </row>
    <row r="3143" spans="5:5">
      <c r="E3143" s="51"/>
    </row>
    <row r="3144" spans="5:5">
      <c r="E3144" s="51"/>
    </row>
    <row r="3145" spans="5:5">
      <c r="E3145" s="51"/>
    </row>
    <row r="3146" spans="5:5">
      <c r="E3146" s="51"/>
    </row>
    <row r="3147" spans="5:5">
      <c r="E3147" s="51"/>
    </row>
    <row r="3148" spans="5:5">
      <c r="E3148" s="51"/>
    </row>
    <row r="3149" spans="5:5">
      <c r="E3149" s="51"/>
    </row>
    <row r="3150" spans="5:5">
      <c r="E3150" s="51"/>
    </row>
    <row r="3151" spans="5:5">
      <c r="E3151" s="51"/>
    </row>
    <row r="3152" spans="5:5">
      <c r="E3152" s="51"/>
    </row>
    <row r="3153" spans="5:5">
      <c r="E3153" s="51"/>
    </row>
    <row r="3154" spans="5:5">
      <c r="E3154" s="51"/>
    </row>
    <row r="3155" spans="5:5">
      <c r="E3155" s="51"/>
    </row>
    <row r="3156" spans="5:5">
      <c r="E3156" s="51"/>
    </row>
    <row r="3157" spans="5:5">
      <c r="E3157" s="51"/>
    </row>
    <row r="3158" spans="5:5">
      <c r="E3158" s="51"/>
    </row>
    <row r="3159" spans="5:5">
      <c r="E3159" s="51"/>
    </row>
    <row r="3160" spans="5:5">
      <c r="E3160" s="51"/>
    </row>
    <row r="3161" spans="5:5">
      <c r="E3161" s="51"/>
    </row>
    <row r="3162" spans="5:5">
      <c r="E3162" s="51"/>
    </row>
    <row r="3163" spans="5:5">
      <c r="E3163" s="51"/>
    </row>
    <row r="3164" spans="5:5">
      <c r="E3164" s="51"/>
    </row>
    <row r="3165" spans="5:5">
      <c r="E3165" s="51"/>
    </row>
    <row r="3166" spans="5:5">
      <c r="E3166" s="51"/>
    </row>
    <row r="3167" spans="5:5">
      <c r="E3167" s="51"/>
    </row>
    <row r="3168" spans="5:5">
      <c r="E3168" s="51"/>
    </row>
    <row r="3169" spans="5:5">
      <c r="E3169" s="51"/>
    </row>
    <row r="3170" spans="5:5">
      <c r="E3170" s="51"/>
    </row>
    <row r="3171" spans="5:5">
      <c r="E3171" s="51"/>
    </row>
    <row r="3172" spans="5:5">
      <c r="E3172" s="51"/>
    </row>
    <row r="3173" spans="5:5">
      <c r="E3173" s="51"/>
    </row>
    <row r="3174" spans="5:5">
      <c r="E3174" s="51"/>
    </row>
    <row r="3175" spans="5:5">
      <c r="E3175" s="51"/>
    </row>
    <row r="3176" spans="5:5">
      <c r="E3176" s="51"/>
    </row>
    <row r="3177" spans="5:5">
      <c r="E3177" s="51"/>
    </row>
    <row r="3178" spans="5:5">
      <c r="E3178" s="51"/>
    </row>
    <row r="3179" spans="5:5">
      <c r="E3179" s="51"/>
    </row>
    <row r="3180" spans="5:5">
      <c r="E3180" s="51"/>
    </row>
    <row r="3181" spans="5:5">
      <c r="E3181" s="51"/>
    </row>
    <row r="3182" spans="5:5">
      <c r="E3182" s="51"/>
    </row>
    <row r="3183" spans="5:5">
      <c r="E3183" s="51"/>
    </row>
    <row r="3184" spans="5:5">
      <c r="E3184" s="51"/>
    </row>
    <row r="3185" spans="5:5">
      <c r="E3185" s="51"/>
    </row>
    <row r="3186" spans="5:5">
      <c r="E3186" s="51"/>
    </row>
    <row r="3187" spans="5:5">
      <c r="E3187" s="51"/>
    </row>
    <row r="3188" spans="5:5">
      <c r="E3188" s="51"/>
    </row>
    <row r="3189" spans="5:5">
      <c r="E3189" s="51"/>
    </row>
    <row r="3190" spans="5:5">
      <c r="E3190" s="51"/>
    </row>
    <row r="3191" spans="5:5">
      <c r="E3191" s="51"/>
    </row>
    <row r="3192" spans="5:5">
      <c r="E3192" s="51"/>
    </row>
    <row r="3193" spans="5:5">
      <c r="E3193" s="51"/>
    </row>
    <row r="3194" spans="5:5">
      <c r="E3194" s="51"/>
    </row>
    <row r="3195" spans="5:5">
      <c r="E3195" s="51"/>
    </row>
    <row r="3196" spans="5:5">
      <c r="E3196" s="51"/>
    </row>
    <row r="3197" spans="5:5">
      <c r="E3197" s="51"/>
    </row>
    <row r="3198" spans="5:5">
      <c r="E3198" s="51"/>
    </row>
    <row r="3199" spans="5:5">
      <c r="E3199" s="51"/>
    </row>
    <row r="3200" spans="5:5">
      <c r="E3200" s="51"/>
    </row>
    <row r="3201" spans="5:5">
      <c r="E3201" s="51"/>
    </row>
    <row r="3202" spans="5:5">
      <c r="E3202" s="51"/>
    </row>
    <row r="3203" spans="5:5">
      <c r="E3203" s="51"/>
    </row>
    <row r="3204" spans="5:5">
      <c r="E3204" s="51"/>
    </row>
    <row r="3205" spans="5:5">
      <c r="E3205" s="51"/>
    </row>
    <row r="3206" spans="5:5">
      <c r="E3206" s="51"/>
    </row>
    <row r="3207" spans="5:5">
      <c r="E3207" s="51"/>
    </row>
    <row r="3208" spans="5:5">
      <c r="E3208" s="51"/>
    </row>
    <row r="3209" spans="5:5">
      <c r="E3209" s="51"/>
    </row>
    <row r="3210" spans="5:5">
      <c r="E3210" s="51"/>
    </row>
    <row r="3211" spans="5:5">
      <c r="E3211" s="51"/>
    </row>
    <row r="3212" spans="5:5">
      <c r="E3212" s="51"/>
    </row>
    <row r="3213" spans="5:5">
      <c r="E3213" s="51"/>
    </row>
    <row r="3214" spans="5:5">
      <c r="E3214" s="51"/>
    </row>
    <row r="3215" spans="5:5">
      <c r="E3215" s="51"/>
    </row>
    <row r="3216" spans="5:5">
      <c r="E3216" s="51"/>
    </row>
    <row r="3217" spans="5:5">
      <c r="E3217" s="51"/>
    </row>
    <row r="3218" spans="5:5">
      <c r="E3218" s="51"/>
    </row>
    <row r="3219" spans="5:5">
      <c r="E3219" s="51"/>
    </row>
    <row r="3220" spans="5:5">
      <c r="E3220" s="51"/>
    </row>
    <row r="3221" spans="5:5">
      <c r="E3221" s="51"/>
    </row>
    <row r="3222" spans="5:5">
      <c r="E3222" s="51"/>
    </row>
    <row r="3223" spans="5:5">
      <c r="E3223" s="51"/>
    </row>
    <row r="3224" spans="5:5">
      <c r="E3224" s="51"/>
    </row>
    <row r="3225" spans="5:5">
      <c r="E3225" s="51"/>
    </row>
    <row r="3226" spans="5:5">
      <c r="E3226" s="51"/>
    </row>
    <row r="3227" spans="5:5">
      <c r="E3227" s="51"/>
    </row>
    <row r="3228" spans="5:5">
      <c r="E3228" s="51"/>
    </row>
    <row r="3229" spans="5:5">
      <c r="E3229" s="51"/>
    </row>
    <row r="3230" spans="5:5">
      <c r="E3230" s="51"/>
    </row>
    <row r="3231" spans="5:5">
      <c r="E3231" s="51"/>
    </row>
    <row r="3232" spans="5:5">
      <c r="E3232" s="51"/>
    </row>
    <row r="3233" spans="5:5">
      <c r="E3233" s="51"/>
    </row>
    <row r="3234" spans="5:5">
      <c r="E3234" s="51"/>
    </row>
    <row r="3235" spans="5:5">
      <c r="E3235" s="51"/>
    </row>
    <row r="3236" spans="5:5">
      <c r="E3236" s="51"/>
    </row>
    <row r="3237" spans="5:5">
      <c r="E3237" s="51"/>
    </row>
    <row r="3238" spans="5:5">
      <c r="E3238" s="51"/>
    </row>
    <row r="3239" spans="5:5">
      <c r="E3239" s="51"/>
    </row>
    <row r="3240" spans="5:5">
      <c r="E3240" s="51"/>
    </row>
    <row r="3241" spans="5:5">
      <c r="E3241" s="51"/>
    </row>
    <row r="3242" spans="5:5">
      <c r="E3242" s="51"/>
    </row>
    <row r="3243" spans="5:5">
      <c r="E3243" s="51"/>
    </row>
    <row r="3244" spans="5:5">
      <c r="E3244" s="51"/>
    </row>
    <row r="3245" spans="5:5">
      <c r="E3245" s="51"/>
    </row>
    <row r="3246" spans="5:5">
      <c r="E3246" s="51"/>
    </row>
    <row r="3247" spans="5:5">
      <c r="E3247" s="51"/>
    </row>
    <row r="3248" spans="5:5">
      <c r="E3248" s="51"/>
    </row>
    <row r="3249" spans="5:5">
      <c r="E3249" s="51"/>
    </row>
    <row r="3250" spans="5:5">
      <c r="E3250" s="51"/>
    </row>
    <row r="3251" spans="5:5">
      <c r="E3251" s="51"/>
    </row>
    <row r="3252" spans="5:5">
      <c r="E3252" s="51"/>
    </row>
    <row r="3253" spans="5:5">
      <c r="E3253" s="51"/>
    </row>
    <row r="3254" spans="5:5">
      <c r="E3254" s="51"/>
    </row>
    <row r="3255" spans="5:5">
      <c r="E3255" s="51"/>
    </row>
    <row r="3256" spans="5:5">
      <c r="E3256" s="51"/>
    </row>
    <row r="3257" spans="5:5">
      <c r="E3257" s="51"/>
    </row>
    <row r="3258" spans="5:5">
      <c r="E3258" s="51"/>
    </row>
    <row r="3259" spans="5:5">
      <c r="E3259" s="51"/>
    </row>
    <row r="3260" spans="5:5">
      <c r="E3260" s="51"/>
    </row>
    <row r="3261" spans="5:5">
      <c r="E3261" s="51"/>
    </row>
    <row r="3262" spans="5:5">
      <c r="E3262" s="51"/>
    </row>
    <row r="3263" spans="5:5">
      <c r="E3263" s="51"/>
    </row>
    <row r="3264" spans="5:5">
      <c r="E3264" s="51"/>
    </row>
    <row r="3265" spans="5:5">
      <c r="E3265" s="51"/>
    </row>
    <row r="3266" spans="5:5">
      <c r="E3266" s="51"/>
    </row>
    <row r="3267" spans="5:5">
      <c r="E3267" s="51"/>
    </row>
    <row r="3268" spans="5:5">
      <c r="E3268" s="51"/>
    </row>
    <row r="3269" spans="5:5">
      <c r="E3269" s="51"/>
    </row>
    <row r="3270" spans="5:5">
      <c r="E3270" s="51"/>
    </row>
    <row r="3271" spans="5:5">
      <c r="E3271" s="51"/>
    </row>
    <row r="3272" spans="5:5">
      <c r="E3272" s="51"/>
    </row>
    <row r="3273" spans="5:5">
      <c r="E3273" s="51"/>
    </row>
    <row r="3274" spans="5:5">
      <c r="E3274" s="51"/>
    </row>
    <row r="3275" spans="5:5">
      <c r="E3275" s="51"/>
    </row>
    <row r="3276" spans="5:5">
      <c r="E3276" s="51"/>
    </row>
    <row r="3277" spans="5:5">
      <c r="E3277" s="51"/>
    </row>
    <row r="3278" spans="5:5">
      <c r="E3278" s="51"/>
    </row>
    <row r="3279" spans="5:5">
      <c r="E3279" s="51"/>
    </row>
    <row r="3280" spans="5:5">
      <c r="E3280" s="51"/>
    </row>
    <row r="3281" spans="5:5">
      <c r="E3281" s="51"/>
    </row>
    <row r="3282" spans="5:5">
      <c r="E3282" s="51"/>
    </row>
    <row r="3283" spans="5:5">
      <c r="E3283" s="51"/>
    </row>
    <row r="3284" spans="5:5">
      <c r="E3284" s="51"/>
    </row>
    <row r="3285" spans="5:5">
      <c r="E3285" s="51"/>
    </row>
    <row r="3286" spans="5:5">
      <c r="E3286" s="51"/>
    </row>
    <row r="3287" spans="5:5">
      <c r="E3287" s="51"/>
    </row>
    <row r="3288" spans="5:5">
      <c r="E3288" s="51"/>
    </row>
    <row r="3289" spans="5:5">
      <c r="E3289" s="51"/>
    </row>
    <row r="3290" spans="5:5">
      <c r="E3290" s="51"/>
    </row>
    <row r="3291" spans="5:5">
      <c r="E3291" s="51"/>
    </row>
    <row r="3292" spans="5:5">
      <c r="E3292" s="51"/>
    </row>
    <row r="3293" spans="5:5">
      <c r="E3293" s="51"/>
    </row>
    <row r="3294" spans="5:5">
      <c r="E3294" s="51"/>
    </row>
    <row r="3295" spans="5:5">
      <c r="E3295" s="51"/>
    </row>
    <row r="3296" spans="5:5">
      <c r="E3296" s="51"/>
    </row>
    <row r="3297" spans="5:5">
      <c r="E3297" s="51"/>
    </row>
    <row r="3298" spans="5:5">
      <c r="E3298" s="51"/>
    </row>
    <row r="3299" spans="5:5">
      <c r="E3299" s="51"/>
    </row>
    <row r="3300" spans="5:5">
      <c r="E3300" s="51"/>
    </row>
    <row r="3301" spans="5:5">
      <c r="E3301" s="51"/>
    </row>
    <row r="3302" spans="5:5">
      <c r="E3302" s="51"/>
    </row>
    <row r="3303" spans="5:5">
      <c r="E3303" s="51"/>
    </row>
    <row r="3304" spans="5:5">
      <c r="E3304" s="51"/>
    </row>
    <row r="3305" spans="5:5">
      <c r="E3305" s="51"/>
    </row>
    <row r="3306" spans="5:5">
      <c r="E3306" s="51"/>
    </row>
    <row r="3307" spans="5:5">
      <c r="E3307" s="51"/>
    </row>
    <row r="3308" spans="5:5">
      <c r="E3308" s="51"/>
    </row>
    <row r="3309" spans="5:5">
      <c r="E3309" s="51"/>
    </row>
    <row r="3310" spans="5:5">
      <c r="E3310" s="51"/>
    </row>
    <row r="3311" spans="5:5">
      <c r="E3311" s="51"/>
    </row>
    <row r="3312" spans="5:5">
      <c r="E3312" s="51"/>
    </row>
    <row r="3313" spans="5:5">
      <c r="E3313" s="51"/>
    </row>
    <row r="3314" spans="5:5">
      <c r="E3314" s="51"/>
    </row>
    <row r="3315" spans="5:5">
      <c r="E3315" s="51"/>
    </row>
    <row r="3316" spans="5:5">
      <c r="E3316" s="51"/>
    </row>
    <row r="3317" spans="5:5">
      <c r="E3317" s="51"/>
    </row>
    <row r="3318" spans="5:5">
      <c r="E3318" s="51"/>
    </row>
    <row r="3319" spans="5:5">
      <c r="E3319" s="51"/>
    </row>
    <row r="3320" spans="5:5">
      <c r="E3320" s="51"/>
    </row>
    <row r="3321" spans="5:5">
      <c r="E3321" s="51"/>
    </row>
    <row r="3322" spans="5:5">
      <c r="E3322" s="51"/>
    </row>
    <row r="3323" spans="5:5">
      <c r="E3323" s="51"/>
    </row>
    <row r="3324" spans="5:5">
      <c r="E3324" s="51"/>
    </row>
    <row r="3325" spans="5:5">
      <c r="E3325" s="51"/>
    </row>
    <row r="3326" spans="5:5">
      <c r="E3326" s="51"/>
    </row>
    <row r="3327" spans="5:5">
      <c r="E3327" s="51"/>
    </row>
    <row r="3328" spans="5:5">
      <c r="E3328" s="51"/>
    </row>
    <row r="3329" spans="5:5">
      <c r="E3329" s="51"/>
    </row>
    <row r="3330" spans="5:5">
      <c r="E3330" s="51"/>
    </row>
    <row r="3331" spans="5:5">
      <c r="E3331" s="51"/>
    </row>
    <row r="3332" spans="5:5">
      <c r="E3332" s="51"/>
    </row>
    <row r="3333" spans="5:5">
      <c r="E3333" s="51"/>
    </row>
    <row r="3334" spans="5:5">
      <c r="E3334" s="51"/>
    </row>
    <row r="3335" spans="5:5">
      <c r="E3335" s="51"/>
    </row>
    <row r="3336" spans="5:5">
      <c r="E3336" s="51"/>
    </row>
    <row r="3337" spans="5:5">
      <c r="E3337" s="51"/>
    </row>
    <row r="3338" spans="5:5">
      <c r="E3338" s="51"/>
    </row>
    <row r="3339" spans="5:5">
      <c r="E3339" s="51"/>
    </row>
    <row r="3340" spans="5:5">
      <c r="E3340" s="51"/>
    </row>
    <row r="3341" spans="5:5">
      <c r="E3341" s="51"/>
    </row>
    <row r="3342" spans="5:5">
      <c r="E3342" s="51"/>
    </row>
    <row r="3343" spans="5:5">
      <c r="E3343" s="51"/>
    </row>
    <row r="3344" spans="5:5">
      <c r="E3344" s="51"/>
    </row>
    <row r="3345" spans="5:5">
      <c r="E3345" s="51"/>
    </row>
    <row r="3346" spans="5:5">
      <c r="E3346" s="51"/>
    </row>
    <row r="3347" spans="5:5">
      <c r="E3347" s="51"/>
    </row>
    <row r="3348" spans="5:5">
      <c r="E3348" s="51"/>
    </row>
    <row r="3349" spans="5:5">
      <c r="E3349" s="51"/>
    </row>
    <row r="3350" spans="5:5">
      <c r="E3350" s="51"/>
    </row>
    <row r="3351" spans="5:5">
      <c r="E3351" s="51"/>
    </row>
    <row r="3352" spans="5:5">
      <c r="E3352" s="51"/>
    </row>
    <row r="3353" spans="5:5">
      <c r="E3353" s="51"/>
    </row>
    <row r="3354" spans="5:5">
      <c r="E3354" s="51"/>
    </row>
    <row r="3355" spans="5:5">
      <c r="E3355" s="51"/>
    </row>
    <row r="3356" spans="5:5">
      <c r="E3356" s="51"/>
    </row>
    <row r="3357" spans="5:5">
      <c r="E3357" s="51"/>
    </row>
    <row r="3358" spans="5:5">
      <c r="E3358" s="51"/>
    </row>
    <row r="3359" spans="5:5">
      <c r="E3359" s="51"/>
    </row>
    <row r="3360" spans="5:5">
      <c r="E3360" s="51"/>
    </row>
    <row r="3361" spans="5:5">
      <c r="E3361" s="51"/>
    </row>
    <row r="3362" spans="5:5">
      <c r="E3362" s="51"/>
    </row>
    <row r="3363" spans="5:5">
      <c r="E3363" s="51"/>
    </row>
    <row r="3364" spans="5:5">
      <c r="E3364" s="51"/>
    </row>
    <row r="3365" spans="5:5">
      <c r="E3365" s="51"/>
    </row>
    <row r="3366" spans="5:5">
      <c r="E3366" s="51"/>
    </row>
    <row r="3367" spans="5:5">
      <c r="E3367" s="51"/>
    </row>
    <row r="3368" spans="5:5">
      <c r="E3368" s="51"/>
    </row>
    <row r="3369" spans="5:5">
      <c r="E3369" s="51"/>
    </row>
    <row r="3370" spans="5:5">
      <c r="E3370" s="51"/>
    </row>
    <row r="3371" spans="5:5">
      <c r="E3371" s="51"/>
    </row>
    <row r="3372" spans="5:5">
      <c r="E3372" s="51"/>
    </row>
    <row r="3373" spans="5:5">
      <c r="E3373" s="51"/>
    </row>
    <row r="3374" spans="5:5">
      <c r="E3374" s="51"/>
    </row>
    <row r="3375" spans="5:5">
      <c r="E3375" s="51"/>
    </row>
    <row r="3376" spans="5:5">
      <c r="E3376" s="51"/>
    </row>
    <row r="3377" spans="5:5">
      <c r="E3377" s="51"/>
    </row>
    <row r="3378" spans="5:5">
      <c r="E3378" s="51"/>
    </row>
    <row r="3379" spans="5:5">
      <c r="E3379" s="51"/>
    </row>
    <row r="3380" spans="5:5">
      <c r="E3380" s="51"/>
    </row>
    <row r="3381" spans="5:5">
      <c r="E3381" s="51"/>
    </row>
    <row r="3382" spans="5:5">
      <c r="E3382" s="51"/>
    </row>
    <row r="3383" spans="5:5">
      <c r="E3383" s="51"/>
    </row>
    <row r="3384" spans="5:5">
      <c r="E3384" s="51"/>
    </row>
    <row r="3385" spans="5:5">
      <c r="E3385" s="51"/>
    </row>
    <row r="3386" spans="5:5">
      <c r="E3386" s="51"/>
    </row>
    <row r="3387" spans="5:5">
      <c r="E3387" s="51"/>
    </row>
    <row r="3388" spans="5:5">
      <c r="E3388" s="51"/>
    </row>
    <row r="3389" spans="5:5">
      <c r="E3389" s="51"/>
    </row>
    <row r="3390" spans="5:5">
      <c r="E3390" s="51"/>
    </row>
    <row r="3391" spans="5:5">
      <c r="E3391" s="51"/>
    </row>
    <row r="3392" spans="5:5">
      <c r="E3392" s="51"/>
    </row>
    <row r="3393" spans="5:5">
      <c r="E3393" s="51"/>
    </row>
    <row r="3394" spans="5:5">
      <c r="E3394" s="51"/>
    </row>
    <row r="3395" spans="5:5">
      <c r="E3395" s="51"/>
    </row>
    <row r="3396" spans="5:5">
      <c r="E3396" s="51"/>
    </row>
    <row r="3397" spans="5:5">
      <c r="E3397" s="51"/>
    </row>
    <row r="3398" spans="5:5">
      <c r="E3398" s="51"/>
    </row>
    <row r="3399" spans="5:5">
      <c r="E3399" s="51"/>
    </row>
    <row r="3400" spans="5:5">
      <c r="E3400" s="51"/>
    </row>
    <row r="3401" spans="5:5">
      <c r="E3401" s="51"/>
    </row>
    <row r="3402" spans="5:5">
      <c r="E3402" s="51"/>
    </row>
    <row r="3403" spans="5:5">
      <c r="E3403" s="51"/>
    </row>
    <row r="3404" spans="5:5">
      <c r="E3404" s="51"/>
    </row>
    <row r="3405" spans="5:5">
      <c r="E3405" s="51"/>
    </row>
    <row r="3406" spans="5:5">
      <c r="E3406" s="51"/>
    </row>
    <row r="3407" spans="5:5">
      <c r="E3407" s="51"/>
    </row>
    <row r="3408" spans="5:5">
      <c r="E3408" s="51"/>
    </row>
    <row r="3409" spans="5:5">
      <c r="E3409" s="51"/>
    </row>
    <row r="3410" spans="5:5">
      <c r="E3410" s="51"/>
    </row>
    <row r="3411" spans="5:5">
      <c r="E3411" s="51"/>
    </row>
    <row r="3412" spans="5:5">
      <c r="E3412" s="51"/>
    </row>
    <row r="3413" spans="5:5">
      <c r="E3413" s="51"/>
    </row>
    <row r="3414" spans="5:5">
      <c r="E3414" s="51"/>
    </row>
    <row r="3415" spans="5:5">
      <c r="E3415" s="51"/>
    </row>
    <row r="3416" spans="5:5">
      <c r="E3416" s="51"/>
    </row>
    <row r="3417" spans="5:5">
      <c r="E3417" s="51"/>
    </row>
    <row r="3418" spans="5:5">
      <c r="E3418" s="51"/>
    </row>
    <row r="3419" spans="5:5">
      <c r="E3419" s="51"/>
    </row>
    <row r="3420" spans="5:5">
      <c r="E3420" s="51"/>
    </row>
    <row r="3421" spans="5:5">
      <c r="E3421" s="51"/>
    </row>
    <row r="3422" spans="5:5">
      <c r="E3422" s="51"/>
    </row>
    <row r="3423" spans="5:5">
      <c r="E3423" s="51"/>
    </row>
    <row r="3424" spans="5:5">
      <c r="E3424" s="51"/>
    </row>
    <row r="3425" spans="5:5">
      <c r="E3425" s="51"/>
    </row>
    <row r="3426" spans="5:5">
      <c r="E3426" s="51"/>
    </row>
    <row r="3427" spans="5:5">
      <c r="E3427" s="51"/>
    </row>
    <row r="3428" spans="5:5">
      <c r="E3428" s="51"/>
    </row>
    <row r="3429" spans="5:5">
      <c r="E3429" s="51"/>
    </row>
    <row r="3430" spans="5:5">
      <c r="E3430" s="51"/>
    </row>
    <row r="3431" spans="5:5">
      <c r="E3431" s="51"/>
    </row>
    <row r="3432" spans="5:5">
      <c r="E3432" s="51"/>
    </row>
    <row r="3433" spans="5:5">
      <c r="E3433" s="51"/>
    </row>
    <row r="3434" spans="5:5">
      <c r="E3434" s="51"/>
    </row>
    <row r="3435" spans="5:5">
      <c r="E3435" s="51"/>
    </row>
    <row r="3436" spans="5:5">
      <c r="E3436" s="51"/>
    </row>
    <row r="3437" spans="5:5">
      <c r="E3437" s="51"/>
    </row>
    <row r="3438" spans="5:5">
      <c r="E3438" s="51"/>
    </row>
    <row r="3439" spans="5:5">
      <c r="E3439" s="51"/>
    </row>
    <row r="3440" spans="5:5">
      <c r="E3440" s="51"/>
    </row>
    <row r="3441" spans="5:5">
      <c r="E3441" s="51"/>
    </row>
    <row r="3442" spans="5:5">
      <c r="E3442" s="51"/>
    </row>
    <row r="3443" spans="5:5">
      <c r="E3443" s="51"/>
    </row>
    <row r="3444" spans="5:5">
      <c r="E3444" s="51"/>
    </row>
    <row r="3445" spans="5:5">
      <c r="E3445" s="51"/>
    </row>
    <row r="3446" spans="5:5">
      <c r="E3446" s="51"/>
    </row>
    <row r="3447" spans="5:5">
      <c r="E3447" s="51"/>
    </row>
    <row r="3448" spans="5:5">
      <c r="E3448" s="51"/>
    </row>
    <row r="3449" spans="5:5">
      <c r="E3449" s="51"/>
    </row>
    <row r="3450" spans="5:5">
      <c r="E3450" s="51"/>
    </row>
    <row r="3451" spans="5:5">
      <c r="E3451" s="51"/>
    </row>
    <row r="3452" spans="5:5">
      <c r="E3452" s="51"/>
    </row>
    <row r="3453" spans="5:5">
      <c r="E3453" s="51"/>
    </row>
    <row r="3454" spans="5:5">
      <c r="E3454" s="51"/>
    </row>
    <row r="3455" spans="5:5">
      <c r="E3455" s="51"/>
    </row>
    <row r="3456" spans="5:5">
      <c r="E3456" s="51"/>
    </row>
    <row r="3457" spans="5:5">
      <c r="E3457" s="51"/>
    </row>
    <row r="3458" spans="5:5">
      <c r="E3458" s="51"/>
    </row>
    <row r="3459" spans="5:5">
      <c r="E3459" s="51"/>
    </row>
    <row r="3460" spans="5:5">
      <c r="E3460" s="51"/>
    </row>
    <row r="3461" spans="5:5">
      <c r="E3461" s="51"/>
    </row>
    <row r="3462" spans="5:5">
      <c r="E3462" s="51"/>
    </row>
    <row r="3463" spans="5:5">
      <c r="E3463" s="51"/>
    </row>
    <row r="3464" spans="5:5">
      <c r="E3464" s="51"/>
    </row>
    <row r="3465" spans="5:5">
      <c r="E3465" s="51"/>
    </row>
    <row r="3466" spans="5:5">
      <c r="E3466" s="51"/>
    </row>
    <row r="3467" spans="5:5">
      <c r="E3467" s="51"/>
    </row>
    <row r="3468" spans="5:5">
      <c r="E3468" s="51"/>
    </row>
    <row r="3469" spans="5:5">
      <c r="E3469" s="51"/>
    </row>
    <row r="3470" spans="5:5">
      <c r="E3470" s="51"/>
    </row>
    <row r="3471" spans="5:5">
      <c r="E3471" s="51"/>
    </row>
    <row r="3472" spans="5:5">
      <c r="E3472" s="51"/>
    </row>
    <row r="3473" spans="5:5">
      <c r="E3473" s="51"/>
    </row>
    <row r="3474" spans="5:5">
      <c r="E3474" s="51"/>
    </row>
    <row r="3475" spans="5:5">
      <c r="E3475" s="51"/>
    </row>
    <row r="3476" spans="5:5">
      <c r="E3476" s="51"/>
    </row>
    <row r="3477" spans="5:5">
      <c r="E3477" s="51"/>
    </row>
    <row r="3478" spans="5:5">
      <c r="E3478" s="51"/>
    </row>
    <row r="3479" spans="5:5">
      <c r="E3479" s="51"/>
    </row>
    <row r="3480" spans="5:5">
      <c r="E3480" s="51"/>
    </row>
    <row r="3481" spans="5:5">
      <c r="E3481" s="51"/>
    </row>
    <row r="3482" spans="5:5">
      <c r="E3482" s="51"/>
    </row>
    <row r="3483" spans="5:5">
      <c r="E3483" s="51"/>
    </row>
    <row r="3484" spans="5:5">
      <c r="E3484" s="51"/>
    </row>
    <row r="3485" spans="5:5">
      <c r="E3485" s="51"/>
    </row>
    <row r="3486" spans="5:5">
      <c r="E3486" s="51"/>
    </row>
    <row r="3487" spans="5:5">
      <c r="E3487" s="51"/>
    </row>
    <row r="3488" spans="5:5">
      <c r="E3488" s="51"/>
    </row>
    <row r="3489" spans="5:5">
      <c r="E3489" s="51"/>
    </row>
    <row r="3490" spans="5:5">
      <c r="E3490" s="51"/>
    </row>
    <row r="3491" spans="5:5">
      <c r="E3491" s="51"/>
    </row>
    <row r="3492" spans="5:5">
      <c r="E3492" s="51"/>
    </row>
    <row r="3493" spans="5:5">
      <c r="E3493" s="51"/>
    </row>
    <row r="3494" spans="5:5">
      <c r="E3494" s="51"/>
    </row>
    <row r="3495" spans="5:5">
      <c r="E3495" s="51"/>
    </row>
    <row r="3496" spans="5:5">
      <c r="E3496" s="51"/>
    </row>
    <row r="3497" spans="5:5">
      <c r="E3497" s="51"/>
    </row>
    <row r="3498" spans="5:5">
      <c r="E3498" s="51"/>
    </row>
    <row r="3499" spans="5:5">
      <c r="E3499" s="51"/>
    </row>
    <row r="3500" spans="5:5">
      <c r="E3500" s="51"/>
    </row>
    <row r="3501" spans="5:5">
      <c r="E3501" s="51"/>
    </row>
    <row r="3502" spans="5:5">
      <c r="E3502" s="51"/>
    </row>
    <row r="3503" spans="5:5">
      <c r="E3503" s="51"/>
    </row>
    <row r="3504" spans="5:5">
      <c r="E3504" s="51"/>
    </row>
    <row r="3505" spans="5:5">
      <c r="E3505" s="51"/>
    </row>
    <row r="3506" spans="5:5">
      <c r="E3506" s="51"/>
    </row>
    <row r="3507" spans="5:5">
      <c r="E3507" s="51"/>
    </row>
    <row r="3508" spans="5:5">
      <c r="E3508" s="51"/>
    </row>
    <row r="3509" spans="5:5">
      <c r="E3509" s="51"/>
    </row>
    <row r="3510" spans="5:5">
      <c r="E3510" s="51"/>
    </row>
    <row r="3511" spans="5:5">
      <c r="E3511" s="51"/>
    </row>
    <row r="3512" spans="5:5">
      <c r="E3512" s="51"/>
    </row>
    <row r="3513" spans="5:5">
      <c r="E3513" s="51"/>
    </row>
    <row r="3514" spans="5:5">
      <c r="E3514" s="51"/>
    </row>
    <row r="3515" spans="5:5">
      <c r="E3515" s="51"/>
    </row>
    <row r="3516" spans="5:5">
      <c r="E3516" s="51"/>
    </row>
    <row r="3517" spans="5:5">
      <c r="E3517" s="51"/>
    </row>
    <row r="3518" spans="5:5">
      <c r="E3518" s="51"/>
    </row>
    <row r="3519" spans="5:5">
      <c r="E3519" s="51"/>
    </row>
    <row r="3520" spans="5:5">
      <c r="E3520" s="51"/>
    </row>
    <row r="3521" spans="5:5">
      <c r="E3521" s="51"/>
    </row>
    <row r="3522" spans="5:5">
      <c r="E3522" s="51"/>
    </row>
    <row r="3523" spans="5:5">
      <c r="E3523" s="51"/>
    </row>
    <row r="3524" spans="5:5">
      <c r="E3524" s="51"/>
    </row>
    <row r="3525" spans="5:5">
      <c r="E3525" s="51"/>
    </row>
    <row r="3526" spans="5:5">
      <c r="E3526" s="51"/>
    </row>
    <row r="3527" spans="5:5">
      <c r="E3527" s="51"/>
    </row>
    <row r="3528" spans="5:5">
      <c r="E3528" s="51"/>
    </row>
    <row r="3529" spans="5:5">
      <c r="E3529" s="51"/>
    </row>
    <row r="3530" spans="5:5">
      <c r="E3530" s="51"/>
    </row>
    <row r="3531" spans="5:5">
      <c r="E3531" s="51"/>
    </row>
    <row r="3532" spans="5:5">
      <c r="E3532" s="51"/>
    </row>
    <row r="3533" spans="5:5">
      <c r="E3533" s="51"/>
    </row>
    <row r="3534" spans="5:5">
      <c r="E3534" s="51"/>
    </row>
    <row r="3535" spans="5:5">
      <c r="E3535" s="51"/>
    </row>
    <row r="3536" spans="5:5">
      <c r="E3536" s="51"/>
    </row>
    <row r="3537" spans="5:5">
      <c r="E3537" s="51"/>
    </row>
    <row r="3538" spans="5:5">
      <c r="E3538" s="51"/>
    </row>
    <row r="3539" spans="5:5">
      <c r="E3539" s="51"/>
    </row>
    <row r="3540" spans="5:5">
      <c r="E3540" s="51"/>
    </row>
    <row r="3541" spans="5:5">
      <c r="E3541" s="51"/>
    </row>
    <row r="3542" spans="5:5">
      <c r="E3542" s="51"/>
    </row>
    <row r="3543" spans="5:5">
      <c r="E3543" s="51"/>
    </row>
    <row r="3544" spans="5:5">
      <c r="E3544" s="51"/>
    </row>
    <row r="3545" spans="5:5">
      <c r="E3545" s="51"/>
    </row>
    <row r="3546" spans="5:5">
      <c r="E3546" s="51"/>
    </row>
    <row r="3547" spans="5:5">
      <c r="E3547" s="51"/>
    </row>
    <row r="3548" spans="5:5">
      <c r="E3548" s="51"/>
    </row>
    <row r="3549" spans="5:5">
      <c r="E3549" s="51"/>
    </row>
    <row r="3550" spans="5:5">
      <c r="E3550" s="51"/>
    </row>
    <row r="3551" spans="5:5">
      <c r="E3551" s="51"/>
    </row>
    <row r="3552" spans="5:5">
      <c r="E3552" s="51"/>
    </row>
    <row r="3553" spans="5:5">
      <c r="E3553" s="51"/>
    </row>
    <row r="3554" spans="5:5">
      <c r="E3554" s="51"/>
    </row>
    <row r="3555" spans="5:5">
      <c r="E3555" s="51"/>
    </row>
    <row r="3556" spans="5:5">
      <c r="E3556" s="51"/>
    </row>
    <row r="3557" spans="5:5">
      <c r="E3557" s="51"/>
    </row>
    <row r="3558" spans="5:5">
      <c r="E3558" s="51"/>
    </row>
    <row r="3559" spans="5:5">
      <c r="E3559" s="51"/>
    </row>
    <row r="3560" spans="5:5">
      <c r="E3560" s="51"/>
    </row>
    <row r="3561" spans="5:5">
      <c r="E3561" s="51"/>
    </row>
    <row r="3562" spans="5:5">
      <c r="E3562" s="51"/>
    </row>
    <row r="3563" spans="5:5">
      <c r="E3563" s="51"/>
    </row>
    <row r="3564" spans="5:5">
      <c r="E3564" s="51"/>
    </row>
    <row r="3565" spans="5:5">
      <c r="E3565" s="51"/>
    </row>
    <row r="3566" spans="5:5">
      <c r="E3566" s="51"/>
    </row>
    <row r="3567" spans="5:5">
      <c r="E3567" s="51"/>
    </row>
    <row r="3568" spans="5:5">
      <c r="E3568" s="51"/>
    </row>
    <row r="3569" spans="5:5">
      <c r="E3569" s="51"/>
    </row>
    <row r="3570" spans="5:5">
      <c r="E3570" s="51"/>
    </row>
    <row r="3571" spans="5:5">
      <c r="E3571" s="51"/>
    </row>
    <row r="3572" spans="5:5">
      <c r="E3572" s="51"/>
    </row>
    <row r="3573" spans="5:5">
      <c r="E3573" s="51"/>
    </row>
    <row r="3574" spans="5:5">
      <c r="E3574" s="51"/>
    </row>
    <row r="3575" spans="5:5">
      <c r="E3575" s="51"/>
    </row>
    <row r="3576" spans="5:5">
      <c r="E3576" s="51"/>
    </row>
    <row r="3577" spans="5:5">
      <c r="E3577" s="51"/>
    </row>
    <row r="3578" spans="5:5">
      <c r="E3578" s="51"/>
    </row>
    <row r="3579" spans="5:5">
      <c r="E3579" s="51"/>
    </row>
    <row r="3580" spans="5:5">
      <c r="E3580" s="51"/>
    </row>
    <row r="3581" spans="5:5">
      <c r="E3581" s="51"/>
    </row>
    <row r="3582" spans="5:5">
      <c r="E3582" s="51"/>
    </row>
    <row r="3583" spans="5:5">
      <c r="E3583" s="51"/>
    </row>
    <row r="3584" spans="5:5">
      <c r="E3584" s="51"/>
    </row>
    <row r="3585" spans="5:5">
      <c r="E3585" s="51"/>
    </row>
    <row r="3586" spans="5:5">
      <c r="E3586" s="51"/>
    </row>
    <row r="3587" spans="5:5">
      <c r="E3587" s="51"/>
    </row>
    <row r="3588" spans="5:5">
      <c r="E3588" s="51"/>
    </row>
    <row r="3589" spans="5:5">
      <c r="E3589" s="51"/>
    </row>
    <row r="3590" spans="5:5">
      <c r="E3590" s="51"/>
    </row>
    <row r="3591" spans="5:5">
      <c r="E3591" s="51"/>
    </row>
    <row r="3592" spans="5:5">
      <c r="E3592" s="51"/>
    </row>
    <row r="3593" spans="5:5">
      <c r="E3593" s="51"/>
    </row>
    <row r="3594" spans="5:5">
      <c r="E3594" s="51"/>
    </row>
    <row r="3595" spans="5:5">
      <c r="E3595" s="51"/>
    </row>
    <row r="3596" spans="5:5">
      <c r="E3596" s="51"/>
    </row>
    <row r="3597" spans="5:5">
      <c r="E3597" s="51"/>
    </row>
    <row r="3598" spans="5:5">
      <c r="E3598" s="51"/>
    </row>
    <row r="3599" spans="5:5">
      <c r="E3599" s="51"/>
    </row>
    <row r="3600" spans="5:5">
      <c r="E3600" s="51"/>
    </row>
    <row r="3601" spans="5:5">
      <c r="E3601" s="51"/>
    </row>
    <row r="3602" spans="5:5">
      <c r="E3602" s="51"/>
    </row>
    <row r="3603" spans="5:5">
      <c r="E3603" s="51"/>
    </row>
    <row r="3604" spans="5:5">
      <c r="E3604" s="51"/>
    </row>
    <row r="3605" spans="5:5">
      <c r="E3605" s="51"/>
    </row>
    <row r="3606" spans="5:5">
      <c r="E3606" s="51"/>
    </row>
    <row r="3607" spans="5:5">
      <c r="E3607" s="51"/>
    </row>
    <row r="3608" spans="5:5">
      <c r="E3608" s="51"/>
    </row>
    <row r="3609" spans="5:5">
      <c r="E3609" s="51"/>
    </row>
    <row r="3610" spans="5:5">
      <c r="E3610" s="51"/>
    </row>
    <row r="3611" spans="5:5">
      <c r="E3611" s="51"/>
    </row>
    <row r="3612" spans="5:5">
      <c r="E3612" s="51"/>
    </row>
    <row r="3613" spans="5:5">
      <c r="E3613" s="51"/>
    </row>
    <row r="3614" spans="5:5">
      <c r="E3614" s="51"/>
    </row>
    <row r="3615" spans="5:5">
      <c r="E3615" s="51"/>
    </row>
    <row r="3616" spans="5:5">
      <c r="E3616" s="51"/>
    </row>
    <row r="3617" spans="5:5">
      <c r="E3617" s="51"/>
    </row>
    <row r="3618" spans="5:5">
      <c r="E3618" s="51"/>
    </row>
    <row r="3619" spans="5:5">
      <c r="E3619" s="51"/>
    </row>
    <row r="3620" spans="5:5">
      <c r="E3620" s="51"/>
    </row>
    <row r="3621" spans="5:5">
      <c r="E3621" s="51"/>
    </row>
    <row r="3622" spans="5:5">
      <c r="E3622" s="51"/>
    </row>
    <row r="3623" spans="5:5">
      <c r="E3623" s="51"/>
    </row>
    <row r="3624" spans="5:5">
      <c r="E3624" s="51"/>
    </row>
    <row r="3625" spans="5:5">
      <c r="E3625" s="51"/>
    </row>
    <row r="3626" spans="5:5">
      <c r="E3626" s="51"/>
    </row>
    <row r="3627" spans="5:5">
      <c r="E3627" s="51"/>
    </row>
    <row r="3628" spans="5:5">
      <c r="E3628" s="51"/>
    </row>
    <row r="3629" spans="5:5">
      <c r="E3629" s="51"/>
    </row>
    <row r="3630" spans="5:5">
      <c r="E3630" s="51"/>
    </row>
    <row r="3631" spans="5:5">
      <c r="E3631" s="51"/>
    </row>
    <row r="3632" spans="5:5">
      <c r="E3632" s="51"/>
    </row>
    <row r="3633" spans="5:5">
      <c r="E3633" s="51"/>
    </row>
    <row r="3634" spans="5:5">
      <c r="E3634" s="51"/>
    </row>
    <row r="3635" spans="5:5">
      <c r="E3635" s="51"/>
    </row>
    <row r="3636" spans="5:5">
      <c r="E3636" s="51"/>
    </row>
    <row r="3637" spans="5:5">
      <c r="E3637" s="51"/>
    </row>
    <row r="3638" spans="5:5">
      <c r="E3638" s="51"/>
    </row>
    <row r="3639" spans="5:5">
      <c r="E3639" s="51"/>
    </row>
    <row r="3640" spans="5:5">
      <c r="E3640" s="51"/>
    </row>
    <row r="3641" spans="5:5">
      <c r="E3641" s="51"/>
    </row>
    <row r="3642" spans="5:5">
      <c r="E3642" s="51"/>
    </row>
    <row r="3643" spans="5:5">
      <c r="E3643" s="51"/>
    </row>
    <row r="3644" spans="5:5">
      <c r="E3644" s="51"/>
    </row>
    <row r="3645" spans="5:5">
      <c r="E3645" s="51"/>
    </row>
    <row r="3646" spans="5:5">
      <c r="E3646" s="51"/>
    </row>
    <row r="3647" spans="5:5">
      <c r="E3647" s="51"/>
    </row>
    <row r="3648" spans="5:5">
      <c r="E3648" s="51"/>
    </row>
    <row r="3649" spans="5:5">
      <c r="E3649" s="51"/>
    </row>
    <row r="3650" spans="5:5">
      <c r="E3650" s="51"/>
    </row>
    <row r="3651" spans="5:5">
      <c r="E3651" s="51"/>
    </row>
    <row r="3652" spans="5:5">
      <c r="E3652" s="51"/>
    </row>
    <row r="3653" spans="5:5">
      <c r="E3653" s="51"/>
    </row>
    <row r="3654" spans="5:5">
      <c r="E3654" s="51"/>
    </row>
    <row r="3655" spans="5:5">
      <c r="E3655" s="51"/>
    </row>
    <row r="3656" spans="5:5">
      <c r="E3656" s="51"/>
    </row>
    <row r="3657" spans="5:5">
      <c r="E3657" s="51"/>
    </row>
    <row r="3658" spans="5:5">
      <c r="E3658" s="51"/>
    </row>
    <row r="3659" spans="5:5">
      <c r="E3659" s="51"/>
    </row>
    <row r="3660" spans="5:5">
      <c r="E3660" s="51"/>
    </row>
    <row r="3661" spans="5:5">
      <c r="E3661" s="51"/>
    </row>
    <row r="3662" spans="5:5">
      <c r="E3662" s="51"/>
    </row>
    <row r="3663" spans="5:5">
      <c r="E3663" s="51"/>
    </row>
    <row r="3664" spans="5:5">
      <c r="E3664" s="51"/>
    </row>
    <row r="3665" spans="5:5">
      <c r="E3665" s="51"/>
    </row>
    <row r="3666" spans="5:5">
      <c r="E3666" s="51"/>
    </row>
    <row r="3667" spans="5:5">
      <c r="E3667" s="51"/>
    </row>
    <row r="3668" spans="5:5">
      <c r="E3668" s="51"/>
    </row>
    <row r="3669" spans="5:5">
      <c r="E3669" s="51"/>
    </row>
    <row r="3670" spans="5:5">
      <c r="E3670" s="51"/>
    </row>
    <row r="3671" spans="5:5">
      <c r="E3671" s="51"/>
    </row>
    <row r="3672" spans="5:5">
      <c r="E3672" s="51"/>
    </row>
    <row r="3673" spans="5:5">
      <c r="E3673" s="51"/>
    </row>
    <row r="3674" spans="5:5">
      <c r="E3674" s="51"/>
    </row>
    <row r="3675" spans="5:5">
      <c r="E3675" s="51"/>
    </row>
    <row r="3676" spans="5:5">
      <c r="E3676" s="51"/>
    </row>
    <row r="3677" spans="5:5">
      <c r="E3677" s="51"/>
    </row>
    <row r="3678" spans="5:5">
      <c r="E3678" s="51"/>
    </row>
    <row r="3679" spans="5:5">
      <c r="E3679" s="51"/>
    </row>
    <row r="3680" spans="5:5">
      <c r="E3680" s="51"/>
    </row>
    <row r="3681" spans="5:5">
      <c r="E3681" s="51"/>
    </row>
    <row r="3682" spans="5:5">
      <c r="E3682" s="51"/>
    </row>
    <row r="3683" spans="5:5">
      <c r="E3683" s="51"/>
    </row>
    <row r="3684" spans="5:5">
      <c r="E3684" s="51"/>
    </row>
    <row r="3685" spans="5:5">
      <c r="E3685" s="51"/>
    </row>
    <row r="3686" spans="5:5">
      <c r="E3686" s="51"/>
    </row>
    <row r="3687" spans="5:5">
      <c r="E3687" s="51"/>
    </row>
    <row r="3688" spans="5:5">
      <c r="E3688" s="51"/>
    </row>
    <row r="3689" spans="5:5">
      <c r="E3689" s="51"/>
    </row>
    <row r="3690" spans="5:5">
      <c r="E3690" s="51"/>
    </row>
    <row r="3691" spans="5:5">
      <c r="E3691" s="51"/>
    </row>
    <row r="3692" spans="5:5">
      <c r="E3692" s="51"/>
    </row>
    <row r="3693" spans="5:5">
      <c r="E3693" s="51"/>
    </row>
    <row r="3694" spans="5:5">
      <c r="E3694" s="51"/>
    </row>
    <row r="3695" spans="5:5">
      <c r="E3695" s="51"/>
    </row>
    <row r="3696" spans="5:5">
      <c r="E3696" s="51"/>
    </row>
    <row r="3697" spans="5:5">
      <c r="E3697" s="51"/>
    </row>
    <row r="3698" spans="5:5">
      <c r="E3698" s="51"/>
    </row>
    <row r="3699" spans="5:5">
      <c r="E3699" s="51"/>
    </row>
    <row r="3700" spans="5:5">
      <c r="E3700" s="51"/>
    </row>
    <row r="3701" spans="5:5">
      <c r="E3701" s="51"/>
    </row>
    <row r="3702" spans="5:5">
      <c r="E3702" s="51"/>
    </row>
    <row r="3703" spans="5:5">
      <c r="E3703" s="51"/>
    </row>
    <row r="3704" spans="5:5">
      <c r="E3704" s="51"/>
    </row>
    <row r="3705" spans="5:5">
      <c r="E3705" s="51"/>
    </row>
    <row r="3706" spans="5:5">
      <c r="E3706" s="51"/>
    </row>
    <row r="3707" spans="5:5">
      <c r="E3707" s="51"/>
    </row>
    <row r="3708" spans="5:5">
      <c r="E3708" s="51"/>
    </row>
    <row r="3709" spans="5:5">
      <c r="E3709" s="51"/>
    </row>
    <row r="3710" spans="5:5">
      <c r="E3710" s="51"/>
    </row>
    <row r="3711" spans="5:5">
      <c r="E3711" s="51"/>
    </row>
    <row r="3712" spans="5:5">
      <c r="E3712" s="51"/>
    </row>
    <row r="3713" spans="5:5">
      <c r="E3713" s="51"/>
    </row>
    <row r="3714" spans="5:5">
      <c r="E3714" s="51"/>
    </row>
    <row r="3715" spans="5:5">
      <c r="E3715" s="51"/>
    </row>
    <row r="3716" spans="5:5">
      <c r="E3716" s="51"/>
    </row>
    <row r="3717" spans="5:5">
      <c r="E3717" s="51"/>
    </row>
    <row r="3718" spans="5:5">
      <c r="E3718" s="51"/>
    </row>
    <row r="3719" spans="5:5">
      <c r="E3719" s="51"/>
    </row>
    <row r="3720" spans="5:5">
      <c r="E3720" s="51"/>
    </row>
    <row r="3721" spans="5:5">
      <c r="E3721" s="51"/>
    </row>
    <row r="3722" spans="5:5">
      <c r="E3722" s="51"/>
    </row>
    <row r="3723" spans="5:5">
      <c r="E3723" s="51"/>
    </row>
    <row r="3724" spans="5:5">
      <c r="E3724" s="51"/>
    </row>
    <row r="3725" spans="5:5">
      <c r="E3725" s="51"/>
    </row>
    <row r="3726" spans="5:5">
      <c r="E3726" s="51"/>
    </row>
    <row r="3727" spans="5:5">
      <c r="E3727" s="51"/>
    </row>
    <row r="3728" spans="5:5">
      <c r="E3728" s="51"/>
    </row>
    <row r="3729" spans="5:5">
      <c r="E3729" s="51"/>
    </row>
    <row r="3730" spans="5:5">
      <c r="E3730" s="51"/>
    </row>
    <row r="3731" spans="5:5">
      <c r="E3731" s="51"/>
    </row>
    <row r="3732" spans="5:5">
      <c r="E3732" s="51"/>
    </row>
    <row r="3733" spans="5:5">
      <c r="E3733" s="51"/>
    </row>
    <row r="3734" spans="5:5">
      <c r="E3734" s="51"/>
    </row>
    <row r="3735" spans="5:5">
      <c r="E3735" s="51"/>
    </row>
    <row r="3736" spans="5:5">
      <c r="E3736" s="51"/>
    </row>
    <row r="3737" spans="5:5">
      <c r="E3737" s="51"/>
    </row>
    <row r="3738" spans="5:5">
      <c r="E3738" s="51"/>
    </row>
    <row r="3739" spans="5:5">
      <c r="E3739" s="51"/>
    </row>
    <row r="3740" spans="5:5">
      <c r="E3740" s="51"/>
    </row>
    <row r="3741" spans="5:5">
      <c r="E3741" s="51"/>
    </row>
    <row r="3742" spans="5:5">
      <c r="E3742" s="51"/>
    </row>
    <row r="3743" spans="5:5">
      <c r="E3743" s="51"/>
    </row>
    <row r="3744" spans="5:5">
      <c r="E3744" s="51"/>
    </row>
    <row r="3745" spans="5:5">
      <c r="E3745" s="51"/>
    </row>
    <row r="3746" spans="5:5">
      <c r="E3746" s="51"/>
    </row>
    <row r="3747" spans="5:5">
      <c r="E3747" s="51"/>
    </row>
    <row r="3748" spans="5:5">
      <c r="E3748" s="51"/>
    </row>
    <row r="3749" spans="5:5">
      <c r="E3749" s="51"/>
    </row>
    <row r="3750" spans="5:5">
      <c r="E3750" s="51"/>
    </row>
    <row r="3751" spans="5:5">
      <c r="E3751" s="51"/>
    </row>
    <row r="3752" spans="5:5">
      <c r="E3752" s="51"/>
    </row>
    <row r="3753" spans="5:5">
      <c r="E3753" s="51"/>
    </row>
    <row r="3754" spans="5:5">
      <c r="E3754" s="51"/>
    </row>
    <row r="3755" spans="5:5">
      <c r="E3755" s="51"/>
    </row>
    <row r="3756" spans="5:5">
      <c r="E3756" s="51"/>
    </row>
    <row r="3757" spans="5:5">
      <c r="E3757" s="51"/>
    </row>
    <row r="3758" spans="5:5">
      <c r="E3758" s="51"/>
    </row>
    <row r="3759" spans="5:5">
      <c r="E3759" s="51"/>
    </row>
    <row r="3760" spans="5:5">
      <c r="E3760" s="51"/>
    </row>
    <row r="3761" spans="5:5">
      <c r="E3761" s="51"/>
    </row>
    <row r="3762" spans="5:5">
      <c r="E3762" s="51"/>
    </row>
    <row r="3763" spans="5:5">
      <c r="E3763" s="51"/>
    </row>
    <row r="3764" spans="5:5">
      <c r="E3764" s="51"/>
    </row>
    <row r="3765" spans="5:5">
      <c r="E3765" s="51"/>
    </row>
    <row r="3766" spans="5:5">
      <c r="E3766" s="51"/>
    </row>
    <row r="3767" spans="5:5">
      <c r="E3767" s="51"/>
    </row>
    <row r="3768" spans="5:5">
      <c r="E3768" s="51"/>
    </row>
    <row r="3769" spans="5:5">
      <c r="E3769" s="51"/>
    </row>
    <row r="3770" spans="5:5">
      <c r="E3770" s="51"/>
    </row>
    <row r="3771" spans="5:5">
      <c r="E3771" s="51"/>
    </row>
    <row r="3772" spans="5:5">
      <c r="E3772" s="51"/>
    </row>
    <row r="3773" spans="5:5">
      <c r="E3773" s="51"/>
    </row>
    <row r="3774" spans="5:5">
      <c r="E3774" s="51"/>
    </row>
    <row r="3775" spans="5:5">
      <c r="E3775" s="51"/>
    </row>
    <row r="3776" spans="5:5">
      <c r="E3776" s="51"/>
    </row>
    <row r="3777" spans="5:5">
      <c r="E3777" s="51"/>
    </row>
    <row r="3778" spans="5:5">
      <c r="E3778" s="51"/>
    </row>
    <row r="3779" spans="5:5">
      <c r="E3779" s="51"/>
    </row>
    <row r="3780" spans="5:5">
      <c r="E3780" s="51"/>
    </row>
    <row r="3781" spans="5:5">
      <c r="E3781" s="51"/>
    </row>
    <row r="3782" spans="5:5">
      <c r="E3782" s="51"/>
    </row>
    <row r="3783" spans="5:5">
      <c r="E3783" s="51"/>
    </row>
    <row r="3784" spans="5:5">
      <c r="E3784" s="51"/>
    </row>
    <row r="3785" spans="5:5">
      <c r="E3785" s="51"/>
    </row>
    <row r="3786" spans="5:5">
      <c r="E3786" s="51"/>
    </row>
    <row r="3787" spans="5:5">
      <c r="E3787" s="51"/>
    </row>
    <row r="3788" spans="5:5">
      <c r="E3788" s="51"/>
    </row>
    <row r="3789" spans="5:5">
      <c r="E3789" s="51"/>
    </row>
    <row r="3790" spans="5:5">
      <c r="E3790" s="51"/>
    </row>
    <row r="3791" spans="5:5">
      <c r="E3791" s="51"/>
    </row>
    <row r="3792" spans="5:5">
      <c r="E3792" s="51"/>
    </row>
    <row r="3793" spans="5:5">
      <c r="E3793" s="51"/>
    </row>
    <row r="3794" spans="5:5">
      <c r="E3794" s="51"/>
    </row>
    <row r="3795" spans="5:5">
      <c r="E3795" s="51"/>
    </row>
    <row r="3796" spans="5:5">
      <c r="E3796" s="51"/>
    </row>
    <row r="3797" spans="5:5">
      <c r="E3797" s="51"/>
    </row>
    <row r="3798" spans="5:5">
      <c r="E3798" s="51"/>
    </row>
    <row r="3799" spans="5:5">
      <c r="E3799" s="51"/>
    </row>
    <row r="3800" spans="5:5">
      <c r="E3800" s="51"/>
    </row>
    <row r="3801" spans="5:5">
      <c r="E3801" s="51"/>
    </row>
    <row r="3802" spans="5:5">
      <c r="E3802" s="51"/>
    </row>
    <row r="3803" spans="5:5">
      <c r="E3803" s="51"/>
    </row>
    <row r="3804" spans="5:5">
      <c r="E3804" s="51"/>
    </row>
    <row r="3805" spans="5:5">
      <c r="E3805" s="51"/>
    </row>
    <row r="3806" spans="5:5">
      <c r="E3806" s="51"/>
    </row>
    <row r="3807" spans="5:5">
      <c r="E3807" s="51"/>
    </row>
    <row r="3808" spans="5:5">
      <c r="E3808" s="51"/>
    </row>
    <row r="3809" spans="5:5">
      <c r="E3809" s="51"/>
    </row>
    <row r="3810" spans="5:5">
      <c r="E3810" s="51"/>
    </row>
    <row r="3811" spans="5:5">
      <c r="E3811" s="51"/>
    </row>
    <row r="3812" spans="5:5">
      <c r="E3812" s="51"/>
    </row>
    <row r="3813" spans="5:5">
      <c r="E3813" s="51"/>
    </row>
    <row r="3814" spans="5:5">
      <c r="E3814" s="51"/>
    </row>
    <row r="3815" spans="5:5">
      <c r="E3815" s="51"/>
    </row>
    <row r="3816" spans="5:5">
      <c r="E3816" s="51"/>
    </row>
    <row r="3817" spans="5:5">
      <c r="E3817" s="51"/>
    </row>
    <row r="3818" spans="5:5">
      <c r="E3818" s="51"/>
    </row>
    <row r="3819" spans="5:5">
      <c r="E3819" s="51"/>
    </row>
    <row r="3820" spans="5:5">
      <c r="E3820" s="51"/>
    </row>
    <row r="3821" spans="5:5">
      <c r="E3821" s="51"/>
    </row>
    <row r="3822" spans="5:5">
      <c r="E3822" s="51"/>
    </row>
    <row r="3823" spans="5:5">
      <c r="E3823" s="51"/>
    </row>
    <row r="3824" spans="5:5">
      <c r="E3824" s="51"/>
    </row>
    <row r="3825" spans="5:5">
      <c r="E3825" s="51"/>
    </row>
    <row r="3826" spans="5:5">
      <c r="E3826" s="51"/>
    </row>
    <row r="3827" spans="5:5">
      <c r="E3827" s="51"/>
    </row>
    <row r="3828" spans="5:5">
      <c r="E3828" s="51"/>
    </row>
    <row r="3829" spans="5:5">
      <c r="E3829" s="51"/>
    </row>
    <row r="3830" spans="5:5">
      <c r="E3830" s="51"/>
    </row>
    <row r="3831" spans="5:5">
      <c r="E3831" s="51"/>
    </row>
    <row r="3832" spans="5:5">
      <c r="E3832" s="51"/>
    </row>
    <row r="3833" spans="5:5">
      <c r="E3833" s="51"/>
    </row>
    <row r="3834" spans="5:5">
      <c r="E3834" s="51"/>
    </row>
    <row r="3835" spans="5:5">
      <c r="E3835" s="51"/>
    </row>
    <row r="3836" spans="5:5">
      <c r="E3836" s="51"/>
    </row>
    <row r="3837" spans="5:5">
      <c r="E3837" s="51"/>
    </row>
    <row r="3838" spans="5:5">
      <c r="E3838" s="51"/>
    </row>
    <row r="3839" spans="5:5">
      <c r="E3839" s="51"/>
    </row>
    <row r="3840" spans="5:5">
      <c r="E3840" s="51"/>
    </row>
    <row r="3841" spans="5:5">
      <c r="E3841" s="51"/>
    </row>
    <row r="3842" spans="5:5">
      <c r="E3842" s="51"/>
    </row>
    <row r="3843" spans="5:5">
      <c r="E3843" s="51"/>
    </row>
    <row r="3844" spans="5:5">
      <c r="E3844" s="51"/>
    </row>
    <row r="3845" spans="5:5">
      <c r="E3845" s="51"/>
    </row>
    <row r="3846" spans="5:5">
      <c r="E3846" s="51"/>
    </row>
    <row r="3847" spans="5:5">
      <c r="E3847" s="51"/>
    </row>
    <row r="3848" spans="5:5">
      <c r="E3848" s="51"/>
    </row>
    <row r="3849" spans="5:5">
      <c r="E3849" s="51"/>
    </row>
    <row r="3850" spans="5:5">
      <c r="E3850" s="51"/>
    </row>
    <row r="3851" spans="5:5">
      <c r="E3851" s="51"/>
    </row>
    <row r="3852" spans="5:5">
      <c r="E3852" s="51"/>
    </row>
    <row r="3853" spans="5:5">
      <c r="E3853" s="51"/>
    </row>
    <row r="3854" spans="5:5">
      <c r="E3854" s="51"/>
    </row>
    <row r="3855" spans="5:5">
      <c r="E3855" s="51"/>
    </row>
    <row r="3856" spans="5:5">
      <c r="E3856" s="51"/>
    </row>
    <row r="3857" spans="5:5">
      <c r="E3857" s="51"/>
    </row>
    <row r="3858" spans="5:5">
      <c r="E3858" s="51"/>
    </row>
    <row r="3859" spans="5:5">
      <c r="E3859" s="51"/>
    </row>
    <row r="3860" spans="5:5">
      <c r="E3860" s="51"/>
    </row>
    <row r="3861" spans="5:5">
      <c r="E3861" s="51"/>
    </row>
    <row r="3862" spans="5:5">
      <c r="E3862" s="51"/>
    </row>
    <row r="3863" spans="5:5">
      <c r="E3863" s="51"/>
    </row>
    <row r="3864" spans="5:5">
      <c r="E3864" s="51"/>
    </row>
    <row r="3865" spans="5:5">
      <c r="E3865" s="51"/>
    </row>
    <row r="3866" spans="5:5">
      <c r="E3866" s="51"/>
    </row>
    <row r="3867" spans="5:5">
      <c r="E3867" s="51"/>
    </row>
    <row r="3868" spans="5:5">
      <c r="E3868" s="51"/>
    </row>
    <row r="3869" spans="5:5">
      <c r="E3869" s="51"/>
    </row>
    <row r="3870" spans="5:5">
      <c r="E3870" s="51"/>
    </row>
    <row r="3871" spans="5:5">
      <c r="E3871" s="51"/>
    </row>
    <row r="3872" spans="5:5">
      <c r="E3872" s="51"/>
    </row>
    <row r="3873" spans="5:5">
      <c r="E3873" s="51"/>
    </row>
    <row r="3874" spans="5:5">
      <c r="E3874" s="51"/>
    </row>
    <row r="3875" spans="5:5">
      <c r="E3875" s="51"/>
    </row>
    <row r="3876" spans="5:5">
      <c r="E3876" s="51"/>
    </row>
    <row r="3877" spans="5:5">
      <c r="E3877" s="51"/>
    </row>
    <row r="3878" spans="5:5">
      <c r="E3878" s="51"/>
    </row>
    <row r="3879" spans="5:5">
      <c r="E3879" s="51"/>
    </row>
    <row r="3880" spans="5:5">
      <c r="E3880" s="51"/>
    </row>
    <row r="3881" spans="5:5">
      <c r="E3881" s="51"/>
    </row>
    <row r="3882" spans="5:5">
      <c r="E3882" s="51"/>
    </row>
    <row r="3883" spans="5:5">
      <c r="E3883" s="51"/>
    </row>
    <row r="3884" spans="5:5">
      <c r="E3884" s="51"/>
    </row>
    <row r="3885" spans="5:5">
      <c r="E3885" s="51"/>
    </row>
    <row r="3886" spans="5:5">
      <c r="E3886" s="51"/>
    </row>
    <row r="3887" spans="5:5">
      <c r="E3887" s="51"/>
    </row>
    <row r="3888" spans="5:5">
      <c r="E3888" s="51"/>
    </row>
    <row r="3889" spans="5:5">
      <c r="E3889" s="51"/>
    </row>
    <row r="3890" spans="5:5">
      <c r="E3890" s="51"/>
    </row>
    <row r="3891" spans="5:5">
      <c r="E3891" s="51"/>
    </row>
    <row r="3892" spans="5:5">
      <c r="E3892" s="51"/>
    </row>
    <row r="3893" spans="5:5">
      <c r="E3893" s="51"/>
    </row>
    <row r="3894" spans="5:5">
      <c r="E3894" s="51"/>
    </row>
    <row r="3895" spans="5:5">
      <c r="E3895" s="51"/>
    </row>
    <row r="3896" spans="5:5">
      <c r="E3896" s="51"/>
    </row>
    <row r="3897" spans="5:5">
      <c r="E3897" s="51"/>
    </row>
    <row r="3898" spans="5:5">
      <c r="E3898" s="51"/>
    </row>
    <row r="3899" spans="5:5">
      <c r="E3899" s="51"/>
    </row>
    <row r="3900" spans="5:5">
      <c r="E3900" s="51"/>
    </row>
    <row r="3901" spans="5:5">
      <c r="E3901" s="51"/>
    </row>
    <row r="3902" spans="5:5">
      <c r="E3902" s="51"/>
    </row>
    <row r="3903" spans="5:5">
      <c r="E3903" s="51"/>
    </row>
    <row r="3904" spans="5:5">
      <c r="E3904" s="51"/>
    </row>
    <row r="3905" spans="5:5">
      <c r="E3905" s="51"/>
    </row>
    <row r="3906" spans="5:5">
      <c r="E3906" s="51"/>
    </row>
    <row r="3907" spans="5:5">
      <c r="E3907" s="51"/>
    </row>
    <row r="3908" spans="5:5">
      <c r="E3908" s="51"/>
    </row>
    <row r="3909" spans="5:5">
      <c r="E3909" s="51"/>
    </row>
    <row r="3910" spans="5:5">
      <c r="E3910" s="51"/>
    </row>
    <row r="3911" spans="5:5">
      <c r="E3911" s="51"/>
    </row>
    <row r="3912" spans="5:5">
      <c r="E3912" s="51"/>
    </row>
    <row r="3913" spans="5:5">
      <c r="E3913" s="51"/>
    </row>
    <row r="3914" spans="5:5">
      <c r="E3914" s="51"/>
    </row>
    <row r="3915" spans="5:5">
      <c r="E3915" s="51"/>
    </row>
    <row r="3916" spans="5:5">
      <c r="E3916" s="51"/>
    </row>
    <row r="3917" spans="5:5">
      <c r="E3917" s="51"/>
    </row>
    <row r="3918" spans="5:5">
      <c r="E3918" s="51"/>
    </row>
    <row r="3919" spans="5:5">
      <c r="E3919" s="51"/>
    </row>
    <row r="3920" spans="5:5">
      <c r="E3920" s="51"/>
    </row>
    <row r="3921" spans="5:5">
      <c r="E3921" s="51"/>
    </row>
    <row r="3922" spans="5:5">
      <c r="E3922" s="51"/>
    </row>
    <row r="3923" spans="5:5">
      <c r="E3923" s="51"/>
    </row>
    <row r="3924" spans="5:5">
      <c r="E3924" s="51"/>
    </row>
    <row r="3925" spans="5:5">
      <c r="E3925" s="51"/>
    </row>
    <row r="3926" spans="5:5">
      <c r="E3926" s="51"/>
    </row>
    <row r="3927" spans="5:5">
      <c r="E3927" s="51"/>
    </row>
    <row r="3928" spans="5:5">
      <c r="E3928" s="51"/>
    </row>
    <row r="3929" spans="5:5">
      <c r="E3929" s="51"/>
    </row>
    <row r="3930" spans="5:5">
      <c r="E3930" s="51"/>
    </row>
    <row r="3931" spans="5:5">
      <c r="E3931" s="51"/>
    </row>
    <row r="3932" spans="5:5">
      <c r="E3932" s="51"/>
    </row>
    <row r="3933" spans="5:5">
      <c r="E3933" s="51"/>
    </row>
    <row r="3934" spans="5:5">
      <c r="E3934" s="51"/>
    </row>
    <row r="3935" spans="5:5">
      <c r="E3935" s="51"/>
    </row>
    <row r="3936" spans="5:5">
      <c r="E3936" s="51"/>
    </row>
    <row r="3937" spans="5:5">
      <c r="E3937" s="51"/>
    </row>
    <row r="3938" spans="5:5">
      <c r="E3938" s="51"/>
    </row>
    <row r="3939" spans="5:5">
      <c r="E3939" s="51"/>
    </row>
    <row r="3940" spans="5:5">
      <c r="E3940" s="51"/>
    </row>
    <row r="3941" spans="5:5">
      <c r="E3941" s="51"/>
    </row>
    <row r="3942" spans="5:5">
      <c r="E3942" s="51"/>
    </row>
    <row r="3943" spans="5:5">
      <c r="E3943" s="51"/>
    </row>
    <row r="3944" spans="5:5">
      <c r="E3944" s="51"/>
    </row>
    <row r="3945" spans="5:5">
      <c r="E3945" s="51"/>
    </row>
    <row r="3946" spans="5:5">
      <c r="E3946" s="51"/>
    </row>
    <row r="3947" spans="5:5">
      <c r="E3947" s="51"/>
    </row>
    <row r="3948" spans="5:5">
      <c r="E3948" s="51"/>
    </row>
    <row r="3949" spans="5:5">
      <c r="E3949" s="51"/>
    </row>
    <row r="3950" spans="5:5">
      <c r="E3950" s="51"/>
    </row>
    <row r="3951" spans="5:5">
      <c r="E3951" s="51"/>
    </row>
    <row r="3952" spans="5:5">
      <c r="E3952" s="51"/>
    </row>
    <row r="3953" spans="5:5">
      <c r="E3953" s="51"/>
    </row>
    <row r="3954" spans="5:5">
      <c r="E3954" s="51"/>
    </row>
    <row r="3955" spans="5:5">
      <c r="E3955" s="51"/>
    </row>
    <row r="3956" spans="5:5">
      <c r="E3956" s="51"/>
    </row>
    <row r="3957" spans="5:5">
      <c r="E3957" s="51"/>
    </row>
    <row r="3958" spans="5:5">
      <c r="E3958" s="51"/>
    </row>
    <row r="3959" spans="5:5">
      <c r="E3959" s="51"/>
    </row>
    <row r="3960" spans="5:5">
      <c r="E3960" s="51"/>
    </row>
    <row r="3961" spans="5:5">
      <c r="E3961" s="51"/>
    </row>
    <row r="3962" spans="5:5">
      <c r="E3962" s="51"/>
    </row>
    <row r="3963" spans="5:5">
      <c r="E3963" s="51"/>
    </row>
    <row r="3964" spans="5:5">
      <c r="E3964" s="51"/>
    </row>
    <row r="3965" spans="5:5">
      <c r="E3965" s="51"/>
    </row>
    <row r="3966" spans="5:5">
      <c r="E3966" s="51"/>
    </row>
    <row r="3967" spans="5:5">
      <c r="E3967" s="51"/>
    </row>
    <row r="3968" spans="5:5">
      <c r="E3968" s="51"/>
    </row>
    <row r="3969" spans="5:5">
      <c r="E3969" s="51"/>
    </row>
    <row r="3970" spans="5:5">
      <c r="E3970" s="51"/>
    </row>
    <row r="3971" spans="5:5">
      <c r="E3971" s="51"/>
    </row>
    <row r="3972" spans="5:5">
      <c r="E3972" s="51"/>
    </row>
    <row r="3973" spans="5:5">
      <c r="E3973" s="51"/>
    </row>
    <row r="3974" spans="5:5">
      <c r="E3974" s="51"/>
    </row>
    <row r="3975" spans="5:5">
      <c r="E3975" s="51"/>
    </row>
    <row r="3976" spans="5:5">
      <c r="E3976" s="51"/>
    </row>
    <row r="3977" spans="5:5">
      <c r="E3977" s="51"/>
    </row>
    <row r="3978" spans="5:5">
      <c r="E3978" s="51"/>
    </row>
    <row r="3979" spans="5:5">
      <c r="E3979" s="51"/>
    </row>
    <row r="3980" spans="5:5">
      <c r="E3980" s="51"/>
    </row>
    <row r="3981" spans="5:5">
      <c r="E3981" s="51"/>
    </row>
    <row r="3982" spans="5:5">
      <c r="E3982" s="51"/>
    </row>
    <row r="3983" spans="5:5">
      <c r="E3983" s="51"/>
    </row>
    <row r="3984" spans="5:5">
      <c r="E3984" s="51"/>
    </row>
    <row r="3985" spans="5:5">
      <c r="E3985" s="51"/>
    </row>
    <row r="3986" spans="5:5">
      <c r="E3986" s="51"/>
    </row>
    <row r="3987" spans="5:5">
      <c r="E3987" s="51"/>
    </row>
    <row r="3988" spans="5:5">
      <c r="E3988" s="51"/>
    </row>
    <row r="3989" spans="5:5">
      <c r="E3989" s="51"/>
    </row>
    <row r="3990" spans="5:5">
      <c r="E3990" s="51"/>
    </row>
    <row r="3991" spans="5:5">
      <c r="E3991" s="51"/>
    </row>
    <row r="3992" spans="5:5">
      <c r="E3992" s="51"/>
    </row>
    <row r="3993" spans="5:5">
      <c r="E3993" s="51"/>
    </row>
    <row r="3994" spans="5:5">
      <c r="E3994" s="51"/>
    </row>
    <row r="3995" spans="5:5">
      <c r="E3995" s="51"/>
    </row>
    <row r="3996" spans="5:5">
      <c r="E3996" s="51"/>
    </row>
    <row r="3997" spans="5:5">
      <c r="E3997" s="51"/>
    </row>
    <row r="3998" spans="5:5">
      <c r="E3998" s="51"/>
    </row>
    <row r="3999" spans="5:5">
      <c r="E3999" s="51"/>
    </row>
    <row r="4000" spans="5:5">
      <c r="E4000" s="51"/>
    </row>
    <row r="4001" spans="5:5">
      <c r="E4001" s="51"/>
    </row>
    <row r="4002" spans="5:5">
      <c r="E4002" s="51"/>
    </row>
    <row r="4003" spans="5:5">
      <c r="E4003" s="51"/>
    </row>
    <row r="4004" spans="5:5">
      <c r="E4004" s="51"/>
    </row>
    <row r="4005" spans="5:5">
      <c r="E4005" s="51"/>
    </row>
    <row r="4006" spans="5:5">
      <c r="E4006" s="51"/>
    </row>
    <row r="4007" spans="5:5">
      <c r="E4007" s="51"/>
    </row>
    <row r="4008" spans="5:5">
      <c r="E4008" s="51"/>
    </row>
    <row r="4009" spans="5:5">
      <c r="E4009" s="51"/>
    </row>
    <row r="4010" spans="5:5">
      <c r="E4010" s="51"/>
    </row>
    <row r="4011" spans="5:5">
      <c r="E4011" s="51"/>
    </row>
    <row r="4012" spans="5:5">
      <c r="E4012" s="51"/>
    </row>
    <row r="4013" spans="5:5">
      <c r="E4013" s="51"/>
    </row>
    <row r="4014" spans="5:5">
      <c r="E4014" s="51"/>
    </row>
    <row r="4015" spans="5:5">
      <c r="E4015" s="51"/>
    </row>
    <row r="4016" spans="5:5">
      <c r="E4016" s="51"/>
    </row>
    <row r="4017" spans="5:5">
      <c r="E4017" s="51"/>
    </row>
    <row r="4018" spans="5:5">
      <c r="E4018" s="51"/>
    </row>
    <row r="4019" spans="5:5">
      <c r="E4019" s="51"/>
    </row>
    <row r="4020" spans="5:5">
      <c r="E4020" s="51"/>
    </row>
    <row r="4021" spans="5:5">
      <c r="E4021" s="51"/>
    </row>
    <row r="4022" spans="5:5">
      <c r="E4022" s="51"/>
    </row>
    <row r="4023" spans="5:5">
      <c r="E4023" s="51"/>
    </row>
    <row r="4024" spans="5:5">
      <c r="E4024" s="51"/>
    </row>
    <row r="4025" spans="5:5">
      <c r="E4025" s="51"/>
    </row>
    <row r="4026" spans="5:5">
      <c r="E4026" s="51"/>
    </row>
    <row r="4027" spans="5:5">
      <c r="E4027" s="51"/>
    </row>
    <row r="4028" spans="5:5">
      <c r="E4028" s="51"/>
    </row>
    <row r="4029" spans="5:5">
      <c r="E4029" s="51"/>
    </row>
    <row r="4030" spans="5:5">
      <c r="E4030" s="51"/>
    </row>
    <row r="4031" spans="5:5">
      <c r="E4031" s="51"/>
    </row>
    <row r="4032" spans="5:5">
      <c r="E4032" s="51"/>
    </row>
    <row r="4033" spans="5:5">
      <c r="E4033" s="51"/>
    </row>
    <row r="4034" spans="5:5">
      <c r="E4034" s="51"/>
    </row>
    <row r="4035" spans="5:5">
      <c r="E4035" s="51"/>
    </row>
    <row r="4036" spans="5:5">
      <c r="E4036" s="51"/>
    </row>
    <row r="4037" spans="5:5">
      <c r="E4037" s="51"/>
    </row>
    <row r="4038" spans="5:5">
      <c r="E4038" s="51"/>
    </row>
    <row r="4039" spans="5:5">
      <c r="E4039" s="51"/>
    </row>
    <row r="4040" spans="5:5">
      <c r="E4040" s="51"/>
    </row>
    <row r="4041" spans="5:5">
      <c r="E4041" s="51"/>
    </row>
    <row r="4042" spans="5:5">
      <c r="E4042" s="51"/>
    </row>
    <row r="4043" spans="5:5">
      <c r="E4043" s="51"/>
    </row>
    <row r="4044" spans="5:5">
      <c r="E4044" s="51"/>
    </row>
    <row r="4045" spans="5:5">
      <c r="E4045" s="51"/>
    </row>
    <row r="4046" spans="5:5">
      <c r="E4046" s="51"/>
    </row>
    <row r="4047" spans="5:5">
      <c r="E4047" s="51"/>
    </row>
    <row r="4048" spans="5:5">
      <c r="E4048" s="51"/>
    </row>
    <row r="4049" spans="5:5">
      <c r="E4049" s="51"/>
    </row>
    <row r="4050" spans="5:5">
      <c r="E4050" s="51"/>
    </row>
    <row r="4051" spans="5:5">
      <c r="E4051" s="51"/>
    </row>
    <row r="4052" spans="5:5">
      <c r="E4052" s="51"/>
    </row>
    <row r="4053" spans="5:5">
      <c r="E4053" s="51"/>
    </row>
    <row r="4054" spans="5:5">
      <c r="E4054" s="51"/>
    </row>
    <row r="4055" spans="5:5">
      <c r="E4055" s="51"/>
    </row>
    <row r="4056" spans="5:5">
      <c r="E4056" s="51"/>
    </row>
    <row r="4057" spans="5:5">
      <c r="E4057" s="51"/>
    </row>
    <row r="4058" spans="5:5">
      <c r="E4058" s="51"/>
    </row>
    <row r="4059" spans="5:5">
      <c r="E4059" s="51"/>
    </row>
    <row r="4060" spans="5:5">
      <c r="E4060" s="51"/>
    </row>
    <row r="4061" spans="5:5">
      <c r="E4061" s="51"/>
    </row>
    <row r="4062" spans="5:5">
      <c r="E4062" s="51"/>
    </row>
    <row r="4063" spans="5:5">
      <c r="E4063" s="51"/>
    </row>
    <row r="4064" spans="5:5">
      <c r="E4064" s="51"/>
    </row>
    <row r="4065" spans="5:5">
      <c r="E4065" s="51"/>
    </row>
    <row r="4066" spans="5:5">
      <c r="E4066" s="51"/>
    </row>
    <row r="4067" spans="5:5">
      <c r="E4067" s="51"/>
    </row>
    <row r="4068" spans="5:5">
      <c r="E4068" s="51"/>
    </row>
    <row r="4069" spans="5:5">
      <c r="E4069" s="51"/>
    </row>
    <row r="4070" spans="5:5">
      <c r="E4070" s="51"/>
    </row>
    <row r="4071" spans="5:5">
      <c r="E4071" s="51"/>
    </row>
    <row r="4072" spans="5:5">
      <c r="E4072" s="51"/>
    </row>
    <row r="4073" spans="5:5">
      <c r="E4073" s="51"/>
    </row>
    <row r="4074" spans="5:5">
      <c r="E4074" s="51"/>
    </row>
    <row r="4075" spans="5:5">
      <c r="E4075" s="51"/>
    </row>
    <row r="4076" spans="5:5">
      <c r="E4076" s="51"/>
    </row>
    <row r="4077" spans="5:5">
      <c r="E4077" s="51"/>
    </row>
    <row r="4078" spans="5:5">
      <c r="E4078" s="51"/>
    </row>
    <row r="4079" spans="5:5">
      <c r="E4079" s="51"/>
    </row>
    <row r="4080" spans="5:5">
      <c r="E4080" s="51"/>
    </row>
    <row r="4081" spans="5:5">
      <c r="E4081" s="51"/>
    </row>
    <row r="4082" spans="5:5">
      <c r="E4082" s="51"/>
    </row>
    <row r="4083" spans="5:5">
      <c r="E4083" s="51"/>
    </row>
    <row r="4084" spans="5:5">
      <c r="E4084" s="51"/>
    </row>
    <row r="4085" spans="5:5">
      <c r="E4085" s="51"/>
    </row>
    <row r="4086" spans="5:5">
      <c r="E4086" s="51"/>
    </row>
    <row r="4087" spans="5:5">
      <c r="E4087" s="51"/>
    </row>
    <row r="4088" spans="5:5">
      <c r="E4088" s="51"/>
    </row>
    <row r="4089" spans="5:5">
      <c r="E4089" s="51"/>
    </row>
    <row r="4090" spans="5:5">
      <c r="E4090" s="51"/>
    </row>
    <row r="4091" spans="5:5">
      <c r="E4091" s="51"/>
    </row>
    <row r="4092" spans="5:5">
      <c r="E4092" s="51"/>
    </row>
    <row r="4093" spans="5:5">
      <c r="E4093" s="51"/>
    </row>
    <row r="4094" spans="5:5">
      <c r="E4094" s="51"/>
    </row>
    <row r="4095" spans="5:5">
      <c r="E4095" s="51"/>
    </row>
    <row r="4096" spans="5:5">
      <c r="E4096" s="51"/>
    </row>
    <row r="4097" spans="5:5">
      <c r="E4097" s="51"/>
    </row>
    <row r="4098" spans="5:5">
      <c r="E4098" s="51"/>
    </row>
    <row r="4099" spans="5:5">
      <c r="E4099" s="51"/>
    </row>
    <row r="4100" spans="5:5">
      <c r="E4100" s="51"/>
    </row>
    <row r="4101" spans="5:5">
      <c r="E4101" s="51"/>
    </row>
    <row r="4102" spans="5:5">
      <c r="E4102" s="51"/>
    </row>
    <row r="4103" spans="5:5">
      <c r="E4103" s="51"/>
    </row>
    <row r="4104" spans="5:5">
      <c r="E4104" s="51"/>
    </row>
    <row r="4105" spans="5:5">
      <c r="E4105" s="51"/>
    </row>
    <row r="4106" spans="5:5">
      <c r="E4106" s="51"/>
    </row>
    <row r="4107" spans="5:5">
      <c r="E4107" s="51"/>
    </row>
    <row r="4108" spans="5:5">
      <c r="E4108" s="51"/>
    </row>
    <row r="4109" spans="5:5">
      <c r="E4109" s="51"/>
    </row>
    <row r="4110" spans="5:5">
      <c r="E4110" s="51"/>
    </row>
    <row r="4111" spans="5:5">
      <c r="E4111" s="51"/>
    </row>
    <row r="4112" spans="5:5">
      <c r="E4112" s="51"/>
    </row>
    <row r="4113" spans="5:5">
      <c r="E4113" s="51"/>
    </row>
    <row r="4114" spans="5:5">
      <c r="E4114" s="51"/>
    </row>
    <row r="4115" spans="5:5">
      <c r="E4115" s="51"/>
    </row>
    <row r="4116" spans="5:5">
      <c r="E4116" s="51"/>
    </row>
    <row r="4117" spans="5:5">
      <c r="E4117" s="51"/>
    </row>
    <row r="4118" spans="5:5">
      <c r="E4118" s="51"/>
    </row>
    <row r="4119" spans="5:5">
      <c r="E4119" s="51"/>
    </row>
    <row r="4120" spans="5:5">
      <c r="E4120" s="51"/>
    </row>
    <row r="4121" spans="5:5">
      <c r="E4121" s="51"/>
    </row>
    <row r="4122" spans="5:5">
      <c r="E4122" s="51"/>
    </row>
    <row r="4123" spans="5:5">
      <c r="E4123" s="51"/>
    </row>
    <row r="4124" spans="5:5">
      <c r="E4124" s="51"/>
    </row>
    <row r="4125" spans="5:5">
      <c r="E4125" s="51"/>
    </row>
    <row r="4126" spans="5:5">
      <c r="E4126" s="51"/>
    </row>
    <row r="4127" spans="5:5">
      <c r="E4127" s="51"/>
    </row>
    <row r="4128" spans="5:5">
      <c r="E4128" s="51"/>
    </row>
    <row r="4129" spans="5:5">
      <c r="E4129" s="51"/>
    </row>
    <row r="4130" spans="5:5">
      <c r="E4130" s="51"/>
    </row>
    <row r="4131" spans="5:5">
      <c r="E4131" s="51"/>
    </row>
    <row r="4132" spans="5:5">
      <c r="E4132" s="51"/>
    </row>
    <row r="4133" spans="5:5">
      <c r="E4133" s="51"/>
    </row>
    <row r="4134" spans="5:5">
      <c r="E4134" s="51"/>
    </row>
    <row r="4135" spans="5:5">
      <c r="E4135" s="51"/>
    </row>
    <row r="4136" spans="5:5">
      <c r="E4136" s="51"/>
    </row>
    <row r="4137" spans="5:5">
      <c r="E4137" s="51"/>
    </row>
    <row r="4138" spans="5:5">
      <c r="E4138" s="51"/>
    </row>
    <row r="4139" spans="5:5">
      <c r="E4139" s="51"/>
    </row>
    <row r="4140" spans="5:5">
      <c r="E4140" s="51"/>
    </row>
    <row r="4141" spans="5:5">
      <c r="E4141" s="51"/>
    </row>
    <row r="4142" spans="5:5">
      <c r="E4142" s="51"/>
    </row>
    <row r="4143" spans="5:5">
      <c r="E4143" s="51"/>
    </row>
    <row r="4144" spans="5:5">
      <c r="E4144" s="51"/>
    </row>
    <row r="4145" spans="5:5">
      <c r="E4145" s="51"/>
    </row>
    <row r="4146" spans="5:5">
      <c r="E4146" s="51"/>
    </row>
    <row r="4147" spans="5:5">
      <c r="E4147" s="51"/>
    </row>
    <row r="4148" spans="5:5">
      <c r="E4148" s="51"/>
    </row>
    <row r="4149" spans="5:5">
      <c r="E4149" s="51"/>
    </row>
    <row r="4150" spans="5:5">
      <c r="E4150" s="51"/>
    </row>
    <row r="4151" spans="5:5">
      <c r="E4151" s="51"/>
    </row>
    <row r="4152" spans="5:5">
      <c r="E4152" s="51"/>
    </row>
    <row r="4153" spans="5:5">
      <c r="E4153" s="51"/>
    </row>
    <row r="4154" spans="5:5">
      <c r="E4154" s="51"/>
    </row>
    <row r="4155" spans="5:5">
      <c r="E4155" s="51"/>
    </row>
    <row r="4156" spans="5:5">
      <c r="E4156" s="51"/>
    </row>
    <row r="4157" spans="5:5">
      <c r="E4157" s="51"/>
    </row>
    <row r="4158" spans="5:5">
      <c r="E4158" s="51"/>
    </row>
    <row r="4159" spans="5:5">
      <c r="E4159" s="51"/>
    </row>
    <row r="4160" spans="5:5">
      <c r="E4160" s="51"/>
    </row>
    <row r="4161" spans="5:5">
      <c r="E4161" s="51"/>
    </row>
    <row r="4162" spans="5:5">
      <c r="E4162" s="51"/>
    </row>
    <row r="4163" spans="5:5">
      <c r="E4163" s="51"/>
    </row>
    <row r="4164" spans="5:5">
      <c r="E4164" s="51"/>
    </row>
    <row r="4165" spans="5:5">
      <c r="E4165" s="51"/>
    </row>
    <row r="4166" spans="5:5">
      <c r="E4166" s="51"/>
    </row>
    <row r="4167" spans="5:5">
      <c r="E4167" s="51"/>
    </row>
    <row r="4168" spans="5:5">
      <c r="E4168" s="51"/>
    </row>
    <row r="4169" spans="5:5">
      <c r="E4169" s="51"/>
    </row>
    <row r="4170" spans="5:5">
      <c r="E4170" s="51"/>
    </row>
    <row r="4171" spans="5:5">
      <c r="E4171" s="51"/>
    </row>
    <row r="4172" spans="5:5">
      <c r="E4172" s="51"/>
    </row>
    <row r="4173" spans="5:5">
      <c r="E4173" s="51"/>
    </row>
    <row r="4174" spans="5:5">
      <c r="E4174" s="51"/>
    </row>
    <row r="4175" spans="5:5">
      <c r="E4175" s="51"/>
    </row>
    <row r="4176" spans="5:5">
      <c r="E4176" s="51"/>
    </row>
    <row r="4177" spans="5:5">
      <c r="E4177" s="51"/>
    </row>
    <row r="4178" spans="5:5">
      <c r="E4178" s="51"/>
    </row>
    <row r="4179" spans="5:5">
      <c r="E4179" s="51"/>
    </row>
    <row r="4180" spans="5:5">
      <c r="E4180" s="51"/>
    </row>
    <row r="4181" spans="5:5">
      <c r="E4181" s="51"/>
    </row>
    <row r="4182" spans="5:5">
      <c r="E4182" s="51"/>
    </row>
    <row r="4183" spans="5:5">
      <c r="E4183" s="51"/>
    </row>
    <row r="4184" spans="5:5">
      <c r="E4184" s="51"/>
    </row>
    <row r="4185" spans="5:5">
      <c r="E4185" s="51"/>
    </row>
    <row r="4186" spans="5:5">
      <c r="E4186" s="51"/>
    </row>
    <row r="4187" spans="5:5">
      <c r="E4187" s="51"/>
    </row>
    <row r="4188" spans="5:5">
      <c r="E4188" s="51"/>
    </row>
    <row r="4189" spans="5:5">
      <c r="E4189" s="51"/>
    </row>
    <row r="4190" spans="5:5">
      <c r="E4190" s="51"/>
    </row>
    <row r="4191" spans="5:5">
      <c r="E4191" s="51"/>
    </row>
    <row r="4192" spans="5:5">
      <c r="E4192" s="51"/>
    </row>
    <row r="4193" spans="5:5">
      <c r="E4193" s="51"/>
    </row>
    <row r="4194" spans="5:5">
      <c r="E4194" s="51"/>
    </row>
    <row r="4195" spans="5:5">
      <c r="E4195" s="51"/>
    </row>
    <row r="4196" spans="5:5">
      <c r="E4196" s="51"/>
    </row>
    <row r="4197" spans="5:5">
      <c r="E4197" s="51"/>
    </row>
    <row r="4198" spans="5:5">
      <c r="E4198" s="51"/>
    </row>
    <row r="4199" spans="5:5">
      <c r="E4199" s="51"/>
    </row>
    <row r="4200" spans="5:5">
      <c r="E4200" s="51"/>
    </row>
    <row r="4201" spans="5:5">
      <c r="E4201" s="51"/>
    </row>
    <row r="4202" spans="5:5">
      <c r="E4202" s="51"/>
    </row>
    <row r="4203" spans="5:5">
      <c r="E4203" s="51"/>
    </row>
    <row r="4204" spans="5:5">
      <c r="E4204" s="51"/>
    </row>
    <row r="4205" spans="5:5">
      <c r="E4205" s="51"/>
    </row>
    <row r="4206" spans="5:5">
      <c r="E4206" s="51"/>
    </row>
    <row r="4207" spans="5:5">
      <c r="E4207" s="51"/>
    </row>
    <row r="4208" spans="5:5">
      <c r="E4208" s="51"/>
    </row>
    <row r="4209" spans="5:5">
      <c r="E4209" s="51"/>
    </row>
    <row r="4210" spans="5:5">
      <c r="E4210" s="51"/>
    </row>
    <row r="4211" spans="5:5">
      <c r="E4211" s="51"/>
    </row>
    <row r="4212" spans="5:5">
      <c r="E4212" s="51"/>
    </row>
    <row r="4213" spans="5:5">
      <c r="E4213" s="51"/>
    </row>
    <row r="4214" spans="5:5">
      <c r="E4214" s="51"/>
    </row>
    <row r="4215" spans="5:5">
      <c r="E4215" s="51"/>
    </row>
    <row r="4216" spans="5:5">
      <c r="E4216" s="51"/>
    </row>
    <row r="4217" spans="5:5">
      <c r="E4217" s="51"/>
    </row>
    <row r="4218" spans="5:5">
      <c r="E4218" s="51"/>
    </row>
    <row r="4219" spans="5:5">
      <c r="E4219" s="51"/>
    </row>
    <row r="4220" spans="5:5">
      <c r="E4220" s="51"/>
    </row>
    <row r="4221" spans="5:5">
      <c r="E4221" s="51"/>
    </row>
    <row r="4222" spans="5:5">
      <c r="E4222" s="51"/>
    </row>
    <row r="4223" spans="5:5">
      <c r="E4223" s="51"/>
    </row>
    <row r="4224" spans="5:5">
      <c r="E4224" s="51"/>
    </row>
    <row r="4225" spans="5:5">
      <c r="E4225" s="51"/>
    </row>
    <row r="4226" spans="5:5">
      <c r="E4226" s="51"/>
    </row>
    <row r="4227" spans="5:5">
      <c r="E4227" s="51"/>
    </row>
    <row r="4228" spans="5:5">
      <c r="E4228" s="51"/>
    </row>
    <row r="4229" spans="5:5">
      <c r="E4229" s="51"/>
    </row>
    <row r="4230" spans="5:5">
      <c r="E4230" s="51"/>
    </row>
    <row r="4231" spans="5:5">
      <c r="E4231" s="51"/>
    </row>
    <row r="4232" spans="5:5">
      <c r="E4232" s="51"/>
    </row>
    <row r="4233" spans="5:5">
      <c r="E4233" s="51"/>
    </row>
    <row r="4234" spans="5:5">
      <c r="E4234" s="51"/>
    </row>
    <row r="4235" spans="5:5">
      <c r="E4235" s="51"/>
    </row>
    <row r="4236" spans="5:5">
      <c r="E4236" s="51"/>
    </row>
    <row r="4237" spans="5:5">
      <c r="E4237" s="51"/>
    </row>
    <row r="4238" spans="5:5">
      <c r="E4238" s="51"/>
    </row>
    <row r="4239" spans="5:5">
      <c r="E4239" s="51"/>
    </row>
    <row r="4240" spans="5:5">
      <c r="E4240" s="51"/>
    </row>
    <row r="4241" spans="5:5">
      <c r="E4241" s="51"/>
    </row>
    <row r="4242" spans="5:5">
      <c r="E4242" s="51"/>
    </row>
    <row r="4243" spans="5:5">
      <c r="E4243" s="51"/>
    </row>
    <row r="4244" spans="5:5">
      <c r="E4244" s="51"/>
    </row>
    <row r="4245" spans="5:5">
      <c r="E4245" s="51"/>
    </row>
    <row r="4246" spans="5:5">
      <c r="E4246" s="51"/>
    </row>
    <row r="4247" spans="5:5">
      <c r="E4247" s="51"/>
    </row>
    <row r="4248" spans="5:5">
      <c r="E4248" s="51"/>
    </row>
    <row r="4249" spans="5:5">
      <c r="E4249" s="51"/>
    </row>
    <row r="4250" spans="5:5">
      <c r="E4250" s="51"/>
    </row>
    <row r="4251" spans="5:5">
      <c r="E4251" s="51"/>
    </row>
    <row r="4252" spans="5:5">
      <c r="E4252" s="51"/>
    </row>
    <row r="4253" spans="5:5">
      <c r="E4253" s="51"/>
    </row>
    <row r="4254" spans="5:5">
      <c r="E4254" s="51"/>
    </row>
    <row r="4255" spans="5:5">
      <c r="E4255" s="51"/>
    </row>
    <row r="4256" spans="5:5">
      <c r="E4256" s="51"/>
    </row>
    <row r="4257" spans="5:5">
      <c r="E4257" s="51"/>
    </row>
    <row r="4258" spans="5:5">
      <c r="E4258" s="51"/>
    </row>
    <row r="4259" spans="5:5">
      <c r="E4259" s="51"/>
    </row>
    <row r="4260" spans="5:5">
      <c r="E4260" s="51"/>
    </row>
    <row r="4261" spans="5:5">
      <c r="E4261" s="51"/>
    </row>
    <row r="4262" spans="5:5">
      <c r="E4262" s="51"/>
    </row>
    <row r="4263" spans="5:5">
      <c r="E4263" s="51"/>
    </row>
    <row r="4264" spans="5:5">
      <c r="E4264" s="51"/>
    </row>
    <row r="4265" spans="5:5">
      <c r="E4265" s="51"/>
    </row>
    <row r="4266" spans="5:5">
      <c r="E4266" s="51"/>
    </row>
    <row r="4267" spans="5:5">
      <c r="E4267" s="51"/>
    </row>
    <row r="4268" spans="5:5">
      <c r="E4268" s="51"/>
    </row>
    <row r="4269" spans="5:5">
      <c r="E4269" s="51"/>
    </row>
    <row r="4270" spans="5:5">
      <c r="E4270" s="51"/>
    </row>
    <row r="4271" spans="5:5">
      <c r="E4271" s="51"/>
    </row>
    <row r="4272" spans="5:5">
      <c r="E4272" s="51"/>
    </row>
    <row r="4273" spans="5:5">
      <c r="E4273" s="51"/>
    </row>
    <row r="4274" spans="5:5">
      <c r="E4274" s="51"/>
    </row>
    <row r="4275" spans="5:5">
      <c r="E4275" s="51"/>
    </row>
    <row r="4276" spans="5:5">
      <c r="E4276" s="51"/>
    </row>
    <row r="4277" spans="5:5">
      <c r="E4277" s="51"/>
    </row>
    <row r="4278" spans="5:5">
      <c r="E4278" s="51"/>
    </row>
    <row r="4279" spans="5:5">
      <c r="E4279" s="51"/>
    </row>
    <row r="4280" spans="5:5">
      <c r="E4280" s="51"/>
    </row>
    <row r="4281" spans="5:5">
      <c r="E4281" s="51"/>
    </row>
    <row r="4282" spans="5:5">
      <c r="E4282" s="51"/>
    </row>
    <row r="4283" spans="5:5">
      <c r="E4283" s="51"/>
    </row>
    <row r="4284" spans="5:5">
      <c r="E4284" s="51"/>
    </row>
    <row r="4285" spans="5:5">
      <c r="E4285" s="51"/>
    </row>
    <row r="4286" spans="5:5">
      <c r="E4286" s="51"/>
    </row>
    <row r="4287" spans="5:5">
      <c r="E4287" s="51"/>
    </row>
    <row r="4288" spans="5:5">
      <c r="E4288" s="51"/>
    </row>
    <row r="4289" spans="5:5">
      <c r="E4289" s="51"/>
    </row>
    <row r="4290" spans="5:5">
      <c r="E4290" s="51"/>
    </row>
    <row r="4291" spans="5:5">
      <c r="E4291" s="51"/>
    </row>
    <row r="4292" spans="5:5">
      <c r="E4292" s="51"/>
    </row>
    <row r="4293" spans="5:5">
      <c r="E4293" s="51"/>
    </row>
    <row r="4294" spans="5:5">
      <c r="E4294" s="51"/>
    </row>
    <row r="4295" spans="5:5">
      <c r="E4295" s="51"/>
    </row>
    <row r="4296" spans="5:5">
      <c r="E4296" s="51"/>
    </row>
    <row r="4297" spans="5:5">
      <c r="E4297" s="51"/>
    </row>
    <row r="4298" spans="5:5">
      <c r="E4298" s="51"/>
    </row>
    <row r="4299" spans="5:5">
      <c r="E4299" s="51"/>
    </row>
    <row r="4300" spans="5:5">
      <c r="E4300" s="51"/>
    </row>
    <row r="4301" spans="5:5">
      <c r="E4301" s="51"/>
    </row>
    <row r="4302" spans="5:5">
      <c r="E4302" s="51"/>
    </row>
    <row r="4303" spans="5:5">
      <c r="E4303" s="51"/>
    </row>
    <row r="4304" spans="5:5">
      <c r="E4304" s="51"/>
    </row>
    <row r="4305" spans="5:5">
      <c r="E4305" s="51"/>
    </row>
    <row r="4306" spans="5:5">
      <c r="E4306" s="51"/>
    </row>
    <row r="4307" spans="5:5">
      <c r="E4307" s="51"/>
    </row>
    <row r="4308" spans="5:5">
      <c r="E4308" s="51"/>
    </row>
    <row r="4309" spans="5:5">
      <c r="E4309" s="51"/>
    </row>
    <row r="4310" spans="5:5">
      <c r="E4310" s="51"/>
    </row>
    <row r="4311" spans="5:5">
      <c r="E4311" s="51"/>
    </row>
    <row r="4312" spans="5:5">
      <c r="E4312" s="51"/>
    </row>
    <row r="4313" spans="5:5">
      <c r="E4313" s="51"/>
    </row>
    <row r="4314" spans="5:5">
      <c r="E4314" s="51"/>
    </row>
    <row r="4315" spans="5:5">
      <c r="E4315" s="51"/>
    </row>
    <row r="4316" spans="5:5">
      <c r="E4316" s="51"/>
    </row>
    <row r="4317" spans="5:5">
      <c r="E4317" s="51"/>
    </row>
    <row r="4318" spans="5:5">
      <c r="E4318" s="51"/>
    </row>
    <row r="4319" spans="5:5">
      <c r="E4319" s="51"/>
    </row>
    <row r="4320" spans="5:5">
      <c r="E4320" s="51"/>
    </row>
    <row r="4321" spans="5:5">
      <c r="E4321" s="51"/>
    </row>
    <row r="4322" spans="5:5">
      <c r="E4322" s="51"/>
    </row>
    <row r="4323" spans="5:5">
      <c r="E4323" s="51"/>
    </row>
    <row r="4324" spans="5:5">
      <c r="E4324" s="51"/>
    </row>
    <row r="4325" spans="5:5">
      <c r="E4325" s="51"/>
    </row>
    <row r="4326" spans="5:5">
      <c r="E4326" s="51"/>
    </row>
    <row r="4327" spans="5:5">
      <c r="E4327" s="51"/>
    </row>
    <row r="4328" spans="5:5">
      <c r="E4328" s="51"/>
    </row>
    <row r="4329" spans="5:5">
      <c r="E4329" s="51"/>
    </row>
    <row r="4330" spans="5:5">
      <c r="E4330" s="51"/>
    </row>
    <row r="4331" spans="5:5">
      <c r="E4331" s="51"/>
    </row>
    <row r="4332" spans="5:5">
      <c r="E4332" s="51"/>
    </row>
    <row r="4333" spans="5:5">
      <c r="E4333" s="51"/>
    </row>
    <row r="4334" spans="5:5">
      <c r="E4334" s="51"/>
    </row>
    <row r="4335" spans="5:5">
      <c r="E4335" s="51"/>
    </row>
    <row r="4336" spans="5:5">
      <c r="E4336" s="51"/>
    </row>
    <row r="4337" spans="5:5">
      <c r="E4337" s="51"/>
    </row>
    <row r="4338" spans="5:5">
      <c r="E4338" s="51"/>
    </row>
    <row r="4339" spans="5:5">
      <c r="E4339" s="51"/>
    </row>
    <row r="4340" spans="5:5">
      <c r="E4340" s="51"/>
    </row>
    <row r="4341" spans="5:5">
      <c r="E4341" s="51"/>
    </row>
    <row r="4342" spans="5:5">
      <c r="E4342" s="51"/>
    </row>
    <row r="4343" spans="5:5">
      <c r="E4343" s="51"/>
    </row>
    <row r="4344" spans="5:5">
      <c r="E4344" s="51"/>
    </row>
    <row r="4345" spans="5:5">
      <c r="E4345" s="51"/>
    </row>
    <row r="4346" spans="5:5">
      <c r="E4346" s="51"/>
    </row>
    <row r="4347" spans="5:5">
      <c r="E4347" s="51"/>
    </row>
    <row r="4348" spans="5:5">
      <c r="E4348" s="51"/>
    </row>
    <row r="4349" spans="5:5">
      <c r="E4349" s="51"/>
    </row>
    <row r="4350" spans="5:5">
      <c r="E4350" s="51"/>
    </row>
    <row r="4351" spans="5:5">
      <c r="E4351" s="51"/>
    </row>
    <row r="4352" spans="5:5">
      <c r="E4352" s="51"/>
    </row>
    <row r="4353" spans="5:5">
      <c r="E4353" s="51"/>
    </row>
    <row r="4354" spans="5:5">
      <c r="E4354" s="51"/>
    </row>
    <row r="4355" spans="5:5">
      <c r="E4355" s="51"/>
    </row>
    <row r="4356" spans="5:5">
      <c r="E4356" s="51"/>
    </row>
    <row r="4357" spans="5:5">
      <c r="E4357" s="51"/>
    </row>
    <row r="4358" spans="5:5">
      <c r="E4358" s="51"/>
    </row>
    <row r="4359" spans="5:5">
      <c r="E4359" s="51"/>
    </row>
    <row r="4360" spans="5:5">
      <c r="E4360" s="51"/>
    </row>
    <row r="4361" spans="5:5">
      <c r="E4361" s="51"/>
    </row>
    <row r="4362" spans="5:5">
      <c r="E4362" s="51"/>
    </row>
    <row r="4363" spans="5:5">
      <c r="E4363" s="51"/>
    </row>
    <row r="4364" spans="5:5">
      <c r="E4364" s="51"/>
    </row>
    <row r="4365" spans="5:5">
      <c r="E4365" s="51"/>
    </row>
    <row r="4366" spans="5:5">
      <c r="E4366" s="51"/>
    </row>
    <row r="4367" spans="5:5">
      <c r="E4367" s="51"/>
    </row>
    <row r="4368" spans="5:5">
      <c r="E4368" s="51"/>
    </row>
    <row r="4369" spans="5:5">
      <c r="E4369" s="51"/>
    </row>
    <row r="4370" spans="5:5">
      <c r="E4370" s="51"/>
    </row>
    <row r="4371" spans="5:5">
      <c r="E4371" s="51"/>
    </row>
    <row r="4372" spans="5:5">
      <c r="E4372" s="51"/>
    </row>
    <row r="4373" spans="5:5">
      <c r="E4373" s="51"/>
    </row>
    <row r="4374" spans="5:5">
      <c r="E4374" s="51"/>
    </row>
    <row r="4375" spans="5:5">
      <c r="E4375" s="51"/>
    </row>
    <row r="4376" spans="5:5">
      <c r="E4376" s="51"/>
    </row>
    <row r="4377" spans="5:5">
      <c r="E4377" s="51"/>
    </row>
    <row r="4378" spans="5:5">
      <c r="E4378" s="51"/>
    </row>
    <row r="4379" spans="5:5">
      <c r="E4379" s="51"/>
    </row>
    <row r="4380" spans="5:5">
      <c r="E4380" s="51"/>
    </row>
    <row r="4381" spans="5:5">
      <c r="E4381" s="51"/>
    </row>
    <row r="4382" spans="5:5">
      <c r="E4382" s="51"/>
    </row>
    <row r="4383" spans="5:5">
      <c r="E4383" s="51"/>
    </row>
    <row r="4384" spans="5:5">
      <c r="E4384" s="51"/>
    </row>
    <row r="4385" spans="5:5">
      <c r="E4385" s="51"/>
    </row>
    <row r="4386" spans="5:5">
      <c r="E4386" s="51"/>
    </row>
    <row r="4387" spans="5:5">
      <c r="E4387" s="51"/>
    </row>
    <row r="4388" spans="5:5">
      <c r="E4388" s="51"/>
    </row>
    <row r="4389" spans="5:5">
      <c r="E4389" s="51"/>
    </row>
    <row r="4390" spans="5:5">
      <c r="E4390" s="51"/>
    </row>
    <row r="4391" spans="5:5">
      <c r="E4391" s="51"/>
    </row>
    <row r="4392" spans="5:5">
      <c r="E4392" s="51"/>
    </row>
    <row r="4393" spans="5:5">
      <c r="E4393" s="51"/>
    </row>
    <row r="4394" spans="5:5">
      <c r="E4394" s="51"/>
    </row>
    <row r="4395" spans="5:5">
      <c r="E4395" s="51"/>
    </row>
    <row r="4396" spans="5:5">
      <c r="E4396" s="51"/>
    </row>
    <row r="4397" spans="5:5">
      <c r="E4397" s="51"/>
    </row>
    <row r="4398" spans="5:5">
      <c r="E4398" s="51"/>
    </row>
    <row r="4399" spans="5:5">
      <c r="E4399" s="51"/>
    </row>
    <row r="4400" spans="5:5">
      <c r="E4400" s="51"/>
    </row>
    <row r="4401" spans="5:5">
      <c r="E4401" s="51"/>
    </row>
    <row r="4402" spans="5:5">
      <c r="E4402" s="51"/>
    </row>
    <row r="4403" spans="5:5">
      <c r="E4403" s="51"/>
    </row>
    <row r="4404" spans="5:5">
      <c r="E4404" s="51"/>
    </row>
    <row r="4405" spans="5:5">
      <c r="E4405" s="51"/>
    </row>
    <row r="4406" spans="5:5">
      <c r="E4406" s="51"/>
    </row>
    <row r="4407" spans="5:5">
      <c r="E4407" s="51"/>
    </row>
    <row r="4408" spans="5:5">
      <c r="E4408" s="51"/>
    </row>
    <row r="4409" spans="5:5">
      <c r="E4409" s="51"/>
    </row>
    <row r="4410" spans="5:5">
      <c r="E4410" s="51"/>
    </row>
    <row r="4411" spans="5:5">
      <c r="E4411" s="51"/>
    </row>
    <row r="4412" spans="5:5">
      <c r="E4412" s="51"/>
    </row>
    <row r="4413" spans="5:5">
      <c r="E4413" s="51"/>
    </row>
    <row r="4414" spans="5:5">
      <c r="E4414" s="51"/>
    </row>
    <row r="4415" spans="5:5">
      <c r="E4415" s="51"/>
    </row>
    <row r="4416" spans="5:5">
      <c r="E4416" s="51"/>
    </row>
    <row r="4417" spans="5:5">
      <c r="E4417" s="51"/>
    </row>
    <row r="4418" spans="5:5">
      <c r="E4418" s="51"/>
    </row>
    <row r="4419" spans="5:5">
      <c r="E4419" s="51"/>
    </row>
    <row r="4420" spans="5:5">
      <c r="E4420" s="51"/>
    </row>
    <row r="4421" spans="5:5">
      <c r="E4421" s="51"/>
    </row>
    <row r="4422" spans="5:5">
      <c r="E4422" s="51"/>
    </row>
    <row r="4423" spans="5:5">
      <c r="E4423" s="51"/>
    </row>
    <row r="4424" spans="5:5">
      <c r="E4424" s="51"/>
    </row>
    <row r="4425" spans="5:5">
      <c r="E4425" s="51"/>
    </row>
    <row r="4426" spans="5:5">
      <c r="E4426" s="51"/>
    </row>
    <row r="4427" spans="5:5">
      <c r="E4427" s="51"/>
    </row>
    <row r="4428" spans="5:5">
      <c r="E4428" s="51"/>
    </row>
    <row r="4429" spans="5:5">
      <c r="E4429" s="51"/>
    </row>
    <row r="4430" spans="5:5">
      <c r="E4430" s="51"/>
    </row>
    <row r="4431" spans="5:5">
      <c r="E4431" s="51"/>
    </row>
    <row r="4432" spans="5:5">
      <c r="E4432" s="51"/>
    </row>
    <row r="4433" spans="5:5">
      <c r="E4433" s="51"/>
    </row>
    <row r="4434" spans="5:5">
      <c r="E4434" s="51"/>
    </row>
    <row r="4435" spans="5:5">
      <c r="E4435" s="51"/>
    </row>
    <row r="4436" spans="5:5">
      <c r="E4436" s="51"/>
    </row>
    <row r="4437" spans="5:5">
      <c r="E4437" s="51"/>
    </row>
    <row r="4438" spans="5:5">
      <c r="E4438" s="51"/>
    </row>
    <row r="4439" spans="5:5">
      <c r="E4439" s="51"/>
    </row>
    <row r="4440" spans="5:5">
      <c r="E4440" s="51"/>
    </row>
    <row r="4441" spans="5:5">
      <c r="E4441" s="51"/>
    </row>
    <row r="4442" spans="5:5">
      <c r="E4442" s="51"/>
    </row>
    <row r="4443" spans="5:5">
      <c r="E4443" s="51"/>
    </row>
    <row r="4444" spans="5:5">
      <c r="E4444" s="51"/>
    </row>
    <row r="4445" spans="5:5">
      <c r="E4445" s="51"/>
    </row>
    <row r="4446" spans="5:5">
      <c r="E4446" s="51"/>
    </row>
    <row r="4447" spans="5:5">
      <c r="E4447" s="51"/>
    </row>
    <row r="4448" spans="5:5">
      <c r="E4448" s="51"/>
    </row>
    <row r="4449" spans="5:5">
      <c r="E4449" s="51"/>
    </row>
    <row r="4450" spans="5:5">
      <c r="E4450" s="51"/>
    </row>
    <row r="4451" spans="5:5">
      <c r="E4451" s="51"/>
    </row>
    <row r="4452" spans="5:5">
      <c r="E4452" s="51"/>
    </row>
    <row r="4453" spans="5:5">
      <c r="E4453" s="51"/>
    </row>
    <row r="4454" spans="5:5">
      <c r="E4454" s="51"/>
    </row>
    <row r="4455" spans="5:5">
      <c r="E4455" s="51"/>
    </row>
    <row r="4456" spans="5:5">
      <c r="E4456" s="51"/>
    </row>
    <row r="4457" spans="5:5">
      <c r="E4457" s="51"/>
    </row>
    <row r="4458" spans="5:5">
      <c r="E4458" s="51"/>
    </row>
    <row r="4459" spans="5:5">
      <c r="E4459" s="51"/>
    </row>
    <row r="4460" spans="5:5">
      <c r="E4460" s="51"/>
    </row>
    <row r="4461" spans="5:5">
      <c r="E4461" s="51"/>
    </row>
    <row r="4462" spans="5:5">
      <c r="E4462" s="51"/>
    </row>
    <row r="4463" spans="5:5">
      <c r="E4463" s="51"/>
    </row>
    <row r="4464" spans="5:5">
      <c r="E4464" s="51"/>
    </row>
    <row r="4465" spans="5:5">
      <c r="E4465" s="51"/>
    </row>
    <row r="4466" spans="5:5">
      <c r="E4466" s="51"/>
    </row>
    <row r="4467" spans="5:5">
      <c r="E4467" s="51"/>
    </row>
    <row r="4468" spans="5:5">
      <c r="E4468" s="51"/>
    </row>
    <row r="4469" spans="5:5">
      <c r="E4469" s="51"/>
    </row>
    <row r="4470" spans="5:5">
      <c r="E4470" s="51"/>
    </row>
    <row r="4471" spans="5:5">
      <c r="E4471" s="51"/>
    </row>
    <row r="4472" spans="5:5">
      <c r="E4472" s="51"/>
    </row>
    <row r="4473" spans="5:5">
      <c r="E4473" s="51"/>
    </row>
    <row r="4474" spans="5:5">
      <c r="E4474" s="51"/>
    </row>
    <row r="4475" spans="5:5">
      <c r="E4475" s="51"/>
    </row>
    <row r="4476" spans="5:5">
      <c r="E4476" s="51"/>
    </row>
    <row r="4477" spans="5:5">
      <c r="E4477" s="51"/>
    </row>
    <row r="4478" spans="5:5">
      <c r="E4478" s="51"/>
    </row>
    <row r="4479" spans="5:5">
      <c r="E4479" s="51"/>
    </row>
    <row r="4480" spans="5:5">
      <c r="E4480" s="51"/>
    </row>
    <row r="4481" spans="5:5">
      <c r="E4481" s="51"/>
    </row>
    <row r="4482" spans="5:5">
      <c r="E4482" s="51"/>
    </row>
    <row r="4483" spans="5:5">
      <c r="E4483" s="51"/>
    </row>
    <row r="4484" spans="5:5">
      <c r="E4484" s="51"/>
    </row>
    <row r="4485" spans="5:5">
      <c r="E4485" s="51"/>
    </row>
    <row r="4486" spans="5:5">
      <c r="E4486" s="51"/>
    </row>
    <row r="4487" spans="5:5">
      <c r="E4487" s="51"/>
    </row>
    <row r="4488" spans="5:5">
      <c r="E4488" s="51"/>
    </row>
    <row r="4489" spans="5:5">
      <c r="E4489" s="51"/>
    </row>
    <row r="4490" spans="5:5">
      <c r="E4490" s="51"/>
    </row>
    <row r="4491" spans="5:5">
      <c r="E4491" s="51"/>
    </row>
    <row r="4492" spans="5:5">
      <c r="E4492" s="51"/>
    </row>
    <row r="4493" spans="5:5">
      <c r="E4493" s="51"/>
    </row>
    <row r="4494" spans="5:5">
      <c r="E4494" s="51"/>
    </row>
    <row r="4495" spans="5:5">
      <c r="E4495" s="51"/>
    </row>
    <row r="4496" spans="5:5">
      <c r="E4496" s="51"/>
    </row>
    <row r="4497" spans="5:5">
      <c r="E4497" s="51"/>
    </row>
    <row r="4498" spans="5:5">
      <c r="E4498" s="51"/>
    </row>
    <row r="4499" spans="5:5">
      <c r="E4499" s="51"/>
    </row>
    <row r="4500" spans="5:5">
      <c r="E4500" s="51"/>
    </row>
    <row r="4501" spans="5:5">
      <c r="E4501" s="51"/>
    </row>
    <row r="4502" spans="5:5">
      <c r="E4502" s="51"/>
    </row>
    <row r="4503" spans="5:5">
      <c r="E4503" s="51"/>
    </row>
    <row r="4504" spans="5:5">
      <c r="E4504" s="51"/>
    </row>
    <row r="4505" spans="5:5">
      <c r="E4505" s="51"/>
    </row>
    <row r="4506" spans="5:5">
      <c r="E4506" s="51"/>
    </row>
    <row r="4507" spans="5:5">
      <c r="E4507" s="51"/>
    </row>
    <row r="4508" spans="5:5">
      <c r="E4508" s="51"/>
    </row>
    <row r="4509" spans="5:5">
      <c r="E4509" s="51"/>
    </row>
    <row r="4510" spans="5:5">
      <c r="E4510" s="51"/>
    </row>
    <row r="4511" spans="5:5">
      <c r="E4511" s="51"/>
    </row>
    <row r="4512" spans="5:5">
      <c r="E4512" s="51"/>
    </row>
    <row r="4513" spans="5:5">
      <c r="E4513" s="51"/>
    </row>
    <row r="4514" spans="5:5">
      <c r="E4514" s="51"/>
    </row>
    <row r="4515" spans="5:5">
      <c r="E4515" s="51"/>
    </row>
    <row r="4516" spans="5:5">
      <c r="E4516" s="51"/>
    </row>
    <row r="4517" spans="5:5">
      <c r="E4517" s="51"/>
    </row>
    <row r="4518" spans="5:5">
      <c r="E4518" s="51"/>
    </row>
    <row r="4519" spans="5:5">
      <c r="E4519" s="51"/>
    </row>
    <row r="4520" spans="5:5">
      <c r="E4520" s="51"/>
    </row>
    <row r="4521" spans="5:5">
      <c r="E4521" s="51"/>
    </row>
    <row r="4522" spans="5:5">
      <c r="E4522" s="51"/>
    </row>
    <row r="4523" spans="5:5">
      <c r="E4523" s="51"/>
    </row>
    <row r="4524" spans="5:5">
      <c r="E4524" s="51"/>
    </row>
    <row r="4525" spans="5:5">
      <c r="E4525" s="51"/>
    </row>
    <row r="4526" spans="5:5">
      <c r="E4526" s="51"/>
    </row>
    <row r="4527" spans="5:5">
      <c r="E4527" s="51"/>
    </row>
    <row r="4528" spans="5:5">
      <c r="E4528" s="51"/>
    </row>
    <row r="4529" spans="5:5">
      <c r="E4529" s="51"/>
    </row>
    <row r="4530" spans="5:5">
      <c r="E4530" s="51"/>
    </row>
    <row r="4531" spans="5:5">
      <c r="E4531" s="51"/>
    </row>
    <row r="4532" spans="5:5">
      <c r="E4532" s="51"/>
    </row>
    <row r="4533" spans="5:5">
      <c r="E4533" s="51"/>
    </row>
    <row r="4534" spans="5:5">
      <c r="E4534" s="51"/>
    </row>
    <row r="4535" spans="5:5">
      <c r="E4535" s="51"/>
    </row>
    <row r="4536" spans="5:5">
      <c r="E4536" s="51"/>
    </row>
    <row r="4537" spans="5:5">
      <c r="E4537" s="51"/>
    </row>
    <row r="4538" spans="5:5">
      <c r="E4538" s="51"/>
    </row>
    <row r="4539" spans="5:5">
      <c r="E4539" s="51"/>
    </row>
    <row r="4540" spans="5:5">
      <c r="E4540" s="51"/>
    </row>
    <row r="4541" spans="5:5">
      <c r="E4541" s="51"/>
    </row>
    <row r="4542" spans="5:5">
      <c r="E4542" s="51"/>
    </row>
    <row r="4543" spans="5:5">
      <c r="E4543" s="51"/>
    </row>
    <row r="4544" spans="5:5">
      <c r="E4544" s="51"/>
    </row>
    <row r="4545" spans="5:5">
      <c r="E4545" s="51"/>
    </row>
    <row r="4546" spans="5:5">
      <c r="E4546" s="51"/>
    </row>
    <row r="4547" spans="5:5">
      <c r="E4547" s="51"/>
    </row>
    <row r="4548" spans="5:5">
      <c r="E4548" s="51"/>
    </row>
    <row r="4549" spans="5:5">
      <c r="E4549" s="51"/>
    </row>
    <row r="4550" spans="5:5">
      <c r="E4550" s="51"/>
    </row>
    <row r="4551" spans="5:5">
      <c r="E4551" s="51"/>
    </row>
    <row r="4552" spans="5:5">
      <c r="E4552" s="51"/>
    </row>
    <row r="4553" spans="5:5">
      <c r="E4553" s="51"/>
    </row>
    <row r="4554" spans="5:5">
      <c r="E4554" s="51"/>
    </row>
    <row r="4555" spans="5:5">
      <c r="E4555" s="51"/>
    </row>
    <row r="4556" spans="5:5">
      <c r="E4556" s="51"/>
    </row>
    <row r="4557" spans="5:5">
      <c r="E4557" s="51"/>
    </row>
    <row r="4558" spans="5:5">
      <c r="E4558" s="51"/>
    </row>
    <row r="4559" spans="5:5">
      <c r="E4559" s="51"/>
    </row>
    <row r="4560" spans="5:5">
      <c r="E4560" s="51"/>
    </row>
    <row r="4561" spans="5:5">
      <c r="E4561" s="51"/>
    </row>
    <row r="4562" spans="5:5">
      <c r="E4562" s="51"/>
    </row>
    <row r="4563" spans="5:5">
      <c r="E4563" s="51"/>
    </row>
    <row r="4564" spans="5:5">
      <c r="E4564" s="51"/>
    </row>
    <row r="4565" spans="5:5">
      <c r="E4565" s="51"/>
    </row>
    <row r="4566" spans="5:5">
      <c r="E4566" s="51"/>
    </row>
    <row r="4567" spans="5:5">
      <c r="E4567" s="51"/>
    </row>
    <row r="4568" spans="5:5">
      <c r="E4568" s="51"/>
    </row>
    <row r="4569" spans="5:5">
      <c r="E4569" s="51"/>
    </row>
    <row r="4570" spans="5:5">
      <c r="E4570" s="51"/>
    </row>
    <row r="4571" spans="5:5">
      <c r="E4571" s="51"/>
    </row>
    <row r="4572" spans="5:5">
      <c r="E4572" s="51"/>
    </row>
    <row r="4573" spans="5:5">
      <c r="E4573" s="51"/>
    </row>
    <row r="4574" spans="5:5">
      <c r="E4574" s="51"/>
    </row>
    <row r="4575" spans="5:5">
      <c r="E4575" s="51"/>
    </row>
    <row r="4576" spans="5:5">
      <c r="E4576" s="51"/>
    </row>
    <row r="4577" spans="5:5">
      <c r="E4577" s="51"/>
    </row>
    <row r="4578" spans="5:5">
      <c r="E4578" s="51"/>
    </row>
    <row r="4579" spans="5:5">
      <c r="E4579" s="51"/>
    </row>
    <row r="4580" spans="5:5">
      <c r="E4580" s="51"/>
    </row>
    <row r="4581" spans="5:5">
      <c r="E4581" s="51"/>
    </row>
    <row r="4582" spans="5:5">
      <c r="E4582" s="51"/>
    </row>
    <row r="4583" spans="5:5">
      <c r="E4583" s="51"/>
    </row>
    <row r="4584" spans="5:5">
      <c r="E4584" s="51"/>
    </row>
    <row r="4585" spans="5:5">
      <c r="E4585" s="51"/>
    </row>
    <row r="4586" spans="5:5">
      <c r="E4586" s="51"/>
    </row>
    <row r="4587" spans="5:5">
      <c r="E4587" s="51"/>
    </row>
    <row r="4588" spans="5:5">
      <c r="E4588" s="51"/>
    </row>
    <row r="4589" spans="5:5">
      <c r="E4589" s="51"/>
    </row>
    <row r="4590" spans="5:5">
      <c r="E4590" s="51"/>
    </row>
    <row r="4591" spans="5:5">
      <c r="E4591" s="51"/>
    </row>
    <row r="4592" spans="5:5">
      <c r="E4592" s="51"/>
    </row>
    <row r="4593" spans="5:5">
      <c r="E4593" s="51"/>
    </row>
    <row r="4594" spans="5:5">
      <c r="E4594" s="51"/>
    </row>
    <row r="4595" spans="5:5">
      <c r="E4595" s="51"/>
    </row>
    <row r="4596" spans="5:5">
      <c r="E4596" s="51"/>
    </row>
    <row r="4597" spans="5:5">
      <c r="E4597" s="51"/>
    </row>
    <row r="4598" spans="5:5">
      <c r="E4598" s="51"/>
    </row>
    <row r="4599" spans="5:5">
      <c r="E4599" s="51"/>
    </row>
    <row r="4600" spans="5:5">
      <c r="E4600" s="51"/>
    </row>
    <row r="4601" spans="5:5">
      <c r="E4601" s="51"/>
    </row>
    <row r="4602" spans="5:5">
      <c r="E4602" s="51"/>
    </row>
    <row r="4603" spans="5:5">
      <c r="E4603" s="51"/>
    </row>
    <row r="4604" spans="5:5">
      <c r="E4604" s="51"/>
    </row>
    <row r="4605" spans="5:5">
      <c r="E4605" s="51"/>
    </row>
    <row r="4606" spans="5:5">
      <c r="E4606" s="51"/>
    </row>
    <row r="4607" spans="5:5">
      <c r="E4607" s="51"/>
    </row>
    <row r="4608" spans="5:5">
      <c r="E4608" s="51"/>
    </row>
    <row r="4609" spans="5:5">
      <c r="E4609" s="51"/>
    </row>
    <row r="4610" spans="5:5">
      <c r="E4610" s="51"/>
    </row>
    <row r="4611" spans="5:5">
      <c r="E4611" s="51"/>
    </row>
    <row r="4612" spans="5:5">
      <c r="E4612" s="51"/>
    </row>
    <row r="4613" spans="5:5">
      <c r="E4613" s="51"/>
    </row>
    <row r="4614" spans="5:5">
      <c r="E4614" s="51"/>
    </row>
    <row r="4615" spans="5:5">
      <c r="E4615" s="51"/>
    </row>
    <row r="4616" spans="5:5">
      <c r="E4616" s="51"/>
    </row>
    <row r="4617" spans="5:5">
      <c r="E4617" s="51"/>
    </row>
    <row r="4618" spans="5:5">
      <c r="E4618" s="51"/>
    </row>
    <row r="4619" spans="5:5">
      <c r="E4619" s="51"/>
    </row>
    <row r="4620" spans="5:5">
      <c r="E4620" s="51"/>
    </row>
    <row r="4621" spans="5:5">
      <c r="E4621" s="51"/>
    </row>
    <row r="4622" spans="5:5">
      <c r="E4622" s="51"/>
    </row>
    <row r="4623" spans="5:5">
      <c r="E4623" s="51"/>
    </row>
    <row r="4624" spans="5:5">
      <c r="E4624" s="51"/>
    </row>
    <row r="4625" spans="5:5">
      <c r="E4625" s="51"/>
    </row>
    <row r="4626" spans="5:5">
      <c r="E4626" s="51"/>
    </row>
    <row r="4627" spans="5:5">
      <c r="E4627" s="51"/>
    </row>
    <row r="4628" spans="5:5">
      <c r="E4628" s="51"/>
    </row>
    <row r="4629" spans="5:5">
      <c r="E4629" s="51"/>
    </row>
    <row r="4630" spans="5:5">
      <c r="E4630" s="51"/>
    </row>
    <row r="4631" spans="5:5">
      <c r="E4631" s="51"/>
    </row>
    <row r="4632" spans="5:5">
      <c r="E4632" s="51"/>
    </row>
    <row r="4633" spans="5:5">
      <c r="E4633" s="51"/>
    </row>
    <row r="4634" spans="5:5">
      <c r="E4634" s="51"/>
    </row>
    <row r="4635" spans="5:5">
      <c r="E4635" s="51"/>
    </row>
    <row r="4636" spans="5:5">
      <c r="E4636" s="51"/>
    </row>
    <row r="4637" spans="5:5">
      <c r="E4637" s="51"/>
    </row>
    <row r="4638" spans="5:5">
      <c r="E4638" s="51"/>
    </row>
    <row r="4639" spans="5:5">
      <c r="E4639" s="51"/>
    </row>
    <row r="4640" spans="5:5">
      <c r="E4640" s="51"/>
    </row>
    <row r="4641" spans="5:5">
      <c r="E4641" s="51"/>
    </row>
    <row r="4642" spans="5:5">
      <c r="E4642" s="51"/>
    </row>
    <row r="4643" spans="5:5">
      <c r="E4643" s="51"/>
    </row>
    <row r="4644" spans="5:5">
      <c r="E4644" s="51"/>
    </row>
    <row r="4645" spans="5:5">
      <c r="E4645" s="51"/>
    </row>
    <row r="4646" spans="5:5">
      <c r="E4646" s="51"/>
    </row>
    <row r="4647" spans="5:5">
      <c r="E4647" s="51"/>
    </row>
    <row r="4648" spans="5:5">
      <c r="E4648" s="51"/>
    </row>
    <row r="4649" spans="5:5">
      <c r="E4649" s="51"/>
    </row>
    <row r="4650" spans="5:5">
      <c r="E4650" s="51"/>
    </row>
    <row r="4651" spans="5:5">
      <c r="E4651" s="51"/>
    </row>
    <row r="4652" spans="5:5">
      <c r="E4652" s="51"/>
    </row>
    <row r="4653" spans="5:5">
      <c r="E4653" s="51"/>
    </row>
    <row r="4654" spans="5:5">
      <c r="E4654" s="51"/>
    </row>
    <row r="4655" spans="5:5">
      <c r="E4655" s="51"/>
    </row>
    <row r="4656" spans="5:5">
      <c r="E4656" s="51"/>
    </row>
    <row r="4657" spans="5:5">
      <c r="E4657" s="51"/>
    </row>
    <row r="4658" spans="5:5">
      <c r="E4658" s="51"/>
    </row>
    <row r="4659" spans="5:5">
      <c r="E4659" s="51"/>
    </row>
    <row r="4660" spans="5:5">
      <c r="E4660" s="51"/>
    </row>
    <row r="4661" spans="5:5">
      <c r="E4661" s="51"/>
    </row>
    <row r="4662" spans="5:5">
      <c r="E4662" s="51"/>
    </row>
    <row r="4663" spans="5:5">
      <c r="E4663" s="51"/>
    </row>
    <row r="4664" spans="5:5">
      <c r="E4664" s="51"/>
    </row>
    <row r="4665" spans="5:5">
      <c r="E4665" s="51"/>
    </row>
    <row r="4666" spans="5:5">
      <c r="E4666" s="51"/>
    </row>
    <row r="4667" spans="5:5">
      <c r="E4667" s="51"/>
    </row>
    <row r="4668" spans="5:5">
      <c r="E4668" s="51"/>
    </row>
    <row r="4669" spans="5:5">
      <c r="E4669" s="51"/>
    </row>
    <row r="4670" spans="5:5">
      <c r="E4670" s="51"/>
    </row>
    <row r="4671" spans="5:5">
      <c r="E4671" s="51"/>
    </row>
    <row r="4672" spans="5:5">
      <c r="E4672" s="51"/>
    </row>
    <row r="4673" spans="5:5">
      <c r="E4673" s="51"/>
    </row>
    <row r="4674" spans="5:5">
      <c r="E4674" s="51"/>
    </row>
    <row r="4675" spans="5:5">
      <c r="E4675" s="51"/>
    </row>
    <row r="4676" spans="5:5">
      <c r="E4676" s="51"/>
    </row>
    <row r="4677" spans="5:5">
      <c r="E4677" s="51"/>
    </row>
    <row r="4678" spans="5:5">
      <c r="E4678" s="51"/>
    </row>
    <row r="4679" spans="5:5">
      <c r="E4679" s="51"/>
    </row>
    <row r="4680" spans="5:5">
      <c r="E4680" s="51"/>
    </row>
    <row r="4681" spans="5:5">
      <c r="E4681" s="51"/>
    </row>
    <row r="4682" spans="5:5">
      <c r="E4682" s="51"/>
    </row>
    <row r="4683" spans="5:5">
      <c r="E4683" s="51"/>
    </row>
    <row r="4684" spans="5:5">
      <c r="E4684" s="51"/>
    </row>
    <row r="4685" spans="5:5">
      <c r="E4685" s="51"/>
    </row>
    <row r="4686" spans="5:5">
      <c r="E4686" s="51"/>
    </row>
    <row r="4687" spans="5:5">
      <c r="E4687" s="51"/>
    </row>
    <row r="4688" spans="5:5">
      <c r="E4688" s="51"/>
    </row>
    <row r="4689" spans="5:5">
      <c r="E4689" s="51"/>
    </row>
    <row r="4690" spans="5:5">
      <c r="E4690" s="51"/>
    </row>
    <row r="4691" spans="5:5">
      <c r="E4691" s="51"/>
    </row>
    <row r="4692" spans="5:5">
      <c r="E4692" s="51"/>
    </row>
    <row r="4693" spans="5:5">
      <c r="E4693" s="51"/>
    </row>
    <row r="4694" spans="5:5">
      <c r="E4694" s="51"/>
    </row>
    <row r="4695" spans="5:5">
      <c r="E4695" s="51"/>
    </row>
    <row r="4696" spans="5:5">
      <c r="E4696" s="51"/>
    </row>
    <row r="4697" spans="5:5">
      <c r="E4697" s="51"/>
    </row>
    <row r="4698" spans="5:5">
      <c r="E4698" s="51"/>
    </row>
    <row r="4699" spans="5:5">
      <c r="E4699" s="51"/>
    </row>
    <row r="4700" spans="5:5">
      <c r="E4700" s="51"/>
    </row>
    <row r="4701" spans="5:5">
      <c r="E4701" s="51"/>
    </row>
    <row r="4702" spans="5:5">
      <c r="E4702" s="51"/>
    </row>
    <row r="4703" spans="5:5">
      <c r="E4703" s="51"/>
    </row>
    <row r="4704" spans="5:5">
      <c r="E4704" s="51"/>
    </row>
    <row r="4705" spans="5:5">
      <c r="E4705" s="51"/>
    </row>
    <row r="4706" spans="5:5">
      <c r="E4706" s="51"/>
    </row>
    <row r="4707" spans="5:5">
      <c r="E4707" s="51"/>
    </row>
    <row r="4708" spans="5:5">
      <c r="E4708" s="51"/>
    </row>
    <row r="4709" spans="5:5">
      <c r="E4709" s="51"/>
    </row>
    <row r="4710" spans="5:5">
      <c r="E4710" s="51"/>
    </row>
    <row r="4711" spans="5:5">
      <c r="E4711" s="51"/>
    </row>
    <row r="4712" spans="5:5">
      <c r="E4712" s="51"/>
    </row>
    <row r="4713" spans="5:5">
      <c r="E4713" s="51"/>
    </row>
    <row r="4714" spans="5:5">
      <c r="E4714" s="51"/>
    </row>
    <row r="4715" spans="5:5">
      <c r="E4715" s="51"/>
    </row>
    <row r="4716" spans="5:5">
      <c r="E4716" s="51"/>
    </row>
    <row r="4717" spans="5:5">
      <c r="E4717" s="51"/>
    </row>
    <row r="4718" spans="5:5">
      <c r="E4718" s="51"/>
    </row>
    <row r="4719" spans="5:5">
      <c r="E4719" s="51"/>
    </row>
    <row r="4720" spans="5:5">
      <c r="E4720" s="51"/>
    </row>
    <row r="4721" spans="5:5">
      <c r="E4721" s="51"/>
    </row>
    <row r="4722" spans="5:5">
      <c r="E4722" s="51"/>
    </row>
    <row r="4723" spans="5:5">
      <c r="E4723" s="51"/>
    </row>
    <row r="4724" spans="5:5">
      <c r="E4724" s="51"/>
    </row>
    <row r="4725" spans="5:5">
      <c r="E4725" s="51"/>
    </row>
    <row r="4726" spans="5:5">
      <c r="E4726" s="51"/>
    </row>
    <row r="4727" spans="5:5">
      <c r="E4727" s="51"/>
    </row>
    <row r="4728" spans="5:5">
      <c r="E4728" s="51"/>
    </row>
    <row r="4729" spans="5:5">
      <c r="E4729" s="51"/>
    </row>
    <row r="4730" spans="5:5">
      <c r="E4730" s="51"/>
    </row>
    <row r="4731" spans="5:5">
      <c r="E4731" s="51"/>
    </row>
    <row r="4732" spans="5:5">
      <c r="E4732" s="51"/>
    </row>
    <row r="4733" spans="5:5">
      <c r="E4733" s="51"/>
    </row>
    <row r="4734" spans="5:5">
      <c r="E4734" s="51"/>
    </row>
    <row r="4735" spans="5:5">
      <c r="E4735" s="51"/>
    </row>
    <row r="4736" spans="5:5">
      <c r="E4736" s="51"/>
    </row>
    <row r="4737" spans="5:5">
      <c r="E4737" s="51"/>
    </row>
    <row r="4738" spans="5:5">
      <c r="E4738" s="51"/>
    </row>
    <row r="4739" spans="5:5">
      <c r="E4739" s="51"/>
    </row>
    <row r="4740" spans="5:5">
      <c r="E4740" s="51"/>
    </row>
    <row r="4741" spans="5:5">
      <c r="E4741" s="51"/>
    </row>
    <row r="4742" spans="5:5">
      <c r="E4742" s="51"/>
    </row>
    <row r="4743" spans="5:5">
      <c r="E4743" s="51"/>
    </row>
    <row r="4744" spans="5:5">
      <c r="E4744" s="51"/>
    </row>
    <row r="4745" spans="5:5">
      <c r="E4745" s="51"/>
    </row>
    <row r="4746" spans="5:5">
      <c r="E4746" s="51"/>
    </row>
    <row r="4747" spans="5:5">
      <c r="E4747" s="51"/>
    </row>
    <row r="4748" spans="5:5">
      <c r="E4748" s="51"/>
    </row>
    <row r="4749" spans="5:5">
      <c r="E4749" s="51"/>
    </row>
    <row r="4750" spans="5:5">
      <c r="E4750" s="51"/>
    </row>
    <row r="4751" spans="5:5">
      <c r="E4751" s="51"/>
    </row>
    <row r="4752" spans="5:5">
      <c r="E4752" s="51"/>
    </row>
    <row r="4753" spans="5:5">
      <c r="E4753" s="51"/>
    </row>
    <row r="4754" spans="5:5">
      <c r="E4754" s="51"/>
    </row>
    <row r="4755" spans="5:5">
      <c r="E4755" s="51"/>
    </row>
    <row r="4756" spans="5:5">
      <c r="E4756" s="51"/>
    </row>
    <row r="4757" spans="5:5">
      <c r="E4757" s="51"/>
    </row>
    <row r="4758" spans="5:5">
      <c r="E4758" s="51"/>
    </row>
    <row r="4759" spans="5:5">
      <c r="E4759" s="51"/>
    </row>
    <row r="4760" spans="5:5">
      <c r="E4760" s="51"/>
    </row>
    <row r="4761" spans="5:5">
      <c r="E4761" s="51"/>
    </row>
    <row r="4762" spans="5:5">
      <c r="E4762" s="51"/>
    </row>
    <row r="4763" spans="5:5">
      <c r="E4763" s="51"/>
    </row>
    <row r="4764" spans="5:5">
      <c r="E4764" s="51"/>
    </row>
    <row r="4765" spans="5:5">
      <c r="E4765" s="51"/>
    </row>
    <row r="4766" spans="5:5">
      <c r="E4766" s="51"/>
    </row>
    <row r="4767" spans="5:5">
      <c r="E4767" s="51"/>
    </row>
    <row r="4768" spans="5:5">
      <c r="E4768" s="51"/>
    </row>
    <row r="4769" spans="5:5">
      <c r="E4769" s="51"/>
    </row>
    <row r="4770" spans="5:5">
      <c r="E4770" s="51"/>
    </row>
    <row r="4771" spans="5:5">
      <c r="E4771" s="51"/>
    </row>
    <row r="4772" spans="5:5">
      <c r="E4772" s="51"/>
    </row>
    <row r="4773" spans="5:5">
      <c r="E4773" s="51"/>
    </row>
    <row r="4774" spans="5:5">
      <c r="E4774" s="51"/>
    </row>
    <row r="4775" spans="5:5">
      <c r="E4775" s="51"/>
    </row>
    <row r="4776" spans="5:5">
      <c r="E4776" s="51"/>
    </row>
    <row r="4777" spans="5:5">
      <c r="E4777" s="51"/>
    </row>
    <row r="4778" spans="5:5">
      <c r="E4778" s="51"/>
    </row>
    <row r="4779" spans="5:5">
      <c r="E4779" s="51"/>
    </row>
    <row r="4780" spans="5:5">
      <c r="E4780" s="51"/>
    </row>
    <row r="4781" spans="5:5">
      <c r="E4781" s="51"/>
    </row>
    <row r="4782" spans="5:5">
      <c r="E4782" s="51"/>
    </row>
    <row r="4783" spans="5:5">
      <c r="E4783" s="51"/>
    </row>
    <row r="4784" spans="5:5">
      <c r="E4784" s="51"/>
    </row>
    <row r="4785" spans="5:5">
      <c r="E4785" s="51"/>
    </row>
    <row r="4786" spans="5:5">
      <c r="E4786" s="51"/>
    </row>
    <row r="4787" spans="5:5">
      <c r="E4787" s="51"/>
    </row>
    <row r="4788" spans="5:5">
      <c r="E4788" s="51"/>
    </row>
    <row r="4789" spans="5:5">
      <c r="E4789" s="51"/>
    </row>
    <row r="4790" spans="5:5">
      <c r="E4790" s="51"/>
    </row>
    <row r="4791" spans="5:5">
      <c r="E4791" s="51"/>
    </row>
    <row r="4792" spans="5:5">
      <c r="E4792" s="51"/>
    </row>
    <row r="4793" spans="5:5">
      <c r="E4793" s="51"/>
    </row>
    <row r="4794" spans="5:5">
      <c r="E4794" s="51"/>
    </row>
    <row r="4795" spans="5:5">
      <c r="E4795" s="51"/>
    </row>
    <row r="4796" spans="5:5">
      <c r="E4796" s="51"/>
    </row>
    <row r="4797" spans="5:5">
      <c r="E4797" s="51"/>
    </row>
    <row r="4798" spans="5:5">
      <c r="E4798" s="51"/>
    </row>
    <row r="4799" spans="5:5">
      <c r="E4799" s="51"/>
    </row>
    <row r="4800" spans="5:5">
      <c r="E4800" s="51"/>
    </row>
    <row r="4801" spans="5:5">
      <c r="E4801" s="51"/>
    </row>
    <row r="4802" spans="5:5">
      <c r="E4802" s="51"/>
    </row>
    <row r="4803" spans="5:5">
      <c r="E4803" s="51"/>
    </row>
    <row r="4804" spans="5:5">
      <c r="E4804" s="51"/>
    </row>
    <row r="4805" spans="5:5">
      <c r="E4805" s="51"/>
    </row>
    <row r="4806" spans="5:5">
      <c r="E4806" s="51"/>
    </row>
    <row r="4807" spans="5:5">
      <c r="E4807" s="51"/>
    </row>
    <row r="4808" spans="5:5">
      <c r="E4808" s="51"/>
    </row>
    <row r="4809" spans="5:5">
      <c r="E4809" s="51"/>
    </row>
    <row r="4810" spans="5:5">
      <c r="E4810" s="51"/>
    </row>
    <row r="4811" spans="5:5">
      <c r="E4811" s="51"/>
    </row>
    <row r="4812" spans="5:5">
      <c r="E4812" s="51"/>
    </row>
    <row r="4813" spans="5:5">
      <c r="E4813" s="51"/>
    </row>
    <row r="4814" spans="5:5">
      <c r="E4814" s="51"/>
    </row>
    <row r="4815" spans="5:5">
      <c r="E4815" s="51"/>
    </row>
    <row r="4816" spans="5:5">
      <c r="E4816" s="51"/>
    </row>
    <row r="4817" spans="5:5">
      <c r="E4817" s="51"/>
    </row>
    <row r="4818" spans="5:5">
      <c r="E4818" s="51"/>
    </row>
    <row r="4819" spans="5:5">
      <c r="E4819" s="51"/>
    </row>
    <row r="4820" spans="5:5">
      <c r="E4820" s="51"/>
    </row>
    <row r="4821" spans="5:5">
      <c r="E4821" s="51"/>
    </row>
    <row r="4822" spans="5:5">
      <c r="E4822" s="51"/>
    </row>
    <row r="4823" spans="5:5">
      <c r="E4823" s="51"/>
    </row>
    <row r="4824" spans="5:5">
      <c r="E4824" s="51"/>
    </row>
    <row r="4825" spans="5:5">
      <c r="E4825" s="51"/>
    </row>
    <row r="4826" spans="5:5">
      <c r="E4826" s="51"/>
    </row>
    <row r="4827" spans="5:5">
      <c r="E4827" s="51"/>
    </row>
    <row r="4828" spans="5:5">
      <c r="E4828" s="51"/>
    </row>
    <row r="4829" spans="5:5">
      <c r="E4829" s="51"/>
    </row>
    <row r="4830" spans="5:5">
      <c r="E4830" s="51"/>
    </row>
    <row r="4831" spans="5:5">
      <c r="E4831" s="51"/>
    </row>
    <row r="4832" spans="5:5">
      <c r="E4832" s="51"/>
    </row>
    <row r="4833" spans="5:5">
      <c r="E4833" s="51"/>
    </row>
    <row r="4834" spans="5:5">
      <c r="E4834" s="51"/>
    </row>
    <row r="4835" spans="5:5">
      <c r="E4835" s="51"/>
    </row>
    <row r="4836" spans="5:5">
      <c r="E4836" s="51"/>
    </row>
    <row r="4837" spans="5:5">
      <c r="E4837" s="51"/>
    </row>
    <row r="4838" spans="5:5">
      <c r="E4838" s="51"/>
    </row>
    <row r="4839" spans="5:5">
      <c r="E4839" s="51"/>
    </row>
    <row r="4840" spans="5:5">
      <c r="E4840" s="51"/>
    </row>
    <row r="4841" spans="5:5">
      <c r="E4841" s="51"/>
    </row>
    <row r="4842" spans="5:5">
      <c r="E4842" s="51"/>
    </row>
    <row r="4843" spans="5:5">
      <c r="E4843" s="51"/>
    </row>
    <row r="4844" spans="5:5">
      <c r="E4844" s="51"/>
    </row>
    <row r="4845" spans="5:5">
      <c r="E4845" s="51"/>
    </row>
    <row r="4846" spans="5:5">
      <c r="E4846" s="51"/>
    </row>
    <row r="4847" spans="5:5">
      <c r="E4847" s="51"/>
    </row>
    <row r="4848" spans="5:5">
      <c r="E4848" s="51"/>
    </row>
    <row r="4849" spans="5:5">
      <c r="E4849" s="51"/>
    </row>
    <row r="4850" spans="5:5">
      <c r="E4850" s="51"/>
    </row>
    <row r="4851" spans="5:5">
      <c r="E4851" s="51"/>
    </row>
    <row r="4852" spans="5:5">
      <c r="E4852" s="51"/>
    </row>
    <row r="4853" spans="5:5">
      <c r="E4853" s="51"/>
    </row>
    <row r="4854" spans="5:5">
      <c r="E4854" s="51"/>
    </row>
    <row r="4855" spans="5:5">
      <c r="E4855" s="51"/>
    </row>
    <row r="4856" spans="5:5">
      <c r="E4856" s="51"/>
    </row>
    <row r="4857" spans="5:5">
      <c r="E4857" s="51"/>
    </row>
    <row r="4858" spans="5:5">
      <c r="E4858" s="51"/>
    </row>
    <row r="4859" spans="5:5">
      <c r="E4859" s="51"/>
    </row>
    <row r="4860" spans="5:5">
      <c r="E4860" s="51"/>
    </row>
    <row r="4861" spans="5:5">
      <c r="E4861" s="51"/>
    </row>
    <row r="4862" spans="5:5">
      <c r="E4862" s="51"/>
    </row>
    <row r="4863" spans="5:5">
      <c r="E4863" s="51"/>
    </row>
    <row r="4864" spans="5:5">
      <c r="E4864" s="51"/>
    </row>
    <row r="4865" spans="5:5">
      <c r="E4865" s="51"/>
    </row>
    <row r="4866" spans="5:5">
      <c r="E4866" s="51"/>
    </row>
    <row r="4867" spans="5:5">
      <c r="E4867" s="51"/>
    </row>
    <row r="4868" spans="5:5">
      <c r="E4868" s="51"/>
    </row>
    <row r="4869" spans="5:5">
      <c r="E4869" s="51"/>
    </row>
    <row r="4870" spans="5:5">
      <c r="E4870" s="51"/>
    </row>
    <row r="4871" spans="5:5">
      <c r="E4871" s="51"/>
    </row>
    <row r="4872" spans="5:5">
      <c r="E4872" s="51"/>
    </row>
    <row r="4873" spans="5:5">
      <c r="E4873" s="51"/>
    </row>
    <row r="4874" spans="5:5">
      <c r="E4874" s="51"/>
    </row>
    <row r="4875" spans="5:5">
      <c r="E4875" s="51"/>
    </row>
    <row r="4876" spans="5:5">
      <c r="E4876" s="51"/>
    </row>
    <row r="4877" spans="5:5">
      <c r="E4877" s="51"/>
    </row>
    <row r="4878" spans="5:5">
      <c r="E4878" s="51"/>
    </row>
    <row r="4879" spans="5:5">
      <c r="E4879" s="51"/>
    </row>
    <row r="4880" spans="5:5">
      <c r="E4880" s="51"/>
    </row>
    <row r="4881" spans="5:5">
      <c r="E4881" s="51"/>
    </row>
    <row r="4882" spans="5:5">
      <c r="E4882" s="51"/>
    </row>
    <row r="4883" spans="5:5">
      <c r="E4883" s="51"/>
    </row>
    <row r="4884" spans="5:5">
      <c r="E4884" s="51"/>
    </row>
    <row r="4885" spans="5:5">
      <c r="E4885" s="51"/>
    </row>
    <row r="4886" spans="5:5">
      <c r="E4886" s="51"/>
    </row>
    <row r="4887" spans="5:5">
      <c r="E4887" s="51"/>
    </row>
    <row r="4888" spans="5:5">
      <c r="E4888" s="51"/>
    </row>
    <row r="4889" spans="5:5">
      <c r="E4889" s="51"/>
    </row>
    <row r="4890" spans="5:5">
      <c r="E4890" s="51"/>
    </row>
    <row r="4891" spans="5:5">
      <c r="E4891" s="51"/>
    </row>
    <row r="4892" spans="5:5">
      <c r="E4892" s="51"/>
    </row>
    <row r="4893" spans="5:5">
      <c r="E4893" s="51"/>
    </row>
    <row r="4894" spans="5:5">
      <c r="E4894" s="51"/>
    </row>
    <row r="4895" spans="5:5">
      <c r="E4895" s="51"/>
    </row>
    <row r="4896" spans="5:5">
      <c r="E4896" s="51"/>
    </row>
    <row r="4897" spans="5:5">
      <c r="E4897" s="51"/>
    </row>
    <row r="4898" spans="5:5">
      <c r="E4898" s="51"/>
    </row>
    <row r="4899" spans="5:5">
      <c r="E4899" s="51"/>
    </row>
    <row r="4900" spans="5:5">
      <c r="E4900" s="51"/>
    </row>
    <row r="4901" spans="5:5">
      <c r="E4901" s="51"/>
    </row>
    <row r="4902" spans="5:5">
      <c r="E4902" s="51"/>
    </row>
    <row r="4903" spans="5:5">
      <c r="E4903" s="51"/>
    </row>
    <row r="4904" spans="5:5">
      <c r="E4904" s="51"/>
    </row>
    <row r="4905" spans="5:5">
      <c r="E4905" s="51"/>
    </row>
    <row r="4906" spans="5:5">
      <c r="E4906" s="51"/>
    </row>
    <row r="4907" spans="5:5">
      <c r="E4907" s="51"/>
    </row>
    <row r="4908" spans="5:5">
      <c r="E4908" s="51"/>
    </row>
    <row r="4909" spans="5:5">
      <c r="E4909" s="51"/>
    </row>
    <row r="4910" spans="5:5">
      <c r="E4910" s="51"/>
    </row>
    <row r="4911" spans="5:5">
      <c r="E4911" s="51"/>
    </row>
    <row r="4912" spans="5:5">
      <c r="E4912" s="51"/>
    </row>
    <row r="4913" spans="5:5">
      <c r="E4913" s="51"/>
    </row>
    <row r="4914" spans="5:5">
      <c r="E4914" s="51"/>
    </row>
    <row r="4915" spans="5:5">
      <c r="E4915" s="51"/>
    </row>
    <row r="4916" spans="5:5">
      <c r="E4916" s="51"/>
    </row>
    <row r="4917" spans="5:5">
      <c r="E4917" s="51"/>
    </row>
    <row r="4918" spans="5:5">
      <c r="E4918" s="51"/>
    </row>
    <row r="4919" spans="5:5">
      <c r="E4919" s="51"/>
    </row>
    <row r="4920" spans="5:5">
      <c r="E4920" s="51"/>
    </row>
    <row r="4921" spans="5:5">
      <c r="E4921" s="51"/>
    </row>
    <row r="4922" spans="5:5">
      <c r="E4922" s="51"/>
    </row>
    <row r="4923" spans="5:5">
      <c r="E4923" s="51"/>
    </row>
    <row r="4924" spans="5:5">
      <c r="E4924" s="51"/>
    </row>
    <row r="4925" spans="5:5">
      <c r="E4925" s="51"/>
    </row>
    <row r="4926" spans="5:5">
      <c r="E4926" s="51"/>
    </row>
    <row r="4927" spans="5:5">
      <c r="E4927" s="51"/>
    </row>
    <row r="4928" spans="5:5">
      <c r="E4928" s="51"/>
    </row>
    <row r="4929" spans="5:5">
      <c r="E4929" s="51"/>
    </row>
    <row r="4930" spans="5:5">
      <c r="E4930" s="51"/>
    </row>
    <row r="4931" spans="5:5">
      <c r="E4931" s="51"/>
    </row>
    <row r="4932" spans="5:5">
      <c r="E4932" s="51"/>
    </row>
    <row r="4933" spans="5:5">
      <c r="E4933" s="51"/>
    </row>
    <row r="4934" spans="5:5">
      <c r="E4934" s="51"/>
    </row>
    <row r="4935" spans="5:5">
      <c r="E4935" s="51"/>
    </row>
    <row r="4936" spans="5:5">
      <c r="E4936" s="51"/>
    </row>
    <row r="4937" spans="5:5">
      <c r="E4937" s="51"/>
    </row>
    <row r="4938" spans="5:5">
      <c r="E4938" s="51"/>
    </row>
    <row r="4939" spans="5:5">
      <c r="E4939" s="51"/>
    </row>
    <row r="4940" spans="5:5">
      <c r="E4940" s="51"/>
    </row>
    <row r="4941" spans="5:5">
      <c r="E4941" s="51"/>
    </row>
    <row r="4942" spans="5:5">
      <c r="E4942" s="51"/>
    </row>
    <row r="4943" spans="5:5">
      <c r="E4943" s="51"/>
    </row>
    <row r="4944" spans="5:5">
      <c r="E4944" s="51"/>
    </row>
    <row r="4945" spans="5:5">
      <c r="E4945" s="51"/>
    </row>
    <row r="4946" spans="5:5">
      <c r="E4946" s="51"/>
    </row>
    <row r="4947" spans="5:5">
      <c r="E4947" s="51"/>
    </row>
    <row r="4948" spans="5:5">
      <c r="E4948" s="51"/>
    </row>
    <row r="4949" spans="5:5">
      <c r="E4949" s="51"/>
    </row>
    <row r="4950" spans="5:5">
      <c r="E4950" s="51"/>
    </row>
    <row r="4951" spans="5:5">
      <c r="E4951" s="51"/>
    </row>
    <row r="4952" spans="5:5">
      <c r="E4952" s="51"/>
    </row>
    <row r="4953" spans="5:5">
      <c r="E4953" s="51"/>
    </row>
    <row r="4954" spans="5:5">
      <c r="E4954" s="51"/>
    </row>
    <row r="4955" spans="5:5">
      <c r="E4955" s="51"/>
    </row>
    <row r="4956" spans="5:5">
      <c r="E4956" s="51"/>
    </row>
    <row r="4957" spans="5:5">
      <c r="E4957" s="51"/>
    </row>
    <row r="4958" spans="5:5">
      <c r="E4958" s="51"/>
    </row>
    <row r="4959" spans="5:5">
      <c r="E4959" s="51"/>
    </row>
    <row r="4960" spans="5:5">
      <c r="E4960" s="51"/>
    </row>
    <row r="4961" spans="5:5">
      <c r="E4961" s="51"/>
    </row>
    <row r="4962" spans="5:5">
      <c r="E4962" s="51"/>
    </row>
    <row r="4963" spans="5:5">
      <c r="E4963" s="51"/>
    </row>
    <row r="4964" spans="5:5">
      <c r="E4964" s="51"/>
    </row>
    <row r="4965" spans="5:5">
      <c r="E4965" s="51"/>
    </row>
    <row r="4966" spans="5:5">
      <c r="E4966" s="51"/>
    </row>
    <row r="4967" spans="5:5">
      <c r="E4967" s="51"/>
    </row>
    <row r="4968" spans="5:5">
      <c r="E4968" s="51"/>
    </row>
    <row r="4969" spans="5:5">
      <c r="E4969" s="51"/>
    </row>
    <row r="4970" spans="5:5">
      <c r="E4970" s="51"/>
    </row>
    <row r="4971" spans="5:5">
      <c r="E4971" s="51"/>
    </row>
    <row r="4972" spans="5:5">
      <c r="E4972" s="51"/>
    </row>
    <row r="4973" spans="5:5">
      <c r="E4973" s="51"/>
    </row>
    <row r="4974" spans="5:5">
      <c r="E4974" s="51"/>
    </row>
    <row r="4975" spans="5:5">
      <c r="E4975" s="51"/>
    </row>
    <row r="4976" spans="5:5">
      <c r="E4976" s="51"/>
    </row>
    <row r="4977" spans="5:5">
      <c r="E4977" s="51"/>
    </row>
    <row r="4978" spans="5:5">
      <c r="E4978" s="51"/>
    </row>
    <row r="4979" spans="5:5">
      <c r="E4979" s="51"/>
    </row>
    <row r="4980" spans="5:5">
      <c r="E4980" s="51"/>
    </row>
    <row r="4981" spans="5:5">
      <c r="E4981" s="51"/>
    </row>
    <row r="4982" spans="5:5">
      <c r="E4982" s="51"/>
    </row>
    <row r="4983" spans="5:5">
      <c r="E4983" s="51"/>
    </row>
    <row r="4984" spans="5:5">
      <c r="E4984" s="51"/>
    </row>
    <row r="4985" spans="5:5">
      <c r="E4985" s="51"/>
    </row>
    <row r="4986" spans="5:5">
      <c r="E4986" s="51"/>
    </row>
    <row r="4987" spans="5:5">
      <c r="E4987" s="51"/>
    </row>
    <row r="4988" spans="5:5">
      <c r="E4988" s="51"/>
    </row>
    <row r="4989" spans="5:5">
      <c r="E4989" s="51"/>
    </row>
    <row r="4990" spans="5:5">
      <c r="E4990" s="51"/>
    </row>
    <row r="4991" spans="5:5">
      <c r="E4991" s="51"/>
    </row>
    <row r="4992" spans="5:5">
      <c r="E4992" s="51"/>
    </row>
    <row r="4993" spans="5:5">
      <c r="E4993" s="51"/>
    </row>
    <row r="4994" spans="5:5">
      <c r="E4994" s="51"/>
    </row>
    <row r="4995" spans="5:5">
      <c r="E4995" s="51"/>
    </row>
    <row r="4996" spans="5:5">
      <c r="E4996" s="51"/>
    </row>
    <row r="4997" spans="5:5">
      <c r="E4997" s="51"/>
    </row>
    <row r="4998" spans="5:5">
      <c r="E4998" s="51"/>
    </row>
    <row r="4999" spans="5:5">
      <c r="E4999" s="51"/>
    </row>
    <row r="5000" spans="5:5">
      <c r="E5000" s="51"/>
    </row>
    <row r="5001" spans="5:5">
      <c r="E5001" s="51"/>
    </row>
    <row r="5002" spans="5:5">
      <c r="E5002" s="51"/>
    </row>
    <row r="5003" spans="5:5">
      <c r="E5003" s="51"/>
    </row>
    <row r="5004" spans="5:5">
      <c r="E5004" s="51"/>
    </row>
    <row r="5005" spans="5:5">
      <c r="E5005" s="51"/>
    </row>
    <row r="5006" spans="5:5">
      <c r="E5006" s="51"/>
    </row>
    <row r="5007" spans="5:5">
      <c r="E5007" s="51"/>
    </row>
    <row r="5008" spans="5:5">
      <c r="E5008" s="51"/>
    </row>
    <row r="5009" spans="5:5">
      <c r="E5009" s="51"/>
    </row>
    <row r="5010" spans="5:5">
      <c r="E5010" s="51"/>
    </row>
    <row r="5011" spans="5:5">
      <c r="E5011" s="51"/>
    </row>
    <row r="5012" spans="5:5">
      <c r="E5012" s="51"/>
    </row>
    <row r="5013" spans="5:5">
      <c r="E5013" s="51"/>
    </row>
    <row r="5014" spans="5:5">
      <c r="E5014" s="51"/>
    </row>
    <row r="5015" spans="5:5">
      <c r="E5015" s="51"/>
    </row>
    <row r="5016" spans="5:5">
      <c r="E5016" s="51"/>
    </row>
    <row r="5017" spans="5:5">
      <c r="E5017" s="51"/>
    </row>
    <row r="5018" spans="5:5">
      <c r="E5018" s="51"/>
    </row>
    <row r="5019" spans="5:5">
      <c r="E5019" s="51"/>
    </row>
    <row r="5020" spans="5:5">
      <c r="E5020" s="51"/>
    </row>
    <row r="5021" spans="5:5">
      <c r="E5021" s="51"/>
    </row>
    <row r="5022" spans="5:5">
      <c r="E5022" s="51"/>
    </row>
    <row r="5023" spans="5:5">
      <c r="E5023" s="51"/>
    </row>
    <row r="5024" spans="5:5">
      <c r="E5024" s="51"/>
    </row>
    <row r="5025" spans="5:5">
      <c r="E5025" s="51"/>
    </row>
    <row r="5026" spans="5:5">
      <c r="E5026" s="51"/>
    </row>
    <row r="5027" spans="5:5">
      <c r="E5027" s="51"/>
    </row>
    <row r="5028" spans="5:5">
      <c r="E5028" s="51"/>
    </row>
    <row r="5029" spans="5:5">
      <c r="E5029" s="51"/>
    </row>
    <row r="5030" spans="5:5">
      <c r="E5030" s="51"/>
    </row>
    <row r="5031" spans="5:5">
      <c r="E5031" s="51"/>
    </row>
    <row r="5032" spans="5:5">
      <c r="E5032" s="51"/>
    </row>
    <row r="5033" spans="5:5">
      <c r="E5033" s="51"/>
    </row>
    <row r="5034" spans="5:5">
      <c r="E5034" s="51"/>
    </row>
    <row r="5035" spans="5:5">
      <c r="E5035" s="51"/>
    </row>
    <row r="5036" spans="5:5">
      <c r="E5036" s="51"/>
    </row>
    <row r="5037" spans="5:5">
      <c r="E5037" s="51"/>
    </row>
    <row r="5038" spans="5:5">
      <c r="E5038" s="51"/>
    </row>
    <row r="5039" spans="5:5">
      <c r="E5039" s="51"/>
    </row>
    <row r="5040" spans="5:5">
      <c r="E5040" s="51"/>
    </row>
    <row r="5041" spans="5:5">
      <c r="E5041" s="51"/>
    </row>
    <row r="5042" spans="5:5">
      <c r="E5042" s="51"/>
    </row>
    <row r="5043" spans="5:5">
      <c r="E5043" s="51"/>
    </row>
    <row r="5044" spans="5:5">
      <c r="E5044" s="51"/>
    </row>
    <row r="5045" spans="5:5">
      <c r="E5045" s="51"/>
    </row>
    <row r="5046" spans="5:5">
      <c r="E5046" s="51"/>
    </row>
    <row r="5047" spans="5:5">
      <c r="E5047" s="51"/>
    </row>
    <row r="5048" spans="5:5">
      <c r="E5048" s="51"/>
    </row>
    <row r="5049" spans="5:5">
      <c r="E5049" s="51"/>
    </row>
    <row r="5050" spans="5:5">
      <c r="E5050" s="51"/>
    </row>
    <row r="5051" spans="5:5">
      <c r="E5051" s="51"/>
    </row>
    <row r="5052" spans="5:5">
      <c r="E5052" s="51"/>
    </row>
    <row r="5053" spans="5:5">
      <c r="E5053" s="51"/>
    </row>
    <row r="5054" spans="5:5">
      <c r="E5054" s="51"/>
    </row>
    <row r="5055" spans="5:5">
      <c r="E5055" s="51"/>
    </row>
    <row r="5056" spans="5:5">
      <c r="E5056" s="51"/>
    </row>
    <row r="5057" spans="5:5">
      <c r="E5057" s="51"/>
    </row>
    <row r="5058" spans="5:5">
      <c r="E5058" s="51"/>
    </row>
    <row r="5059" spans="5:5">
      <c r="E5059" s="51"/>
    </row>
    <row r="5060" spans="5:5">
      <c r="E5060" s="51"/>
    </row>
    <row r="5061" spans="5:5">
      <c r="E5061" s="51"/>
    </row>
    <row r="5062" spans="5:5">
      <c r="E5062" s="51"/>
    </row>
    <row r="5063" spans="5:5">
      <c r="E5063" s="51"/>
    </row>
    <row r="5064" spans="5:5">
      <c r="E5064" s="51"/>
    </row>
    <row r="5065" spans="5:5">
      <c r="E5065" s="51"/>
    </row>
    <row r="5066" spans="5:5">
      <c r="E5066" s="51"/>
    </row>
    <row r="5067" spans="5:5">
      <c r="E5067" s="51"/>
    </row>
    <row r="5068" spans="5:5">
      <c r="E5068" s="51"/>
    </row>
    <row r="5069" spans="5:5">
      <c r="E5069" s="51"/>
    </row>
    <row r="5070" spans="5:5">
      <c r="E5070" s="51"/>
    </row>
    <row r="5071" spans="5:5">
      <c r="E5071" s="51"/>
    </row>
    <row r="5072" spans="5:5">
      <c r="E5072" s="51"/>
    </row>
    <row r="5073" spans="5:5">
      <c r="E5073" s="51"/>
    </row>
    <row r="5074" spans="5:5">
      <c r="E5074" s="51"/>
    </row>
    <row r="5075" spans="5:5">
      <c r="E5075" s="51"/>
    </row>
    <row r="5076" spans="5:5">
      <c r="E5076" s="51"/>
    </row>
    <row r="5077" spans="5:5">
      <c r="E5077" s="51"/>
    </row>
    <row r="5078" spans="5:5">
      <c r="E5078" s="51"/>
    </row>
    <row r="5079" spans="5:5">
      <c r="E5079" s="51"/>
    </row>
    <row r="5080" spans="5:5">
      <c r="E5080" s="51"/>
    </row>
    <row r="5081" spans="5:5">
      <c r="E5081" s="51"/>
    </row>
    <row r="5082" spans="5:5">
      <c r="E5082" s="51"/>
    </row>
    <row r="5083" spans="5:5">
      <c r="E5083" s="51"/>
    </row>
    <row r="5084" spans="5:5">
      <c r="E5084" s="51"/>
    </row>
    <row r="5085" spans="5:5">
      <c r="E5085" s="51"/>
    </row>
    <row r="5086" spans="5:5">
      <c r="E5086" s="51"/>
    </row>
    <row r="5087" spans="5:5">
      <c r="E5087" s="51"/>
    </row>
    <row r="5088" spans="5:5">
      <c r="E5088" s="51"/>
    </row>
    <row r="5089" spans="5:5">
      <c r="E5089" s="51"/>
    </row>
    <row r="5090" spans="5:5">
      <c r="E5090" s="51"/>
    </row>
    <row r="5091" spans="5:5">
      <c r="E5091" s="51"/>
    </row>
    <row r="5092" spans="5:5">
      <c r="E5092" s="51"/>
    </row>
    <row r="5093" spans="5:5">
      <c r="E5093" s="51"/>
    </row>
    <row r="5094" spans="5:5">
      <c r="E5094" s="51"/>
    </row>
    <row r="5095" spans="5:5">
      <c r="E5095" s="51"/>
    </row>
    <row r="5096" spans="5:5">
      <c r="E5096" s="51"/>
    </row>
    <row r="5097" spans="5:5">
      <c r="E5097" s="51"/>
    </row>
    <row r="5098" spans="5:5">
      <c r="E5098" s="51"/>
    </row>
    <row r="5099" spans="5:5">
      <c r="E5099" s="51"/>
    </row>
    <row r="5100" spans="5:5">
      <c r="E5100" s="51"/>
    </row>
    <row r="5101" spans="5:5">
      <c r="E5101" s="51"/>
    </row>
    <row r="5102" spans="5:5">
      <c r="E5102" s="51"/>
    </row>
    <row r="5103" spans="5:5">
      <c r="E5103" s="51"/>
    </row>
    <row r="5104" spans="5:5">
      <c r="E5104" s="51"/>
    </row>
    <row r="5105" spans="5:5">
      <c r="E5105" s="51"/>
    </row>
    <row r="5106" spans="5:5">
      <c r="E5106" s="51"/>
    </row>
    <row r="5107" spans="5:5">
      <c r="E5107" s="51"/>
    </row>
    <row r="5108" spans="5:5">
      <c r="E5108" s="51"/>
    </row>
    <row r="5109" spans="5:5">
      <c r="E5109" s="51"/>
    </row>
    <row r="5110" spans="5:5">
      <c r="E5110" s="51"/>
    </row>
    <row r="5111" spans="5:5">
      <c r="E5111" s="51"/>
    </row>
    <row r="5112" spans="5:5">
      <c r="E5112" s="51"/>
    </row>
    <row r="5113" spans="5:5">
      <c r="E5113" s="51"/>
    </row>
    <row r="5114" spans="5:5">
      <c r="E5114" s="51"/>
    </row>
    <row r="5115" spans="5:5">
      <c r="E5115" s="51"/>
    </row>
    <row r="5116" spans="5:5">
      <c r="E5116" s="51"/>
    </row>
    <row r="5117" spans="5:5">
      <c r="E5117" s="51"/>
    </row>
    <row r="5118" spans="5:5">
      <c r="E5118" s="51"/>
    </row>
    <row r="5119" spans="5:5">
      <c r="E5119" s="51"/>
    </row>
    <row r="5120" spans="5:5">
      <c r="E5120" s="51"/>
    </row>
    <row r="5121" spans="5:5">
      <c r="E5121" s="51"/>
    </row>
    <row r="5122" spans="5:5">
      <c r="E5122" s="51"/>
    </row>
    <row r="5123" spans="5:5">
      <c r="E5123" s="51"/>
    </row>
    <row r="5124" spans="5:5">
      <c r="E5124" s="51"/>
    </row>
    <row r="5125" spans="5:5">
      <c r="E5125" s="51"/>
    </row>
    <row r="5126" spans="5:5">
      <c r="E5126" s="51"/>
    </row>
    <row r="5127" spans="5:5">
      <c r="E5127" s="51"/>
    </row>
    <row r="5128" spans="5:5">
      <c r="E5128" s="51"/>
    </row>
    <row r="5129" spans="5:5">
      <c r="E5129" s="51"/>
    </row>
    <row r="5130" spans="5:5">
      <c r="E5130" s="51"/>
    </row>
    <row r="5131" spans="5:5">
      <c r="E5131" s="51"/>
    </row>
    <row r="5132" spans="5:5">
      <c r="E5132" s="51"/>
    </row>
    <row r="5133" spans="5:5">
      <c r="E5133" s="51"/>
    </row>
    <row r="5134" spans="5:5">
      <c r="E5134" s="51"/>
    </row>
    <row r="5135" spans="5:5">
      <c r="E5135" s="51"/>
    </row>
    <row r="5136" spans="5:5">
      <c r="E5136" s="51"/>
    </row>
    <row r="5137" spans="5:5">
      <c r="E5137" s="51"/>
    </row>
    <row r="5138" spans="5:5">
      <c r="E5138" s="51"/>
    </row>
    <row r="5139" spans="5:5">
      <c r="E5139" s="51"/>
    </row>
    <row r="5140" spans="5:5">
      <c r="E5140" s="51"/>
    </row>
    <row r="5141" spans="5:5">
      <c r="E5141" s="51"/>
    </row>
    <row r="5142" spans="5:5">
      <c r="E5142" s="51"/>
    </row>
    <row r="5143" spans="5:5">
      <c r="E5143" s="51"/>
    </row>
    <row r="5144" spans="5:5">
      <c r="E5144" s="51"/>
    </row>
    <row r="5145" spans="5:5">
      <c r="E5145" s="51"/>
    </row>
    <row r="5146" spans="5:5">
      <c r="E5146" s="51"/>
    </row>
    <row r="5147" spans="5:5">
      <c r="E5147" s="51"/>
    </row>
    <row r="5148" spans="5:5">
      <c r="E5148" s="51"/>
    </row>
    <row r="5149" spans="5:5">
      <c r="E5149" s="51"/>
    </row>
    <row r="5150" spans="5:5">
      <c r="E5150" s="51"/>
    </row>
    <row r="5151" spans="5:5">
      <c r="E5151" s="51"/>
    </row>
    <row r="5152" spans="5:5">
      <c r="E5152" s="51"/>
    </row>
    <row r="5153" spans="5:5">
      <c r="E5153" s="51"/>
    </row>
    <row r="5154" spans="5:5">
      <c r="E5154" s="51"/>
    </row>
    <row r="5155" spans="5:5">
      <c r="E5155" s="51"/>
    </row>
    <row r="5156" spans="5:5">
      <c r="E5156" s="51"/>
    </row>
    <row r="5157" spans="5:5">
      <c r="E5157" s="51"/>
    </row>
    <row r="5158" spans="5:5">
      <c r="E5158" s="51"/>
    </row>
    <row r="5159" spans="5:5">
      <c r="E5159" s="51"/>
    </row>
    <row r="5160" spans="5:5">
      <c r="E5160" s="51"/>
    </row>
    <row r="5161" spans="5:5">
      <c r="E5161" s="51"/>
    </row>
    <row r="5162" spans="5:5">
      <c r="E5162" s="51"/>
    </row>
    <row r="5163" spans="5:5">
      <c r="E5163" s="51"/>
    </row>
    <row r="5164" spans="5:5">
      <c r="E5164" s="51"/>
    </row>
    <row r="5165" spans="5:5">
      <c r="E5165" s="51"/>
    </row>
    <row r="5166" spans="5:5">
      <c r="E5166" s="51"/>
    </row>
    <row r="5167" spans="5:5">
      <c r="E5167" s="51"/>
    </row>
    <row r="5168" spans="5:5">
      <c r="E5168" s="51"/>
    </row>
    <row r="5169" spans="5:5">
      <c r="E5169" s="51"/>
    </row>
    <row r="5170" spans="5:5">
      <c r="E5170" s="51"/>
    </row>
    <row r="5171" spans="5:5">
      <c r="E5171" s="51"/>
    </row>
    <row r="5172" spans="5:5">
      <c r="E5172" s="51"/>
    </row>
    <row r="5173" spans="5:5">
      <c r="E5173" s="51"/>
    </row>
    <row r="5174" spans="5:5">
      <c r="E5174" s="51"/>
    </row>
    <row r="5175" spans="5:5">
      <c r="E5175" s="51"/>
    </row>
    <row r="5176" spans="5:5">
      <c r="E5176" s="51"/>
    </row>
    <row r="5177" spans="5:5">
      <c r="E5177" s="51"/>
    </row>
    <row r="5178" spans="5:5">
      <c r="E5178" s="51"/>
    </row>
    <row r="5179" spans="5:5">
      <c r="E5179" s="51"/>
    </row>
    <row r="5180" spans="5:5">
      <c r="E5180" s="51"/>
    </row>
    <row r="5181" spans="5:5">
      <c r="E5181" s="51"/>
    </row>
    <row r="5182" spans="5:5">
      <c r="E5182" s="51"/>
    </row>
    <row r="5183" spans="5:5">
      <c r="E5183" s="51"/>
    </row>
    <row r="5184" spans="5:5">
      <c r="E5184" s="51"/>
    </row>
    <row r="5185" spans="5:5">
      <c r="E5185" s="51"/>
    </row>
    <row r="5186" spans="5:5">
      <c r="E5186" s="51"/>
    </row>
    <row r="5187" spans="5:5">
      <c r="E5187" s="51"/>
    </row>
    <row r="5188" spans="5:5">
      <c r="E5188" s="51"/>
    </row>
    <row r="5189" spans="5:5">
      <c r="E5189" s="51"/>
    </row>
    <row r="5190" spans="5:5">
      <c r="E5190" s="51"/>
    </row>
    <row r="5191" spans="5:5">
      <c r="E5191" s="51"/>
    </row>
    <row r="5192" spans="5:5">
      <c r="E5192" s="51"/>
    </row>
    <row r="5193" spans="5:5">
      <c r="E5193" s="51"/>
    </row>
    <row r="5194" spans="5:5">
      <c r="E5194" s="51"/>
    </row>
    <row r="5195" spans="5:5">
      <c r="E5195" s="51"/>
    </row>
    <row r="5196" spans="5:5">
      <c r="E5196" s="51"/>
    </row>
    <row r="5197" spans="5:5">
      <c r="E5197" s="51"/>
    </row>
    <row r="5198" spans="5:5">
      <c r="E5198" s="51"/>
    </row>
    <row r="5199" spans="5:5">
      <c r="E5199" s="51"/>
    </row>
    <row r="5200" spans="5:5">
      <c r="E5200" s="51"/>
    </row>
    <row r="5201" spans="5:5">
      <c r="E5201" s="51"/>
    </row>
    <row r="5202" spans="5:5">
      <c r="E5202" s="51"/>
    </row>
    <row r="5203" spans="5:5">
      <c r="E5203" s="51"/>
    </row>
    <row r="5204" spans="5:5">
      <c r="E5204" s="51"/>
    </row>
    <row r="5205" spans="5:5">
      <c r="E5205" s="51"/>
    </row>
    <row r="5206" spans="5:5">
      <c r="E5206" s="51"/>
    </row>
    <row r="5207" spans="5:5">
      <c r="E5207" s="51"/>
    </row>
    <row r="5208" spans="5:5">
      <c r="E5208" s="51"/>
    </row>
    <row r="5209" spans="5:5">
      <c r="E5209" s="51"/>
    </row>
    <row r="5210" spans="5:5">
      <c r="E5210" s="51"/>
    </row>
    <row r="5211" spans="5:5">
      <c r="E5211" s="51"/>
    </row>
    <row r="5212" spans="5:5">
      <c r="E5212" s="51"/>
    </row>
    <row r="5213" spans="5:5">
      <c r="E5213" s="51"/>
    </row>
    <row r="5214" spans="5:5">
      <c r="E5214" s="51"/>
    </row>
    <row r="5215" spans="5:5">
      <c r="E5215" s="51"/>
    </row>
    <row r="5216" spans="5:5">
      <c r="E5216" s="51"/>
    </row>
    <row r="5217" spans="5:5">
      <c r="E5217" s="51"/>
    </row>
    <row r="5218" spans="5:5">
      <c r="E5218" s="51"/>
    </row>
    <row r="5219" spans="5:5">
      <c r="E5219" s="51"/>
    </row>
    <row r="5220" spans="5:5">
      <c r="E5220" s="51"/>
    </row>
    <row r="5221" spans="5:5">
      <c r="E5221" s="51"/>
    </row>
    <row r="5222" spans="5:5">
      <c r="E5222" s="51"/>
    </row>
    <row r="5223" spans="5:5">
      <c r="E5223" s="51"/>
    </row>
    <row r="5224" spans="5:5">
      <c r="E5224" s="51"/>
    </row>
    <row r="5225" spans="5:5">
      <c r="E5225" s="51"/>
    </row>
    <row r="5226" spans="5:5">
      <c r="E5226" s="51"/>
    </row>
    <row r="5227" spans="5:5">
      <c r="E5227" s="51"/>
    </row>
    <row r="5228" spans="5:5">
      <c r="E5228" s="51"/>
    </row>
    <row r="5229" spans="5:5">
      <c r="E5229" s="51"/>
    </row>
    <row r="5230" spans="5:5">
      <c r="E5230" s="51"/>
    </row>
    <row r="5231" spans="5:5">
      <c r="E5231" s="51"/>
    </row>
    <row r="5232" spans="5:5">
      <c r="E5232" s="51"/>
    </row>
    <row r="5233" spans="5:5">
      <c r="E5233" s="51"/>
    </row>
    <row r="5234" spans="5:5">
      <c r="E5234" s="51"/>
    </row>
    <row r="5235" spans="5:5">
      <c r="E5235" s="51"/>
    </row>
    <row r="5236" spans="5:5">
      <c r="E5236" s="51"/>
    </row>
    <row r="5237" spans="5:5">
      <c r="E5237" s="51"/>
    </row>
    <row r="5238" spans="5:5">
      <c r="E5238" s="51"/>
    </row>
    <row r="5239" spans="5:5">
      <c r="E5239" s="51"/>
    </row>
    <row r="5240" spans="5:5">
      <c r="E5240" s="51"/>
    </row>
    <row r="5241" spans="5:5">
      <c r="E5241" s="51"/>
    </row>
    <row r="5242" spans="5:5">
      <c r="E5242" s="51"/>
    </row>
    <row r="5243" spans="5:5">
      <c r="E5243" s="51"/>
    </row>
    <row r="5244" spans="5:5">
      <c r="E5244" s="51"/>
    </row>
    <row r="5245" spans="5:5">
      <c r="E5245" s="51"/>
    </row>
    <row r="5246" spans="5:5">
      <c r="E5246" s="51"/>
    </row>
    <row r="5247" spans="5:5">
      <c r="E5247" s="51"/>
    </row>
    <row r="5248" spans="5:5">
      <c r="E5248" s="51"/>
    </row>
    <row r="5249" spans="5:5">
      <c r="E5249" s="51"/>
    </row>
    <row r="5250" spans="5:5">
      <c r="E5250" s="51"/>
    </row>
    <row r="5251" spans="5:5">
      <c r="E5251" s="51"/>
    </row>
    <row r="5252" spans="5:5">
      <c r="E5252" s="51"/>
    </row>
    <row r="5253" spans="5:5">
      <c r="E5253" s="51"/>
    </row>
    <row r="5254" spans="5:5">
      <c r="E5254" s="51"/>
    </row>
    <row r="5255" spans="5:5">
      <c r="E5255" s="51"/>
    </row>
    <row r="5256" spans="5:5">
      <c r="E5256" s="51"/>
    </row>
    <row r="5257" spans="5:5">
      <c r="E5257" s="51"/>
    </row>
    <row r="5258" spans="5:5">
      <c r="E5258" s="51"/>
    </row>
    <row r="5259" spans="5:5">
      <c r="E5259" s="51"/>
    </row>
    <row r="5260" spans="5:5">
      <c r="E5260" s="51"/>
    </row>
    <row r="5261" spans="5:5">
      <c r="E5261" s="51"/>
    </row>
    <row r="5262" spans="5:5">
      <c r="E5262" s="51"/>
    </row>
    <row r="5263" spans="5:5">
      <c r="E5263" s="51"/>
    </row>
    <row r="5264" spans="5:5">
      <c r="E5264" s="51"/>
    </row>
    <row r="5265" spans="5:5">
      <c r="E5265" s="51"/>
    </row>
    <row r="5266" spans="5:5">
      <c r="E5266" s="51"/>
    </row>
    <row r="5267" spans="5:5">
      <c r="E5267" s="51"/>
    </row>
    <row r="5268" spans="5:5">
      <c r="E5268" s="51"/>
    </row>
    <row r="5269" spans="5:5">
      <c r="E5269" s="51"/>
    </row>
    <row r="5270" spans="5:5">
      <c r="E5270" s="51"/>
    </row>
    <row r="5271" spans="5:5">
      <c r="E5271" s="51"/>
    </row>
    <row r="5272" spans="5:5">
      <c r="E5272" s="51"/>
    </row>
    <row r="5273" spans="5:5">
      <c r="E5273" s="51"/>
    </row>
    <row r="5274" spans="5:5">
      <c r="E5274" s="51"/>
    </row>
    <row r="5275" spans="5:5">
      <c r="E5275" s="51"/>
    </row>
    <row r="5276" spans="5:5">
      <c r="E5276" s="51"/>
    </row>
    <row r="5277" spans="5:5">
      <c r="E5277" s="51"/>
    </row>
    <row r="5278" spans="5:5">
      <c r="E5278" s="51"/>
    </row>
    <row r="5279" spans="5:5">
      <c r="E5279" s="51"/>
    </row>
    <row r="5280" spans="5:5">
      <c r="E5280" s="51"/>
    </row>
    <row r="5281" spans="5:5">
      <c r="E5281" s="51"/>
    </row>
    <row r="5282" spans="5:5">
      <c r="E5282" s="51"/>
    </row>
    <row r="5283" spans="5:5">
      <c r="E5283" s="51"/>
    </row>
    <row r="5284" spans="5:5">
      <c r="E5284" s="51"/>
    </row>
    <row r="5285" spans="5:5">
      <c r="E5285" s="51"/>
    </row>
    <row r="5286" spans="5:5">
      <c r="E5286" s="51"/>
    </row>
    <row r="5287" spans="5:5">
      <c r="E5287" s="51"/>
    </row>
    <row r="5288" spans="5:5">
      <c r="E5288" s="51"/>
    </row>
    <row r="5289" spans="5:5">
      <c r="E5289" s="51"/>
    </row>
    <row r="5290" spans="5:5">
      <c r="E5290" s="51"/>
    </row>
    <row r="5291" spans="5:5">
      <c r="E5291" s="51"/>
    </row>
    <row r="5292" spans="5:5">
      <c r="E5292" s="51"/>
    </row>
    <row r="5293" spans="5:5">
      <c r="E5293" s="51"/>
    </row>
    <row r="5294" spans="5:5">
      <c r="E5294" s="51"/>
    </row>
    <row r="5295" spans="5:5">
      <c r="E5295" s="51"/>
    </row>
    <row r="5296" spans="5:5">
      <c r="E5296" s="51"/>
    </row>
    <row r="5297" spans="5:5">
      <c r="E5297" s="51"/>
    </row>
    <row r="5298" spans="5:5">
      <c r="E5298" s="51"/>
    </row>
    <row r="5299" spans="5:5">
      <c r="E5299" s="51"/>
    </row>
    <row r="5300" spans="5:5">
      <c r="E5300" s="51"/>
    </row>
    <row r="5301" spans="5:5">
      <c r="E5301" s="51"/>
    </row>
    <row r="5302" spans="5:5">
      <c r="E5302" s="51"/>
    </row>
    <row r="5303" spans="5:5">
      <c r="E5303" s="51"/>
    </row>
    <row r="5304" spans="5:5">
      <c r="E5304" s="51"/>
    </row>
    <row r="5305" spans="5:5">
      <c r="E5305" s="51"/>
    </row>
    <row r="5306" spans="5:5">
      <c r="E5306" s="51"/>
    </row>
    <row r="5307" spans="5:5">
      <c r="E5307" s="51"/>
    </row>
    <row r="5308" spans="5:5">
      <c r="E5308" s="51"/>
    </row>
    <row r="5309" spans="5:5">
      <c r="E5309" s="51"/>
    </row>
    <row r="5310" spans="5:5">
      <c r="E5310" s="51"/>
    </row>
    <row r="5311" spans="5:5">
      <c r="E5311" s="51"/>
    </row>
    <row r="5312" spans="5:5">
      <c r="E5312" s="51"/>
    </row>
    <row r="5313" spans="5:5">
      <c r="E5313" s="51"/>
    </row>
    <row r="5314" spans="5:5">
      <c r="E5314" s="51"/>
    </row>
    <row r="5315" spans="5:5">
      <c r="E5315" s="51"/>
    </row>
    <row r="5316" spans="5:5">
      <c r="E5316" s="51"/>
    </row>
    <row r="5317" spans="5:5">
      <c r="E5317" s="51"/>
    </row>
    <row r="5318" spans="5:5">
      <c r="E5318" s="51"/>
    </row>
    <row r="5319" spans="5:5">
      <c r="E5319" s="51"/>
    </row>
    <row r="5320" spans="5:5">
      <c r="E5320" s="51"/>
    </row>
    <row r="5321" spans="5:5">
      <c r="E5321" s="51"/>
    </row>
    <row r="5322" spans="5:5">
      <c r="E5322" s="51"/>
    </row>
    <row r="5323" spans="5:5">
      <c r="E5323" s="51"/>
    </row>
    <row r="5324" spans="5:5">
      <c r="E5324" s="51"/>
    </row>
    <row r="5325" spans="5:5">
      <c r="E5325" s="51"/>
    </row>
    <row r="5326" spans="5:5">
      <c r="E5326" s="51"/>
    </row>
    <row r="5327" spans="5:5">
      <c r="E5327" s="51"/>
    </row>
    <row r="5328" spans="5:5">
      <c r="E5328" s="51"/>
    </row>
    <row r="5329" spans="5:5">
      <c r="E5329" s="51"/>
    </row>
    <row r="5330" spans="5:5">
      <c r="E5330" s="51"/>
    </row>
    <row r="5331" spans="5:5">
      <c r="E5331" s="51"/>
    </row>
    <row r="5332" spans="5:5">
      <c r="E5332" s="51"/>
    </row>
    <row r="5333" spans="5:5">
      <c r="E5333" s="51"/>
    </row>
    <row r="5334" spans="5:5">
      <c r="E5334" s="51"/>
    </row>
    <row r="5335" spans="5:5">
      <c r="E5335" s="51"/>
    </row>
    <row r="5336" spans="5:5">
      <c r="E5336" s="51"/>
    </row>
    <row r="5337" spans="5:5">
      <c r="E5337" s="51"/>
    </row>
    <row r="5338" spans="5:5">
      <c r="E5338" s="51"/>
    </row>
    <row r="5339" spans="5:5">
      <c r="E5339" s="51"/>
    </row>
    <row r="5340" spans="5:5">
      <c r="E5340" s="51"/>
    </row>
    <row r="5341" spans="5:5">
      <c r="E5341" s="51"/>
    </row>
    <row r="5342" spans="5:5">
      <c r="E5342" s="51"/>
    </row>
    <row r="5343" spans="5:5">
      <c r="E5343" s="51"/>
    </row>
    <row r="5344" spans="5:5">
      <c r="E5344" s="51"/>
    </row>
    <row r="5345" spans="5:5">
      <c r="E5345" s="51"/>
    </row>
    <row r="5346" spans="5:5">
      <c r="E5346" s="51"/>
    </row>
    <row r="5347" spans="5:5">
      <c r="E5347" s="51"/>
    </row>
    <row r="5348" spans="5:5">
      <c r="E5348" s="51"/>
    </row>
    <row r="5349" spans="5:5">
      <c r="E5349" s="51"/>
    </row>
    <row r="5350" spans="5:5">
      <c r="E5350" s="51"/>
    </row>
    <row r="5351" spans="5:5">
      <c r="E5351" s="51"/>
    </row>
    <row r="5352" spans="5:5">
      <c r="E5352" s="51"/>
    </row>
    <row r="5353" spans="5:5">
      <c r="E5353" s="51"/>
    </row>
    <row r="5354" spans="5:5">
      <c r="E5354" s="51"/>
    </row>
    <row r="5355" spans="5:5">
      <c r="E5355" s="51"/>
    </row>
    <row r="5356" spans="5:5">
      <c r="E5356" s="51"/>
    </row>
    <row r="5357" spans="5:5">
      <c r="E5357" s="51"/>
    </row>
    <row r="5358" spans="5:5">
      <c r="E5358" s="51"/>
    </row>
    <row r="5359" spans="5:5">
      <c r="E5359" s="51"/>
    </row>
    <row r="5360" spans="5:5">
      <c r="E5360" s="51"/>
    </row>
    <row r="5361" spans="5:5">
      <c r="E5361" s="51"/>
    </row>
    <row r="5362" spans="5:5">
      <c r="E5362" s="51"/>
    </row>
    <row r="5363" spans="5:5">
      <c r="E5363" s="51"/>
    </row>
    <row r="5364" spans="5:5">
      <c r="E5364" s="51"/>
    </row>
    <row r="5365" spans="5:5">
      <c r="E5365" s="51"/>
    </row>
    <row r="5366" spans="5:5">
      <c r="E5366" s="51"/>
    </row>
    <row r="5367" spans="5:5">
      <c r="E5367" s="51"/>
    </row>
    <row r="5368" spans="5:5">
      <c r="E5368" s="51"/>
    </row>
    <row r="5369" spans="5:5">
      <c r="E5369" s="51"/>
    </row>
    <row r="5370" spans="5:5">
      <c r="E5370" s="51"/>
    </row>
    <row r="5371" spans="5:5">
      <c r="E5371" s="51"/>
    </row>
    <row r="5372" spans="5:5">
      <c r="E5372" s="51"/>
    </row>
    <row r="5373" spans="5:5">
      <c r="E5373" s="51"/>
    </row>
    <row r="5374" spans="5:5">
      <c r="E5374" s="51"/>
    </row>
    <row r="5375" spans="5:5">
      <c r="E5375" s="51"/>
    </row>
    <row r="5376" spans="5:5">
      <c r="E5376" s="51"/>
    </row>
    <row r="5377" spans="5:5">
      <c r="E5377" s="51"/>
    </row>
    <row r="5378" spans="5:5">
      <c r="E5378" s="51"/>
    </row>
    <row r="5379" spans="5:5">
      <c r="E5379" s="51"/>
    </row>
    <row r="5380" spans="5:5">
      <c r="E5380" s="51"/>
    </row>
    <row r="5381" spans="5:5">
      <c r="E5381" s="51"/>
    </row>
    <row r="5382" spans="5:5">
      <c r="E5382" s="51"/>
    </row>
    <row r="5383" spans="5:5">
      <c r="E5383" s="51"/>
    </row>
    <row r="5384" spans="5:5">
      <c r="E5384" s="51"/>
    </row>
    <row r="5385" spans="5:5">
      <c r="E5385" s="51"/>
    </row>
    <row r="5386" spans="5:5">
      <c r="E5386" s="51"/>
    </row>
    <row r="5387" spans="5:5">
      <c r="E5387" s="51"/>
    </row>
    <row r="5388" spans="5:5">
      <c r="E5388" s="51"/>
    </row>
    <row r="5389" spans="5:5">
      <c r="E5389" s="51"/>
    </row>
    <row r="5390" spans="5:5">
      <c r="E5390" s="51"/>
    </row>
    <row r="5391" spans="5:5">
      <c r="E5391" s="51"/>
    </row>
    <row r="5392" spans="5:5">
      <c r="E5392" s="51"/>
    </row>
    <row r="5393" spans="5:5">
      <c r="E5393" s="51"/>
    </row>
    <row r="5394" spans="5:5">
      <c r="E5394" s="51"/>
    </row>
    <row r="5395" spans="5:5">
      <c r="E5395" s="51"/>
    </row>
    <row r="5396" spans="5:5">
      <c r="E5396" s="51"/>
    </row>
    <row r="5397" spans="5:5">
      <c r="E5397" s="51"/>
    </row>
    <row r="5398" spans="5:5">
      <c r="E5398" s="51"/>
    </row>
    <row r="5399" spans="5:5">
      <c r="E5399" s="51"/>
    </row>
    <row r="5400" spans="5:5">
      <c r="E5400" s="51"/>
    </row>
    <row r="5401" spans="5:5">
      <c r="E5401" s="51"/>
    </row>
    <row r="5402" spans="5:5">
      <c r="E5402" s="51"/>
    </row>
    <row r="5403" spans="5:5">
      <c r="E5403" s="51"/>
    </row>
    <row r="5404" spans="5:5">
      <c r="E5404" s="51"/>
    </row>
    <row r="5405" spans="5:5">
      <c r="E5405" s="51"/>
    </row>
    <row r="5406" spans="5:5">
      <c r="E5406" s="51"/>
    </row>
    <row r="5407" spans="5:5">
      <c r="E5407" s="51"/>
    </row>
    <row r="5408" spans="5:5">
      <c r="E5408" s="51"/>
    </row>
    <row r="5409" spans="5:5">
      <c r="E5409" s="51"/>
    </row>
    <row r="5410" spans="5:5">
      <c r="E5410" s="51"/>
    </row>
    <row r="5411" spans="5:5">
      <c r="E5411" s="51"/>
    </row>
    <row r="5412" spans="5:5">
      <c r="E5412" s="51"/>
    </row>
    <row r="5413" spans="5:5">
      <c r="E5413" s="51"/>
    </row>
    <row r="5414" spans="5:5">
      <c r="E5414" s="51"/>
    </row>
    <row r="5415" spans="5:5">
      <c r="E5415" s="51"/>
    </row>
    <row r="5416" spans="5:5">
      <c r="E5416" s="51"/>
    </row>
    <row r="5417" spans="5:5">
      <c r="E5417" s="51"/>
    </row>
    <row r="5418" spans="5:5">
      <c r="E5418" s="51"/>
    </row>
    <row r="5419" spans="5:5">
      <c r="E5419" s="51"/>
    </row>
    <row r="5420" spans="5:5">
      <c r="E5420" s="51"/>
    </row>
    <row r="5421" spans="5:5">
      <c r="E5421" s="51"/>
    </row>
    <row r="5422" spans="5:5">
      <c r="E5422" s="51"/>
    </row>
    <row r="5423" spans="5:5">
      <c r="E5423" s="51"/>
    </row>
    <row r="5424" spans="5:5">
      <c r="E5424" s="51"/>
    </row>
    <row r="5425" spans="5:5">
      <c r="E5425" s="51"/>
    </row>
    <row r="5426" spans="5:5">
      <c r="E5426" s="51"/>
    </row>
    <row r="5427" spans="5:5">
      <c r="E5427" s="51"/>
    </row>
    <row r="5428" spans="5:5">
      <c r="E5428" s="51"/>
    </row>
    <row r="5429" spans="5:5">
      <c r="E5429" s="51"/>
    </row>
    <row r="5430" spans="5:5">
      <c r="E5430" s="51"/>
    </row>
    <row r="5431" spans="5:5">
      <c r="E5431" s="51"/>
    </row>
    <row r="5432" spans="5:5">
      <c r="E5432" s="51"/>
    </row>
    <row r="5433" spans="5:5">
      <c r="E5433" s="51"/>
    </row>
    <row r="5434" spans="5:5">
      <c r="E5434" s="51"/>
    </row>
    <row r="5435" spans="5:5">
      <c r="E5435" s="51"/>
    </row>
    <row r="5436" spans="5:5">
      <c r="E5436" s="51"/>
    </row>
    <row r="5437" spans="5:5">
      <c r="E5437" s="51"/>
    </row>
    <row r="5438" spans="5:5">
      <c r="E5438" s="51"/>
    </row>
    <row r="5439" spans="5:5">
      <c r="E5439" s="51"/>
    </row>
    <row r="5440" spans="5:5">
      <c r="E5440" s="51"/>
    </row>
    <row r="5441" spans="5:5">
      <c r="E5441" s="51"/>
    </row>
    <row r="5442" spans="5:5">
      <c r="E5442" s="51"/>
    </row>
    <row r="5443" spans="5:5">
      <c r="E5443" s="51"/>
    </row>
    <row r="5444" spans="5:5">
      <c r="E5444" s="51"/>
    </row>
    <row r="5445" spans="5:5">
      <c r="E5445" s="51"/>
    </row>
    <row r="5446" spans="5:5">
      <c r="E5446" s="51"/>
    </row>
    <row r="5447" spans="5:5">
      <c r="E5447" s="51"/>
    </row>
    <row r="5448" spans="5:5">
      <c r="E5448" s="51"/>
    </row>
    <row r="5449" spans="5:5">
      <c r="E5449" s="51"/>
    </row>
    <row r="5450" spans="5:5">
      <c r="E5450" s="51"/>
    </row>
    <row r="5451" spans="5:5">
      <c r="E5451" s="51"/>
    </row>
    <row r="5452" spans="5:5">
      <c r="E5452" s="51"/>
    </row>
    <row r="5453" spans="5:5">
      <c r="E5453" s="51"/>
    </row>
    <row r="5454" spans="5:5">
      <c r="E5454" s="51"/>
    </row>
    <row r="5455" spans="5:5">
      <c r="E5455" s="51"/>
    </row>
    <row r="5456" spans="5:5">
      <c r="E5456" s="51"/>
    </row>
    <row r="5457" spans="5:5">
      <c r="E5457" s="51"/>
    </row>
    <row r="5458" spans="5:5">
      <c r="E5458" s="51"/>
    </row>
    <row r="5459" spans="5:5">
      <c r="E5459" s="51"/>
    </row>
    <row r="5460" spans="5:5">
      <c r="E5460" s="51"/>
    </row>
    <row r="5461" spans="5:5">
      <c r="E5461" s="51"/>
    </row>
    <row r="5462" spans="5:5">
      <c r="E5462" s="51"/>
    </row>
    <row r="5463" spans="5:5">
      <c r="E5463" s="51"/>
    </row>
    <row r="5464" spans="5:5">
      <c r="E5464" s="51"/>
    </row>
    <row r="5465" spans="5:5">
      <c r="E5465" s="51"/>
    </row>
    <row r="5466" spans="5:5">
      <c r="E5466" s="51"/>
    </row>
    <row r="5467" spans="5:5">
      <c r="E5467" s="51"/>
    </row>
    <row r="5468" spans="5:5">
      <c r="E5468" s="51"/>
    </row>
    <row r="5469" spans="5:5">
      <c r="E5469" s="51"/>
    </row>
    <row r="5470" spans="5:5">
      <c r="E5470" s="51"/>
    </row>
    <row r="5471" spans="5:5">
      <c r="E5471" s="51"/>
    </row>
    <row r="5472" spans="5:5">
      <c r="E5472" s="51"/>
    </row>
    <row r="5473" spans="5:5">
      <c r="E5473" s="51"/>
    </row>
    <row r="5474" spans="5:5">
      <c r="E5474" s="51"/>
    </row>
    <row r="5475" spans="5:5">
      <c r="E5475" s="51"/>
    </row>
    <row r="5476" spans="5:5">
      <c r="E5476" s="51"/>
    </row>
    <row r="5477" spans="5:5">
      <c r="E5477" s="51"/>
    </row>
    <row r="5478" spans="5:5">
      <c r="E5478" s="51"/>
    </row>
    <row r="5479" spans="5:5">
      <c r="E5479" s="51"/>
    </row>
    <row r="5480" spans="5:5">
      <c r="E5480" s="51"/>
    </row>
    <row r="5481" spans="5:5">
      <c r="E5481" s="51"/>
    </row>
    <row r="5482" spans="5:5">
      <c r="E5482" s="51"/>
    </row>
    <row r="5483" spans="5:5">
      <c r="E5483" s="51"/>
    </row>
    <row r="5484" spans="5:5">
      <c r="E5484" s="51"/>
    </row>
    <row r="5485" spans="5:5">
      <c r="E5485" s="51"/>
    </row>
    <row r="5486" spans="5:5">
      <c r="E5486" s="51"/>
    </row>
    <row r="5487" spans="5:5">
      <c r="E5487" s="51"/>
    </row>
    <row r="5488" spans="5:5">
      <c r="E5488" s="51"/>
    </row>
    <row r="5489" spans="5:5">
      <c r="E5489" s="51"/>
    </row>
    <row r="5490" spans="5:5">
      <c r="E5490" s="51"/>
    </row>
    <row r="5491" spans="5:5">
      <c r="E5491" s="51"/>
    </row>
    <row r="5492" spans="5:5">
      <c r="E5492" s="51"/>
    </row>
    <row r="5493" spans="5:5">
      <c r="E5493" s="51"/>
    </row>
    <row r="5494" spans="5:5">
      <c r="E5494" s="51"/>
    </row>
    <row r="5495" spans="5:5">
      <c r="E5495" s="51"/>
    </row>
    <row r="5496" spans="5:5">
      <c r="E5496" s="51"/>
    </row>
    <row r="5497" spans="5:5">
      <c r="E5497" s="51"/>
    </row>
    <row r="5498" spans="5:5">
      <c r="E5498" s="51"/>
    </row>
    <row r="5499" spans="5:5">
      <c r="E5499" s="51"/>
    </row>
    <row r="5500" spans="5:5">
      <c r="E5500" s="51"/>
    </row>
    <row r="5501" spans="5:5">
      <c r="E5501" s="51"/>
    </row>
    <row r="5502" spans="5:5">
      <c r="E5502" s="51"/>
    </row>
    <row r="5503" spans="5:5">
      <c r="E5503" s="51"/>
    </row>
    <row r="5504" spans="5:5">
      <c r="E5504" s="51"/>
    </row>
    <row r="5505" spans="5:5">
      <c r="E5505" s="51"/>
    </row>
    <row r="5506" spans="5:5">
      <c r="E5506" s="51"/>
    </row>
    <row r="5507" spans="5:5">
      <c r="E5507" s="51"/>
    </row>
    <row r="5508" spans="5:5">
      <c r="E5508" s="51"/>
    </row>
    <row r="5509" spans="5:5">
      <c r="E5509" s="51"/>
    </row>
    <row r="5510" spans="5:5">
      <c r="E5510" s="51"/>
    </row>
    <row r="5511" spans="5:5">
      <c r="E5511" s="51"/>
    </row>
    <row r="5512" spans="5:5">
      <c r="E5512" s="51"/>
    </row>
    <row r="5513" spans="5:5">
      <c r="E5513" s="51"/>
    </row>
    <row r="5514" spans="5:5">
      <c r="E5514" s="51"/>
    </row>
    <row r="5515" spans="5:5">
      <c r="E5515" s="51"/>
    </row>
    <row r="5516" spans="5:5">
      <c r="E5516" s="51"/>
    </row>
    <row r="5517" spans="5:5">
      <c r="E5517" s="51"/>
    </row>
    <row r="5518" spans="5:5">
      <c r="E5518" s="51"/>
    </row>
    <row r="5519" spans="5:5">
      <c r="E5519" s="51"/>
    </row>
    <row r="5520" spans="5:5">
      <c r="E5520" s="51"/>
    </row>
    <row r="5521" spans="5:5">
      <c r="E5521" s="51"/>
    </row>
    <row r="5522" spans="5:5">
      <c r="E5522" s="51"/>
    </row>
    <row r="5523" spans="5:5">
      <c r="E5523" s="51"/>
    </row>
    <row r="5524" spans="5:5">
      <c r="E5524" s="51"/>
    </row>
    <row r="5525" spans="5:5">
      <c r="E5525" s="51"/>
    </row>
    <row r="5526" spans="5:5">
      <c r="E5526" s="51"/>
    </row>
    <row r="5527" spans="5:5">
      <c r="E5527" s="51"/>
    </row>
    <row r="5528" spans="5:5">
      <c r="E5528" s="51"/>
    </row>
    <row r="5529" spans="5:5">
      <c r="E5529" s="51"/>
    </row>
    <row r="5530" spans="5:5">
      <c r="E5530" s="51"/>
    </row>
    <row r="5531" spans="5:5">
      <c r="E5531" s="51"/>
    </row>
    <row r="5532" spans="5:5">
      <c r="E5532" s="51"/>
    </row>
    <row r="5533" spans="5:5">
      <c r="E5533" s="51"/>
    </row>
    <row r="5534" spans="5:5">
      <c r="E5534" s="51"/>
    </row>
    <row r="5535" spans="5:5">
      <c r="E5535" s="51"/>
    </row>
    <row r="5536" spans="5:5">
      <c r="E5536" s="51"/>
    </row>
    <row r="5537" spans="5:5">
      <c r="E5537" s="51"/>
    </row>
    <row r="5538" spans="5:5">
      <c r="E5538" s="51"/>
    </row>
    <row r="5539" spans="5:5">
      <c r="E5539" s="51"/>
    </row>
    <row r="5540" spans="5:5">
      <c r="E5540" s="51"/>
    </row>
    <row r="5541" spans="5:5">
      <c r="E5541" s="51"/>
    </row>
    <row r="5542" spans="5:5">
      <c r="E5542" s="51"/>
    </row>
    <row r="5543" spans="5:5">
      <c r="E5543" s="51"/>
    </row>
    <row r="5544" spans="5:5">
      <c r="E5544" s="51"/>
    </row>
    <row r="5545" spans="5:5">
      <c r="E5545" s="51"/>
    </row>
    <row r="5546" spans="5:5">
      <c r="E5546" s="51"/>
    </row>
    <row r="5547" spans="5:5">
      <c r="E5547" s="51"/>
    </row>
    <row r="5548" spans="5:5">
      <c r="E5548" s="51"/>
    </row>
    <row r="5549" spans="5:5">
      <c r="E5549" s="51"/>
    </row>
    <row r="5550" spans="5:5">
      <c r="E5550" s="51"/>
    </row>
    <row r="5551" spans="5:5">
      <c r="E5551" s="51"/>
    </row>
    <row r="5552" spans="5:5">
      <c r="E5552" s="51"/>
    </row>
    <row r="5553" spans="5:5">
      <c r="E5553" s="51"/>
    </row>
    <row r="5554" spans="5:5">
      <c r="E5554" s="51"/>
    </row>
    <row r="5555" spans="5:5">
      <c r="E5555" s="51"/>
    </row>
    <row r="5556" spans="5:5">
      <c r="E5556" s="51"/>
    </row>
    <row r="5557" spans="5:5">
      <c r="E5557" s="51"/>
    </row>
    <row r="5558" spans="5:5">
      <c r="E5558" s="51"/>
    </row>
    <row r="5559" spans="5:5">
      <c r="E5559" s="51"/>
    </row>
    <row r="5560" spans="5:5">
      <c r="E5560" s="51"/>
    </row>
    <row r="5561" spans="5:5">
      <c r="E5561" s="51"/>
    </row>
    <row r="5562" spans="5:5">
      <c r="E5562" s="51"/>
    </row>
    <row r="5563" spans="5:5">
      <c r="E5563" s="51"/>
    </row>
    <row r="5564" spans="5:5">
      <c r="E5564" s="51"/>
    </row>
    <row r="5565" spans="5:5">
      <c r="E5565" s="51"/>
    </row>
    <row r="5566" spans="5:5">
      <c r="E5566" s="51"/>
    </row>
    <row r="5567" spans="5:5">
      <c r="E5567" s="51"/>
    </row>
    <row r="5568" spans="5:5">
      <c r="E5568" s="51"/>
    </row>
    <row r="5569" spans="5:5">
      <c r="E5569" s="51"/>
    </row>
    <row r="5570" spans="5:5">
      <c r="E5570" s="51"/>
    </row>
    <row r="5571" spans="5:5">
      <c r="E5571" s="51"/>
    </row>
    <row r="5572" spans="5:5">
      <c r="E5572" s="51"/>
    </row>
    <row r="5573" spans="5:5">
      <c r="E5573" s="51"/>
    </row>
    <row r="5574" spans="5:5">
      <c r="E5574" s="51"/>
    </row>
    <row r="5575" spans="5:5">
      <c r="E5575" s="51"/>
    </row>
    <row r="5576" spans="5:5">
      <c r="E5576" s="51"/>
    </row>
    <row r="5577" spans="5:5">
      <c r="E5577" s="51"/>
    </row>
    <row r="5578" spans="5:5">
      <c r="E5578" s="51"/>
    </row>
    <row r="5579" spans="5:5">
      <c r="E5579" s="51"/>
    </row>
    <row r="5580" spans="5:5">
      <c r="E5580" s="51"/>
    </row>
    <row r="5581" spans="5:5">
      <c r="E5581" s="51"/>
    </row>
    <row r="5582" spans="5:5">
      <c r="E5582" s="51"/>
    </row>
    <row r="5583" spans="5:5">
      <c r="E5583" s="51"/>
    </row>
    <row r="5584" spans="5:5">
      <c r="E5584" s="51"/>
    </row>
    <row r="5585" spans="5:5">
      <c r="E5585" s="51"/>
    </row>
    <row r="5586" spans="5:5">
      <c r="E5586" s="51"/>
    </row>
    <row r="5587" spans="5:5">
      <c r="E5587" s="51"/>
    </row>
    <row r="5588" spans="5:5">
      <c r="E5588" s="51"/>
    </row>
    <row r="5589" spans="5:5">
      <c r="E5589" s="51"/>
    </row>
    <row r="5590" spans="5:5">
      <c r="E5590" s="51"/>
    </row>
    <row r="5591" spans="5:5">
      <c r="E5591" s="51"/>
    </row>
    <row r="5592" spans="5:5">
      <c r="E5592" s="51"/>
    </row>
    <row r="5593" spans="5:5">
      <c r="E5593" s="51"/>
    </row>
    <row r="5594" spans="5:5">
      <c r="E5594" s="51"/>
    </row>
    <row r="5595" spans="5:5">
      <c r="E5595" s="51"/>
    </row>
    <row r="5596" spans="5:5">
      <c r="E5596" s="51"/>
    </row>
    <row r="5597" spans="5:5">
      <c r="E5597" s="51"/>
    </row>
    <row r="5598" spans="5:5">
      <c r="E5598" s="51"/>
    </row>
    <row r="5599" spans="5:5">
      <c r="E5599" s="51"/>
    </row>
    <row r="5600" spans="5:5">
      <c r="E5600" s="51"/>
    </row>
    <row r="5601" spans="5:5">
      <c r="E5601" s="51"/>
    </row>
    <row r="5602" spans="5:5">
      <c r="E5602" s="51"/>
    </row>
    <row r="5603" spans="5:5">
      <c r="E5603" s="51"/>
    </row>
    <row r="5604" spans="5:5">
      <c r="E5604" s="51"/>
    </row>
    <row r="5605" spans="5:5">
      <c r="E5605" s="51"/>
    </row>
    <row r="5606" spans="5:5">
      <c r="E5606" s="51"/>
    </row>
    <row r="5607" spans="5:5">
      <c r="E5607" s="51"/>
    </row>
    <row r="5608" spans="5:5">
      <c r="E5608" s="51"/>
    </row>
    <row r="5609" spans="5:5">
      <c r="E5609" s="51"/>
    </row>
    <row r="5610" spans="5:5">
      <c r="E5610" s="51"/>
    </row>
    <row r="5611" spans="5:5">
      <c r="E5611" s="51"/>
    </row>
    <row r="5612" spans="5:5">
      <c r="E5612" s="51"/>
    </row>
    <row r="5613" spans="5:5">
      <c r="E5613" s="51"/>
    </row>
    <row r="5614" spans="5:5">
      <c r="E5614" s="51"/>
    </row>
    <row r="5615" spans="5:5">
      <c r="E5615" s="51"/>
    </row>
    <row r="5616" spans="5:5">
      <c r="E5616" s="51"/>
    </row>
    <row r="5617" spans="5:5">
      <c r="E5617" s="51"/>
    </row>
    <row r="5618" spans="5:5">
      <c r="E5618" s="51"/>
    </row>
    <row r="5619" spans="5:5">
      <c r="E5619" s="51"/>
    </row>
    <row r="5620" spans="5:5">
      <c r="E5620" s="51"/>
    </row>
    <row r="5621" spans="5:5">
      <c r="E5621" s="51"/>
    </row>
    <row r="5622" spans="5:5">
      <c r="E5622" s="51"/>
    </row>
    <row r="5623" spans="5:5">
      <c r="E5623" s="51"/>
    </row>
    <row r="5624" spans="5:5">
      <c r="E5624" s="51"/>
    </row>
    <row r="5625" spans="5:5">
      <c r="E5625" s="51"/>
    </row>
    <row r="5626" spans="5:5">
      <c r="E5626" s="51"/>
    </row>
    <row r="5627" spans="5:5">
      <c r="E5627" s="51"/>
    </row>
    <row r="5628" spans="5:5">
      <c r="E5628" s="51"/>
    </row>
    <row r="5629" spans="5:5">
      <c r="E5629" s="51"/>
    </row>
    <row r="5630" spans="5:5">
      <c r="E5630" s="51"/>
    </row>
    <row r="5631" spans="5:5">
      <c r="E5631" s="51"/>
    </row>
    <row r="5632" spans="5:5">
      <c r="E5632" s="51"/>
    </row>
    <row r="5633" spans="5:5">
      <c r="E5633" s="51"/>
    </row>
    <row r="5634" spans="5:5">
      <c r="E5634" s="51"/>
    </row>
    <row r="5635" spans="5:5">
      <c r="E5635" s="51"/>
    </row>
    <row r="5636" spans="5:5">
      <c r="E5636" s="51"/>
    </row>
    <row r="5637" spans="5:5">
      <c r="E5637" s="51"/>
    </row>
    <row r="5638" spans="5:5">
      <c r="E5638" s="51"/>
    </row>
    <row r="5639" spans="5:5">
      <c r="E5639" s="51"/>
    </row>
    <row r="5640" spans="5:5">
      <c r="E5640" s="51"/>
    </row>
    <row r="5641" spans="5:5">
      <c r="E5641" s="51"/>
    </row>
    <row r="5642" spans="5:5">
      <c r="E5642" s="51"/>
    </row>
    <row r="5643" spans="5:5">
      <c r="E5643" s="51"/>
    </row>
    <row r="5644" spans="5:5">
      <c r="E5644" s="51"/>
    </row>
    <row r="5645" spans="5:5">
      <c r="E5645" s="51"/>
    </row>
    <row r="5646" spans="5:5">
      <c r="E5646" s="51"/>
    </row>
    <row r="5647" spans="5:5">
      <c r="E5647" s="51"/>
    </row>
    <row r="5648" spans="5:5">
      <c r="E5648" s="51"/>
    </row>
    <row r="5649" spans="5:5">
      <c r="E5649" s="51"/>
    </row>
    <row r="5650" spans="5:5">
      <c r="E5650" s="51"/>
    </row>
    <row r="5651" spans="5:5">
      <c r="E5651" s="51"/>
    </row>
    <row r="5652" spans="5:5">
      <c r="E5652" s="51"/>
    </row>
    <row r="5653" spans="5:5">
      <c r="E5653" s="51"/>
    </row>
    <row r="5654" spans="5:5">
      <c r="E5654" s="51"/>
    </row>
    <row r="5655" spans="5:5">
      <c r="E5655" s="51"/>
    </row>
    <row r="5656" spans="5:5">
      <c r="E5656" s="51"/>
    </row>
    <row r="5657" spans="5:5">
      <c r="E5657" s="51"/>
    </row>
    <row r="5658" spans="5:5">
      <c r="E5658" s="51"/>
    </row>
    <row r="5659" spans="5:5">
      <c r="E5659" s="51"/>
    </row>
    <row r="5660" spans="5:5">
      <c r="E5660" s="51"/>
    </row>
    <row r="5661" spans="5:5">
      <c r="E5661" s="51"/>
    </row>
    <row r="5662" spans="5:5">
      <c r="E5662" s="51"/>
    </row>
    <row r="5663" spans="5:5">
      <c r="E5663" s="51"/>
    </row>
    <row r="5664" spans="5:5">
      <c r="E5664" s="51"/>
    </row>
    <row r="5665" spans="5:5">
      <c r="E5665" s="51"/>
    </row>
    <row r="5666" spans="5:5">
      <c r="E5666" s="51"/>
    </row>
    <row r="5667" spans="5:5">
      <c r="E5667" s="51"/>
    </row>
    <row r="5668" spans="5:5">
      <c r="E5668" s="51"/>
    </row>
    <row r="5669" spans="5:5">
      <c r="E5669" s="51"/>
    </row>
    <row r="5670" spans="5:5">
      <c r="E5670" s="51"/>
    </row>
    <row r="5671" spans="5:5">
      <c r="E5671" s="51"/>
    </row>
    <row r="5672" spans="5:5">
      <c r="E5672" s="51"/>
    </row>
    <row r="5673" spans="5:5">
      <c r="E5673" s="51"/>
    </row>
    <row r="5674" spans="5:5">
      <c r="E5674" s="51"/>
    </row>
    <row r="5675" spans="5:5">
      <c r="E5675" s="51"/>
    </row>
    <row r="5676" spans="5:5">
      <c r="E5676" s="51"/>
    </row>
    <row r="5677" spans="5:5">
      <c r="E5677" s="51"/>
    </row>
    <row r="5678" spans="5:5">
      <c r="E5678" s="51"/>
    </row>
    <row r="5679" spans="5:5">
      <c r="E5679" s="51"/>
    </row>
    <row r="5680" spans="5:5">
      <c r="E5680" s="51"/>
    </row>
    <row r="5681" spans="5:5">
      <c r="E5681" s="51"/>
    </row>
    <row r="5682" spans="5:5">
      <c r="E5682" s="51"/>
    </row>
    <row r="5683" spans="5:5">
      <c r="E5683" s="51"/>
    </row>
    <row r="5684" spans="5:5">
      <c r="E5684" s="51"/>
    </row>
    <row r="5685" spans="5:5">
      <c r="E5685" s="51"/>
    </row>
    <row r="5686" spans="5:5">
      <c r="E5686" s="51"/>
    </row>
    <row r="5687" spans="5:5">
      <c r="E5687" s="51"/>
    </row>
    <row r="5688" spans="5:5">
      <c r="E5688" s="51"/>
    </row>
    <row r="5689" spans="5:5">
      <c r="E5689" s="51"/>
    </row>
    <row r="5690" spans="5:5">
      <c r="E5690" s="51"/>
    </row>
    <row r="5691" spans="5:5">
      <c r="E5691" s="51"/>
    </row>
    <row r="5692" spans="5:5">
      <c r="E5692" s="51"/>
    </row>
    <row r="5693" spans="5:5">
      <c r="E5693" s="51"/>
    </row>
    <row r="5694" spans="5:5">
      <c r="E5694" s="51"/>
    </row>
    <row r="5695" spans="5:5">
      <c r="E5695" s="51"/>
    </row>
    <row r="5696" spans="5:5">
      <c r="E5696" s="51"/>
    </row>
    <row r="5697" spans="5:5">
      <c r="E5697" s="51"/>
    </row>
    <row r="5698" spans="5:5">
      <c r="E5698" s="51"/>
    </row>
    <row r="5699" spans="5:5">
      <c r="E5699" s="51"/>
    </row>
    <row r="5700" spans="5:5">
      <c r="E5700" s="51"/>
    </row>
    <row r="5701" spans="5:5">
      <c r="E5701" s="51"/>
    </row>
    <row r="5702" spans="5:5">
      <c r="E5702" s="51"/>
    </row>
    <row r="5703" spans="5:5">
      <c r="E5703" s="51"/>
    </row>
    <row r="5704" spans="5:5">
      <c r="E5704" s="51"/>
    </row>
    <row r="5705" spans="5:5">
      <c r="E5705" s="51"/>
    </row>
    <row r="5706" spans="5:5">
      <c r="E5706" s="51"/>
    </row>
    <row r="5707" spans="5:5">
      <c r="E5707" s="51"/>
    </row>
    <row r="5708" spans="5:5">
      <c r="E5708" s="51"/>
    </row>
    <row r="5709" spans="5:5">
      <c r="E5709" s="51"/>
    </row>
    <row r="5710" spans="5:5">
      <c r="E5710" s="51"/>
    </row>
    <row r="5711" spans="5:5">
      <c r="E5711" s="51"/>
    </row>
    <row r="5712" spans="5:5">
      <c r="E5712" s="51"/>
    </row>
    <row r="5713" spans="5:5">
      <c r="E5713" s="51"/>
    </row>
    <row r="5714" spans="5:5">
      <c r="E5714" s="51"/>
    </row>
    <row r="5715" spans="5:5">
      <c r="E5715" s="51"/>
    </row>
    <row r="5716" spans="5:5">
      <c r="E5716" s="51"/>
    </row>
    <row r="5717" spans="5:5">
      <c r="E5717" s="51"/>
    </row>
    <row r="5718" spans="5:5">
      <c r="E5718" s="51"/>
    </row>
    <row r="5719" spans="5:5">
      <c r="E5719" s="51"/>
    </row>
    <row r="5720" spans="5:5">
      <c r="E5720" s="51"/>
    </row>
    <row r="5721" spans="5:5">
      <c r="E5721" s="51"/>
    </row>
    <row r="5722" spans="5:5">
      <c r="E5722" s="51"/>
    </row>
    <row r="5723" spans="5:5">
      <c r="E5723" s="51"/>
    </row>
    <row r="5724" spans="5:5">
      <c r="E5724" s="51"/>
    </row>
    <row r="5725" spans="5:5">
      <c r="E5725" s="51"/>
    </row>
    <row r="5726" spans="5:5">
      <c r="E5726" s="51"/>
    </row>
    <row r="5727" spans="5:5">
      <c r="E5727" s="51"/>
    </row>
    <row r="5728" spans="5:5">
      <c r="E5728" s="51"/>
    </row>
    <row r="5729" spans="5:5">
      <c r="E5729" s="51"/>
    </row>
    <row r="5730" spans="5:5">
      <c r="E5730" s="51"/>
    </row>
    <row r="5731" spans="5:5">
      <c r="E5731" s="51"/>
    </row>
    <row r="5732" spans="5:5">
      <c r="E5732" s="51"/>
    </row>
    <row r="5733" spans="5:5">
      <c r="E5733" s="51"/>
    </row>
    <row r="5734" spans="5:5">
      <c r="E5734" s="51"/>
    </row>
    <row r="5735" spans="5:5">
      <c r="E5735" s="51"/>
    </row>
    <row r="5736" spans="5:5">
      <c r="E5736" s="51"/>
    </row>
    <row r="5737" spans="5:5">
      <c r="E5737" s="51"/>
    </row>
    <row r="5738" spans="5:5">
      <c r="E5738" s="51"/>
    </row>
    <row r="5739" spans="5:5">
      <c r="E5739" s="51"/>
    </row>
    <row r="5740" spans="5:5">
      <c r="E5740" s="51"/>
    </row>
    <row r="5741" spans="5:5">
      <c r="E5741" s="51"/>
    </row>
    <row r="5742" spans="5:5">
      <c r="E5742" s="51"/>
    </row>
    <row r="5743" spans="5:5">
      <c r="E5743" s="51"/>
    </row>
    <row r="5744" spans="5:5">
      <c r="E5744" s="51"/>
    </row>
    <row r="5745" spans="5:5">
      <c r="E5745" s="51"/>
    </row>
    <row r="5746" spans="5:5">
      <c r="E5746" s="51"/>
    </row>
    <row r="5747" spans="5:5">
      <c r="E5747" s="51"/>
    </row>
    <row r="5748" spans="5:5">
      <c r="E5748" s="51"/>
    </row>
    <row r="5749" spans="5:5">
      <c r="E5749" s="51"/>
    </row>
    <row r="5750" spans="5:5">
      <c r="E5750" s="51"/>
    </row>
    <row r="5751" spans="5:5">
      <c r="E5751" s="51"/>
    </row>
    <row r="5752" spans="5:5">
      <c r="E5752" s="51"/>
    </row>
    <row r="5753" spans="5:5">
      <c r="E5753" s="51"/>
    </row>
    <row r="5754" spans="5:5">
      <c r="E5754" s="51"/>
    </row>
    <row r="5755" spans="5:5">
      <c r="E5755" s="51"/>
    </row>
    <row r="5756" spans="5:5">
      <c r="E5756" s="51"/>
    </row>
    <row r="5757" spans="5:5">
      <c r="E5757" s="51"/>
    </row>
    <row r="5758" spans="5:5">
      <c r="E5758" s="51"/>
    </row>
    <row r="5759" spans="5:5">
      <c r="E5759" s="51"/>
    </row>
    <row r="5760" spans="5:5">
      <c r="E5760" s="51"/>
    </row>
    <row r="5761" spans="5:5">
      <c r="E5761" s="51"/>
    </row>
    <row r="5762" spans="5:5">
      <c r="E5762" s="51"/>
    </row>
    <row r="5763" spans="5:5">
      <c r="E5763" s="51"/>
    </row>
    <row r="5764" spans="5:5">
      <c r="E5764" s="51"/>
    </row>
    <row r="5765" spans="5:5">
      <c r="E5765" s="51"/>
    </row>
    <row r="5766" spans="5:5">
      <c r="E5766" s="51"/>
    </row>
    <row r="5767" spans="5:5">
      <c r="E5767" s="51"/>
    </row>
    <row r="5768" spans="5:5">
      <c r="E5768" s="51"/>
    </row>
    <row r="5769" spans="5:5">
      <c r="E5769" s="51"/>
    </row>
    <row r="5770" spans="5:5">
      <c r="E5770" s="51"/>
    </row>
    <row r="5771" spans="5:5">
      <c r="E5771" s="51"/>
    </row>
    <row r="5772" spans="5:5">
      <c r="E5772" s="51"/>
    </row>
    <row r="5773" spans="5:5">
      <c r="E5773" s="51"/>
    </row>
    <row r="5774" spans="5:5">
      <c r="E5774" s="51"/>
    </row>
    <row r="5775" spans="5:5">
      <c r="E5775" s="51"/>
    </row>
    <row r="5776" spans="5:5">
      <c r="E5776" s="51"/>
    </row>
    <row r="5777" spans="5:5">
      <c r="E5777" s="51"/>
    </row>
    <row r="5778" spans="5:5">
      <c r="E5778" s="51"/>
    </row>
    <row r="5779" spans="5:5">
      <c r="E5779" s="51"/>
    </row>
    <row r="5780" spans="5:5">
      <c r="E5780" s="51"/>
    </row>
    <row r="5781" spans="5:5">
      <c r="E5781" s="51"/>
    </row>
    <row r="5782" spans="5:5">
      <c r="E5782" s="51"/>
    </row>
    <row r="5783" spans="5:5">
      <c r="E5783" s="51"/>
    </row>
    <row r="5784" spans="5:5">
      <c r="E5784" s="51"/>
    </row>
    <row r="5785" spans="5:5">
      <c r="E5785" s="51"/>
    </row>
    <row r="5786" spans="5:5">
      <c r="E5786" s="51"/>
    </row>
    <row r="5787" spans="5:5">
      <c r="E5787" s="51"/>
    </row>
    <row r="5788" spans="5:5">
      <c r="E5788" s="51"/>
    </row>
    <row r="5789" spans="5:5">
      <c r="E5789" s="51"/>
    </row>
    <row r="5790" spans="5:5">
      <c r="E5790" s="51"/>
    </row>
    <row r="5791" spans="5:5">
      <c r="E5791" s="51"/>
    </row>
    <row r="5792" spans="5:5">
      <c r="E5792" s="51"/>
    </row>
    <row r="5793" spans="5:5">
      <c r="E5793" s="51"/>
    </row>
    <row r="5794" spans="5:5">
      <c r="E5794" s="51"/>
    </row>
    <row r="5795" spans="5:5">
      <c r="E5795" s="51"/>
    </row>
    <row r="5796" spans="5:5">
      <c r="E5796" s="51"/>
    </row>
    <row r="5797" spans="5:5">
      <c r="E5797" s="51"/>
    </row>
    <row r="5798" spans="5:5">
      <c r="E5798" s="51"/>
    </row>
    <row r="5799" spans="5:5">
      <c r="E5799" s="51"/>
    </row>
    <row r="5800" spans="5:5">
      <c r="E5800" s="51"/>
    </row>
    <row r="5801" spans="5:5">
      <c r="E5801" s="51"/>
    </row>
    <row r="5802" spans="5:5">
      <c r="E5802" s="51"/>
    </row>
    <row r="5803" spans="5:5">
      <c r="E5803" s="51"/>
    </row>
    <row r="5804" spans="5:5">
      <c r="E5804" s="51"/>
    </row>
    <row r="5805" spans="5:5">
      <c r="E5805" s="51"/>
    </row>
    <row r="5806" spans="5:5">
      <c r="E5806" s="51"/>
    </row>
    <row r="5807" spans="5:5">
      <c r="E5807" s="51"/>
    </row>
    <row r="5808" spans="5:5">
      <c r="E5808" s="51"/>
    </row>
    <row r="5809" spans="5:5">
      <c r="E5809" s="51"/>
    </row>
    <row r="5810" spans="5:5">
      <c r="E5810" s="51"/>
    </row>
    <row r="5811" spans="5:5">
      <c r="E5811" s="51"/>
    </row>
    <row r="5812" spans="5:5">
      <c r="E5812" s="51"/>
    </row>
    <row r="5813" spans="5:5">
      <c r="E5813" s="51"/>
    </row>
    <row r="5814" spans="5:5">
      <c r="E5814" s="51"/>
    </row>
    <row r="5815" spans="5:5">
      <c r="E5815" s="51"/>
    </row>
    <row r="5816" spans="5:5">
      <c r="E5816" s="51"/>
    </row>
    <row r="5817" spans="5:5">
      <c r="E5817" s="51"/>
    </row>
    <row r="5818" spans="5:5">
      <c r="E5818" s="51"/>
    </row>
    <row r="5819" spans="5:5">
      <c r="E5819" s="51"/>
    </row>
    <row r="5820" spans="5:5">
      <c r="E5820" s="51"/>
    </row>
    <row r="5821" spans="5:5">
      <c r="E5821" s="51"/>
    </row>
    <row r="5822" spans="5:5">
      <c r="E5822" s="51"/>
    </row>
    <row r="5823" spans="5:5">
      <c r="E5823" s="51"/>
    </row>
    <row r="5824" spans="5:5">
      <c r="E5824" s="51"/>
    </row>
    <row r="5825" spans="5:5">
      <c r="E5825" s="51"/>
    </row>
    <row r="5826" spans="5:5">
      <c r="E5826" s="51"/>
    </row>
    <row r="5827" spans="5:5">
      <c r="E5827" s="51"/>
    </row>
    <row r="5828" spans="5:5">
      <c r="E5828" s="51"/>
    </row>
    <row r="5829" spans="5:5">
      <c r="E5829" s="51"/>
    </row>
    <row r="5830" spans="5:5">
      <c r="E5830" s="51"/>
    </row>
    <row r="5831" spans="5:5">
      <c r="E5831" s="51"/>
    </row>
    <row r="5832" spans="5:5">
      <c r="E5832" s="51"/>
    </row>
    <row r="5833" spans="5:5">
      <c r="E5833" s="51"/>
    </row>
    <row r="5834" spans="5:5">
      <c r="E5834" s="51"/>
    </row>
    <row r="5835" spans="5:5">
      <c r="E5835" s="51"/>
    </row>
    <row r="5836" spans="5:5">
      <c r="E5836" s="51"/>
    </row>
    <row r="5837" spans="5:5">
      <c r="E5837" s="51"/>
    </row>
    <row r="5838" spans="5:5">
      <c r="E5838" s="51"/>
    </row>
    <row r="5839" spans="5:5">
      <c r="E5839" s="51"/>
    </row>
    <row r="5840" spans="5:5">
      <c r="E5840" s="51"/>
    </row>
    <row r="5841" spans="5:5">
      <c r="E5841" s="51"/>
    </row>
    <row r="5842" spans="5:5">
      <c r="E5842" s="51"/>
    </row>
    <row r="5843" spans="5:5">
      <c r="E5843" s="51"/>
    </row>
    <row r="5844" spans="5:5">
      <c r="E5844" s="51"/>
    </row>
    <row r="5845" spans="5:5">
      <c r="E5845" s="51"/>
    </row>
    <row r="5846" spans="5:5">
      <c r="E5846" s="51"/>
    </row>
    <row r="5847" spans="5:5">
      <c r="E5847" s="51"/>
    </row>
    <row r="5848" spans="5:5">
      <c r="E5848" s="51"/>
    </row>
    <row r="5849" spans="5:5">
      <c r="E5849" s="51"/>
    </row>
    <row r="5850" spans="5:5">
      <c r="E5850" s="51"/>
    </row>
    <row r="5851" spans="5:5">
      <c r="E5851" s="51"/>
    </row>
    <row r="5852" spans="5:5">
      <c r="E5852" s="51"/>
    </row>
    <row r="5853" spans="5:5">
      <c r="E5853" s="51"/>
    </row>
    <row r="5854" spans="5:5">
      <c r="E5854" s="51"/>
    </row>
    <row r="5855" spans="5:5">
      <c r="E5855" s="51"/>
    </row>
    <row r="5856" spans="5:5">
      <c r="E5856" s="51"/>
    </row>
    <row r="5857" spans="5:5">
      <c r="E5857" s="51"/>
    </row>
    <row r="5858" spans="5:5">
      <c r="E5858" s="51"/>
    </row>
    <row r="5859" spans="5:5">
      <c r="E5859" s="51"/>
    </row>
    <row r="5860" spans="5:5">
      <c r="E5860" s="51"/>
    </row>
    <row r="5861" spans="5:5">
      <c r="E5861" s="51"/>
    </row>
    <row r="5862" spans="5:5">
      <c r="E5862" s="51"/>
    </row>
    <row r="5863" spans="5:5">
      <c r="E5863" s="51"/>
    </row>
    <row r="5864" spans="5:5">
      <c r="E5864" s="51"/>
    </row>
    <row r="5865" spans="5:5">
      <c r="E5865" s="51"/>
    </row>
    <row r="5866" spans="5:5">
      <c r="E5866" s="51"/>
    </row>
    <row r="5867" spans="5:5">
      <c r="E5867" s="51"/>
    </row>
    <row r="5868" spans="5:5">
      <c r="E5868" s="51"/>
    </row>
    <row r="5869" spans="5:5">
      <c r="E5869" s="51"/>
    </row>
    <row r="5870" spans="5:5">
      <c r="E5870" s="51"/>
    </row>
    <row r="5871" spans="5:5">
      <c r="E5871" s="51"/>
    </row>
    <row r="5872" spans="5:5">
      <c r="E5872" s="51"/>
    </row>
    <row r="5873" spans="5:5">
      <c r="E5873" s="51"/>
    </row>
    <row r="5874" spans="5:5">
      <c r="E5874" s="51"/>
    </row>
    <row r="5875" spans="5:5">
      <c r="E5875" s="51"/>
    </row>
    <row r="5876" spans="5:5">
      <c r="E5876" s="51"/>
    </row>
    <row r="5877" spans="5:5">
      <c r="E5877" s="51"/>
    </row>
    <row r="5878" spans="5:5">
      <c r="E5878" s="51"/>
    </row>
    <row r="5879" spans="5:5">
      <c r="E5879" s="51"/>
    </row>
    <row r="5880" spans="5:5">
      <c r="E5880" s="51"/>
    </row>
    <row r="5881" spans="5:5">
      <c r="E5881" s="51"/>
    </row>
    <row r="5882" spans="5:5">
      <c r="E5882" s="51"/>
    </row>
    <row r="5883" spans="5:5">
      <c r="E5883" s="51"/>
    </row>
    <row r="5884" spans="5:5">
      <c r="E5884" s="51"/>
    </row>
    <row r="5885" spans="5:5">
      <c r="E5885" s="51"/>
    </row>
    <row r="5886" spans="5:5">
      <c r="E5886" s="51"/>
    </row>
    <row r="5887" spans="5:5">
      <c r="E5887" s="51"/>
    </row>
    <row r="5888" spans="5:5">
      <c r="E5888" s="51"/>
    </row>
    <row r="5889" spans="5:5">
      <c r="E5889" s="51"/>
    </row>
    <row r="5890" spans="5:5">
      <c r="E5890" s="51"/>
    </row>
    <row r="5891" spans="5:5">
      <c r="E5891" s="51"/>
    </row>
    <row r="5892" spans="5:5">
      <c r="E5892" s="51"/>
    </row>
    <row r="5893" spans="5:5">
      <c r="E5893" s="51"/>
    </row>
    <row r="5894" spans="5:5">
      <c r="E5894" s="51"/>
    </row>
    <row r="5895" spans="5:5">
      <c r="E5895" s="51"/>
    </row>
    <row r="5896" spans="5:5">
      <c r="E5896" s="51"/>
    </row>
    <row r="5897" spans="5:5">
      <c r="E5897" s="51"/>
    </row>
    <row r="5898" spans="5:5">
      <c r="E5898" s="51"/>
    </row>
    <row r="5899" spans="5:5">
      <c r="E5899" s="51"/>
    </row>
    <row r="5900" spans="5:5">
      <c r="E5900" s="51"/>
    </row>
    <row r="5901" spans="5:5">
      <c r="E5901" s="51"/>
    </row>
    <row r="5902" spans="5:5">
      <c r="E5902" s="51"/>
    </row>
    <row r="5903" spans="5:5">
      <c r="E5903" s="51"/>
    </row>
    <row r="5904" spans="5:5">
      <c r="E5904" s="51"/>
    </row>
    <row r="5905" spans="5:5">
      <c r="E5905" s="51"/>
    </row>
    <row r="5906" spans="5:5">
      <c r="E5906" s="51"/>
    </row>
    <row r="5907" spans="5:5">
      <c r="E5907" s="51"/>
    </row>
    <row r="5908" spans="5:5">
      <c r="E5908" s="51"/>
    </row>
    <row r="5909" spans="5:5">
      <c r="E5909" s="51"/>
    </row>
    <row r="5910" spans="5:5">
      <c r="E5910" s="51"/>
    </row>
    <row r="5911" spans="5:5">
      <c r="E5911" s="51"/>
    </row>
    <row r="5912" spans="5:5">
      <c r="E5912" s="51"/>
    </row>
    <row r="5913" spans="5:5">
      <c r="E5913" s="51"/>
    </row>
    <row r="5914" spans="5:5">
      <c r="E5914" s="51"/>
    </row>
    <row r="5915" spans="5:5">
      <c r="E5915" s="51"/>
    </row>
    <row r="5916" spans="5:5">
      <c r="E5916" s="51"/>
    </row>
    <row r="5917" spans="5:5">
      <c r="E5917" s="51"/>
    </row>
    <row r="5918" spans="5:5">
      <c r="E5918" s="51"/>
    </row>
    <row r="5919" spans="5:5">
      <c r="E5919" s="51"/>
    </row>
    <row r="5920" spans="5:5">
      <c r="E5920" s="51"/>
    </row>
    <row r="5921" spans="5:5">
      <c r="E5921" s="51"/>
    </row>
    <row r="5922" spans="5:5">
      <c r="E5922" s="51"/>
    </row>
    <row r="5923" spans="5:5">
      <c r="E5923" s="51"/>
    </row>
    <row r="5924" spans="5:5">
      <c r="E5924" s="51"/>
    </row>
    <row r="5925" spans="5:5">
      <c r="E5925" s="51"/>
    </row>
    <row r="5926" spans="5:5">
      <c r="E5926" s="51"/>
    </row>
    <row r="5927" spans="5:5">
      <c r="E5927" s="51"/>
    </row>
    <row r="5928" spans="5:5">
      <c r="E5928" s="51"/>
    </row>
    <row r="5929" spans="5:5">
      <c r="E5929" s="51"/>
    </row>
    <row r="5930" spans="5:5">
      <c r="E5930" s="51"/>
    </row>
    <row r="5931" spans="5:5">
      <c r="E5931" s="51"/>
    </row>
    <row r="5932" spans="5:5">
      <c r="E5932" s="51"/>
    </row>
    <row r="5933" spans="5:5">
      <c r="E5933" s="51"/>
    </row>
    <row r="5934" spans="5:5">
      <c r="E5934" s="51"/>
    </row>
    <row r="5935" spans="5:5">
      <c r="E5935" s="51"/>
    </row>
    <row r="5936" spans="5:5">
      <c r="E5936" s="51"/>
    </row>
    <row r="5937" spans="5:5">
      <c r="E5937" s="51"/>
    </row>
    <row r="5938" spans="5:5">
      <c r="E5938" s="51"/>
    </row>
    <row r="5939" spans="5:5">
      <c r="E5939" s="51"/>
    </row>
    <row r="5940" spans="5:5">
      <c r="E5940" s="51"/>
    </row>
    <row r="5941" spans="5:5">
      <c r="E5941" s="51"/>
    </row>
    <row r="5942" spans="5:5">
      <c r="E5942" s="51"/>
    </row>
    <row r="5943" spans="5:5">
      <c r="E5943" s="51"/>
    </row>
    <row r="5944" spans="5:5">
      <c r="E5944" s="51"/>
    </row>
    <row r="5945" spans="5:5">
      <c r="E5945" s="51"/>
    </row>
    <row r="5946" spans="5:5">
      <c r="E5946" s="51"/>
    </row>
    <row r="5947" spans="5:5">
      <c r="E5947" s="51"/>
    </row>
    <row r="5948" spans="5:5">
      <c r="E5948" s="51"/>
    </row>
    <row r="5949" spans="5:5">
      <c r="E5949" s="51"/>
    </row>
    <row r="5950" spans="5:5">
      <c r="E5950" s="51"/>
    </row>
    <row r="5951" spans="5:5">
      <c r="E5951" s="51"/>
    </row>
    <row r="5952" spans="5:5">
      <c r="E5952" s="51"/>
    </row>
    <row r="5953" spans="5:5">
      <c r="E5953" s="51"/>
    </row>
    <row r="5954" spans="5:5">
      <c r="E5954" s="51"/>
    </row>
    <row r="5955" spans="5:5">
      <c r="E5955" s="51"/>
    </row>
    <row r="5956" spans="5:5">
      <c r="E5956" s="51"/>
    </row>
    <row r="5957" spans="5:5">
      <c r="E5957" s="51"/>
    </row>
    <row r="5958" spans="5:5">
      <c r="E5958" s="51"/>
    </row>
    <row r="5959" spans="5:5">
      <c r="E5959" s="51"/>
    </row>
    <row r="5960" spans="5:5">
      <c r="E5960" s="51"/>
    </row>
    <row r="5961" spans="5:5">
      <c r="E5961" s="51"/>
    </row>
    <row r="5962" spans="5:5">
      <c r="E5962" s="51"/>
    </row>
    <row r="5963" spans="5:5">
      <c r="E5963" s="51"/>
    </row>
    <row r="5964" spans="5:5">
      <c r="E5964" s="51"/>
    </row>
    <row r="5965" spans="5:5">
      <c r="E5965" s="51"/>
    </row>
    <row r="5966" spans="5:5">
      <c r="E5966" s="51"/>
    </row>
    <row r="5967" spans="5:5">
      <c r="E5967" s="51"/>
    </row>
    <row r="5968" spans="5:5">
      <c r="E5968" s="51"/>
    </row>
    <row r="5969" spans="5:5">
      <c r="E5969" s="51"/>
    </row>
    <row r="5970" spans="5:5">
      <c r="E5970" s="51"/>
    </row>
    <row r="5971" spans="5:5">
      <c r="E5971" s="51"/>
    </row>
    <row r="5972" spans="5:5">
      <c r="E5972" s="51"/>
    </row>
    <row r="5973" spans="5:5">
      <c r="E5973" s="51"/>
    </row>
    <row r="5974" spans="5:5">
      <c r="E5974" s="51"/>
    </row>
    <row r="5975" spans="5:5">
      <c r="E5975" s="51"/>
    </row>
    <row r="5976" spans="5:5">
      <c r="E5976" s="51"/>
    </row>
    <row r="5977" spans="5:5">
      <c r="E5977" s="51"/>
    </row>
    <row r="5978" spans="5:5">
      <c r="E5978" s="51"/>
    </row>
    <row r="5979" spans="5:5">
      <c r="E5979" s="51"/>
    </row>
    <row r="5980" spans="5:5">
      <c r="E5980" s="51"/>
    </row>
    <row r="5981" spans="5:5">
      <c r="E5981" s="51"/>
    </row>
    <row r="5982" spans="5:5">
      <c r="E5982" s="51"/>
    </row>
    <row r="5983" spans="5:5">
      <c r="E5983" s="51"/>
    </row>
    <row r="5984" spans="5:5">
      <c r="E5984" s="51"/>
    </row>
    <row r="5985" spans="5:5">
      <c r="E5985" s="51"/>
    </row>
    <row r="5986" spans="5:5">
      <c r="E5986" s="51"/>
    </row>
    <row r="5987" spans="5:5">
      <c r="E5987" s="51"/>
    </row>
    <row r="5988" spans="5:5">
      <c r="E5988" s="51"/>
    </row>
    <row r="5989" spans="5:5">
      <c r="E5989" s="51"/>
    </row>
    <row r="5990" spans="5:5">
      <c r="E5990" s="51"/>
    </row>
    <row r="5991" spans="5:5">
      <c r="E5991" s="51"/>
    </row>
    <row r="5992" spans="5:5">
      <c r="E5992" s="51"/>
    </row>
    <row r="5993" spans="5:5">
      <c r="E5993" s="51"/>
    </row>
    <row r="5994" spans="5:5">
      <c r="E5994" s="51"/>
    </row>
    <row r="5995" spans="5:5">
      <c r="E5995" s="51"/>
    </row>
    <row r="5996" spans="5:5">
      <c r="E5996" s="51"/>
    </row>
    <row r="5997" spans="5:5">
      <c r="E5997" s="51"/>
    </row>
    <row r="5998" spans="5:5">
      <c r="E5998" s="51"/>
    </row>
    <row r="5999" spans="5:5">
      <c r="E5999" s="51"/>
    </row>
    <row r="6000" spans="5:5">
      <c r="E6000" s="51"/>
    </row>
    <row r="6001" spans="5:5">
      <c r="E6001" s="51"/>
    </row>
    <row r="6002" spans="5:5">
      <c r="E6002" s="51"/>
    </row>
    <row r="6003" spans="5:5">
      <c r="E6003" s="51"/>
    </row>
    <row r="6004" spans="5:5">
      <c r="E6004" s="51"/>
    </row>
    <row r="6005" spans="5:5">
      <c r="E6005" s="51"/>
    </row>
    <row r="6006" spans="5:5">
      <c r="E6006" s="51"/>
    </row>
    <row r="6007" spans="5:5">
      <c r="E6007" s="51"/>
    </row>
    <row r="6008" spans="5:5">
      <c r="E6008" s="51"/>
    </row>
    <row r="6009" spans="5:5">
      <c r="E6009" s="51"/>
    </row>
    <row r="6010" spans="5:5">
      <c r="E6010" s="51"/>
    </row>
    <row r="6011" spans="5:5">
      <c r="E6011" s="51"/>
    </row>
    <row r="6012" spans="5:5">
      <c r="E6012" s="51"/>
    </row>
    <row r="6013" spans="5:5">
      <c r="E6013" s="51"/>
    </row>
    <row r="6014" spans="5:5">
      <c r="E6014" s="51"/>
    </row>
    <row r="6015" spans="5:5">
      <c r="E6015" s="51"/>
    </row>
    <row r="6016" spans="5:5">
      <c r="E6016" s="51"/>
    </row>
    <row r="6017" spans="5:5">
      <c r="E6017" s="51"/>
    </row>
    <row r="6018" spans="5:5">
      <c r="E6018" s="51"/>
    </row>
    <row r="6019" spans="5:5">
      <c r="E6019" s="51"/>
    </row>
    <row r="6020" spans="5:5">
      <c r="E6020" s="51"/>
    </row>
    <row r="6021" spans="5:5">
      <c r="E6021" s="51"/>
    </row>
    <row r="6022" spans="5:5">
      <c r="E6022" s="51"/>
    </row>
    <row r="6023" spans="5:5">
      <c r="E6023" s="51"/>
    </row>
    <row r="6024" spans="5:5">
      <c r="E6024" s="51"/>
    </row>
    <row r="6025" spans="5:5">
      <c r="E6025" s="51"/>
    </row>
    <row r="6026" spans="5:5">
      <c r="E6026" s="51"/>
    </row>
    <row r="6027" spans="5:5">
      <c r="E6027" s="51"/>
    </row>
    <row r="6028" spans="5:5">
      <c r="E6028" s="51"/>
    </row>
    <row r="6029" spans="5:5">
      <c r="E6029" s="51"/>
    </row>
    <row r="6030" spans="5:5">
      <c r="E6030" s="51"/>
    </row>
    <row r="6031" spans="5:5">
      <c r="E6031" s="51"/>
    </row>
    <row r="6032" spans="5:5">
      <c r="E6032" s="51"/>
    </row>
    <row r="6033" spans="5:5">
      <c r="E6033" s="51"/>
    </row>
    <row r="6034" spans="5:5">
      <c r="E6034" s="51"/>
    </row>
    <row r="6035" spans="5:5">
      <c r="E6035" s="51"/>
    </row>
    <row r="6036" spans="5:5">
      <c r="E6036" s="51"/>
    </row>
    <row r="6037" spans="5:5">
      <c r="E6037" s="51"/>
    </row>
    <row r="6038" spans="5:5">
      <c r="E6038" s="51"/>
    </row>
    <row r="6039" spans="5:5">
      <c r="E6039" s="51"/>
    </row>
    <row r="6040" spans="5:5">
      <c r="E6040" s="51"/>
    </row>
    <row r="6041" spans="5:5">
      <c r="E6041" s="51"/>
    </row>
    <row r="6042" spans="5:5">
      <c r="E6042" s="51"/>
    </row>
    <row r="6043" spans="5:5">
      <c r="E6043" s="51"/>
    </row>
    <row r="6044" spans="5:5">
      <c r="E6044" s="51"/>
    </row>
    <row r="6045" spans="5:5">
      <c r="E6045" s="51"/>
    </row>
    <row r="6046" spans="5:5">
      <c r="E6046" s="51"/>
    </row>
    <row r="6047" spans="5:5">
      <c r="E6047" s="51"/>
    </row>
    <row r="6048" spans="5:5">
      <c r="E6048" s="51"/>
    </row>
    <row r="6049" spans="5:5">
      <c r="E6049" s="51"/>
    </row>
    <row r="6050" spans="5:5">
      <c r="E6050" s="51"/>
    </row>
    <row r="6051" spans="5:5">
      <c r="E6051" s="51"/>
    </row>
    <row r="6052" spans="5:5">
      <c r="E6052" s="51"/>
    </row>
    <row r="6053" spans="5:5">
      <c r="E6053" s="51"/>
    </row>
    <row r="6054" spans="5:5">
      <c r="E6054" s="51"/>
    </row>
    <row r="6055" spans="5:5">
      <c r="E6055" s="51"/>
    </row>
    <row r="6056" spans="5:5">
      <c r="E6056" s="51"/>
    </row>
    <row r="6057" spans="5:5">
      <c r="E6057" s="51"/>
    </row>
    <row r="6058" spans="5:5">
      <c r="E6058" s="51"/>
    </row>
    <row r="6059" spans="5:5">
      <c r="E6059" s="51"/>
    </row>
    <row r="6060" spans="5:5">
      <c r="E6060" s="51"/>
    </row>
    <row r="6061" spans="5:5">
      <c r="E6061" s="51"/>
    </row>
    <row r="6062" spans="5:5">
      <c r="E6062" s="51"/>
    </row>
    <row r="6063" spans="5:5">
      <c r="E6063" s="51"/>
    </row>
    <row r="6064" spans="5:5">
      <c r="E6064" s="51"/>
    </row>
    <row r="6065" spans="5:5">
      <c r="E6065" s="51"/>
    </row>
    <row r="6066" spans="5:5">
      <c r="E6066" s="51"/>
    </row>
    <row r="6067" spans="5:5">
      <c r="E6067" s="51"/>
    </row>
    <row r="6068" spans="5:5">
      <c r="E6068" s="51"/>
    </row>
    <row r="6069" spans="5:5">
      <c r="E6069" s="51"/>
    </row>
    <row r="6070" spans="5:5">
      <c r="E6070" s="51"/>
    </row>
    <row r="6071" spans="5:5">
      <c r="E6071" s="51"/>
    </row>
    <row r="6072" spans="5:5">
      <c r="E6072" s="51"/>
    </row>
    <row r="6073" spans="5:5">
      <c r="E6073" s="51"/>
    </row>
    <row r="6074" spans="5:5">
      <c r="E6074" s="51"/>
    </row>
    <row r="6075" spans="5:5">
      <c r="E6075" s="51"/>
    </row>
    <row r="6076" spans="5:5">
      <c r="E6076" s="51"/>
    </row>
    <row r="6077" spans="5:5">
      <c r="E6077" s="51"/>
    </row>
    <row r="6078" spans="5:5">
      <c r="E6078" s="51"/>
    </row>
    <row r="6079" spans="5:5">
      <c r="E6079" s="51"/>
    </row>
    <row r="6080" spans="5:5">
      <c r="E6080" s="51"/>
    </row>
    <row r="6081" spans="5:5">
      <c r="E6081" s="51"/>
    </row>
    <row r="6082" spans="5:5">
      <c r="E6082" s="51"/>
    </row>
    <row r="6083" spans="5:5">
      <c r="E6083" s="51"/>
    </row>
    <row r="6084" spans="5:5">
      <c r="E6084" s="51"/>
    </row>
    <row r="6085" spans="5:5">
      <c r="E6085" s="51"/>
    </row>
    <row r="6086" spans="5:5">
      <c r="E6086" s="51"/>
    </row>
    <row r="6087" spans="5:5">
      <c r="E6087" s="51"/>
    </row>
    <row r="6088" spans="5:5">
      <c r="E6088" s="51"/>
    </row>
    <row r="6089" spans="5:5">
      <c r="E6089" s="51"/>
    </row>
    <row r="6090" spans="5:5">
      <c r="E6090" s="51"/>
    </row>
    <row r="6091" spans="5:5">
      <c r="E6091" s="51"/>
    </row>
    <row r="6092" spans="5:5">
      <c r="E6092" s="51"/>
    </row>
    <row r="6093" spans="5:5">
      <c r="E6093" s="51"/>
    </row>
    <row r="6094" spans="5:5">
      <c r="E6094" s="51"/>
    </row>
    <row r="6095" spans="5:5">
      <c r="E6095" s="51"/>
    </row>
    <row r="6096" spans="5:5">
      <c r="E6096" s="51"/>
    </row>
    <row r="6097" spans="5:5">
      <c r="E6097" s="51"/>
    </row>
    <row r="6098" spans="5:5">
      <c r="E6098" s="51"/>
    </row>
    <row r="6099" spans="5:5">
      <c r="E6099" s="51"/>
    </row>
    <row r="6100" spans="5:5">
      <c r="E6100" s="51"/>
    </row>
    <row r="6101" spans="5:5">
      <c r="E6101" s="51"/>
    </row>
    <row r="6102" spans="5:5">
      <c r="E6102" s="51"/>
    </row>
    <row r="6103" spans="5:5">
      <c r="E6103" s="51"/>
    </row>
    <row r="6104" spans="5:5">
      <c r="E6104" s="51"/>
    </row>
    <row r="6105" spans="5:5">
      <c r="E6105" s="51"/>
    </row>
    <row r="6106" spans="5:5">
      <c r="E6106" s="51"/>
    </row>
    <row r="6107" spans="5:5">
      <c r="E6107" s="51"/>
    </row>
    <row r="6108" spans="5:5">
      <c r="E6108" s="51"/>
    </row>
    <row r="6109" spans="5:5">
      <c r="E6109" s="51"/>
    </row>
    <row r="6110" spans="5:5">
      <c r="E6110" s="51"/>
    </row>
    <row r="6111" spans="5:5">
      <c r="E6111" s="51"/>
    </row>
    <row r="6112" spans="5:5">
      <c r="E6112" s="51"/>
    </row>
    <row r="6113" spans="5:5">
      <c r="E6113" s="51"/>
    </row>
    <row r="6114" spans="5:5">
      <c r="E6114" s="51"/>
    </row>
    <row r="6115" spans="5:5">
      <c r="E6115" s="51"/>
    </row>
    <row r="6116" spans="5:5">
      <c r="E6116" s="51"/>
    </row>
    <row r="6117" spans="5:5">
      <c r="E6117" s="51"/>
    </row>
    <row r="6118" spans="5:5">
      <c r="E6118" s="51"/>
    </row>
    <row r="6119" spans="5:5">
      <c r="E6119" s="51"/>
    </row>
    <row r="6120" spans="5:5">
      <c r="E6120" s="51"/>
    </row>
    <row r="6121" spans="5:5">
      <c r="E6121" s="51"/>
    </row>
    <row r="6122" spans="5:5">
      <c r="E6122" s="51"/>
    </row>
    <row r="6123" spans="5:5">
      <c r="E6123" s="51"/>
    </row>
    <row r="6124" spans="5:5">
      <c r="E6124" s="51"/>
    </row>
    <row r="6125" spans="5:5">
      <c r="E6125" s="51"/>
    </row>
    <row r="6126" spans="5:5">
      <c r="E6126" s="51"/>
    </row>
    <row r="6127" spans="5:5">
      <c r="E6127" s="51"/>
    </row>
    <row r="6128" spans="5:5">
      <c r="E6128" s="51"/>
    </row>
    <row r="6129" spans="5:5">
      <c r="E6129" s="51"/>
    </row>
    <row r="6130" spans="5:5">
      <c r="E6130" s="51"/>
    </row>
    <row r="6131" spans="5:5">
      <c r="E6131" s="51"/>
    </row>
    <row r="6132" spans="5:5">
      <c r="E6132" s="51"/>
    </row>
    <row r="6133" spans="5:5">
      <c r="E6133" s="51"/>
    </row>
    <row r="6134" spans="5:5">
      <c r="E6134" s="51"/>
    </row>
    <row r="6135" spans="5:5">
      <c r="E6135" s="51"/>
    </row>
    <row r="6136" spans="5:5">
      <c r="E6136" s="51"/>
    </row>
    <row r="6137" spans="5:5">
      <c r="E6137" s="51"/>
    </row>
    <row r="6138" spans="5:5">
      <c r="E6138" s="51"/>
    </row>
    <row r="6139" spans="5:5">
      <c r="E6139" s="51"/>
    </row>
    <row r="6140" spans="5:5">
      <c r="E6140" s="51"/>
    </row>
    <row r="6141" spans="5:5">
      <c r="E6141" s="51"/>
    </row>
    <row r="6142" spans="5:5">
      <c r="E6142" s="51"/>
    </row>
    <row r="6143" spans="5:5">
      <c r="E6143" s="51"/>
    </row>
    <row r="6144" spans="5:5">
      <c r="E6144" s="51"/>
    </row>
    <row r="6145" spans="5:5">
      <c r="E6145" s="51"/>
    </row>
    <row r="6146" spans="5:5">
      <c r="E6146" s="51"/>
    </row>
    <row r="6147" spans="5:5">
      <c r="E6147" s="51"/>
    </row>
    <row r="6148" spans="5:5">
      <c r="E6148" s="51"/>
    </row>
    <row r="6149" spans="5:5">
      <c r="E6149" s="51"/>
    </row>
    <row r="6150" spans="5:5">
      <c r="E6150" s="51"/>
    </row>
    <row r="6151" spans="5:5">
      <c r="E6151" s="51"/>
    </row>
    <row r="6152" spans="5:5">
      <c r="E6152" s="51"/>
    </row>
    <row r="6153" spans="5:5">
      <c r="E6153" s="51"/>
    </row>
    <row r="6154" spans="5:5">
      <c r="E6154" s="51"/>
    </row>
    <row r="6155" spans="5:5">
      <c r="E6155" s="51"/>
    </row>
    <row r="6156" spans="5:5">
      <c r="E6156" s="51"/>
    </row>
    <row r="6157" spans="5:5">
      <c r="E6157" s="51"/>
    </row>
    <row r="6158" spans="5:5">
      <c r="E6158" s="51"/>
    </row>
    <row r="6159" spans="5:5">
      <c r="E6159" s="51"/>
    </row>
    <row r="6160" spans="5:5">
      <c r="E6160" s="51"/>
    </row>
    <row r="6161" spans="5:5">
      <c r="E6161" s="51"/>
    </row>
    <row r="6162" spans="5:5">
      <c r="E6162" s="51"/>
    </row>
    <row r="6163" spans="5:5">
      <c r="E6163" s="51"/>
    </row>
    <row r="6164" spans="5:5">
      <c r="E6164" s="51"/>
    </row>
    <row r="6165" spans="5:5">
      <c r="E6165" s="51"/>
    </row>
    <row r="6166" spans="5:5">
      <c r="E6166" s="51"/>
    </row>
    <row r="6167" spans="5:5">
      <c r="E6167" s="51"/>
    </row>
    <row r="6168" spans="5:5">
      <c r="E6168" s="51"/>
    </row>
    <row r="6169" spans="5:5">
      <c r="E6169" s="51"/>
    </row>
    <row r="6170" spans="5:5">
      <c r="E6170" s="51"/>
    </row>
    <row r="6171" spans="5:5">
      <c r="E6171" s="51"/>
    </row>
    <row r="6172" spans="5:5">
      <c r="E6172" s="51"/>
    </row>
    <row r="6173" spans="5:5">
      <c r="E6173" s="51"/>
    </row>
    <row r="6174" spans="5:5">
      <c r="E6174" s="51"/>
    </row>
    <row r="6175" spans="5:5">
      <c r="E6175" s="51"/>
    </row>
    <row r="6176" spans="5:5">
      <c r="E6176" s="51"/>
    </row>
    <row r="6177" spans="5:5">
      <c r="E6177" s="51"/>
    </row>
    <row r="6178" spans="5:5">
      <c r="E6178" s="51"/>
    </row>
    <row r="6179" spans="5:5">
      <c r="E6179" s="51"/>
    </row>
    <row r="6180" spans="5:5">
      <c r="E6180" s="51"/>
    </row>
    <row r="6181" spans="5:5">
      <c r="E6181" s="51"/>
    </row>
    <row r="6182" spans="5:5">
      <c r="E6182" s="51"/>
    </row>
    <row r="6183" spans="5:5">
      <c r="E6183" s="51"/>
    </row>
    <row r="6184" spans="5:5">
      <c r="E6184" s="51"/>
    </row>
    <row r="6185" spans="5:5">
      <c r="E6185" s="51"/>
    </row>
    <row r="6186" spans="5:5">
      <c r="E6186" s="51"/>
    </row>
    <row r="6187" spans="5:5">
      <c r="E6187" s="51"/>
    </row>
    <row r="6188" spans="5:5">
      <c r="E6188" s="51"/>
    </row>
    <row r="6189" spans="5:5">
      <c r="E6189" s="51"/>
    </row>
    <row r="6190" spans="5:5">
      <c r="E6190" s="51"/>
    </row>
    <row r="6191" spans="5:5">
      <c r="E6191" s="51"/>
    </row>
    <row r="6192" spans="5:5">
      <c r="E6192" s="51"/>
    </row>
    <row r="6193" spans="5:5">
      <c r="E6193" s="51"/>
    </row>
    <row r="6194" spans="5:5">
      <c r="E6194" s="51"/>
    </row>
    <row r="6195" spans="5:5">
      <c r="E6195" s="51"/>
    </row>
    <row r="6196" spans="5:5">
      <c r="E6196" s="51"/>
    </row>
    <row r="6197" spans="5:5">
      <c r="E6197" s="51"/>
    </row>
    <row r="6198" spans="5:5">
      <c r="E6198" s="51"/>
    </row>
    <row r="6199" spans="5:5">
      <c r="E6199" s="51"/>
    </row>
    <row r="6200" spans="5:5">
      <c r="E6200" s="51"/>
    </row>
    <row r="6201" spans="5:5">
      <c r="E6201" s="51"/>
    </row>
    <row r="6202" spans="5:5">
      <c r="E6202" s="51"/>
    </row>
    <row r="6203" spans="5:5">
      <c r="E6203" s="51"/>
    </row>
    <row r="6204" spans="5:5">
      <c r="E6204" s="51"/>
    </row>
    <row r="6205" spans="5:5">
      <c r="E6205" s="51"/>
    </row>
    <row r="6206" spans="5:5">
      <c r="E6206" s="51"/>
    </row>
    <row r="6207" spans="5:5">
      <c r="E6207" s="51"/>
    </row>
    <row r="6208" spans="5:5">
      <c r="E6208" s="51"/>
    </row>
    <row r="6209" spans="5:5">
      <c r="E6209" s="51"/>
    </row>
    <row r="6210" spans="5:5">
      <c r="E6210" s="51"/>
    </row>
    <row r="6211" spans="5:5">
      <c r="E6211" s="51"/>
    </row>
    <row r="6212" spans="5:5">
      <c r="E6212" s="51"/>
    </row>
    <row r="6213" spans="5:5">
      <c r="E6213" s="51"/>
    </row>
    <row r="6214" spans="5:5">
      <c r="E6214" s="51"/>
    </row>
    <row r="6215" spans="5:5">
      <c r="E6215" s="51"/>
    </row>
    <row r="6216" spans="5:5">
      <c r="E6216" s="51"/>
    </row>
    <row r="6217" spans="5:5">
      <c r="E6217" s="51"/>
    </row>
    <row r="6218" spans="5:5">
      <c r="E6218" s="51"/>
    </row>
    <row r="6219" spans="5:5">
      <c r="E6219" s="51"/>
    </row>
    <row r="6220" spans="5:5">
      <c r="E6220" s="51"/>
    </row>
    <row r="6221" spans="5:5">
      <c r="E6221" s="51"/>
    </row>
    <row r="6222" spans="5:5">
      <c r="E6222" s="51"/>
    </row>
    <row r="6223" spans="5:5">
      <c r="E6223" s="51"/>
    </row>
    <row r="6224" spans="5:5">
      <c r="E6224" s="51"/>
    </row>
    <row r="6225" spans="5:5">
      <c r="E6225" s="51"/>
    </row>
    <row r="6226" spans="5:5">
      <c r="E6226" s="51"/>
    </row>
    <row r="6227" spans="5:5">
      <c r="E6227" s="51"/>
    </row>
    <row r="6228" spans="5:5">
      <c r="E6228" s="51"/>
    </row>
    <row r="6229" spans="5:5">
      <c r="E6229" s="51"/>
    </row>
    <row r="6230" spans="5:5">
      <c r="E6230" s="51"/>
    </row>
    <row r="6231" spans="5:5">
      <c r="E6231" s="51"/>
    </row>
    <row r="6232" spans="5:5">
      <c r="E6232" s="51"/>
    </row>
    <row r="6233" spans="5:5">
      <c r="E6233" s="51"/>
    </row>
    <row r="6234" spans="5:5">
      <c r="E6234" s="51"/>
    </row>
    <row r="6235" spans="5:5">
      <c r="E6235" s="51"/>
    </row>
    <row r="6236" spans="5:5">
      <c r="E6236" s="51"/>
    </row>
    <row r="6237" spans="5:5">
      <c r="E6237" s="51"/>
    </row>
    <row r="6238" spans="5:5">
      <c r="E6238" s="51"/>
    </row>
    <row r="6239" spans="5:5">
      <c r="E6239" s="51"/>
    </row>
    <row r="6240" spans="5:5">
      <c r="E6240" s="51"/>
    </row>
    <row r="6241" spans="5:5">
      <c r="E6241" s="51"/>
    </row>
    <row r="6242" spans="5:5">
      <c r="E6242" s="51"/>
    </row>
    <row r="6243" spans="5:5">
      <c r="E6243" s="51"/>
    </row>
    <row r="6244" spans="5:5">
      <c r="E6244" s="51"/>
    </row>
    <row r="6245" spans="5:5">
      <c r="E6245" s="51"/>
    </row>
    <row r="6246" spans="5:5">
      <c r="E6246" s="51"/>
    </row>
    <row r="6247" spans="5:5">
      <c r="E6247" s="51"/>
    </row>
    <row r="6248" spans="5:5">
      <c r="E6248" s="51"/>
    </row>
    <row r="6249" spans="5:5">
      <c r="E6249" s="51"/>
    </row>
    <row r="6250" spans="5:5">
      <c r="E6250" s="51"/>
    </row>
    <row r="6251" spans="5:5">
      <c r="E6251" s="51"/>
    </row>
    <row r="6252" spans="5:5">
      <c r="E6252" s="51"/>
    </row>
    <row r="6253" spans="5:5">
      <c r="E6253" s="51"/>
    </row>
    <row r="6254" spans="5:5">
      <c r="E6254" s="51"/>
    </row>
    <row r="6255" spans="5:5">
      <c r="E6255" s="51"/>
    </row>
    <row r="6256" spans="5:5">
      <c r="E6256" s="51"/>
    </row>
    <row r="6257" spans="5:5">
      <c r="E6257" s="51"/>
    </row>
    <row r="6258" spans="5:5">
      <c r="E6258" s="51"/>
    </row>
    <row r="6259" spans="5:5">
      <c r="E6259" s="51"/>
    </row>
    <row r="6260" spans="5:5">
      <c r="E6260" s="51"/>
    </row>
    <row r="6261" spans="5:5">
      <c r="E6261" s="51"/>
    </row>
    <row r="6262" spans="5:5">
      <c r="E6262" s="51"/>
    </row>
    <row r="6263" spans="5:5">
      <c r="E6263" s="51"/>
    </row>
    <row r="6264" spans="5:5">
      <c r="E6264" s="51"/>
    </row>
    <row r="6265" spans="5:5">
      <c r="E6265" s="51"/>
    </row>
    <row r="6266" spans="5:5">
      <c r="E6266" s="51"/>
    </row>
    <row r="6267" spans="5:5">
      <c r="E6267" s="51"/>
    </row>
    <row r="6268" spans="5:5">
      <c r="E6268" s="51"/>
    </row>
    <row r="6269" spans="5:5">
      <c r="E6269" s="51"/>
    </row>
    <row r="6270" spans="5:5">
      <c r="E6270" s="51"/>
    </row>
    <row r="6271" spans="5:5">
      <c r="E6271" s="51"/>
    </row>
    <row r="6272" spans="5:5">
      <c r="E6272" s="51"/>
    </row>
    <row r="6273" spans="5:5">
      <c r="E6273" s="51"/>
    </row>
    <row r="6274" spans="5:5">
      <c r="E6274" s="51"/>
    </row>
    <row r="6275" spans="5:5">
      <c r="E6275" s="51"/>
    </row>
    <row r="6276" spans="5:5">
      <c r="E6276" s="51"/>
    </row>
    <row r="6277" spans="5:5">
      <c r="E6277" s="51"/>
    </row>
    <row r="6278" spans="5:5">
      <c r="E6278" s="51"/>
    </row>
    <row r="6279" spans="5:5">
      <c r="E6279" s="51"/>
    </row>
    <row r="6280" spans="5:5">
      <c r="E6280" s="51"/>
    </row>
    <row r="6281" spans="5:5">
      <c r="E6281" s="51"/>
    </row>
    <row r="6282" spans="5:5">
      <c r="E6282" s="51"/>
    </row>
    <row r="6283" spans="5:5">
      <c r="E6283" s="51"/>
    </row>
    <row r="6284" spans="5:5">
      <c r="E6284" s="51"/>
    </row>
    <row r="6285" spans="5:5">
      <c r="E6285" s="51"/>
    </row>
    <row r="6286" spans="5:5">
      <c r="E6286" s="51"/>
    </row>
    <row r="6287" spans="5:5">
      <c r="E6287" s="51"/>
    </row>
    <row r="6288" spans="5:5">
      <c r="E6288" s="51"/>
    </row>
    <row r="6289" spans="5:5">
      <c r="E6289" s="51"/>
    </row>
    <row r="6290" spans="5:5">
      <c r="E6290" s="51"/>
    </row>
    <row r="6291" spans="5:5">
      <c r="E6291" s="51"/>
    </row>
    <row r="6292" spans="5:5">
      <c r="E6292" s="51"/>
    </row>
    <row r="6293" spans="5:5">
      <c r="E6293" s="51"/>
    </row>
    <row r="6294" spans="5:5">
      <c r="E6294" s="51"/>
    </row>
    <row r="6295" spans="5:5">
      <c r="E6295" s="51"/>
    </row>
    <row r="6296" spans="5:5">
      <c r="E6296" s="51"/>
    </row>
    <row r="6297" spans="5:5">
      <c r="E6297" s="51"/>
    </row>
    <row r="6298" spans="5:5">
      <c r="E6298" s="51"/>
    </row>
    <row r="6299" spans="5:5">
      <c r="E6299" s="51"/>
    </row>
    <row r="6300" spans="5:5">
      <c r="E6300" s="51"/>
    </row>
    <row r="6301" spans="5:5">
      <c r="E6301" s="51"/>
    </row>
    <row r="6302" spans="5:5">
      <c r="E6302" s="51"/>
    </row>
    <row r="6303" spans="5:5">
      <c r="E6303" s="51"/>
    </row>
    <row r="6304" spans="5:5">
      <c r="E6304" s="51"/>
    </row>
    <row r="6305" spans="5:5">
      <c r="E6305" s="51"/>
    </row>
    <row r="6306" spans="5:5">
      <c r="E6306" s="51"/>
    </row>
    <row r="6307" spans="5:5">
      <c r="E6307" s="51"/>
    </row>
    <row r="6308" spans="5:5">
      <c r="E6308" s="51"/>
    </row>
    <row r="6309" spans="5:5">
      <c r="E6309" s="51"/>
    </row>
    <row r="6310" spans="5:5">
      <c r="E6310" s="51"/>
    </row>
    <row r="6311" spans="5:5">
      <c r="E6311" s="51"/>
    </row>
    <row r="6312" spans="5:5">
      <c r="E6312" s="51"/>
    </row>
    <row r="6313" spans="5:5">
      <c r="E6313" s="51"/>
    </row>
    <row r="6314" spans="5:5">
      <c r="E6314" s="51"/>
    </row>
    <row r="6315" spans="5:5">
      <c r="E6315" s="51"/>
    </row>
    <row r="6316" spans="5:5">
      <c r="E6316" s="51"/>
    </row>
    <row r="6317" spans="5:5">
      <c r="E6317" s="51"/>
    </row>
    <row r="6318" spans="5:5">
      <c r="E6318" s="51"/>
    </row>
    <row r="6319" spans="5:5">
      <c r="E6319" s="51"/>
    </row>
    <row r="6320" spans="5:5">
      <c r="E6320" s="51"/>
    </row>
    <row r="6321" spans="5:5">
      <c r="E6321" s="51"/>
    </row>
    <row r="6322" spans="5:5">
      <c r="E6322" s="51"/>
    </row>
    <row r="6323" spans="5:5">
      <c r="E6323" s="51"/>
    </row>
    <row r="6324" spans="5:5">
      <c r="E6324" s="51"/>
    </row>
    <row r="6325" spans="5:5">
      <c r="E6325" s="51"/>
    </row>
    <row r="6326" spans="5:5">
      <c r="E6326" s="51"/>
    </row>
    <row r="6327" spans="5:5">
      <c r="E6327" s="51"/>
    </row>
    <row r="6328" spans="5:5">
      <c r="E6328" s="51"/>
    </row>
    <row r="6329" spans="5:5">
      <c r="E6329" s="51"/>
    </row>
    <row r="6330" spans="5:5">
      <c r="E6330" s="51"/>
    </row>
    <row r="6331" spans="5:5">
      <c r="E6331" s="51"/>
    </row>
    <row r="6332" spans="5:5">
      <c r="E6332" s="51"/>
    </row>
    <row r="6333" spans="5:5">
      <c r="E6333" s="51"/>
    </row>
    <row r="6334" spans="5:5">
      <c r="E6334" s="51"/>
    </row>
    <row r="6335" spans="5:5">
      <c r="E6335" s="51"/>
    </row>
    <row r="6336" spans="5:5">
      <c r="E6336" s="51"/>
    </row>
    <row r="6337" spans="5:5">
      <c r="E6337" s="51"/>
    </row>
    <row r="6338" spans="5:5">
      <c r="E6338" s="51"/>
    </row>
    <row r="6339" spans="5:5">
      <c r="E6339" s="51"/>
    </row>
    <row r="6340" spans="5:5">
      <c r="E6340" s="51"/>
    </row>
    <row r="6341" spans="5:5">
      <c r="E6341" s="51"/>
    </row>
    <row r="6342" spans="5:5">
      <c r="E6342" s="51"/>
    </row>
    <row r="6343" spans="5:5">
      <c r="E6343" s="51"/>
    </row>
    <row r="6344" spans="5:5">
      <c r="E6344" s="51"/>
    </row>
    <row r="6345" spans="5:5">
      <c r="E6345" s="51"/>
    </row>
    <row r="6346" spans="5:5">
      <c r="E6346" s="51"/>
    </row>
    <row r="6347" spans="5:5">
      <c r="E6347" s="51"/>
    </row>
    <row r="6348" spans="5:5">
      <c r="E6348" s="51"/>
    </row>
    <row r="6349" spans="5:5">
      <c r="E6349" s="51"/>
    </row>
    <row r="6350" spans="5:5">
      <c r="E6350" s="51"/>
    </row>
    <row r="6351" spans="5:5">
      <c r="E6351" s="51"/>
    </row>
    <row r="6352" spans="5:5">
      <c r="E6352" s="51"/>
    </row>
    <row r="6353" spans="5:5">
      <c r="E6353" s="51"/>
    </row>
    <row r="6354" spans="5:5">
      <c r="E6354" s="51"/>
    </row>
    <row r="6355" spans="5:5">
      <c r="E6355" s="51"/>
    </row>
    <row r="6356" spans="5:5">
      <c r="E6356" s="51"/>
    </row>
    <row r="6357" spans="5:5">
      <c r="E6357" s="51"/>
    </row>
    <row r="6358" spans="5:5">
      <c r="E6358" s="51"/>
    </row>
    <row r="6359" spans="5:5">
      <c r="E6359" s="51"/>
    </row>
    <row r="6360" spans="5:5">
      <c r="E6360" s="51"/>
    </row>
    <row r="6361" spans="5:5">
      <c r="E6361" s="51"/>
    </row>
    <row r="6362" spans="5:5">
      <c r="E6362" s="51"/>
    </row>
    <row r="6363" spans="5:5">
      <c r="E6363" s="51"/>
    </row>
    <row r="6364" spans="5:5">
      <c r="E6364" s="51"/>
    </row>
    <row r="6365" spans="5:5">
      <c r="E6365" s="51"/>
    </row>
    <row r="6366" spans="5:5">
      <c r="E6366" s="51"/>
    </row>
    <row r="6367" spans="5:5">
      <c r="E6367" s="51"/>
    </row>
    <row r="6368" spans="5:5">
      <c r="E6368" s="51"/>
    </row>
    <row r="6369" spans="5:5">
      <c r="E6369" s="51"/>
    </row>
    <row r="6370" spans="5:5">
      <c r="E6370" s="51"/>
    </row>
    <row r="6371" spans="5:5">
      <c r="E6371" s="51"/>
    </row>
    <row r="6372" spans="5:5">
      <c r="E6372" s="51"/>
    </row>
    <row r="6373" spans="5:5">
      <c r="E6373" s="51"/>
    </row>
    <row r="6374" spans="5:5">
      <c r="E6374" s="51"/>
    </row>
    <row r="6375" spans="5:5">
      <c r="E6375" s="51"/>
    </row>
    <row r="6376" spans="5:5">
      <c r="E6376" s="51"/>
    </row>
    <row r="6377" spans="5:5">
      <c r="E6377" s="51"/>
    </row>
    <row r="6378" spans="5:5">
      <c r="E6378" s="51"/>
    </row>
    <row r="6379" spans="5:5">
      <c r="E6379" s="51"/>
    </row>
    <row r="6380" spans="5:5">
      <c r="E6380" s="51"/>
    </row>
    <row r="6381" spans="5:5">
      <c r="E6381" s="51"/>
    </row>
    <row r="6382" spans="5:5">
      <c r="E6382" s="51"/>
    </row>
    <row r="6383" spans="5:5">
      <c r="E6383" s="51"/>
    </row>
    <row r="6384" spans="5:5">
      <c r="E6384" s="51"/>
    </row>
    <row r="6385" spans="5:5">
      <c r="E6385" s="51"/>
    </row>
    <row r="6386" spans="5:5">
      <c r="E6386" s="51"/>
    </row>
    <row r="6387" spans="5:5">
      <c r="E6387" s="51"/>
    </row>
    <row r="6388" spans="5:5">
      <c r="E6388" s="51"/>
    </row>
    <row r="6389" spans="5:5">
      <c r="E6389" s="51"/>
    </row>
    <row r="6390" spans="5:5">
      <c r="E6390" s="51"/>
    </row>
    <row r="6391" spans="5:5">
      <c r="E6391" s="51"/>
    </row>
    <row r="6392" spans="5:5">
      <c r="E6392" s="51"/>
    </row>
    <row r="6393" spans="5:5">
      <c r="E6393" s="51"/>
    </row>
    <row r="6394" spans="5:5">
      <c r="E6394" s="51"/>
    </row>
    <row r="6395" spans="5:5">
      <c r="E6395" s="51"/>
    </row>
    <row r="6396" spans="5:5">
      <c r="E6396" s="51"/>
    </row>
    <row r="6397" spans="5:5">
      <c r="E6397" s="51"/>
    </row>
    <row r="6398" spans="5:5">
      <c r="E6398" s="51"/>
    </row>
    <row r="6399" spans="5:5">
      <c r="E6399" s="51"/>
    </row>
    <row r="6400" spans="5:5">
      <c r="E6400" s="51"/>
    </row>
    <row r="6401" spans="5:5">
      <c r="E6401" s="51"/>
    </row>
    <row r="6402" spans="5:5">
      <c r="E6402" s="51"/>
    </row>
    <row r="6403" spans="5:5">
      <c r="E6403" s="51"/>
    </row>
    <row r="6404" spans="5:5">
      <c r="E6404" s="51"/>
    </row>
    <row r="6405" spans="5:5">
      <c r="E6405" s="51"/>
    </row>
    <row r="6406" spans="5:5">
      <c r="E6406" s="51"/>
    </row>
    <row r="6407" spans="5:5">
      <c r="E6407" s="51"/>
    </row>
    <row r="6408" spans="5:5">
      <c r="E6408" s="51"/>
    </row>
    <row r="6409" spans="5:5">
      <c r="E6409" s="51"/>
    </row>
    <row r="6410" spans="5:5">
      <c r="E6410" s="51"/>
    </row>
    <row r="6411" spans="5:5">
      <c r="E6411" s="51"/>
    </row>
    <row r="6412" spans="5:5">
      <c r="E6412" s="51"/>
    </row>
    <row r="6413" spans="5:5">
      <c r="E6413" s="51"/>
    </row>
    <row r="6414" spans="5:5">
      <c r="E6414" s="51"/>
    </row>
    <row r="6415" spans="5:5">
      <c r="E6415" s="51"/>
    </row>
    <row r="6416" spans="5:5">
      <c r="E6416" s="51"/>
    </row>
    <row r="6417" spans="5:5">
      <c r="E6417" s="51"/>
    </row>
    <row r="6418" spans="5:5">
      <c r="E6418" s="51"/>
    </row>
    <row r="6419" spans="5:5">
      <c r="E6419" s="51"/>
    </row>
    <row r="6420" spans="5:5">
      <c r="E6420" s="51"/>
    </row>
    <row r="6421" spans="5:5">
      <c r="E6421" s="51"/>
    </row>
    <row r="6422" spans="5:5">
      <c r="E6422" s="51"/>
    </row>
    <row r="6423" spans="5:5">
      <c r="E6423" s="51"/>
    </row>
    <row r="6424" spans="5:5">
      <c r="E6424" s="51"/>
    </row>
    <row r="6425" spans="5:5">
      <c r="E6425" s="51"/>
    </row>
    <row r="6426" spans="5:5">
      <c r="E6426" s="51"/>
    </row>
    <row r="6427" spans="5:5">
      <c r="E6427" s="51"/>
    </row>
    <row r="6428" spans="5:5">
      <c r="E6428" s="51"/>
    </row>
    <row r="6429" spans="5:5">
      <c r="E6429" s="51"/>
    </row>
    <row r="6430" spans="5:5">
      <c r="E6430" s="51"/>
    </row>
    <row r="6431" spans="5:5">
      <c r="E6431" s="51"/>
    </row>
    <row r="6432" spans="5:5">
      <c r="E6432" s="51"/>
    </row>
    <row r="6433" spans="5:5">
      <c r="E6433" s="51"/>
    </row>
    <row r="6434" spans="5:5">
      <c r="E6434" s="51"/>
    </row>
    <row r="6435" spans="5:5">
      <c r="E6435" s="51"/>
    </row>
    <row r="6436" spans="5:5">
      <c r="E6436" s="51"/>
    </row>
    <row r="6437" spans="5:5">
      <c r="E6437" s="51"/>
    </row>
    <row r="6438" spans="5:5">
      <c r="E6438" s="51"/>
    </row>
    <row r="6439" spans="5:5">
      <c r="E6439" s="51"/>
    </row>
    <row r="6440" spans="5:5">
      <c r="E6440" s="51"/>
    </row>
    <row r="6441" spans="5:5">
      <c r="E6441" s="51"/>
    </row>
    <row r="6442" spans="5:5">
      <c r="E6442" s="51"/>
    </row>
    <row r="6443" spans="5:5">
      <c r="E6443" s="51"/>
    </row>
    <row r="6444" spans="5:5">
      <c r="E6444" s="51"/>
    </row>
    <row r="6445" spans="5:5">
      <c r="E6445" s="51"/>
    </row>
    <row r="6446" spans="5:5">
      <c r="E6446" s="51"/>
    </row>
    <row r="6447" spans="5:5">
      <c r="E6447" s="51"/>
    </row>
    <row r="6448" spans="5:5">
      <c r="E6448" s="51"/>
    </row>
    <row r="6449" spans="5:5">
      <c r="E6449" s="51"/>
    </row>
    <row r="6450" spans="5:5">
      <c r="E6450" s="51"/>
    </row>
    <row r="6451" spans="5:5">
      <c r="E6451" s="51"/>
    </row>
    <row r="6452" spans="5:5">
      <c r="E6452" s="51"/>
    </row>
    <row r="6453" spans="5:5">
      <c r="E6453" s="51"/>
    </row>
    <row r="6454" spans="5:5">
      <c r="E6454" s="51"/>
    </row>
    <row r="6455" spans="5:5">
      <c r="E6455" s="51"/>
    </row>
    <row r="6456" spans="5:5">
      <c r="E6456" s="51"/>
    </row>
    <row r="6457" spans="5:5">
      <c r="E6457" s="51"/>
    </row>
    <row r="6458" spans="5:5">
      <c r="E6458" s="51"/>
    </row>
    <row r="6459" spans="5:5">
      <c r="E6459" s="51"/>
    </row>
    <row r="6460" spans="5:5">
      <c r="E6460" s="51"/>
    </row>
    <row r="6461" spans="5:5">
      <c r="E6461" s="51"/>
    </row>
    <row r="6462" spans="5:5">
      <c r="E6462" s="51"/>
    </row>
    <row r="6463" spans="5:5">
      <c r="E6463" s="51"/>
    </row>
    <row r="6464" spans="5:5">
      <c r="E6464" s="51"/>
    </row>
    <row r="6465" spans="5:5">
      <c r="E6465" s="51"/>
    </row>
    <row r="6466" spans="5:5">
      <c r="E6466" s="51"/>
    </row>
    <row r="6467" spans="5:5">
      <c r="E6467" s="51"/>
    </row>
    <row r="6468" spans="5:5">
      <c r="E6468" s="51"/>
    </row>
    <row r="6469" spans="5:5">
      <c r="E6469" s="51"/>
    </row>
    <row r="6470" spans="5:5">
      <c r="E6470" s="51"/>
    </row>
    <row r="6471" spans="5:5">
      <c r="E6471" s="51"/>
    </row>
    <row r="6472" spans="5:5">
      <c r="E6472" s="51"/>
    </row>
    <row r="6473" spans="5:5">
      <c r="E6473" s="51"/>
    </row>
    <row r="6474" spans="5:5">
      <c r="E6474" s="51"/>
    </row>
    <row r="6475" spans="5:5">
      <c r="E6475" s="51"/>
    </row>
    <row r="6476" spans="5:5">
      <c r="E6476" s="51"/>
    </row>
    <row r="6477" spans="5:5">
      <c r="E6477" s="51"/>
    </row>
    <row r="6478" spans="5:5">
      <c r="E6478" s="51"/>
    </row>
    <row r="6479" spans="5:5">
      <c r="E6479" s="51"/>
    </row>
    <row r="6480" spans="5:5">
      <c r="E6480" s="51"/>
    </row>
    <row r="6481" spans="5:5">
      <c r="E6481" s="51"/>
    </row>
    <row r="6482" spans="5:5">
      <c r="E6482" s="51"/>
    </row>
    <row r="6483" spans="5:5">
      <c r="E6483" s="51"/>
    </row>
    <row r="6484" spans="5:5">
      <c r="E6484" s="51"/>
    </row>
    <row r="6485" spans="5:5">
      <c r="E6485" s="51"/>
    </row>
    <row r="6486" spans="5:5">
      <c r="E6486" s="51"/>
    </row>
    <row r="6487" spans="5:5">
      <c r="E6487" s="51"/>
    </row>
    <row r="6488" spans="5:5">
      <c r="E6488" s="51"/>
    </row>
    <row r="6489" spans="5:5">
      <c r="E6489" s="51"/>
    </row>
    <row r="6490" spans="5:5">
      <c r="E6490" s="51"/>
    </row>
    <row r="6491" spans="5:5">
      <c r="E6491" s="51"/>
    </row>
    <row r="6492" spans="5:5">
      <c r="E6492" s="51"/>
    </row>
    <row r="6493" spans="5:5">
      <c r="E6493" s="51"/>
    </row>
    <row r="6494" spans="5:5">
      <c r="E6494" s="51"/>
    </row>
    <row r="6495" spans="5:5">
      <c r="E6495" s="51"/>
    </row>
    <row r="6496" spans="5:5">
      <c r="E6496" s="51"/>
    </row>
    <row r="6497" spans="5:5">
      <c r="E6497" s="51"/>
    </row>
    <row r="6498" spans="5:5">
      <c r="E6498" s="51"/>
    </row>
    <row r="6499" spans="5:5">
      <c r="E6499" s="51"/>
    </row>
    <row r="6500" spans="5:5">
      <c r="E6500" s="51"/>
    </row>
    <row r="6501" spans="5:5">
      <c r="E6501" s="51"/>
    </row>
    <row r="6502" spans="5:5">
      <c r="E6502" s="51"/>
    </row>
    <row r="6503" spans="5:5">
      <c r="E6503" s="51"/>
    </row>
    <row r="6504" spans="5:5">
      <c r="E6504" s="51"/>
    </row>
    <row r="6505" spans="5:5">
      <c r="E6505" s="51"/>
    </row>
    <row r="6506" spans="5:5">
      <c r="E6506" s="51"/>
    </row>
    <row r="6507" spans="5:5">
      <c r="E6507" s="51"/>
    </row>
    <row r="6508" spans="5:5">
      <c r="E6508" s="51"/>
    </row>
    <row r="6509" spans="5:5">
      <c r="E6509" s="51"/>
    </row>
    <row r="6510" spans="5:5">
      <c r="E6510" s="51"/>
    </row>
    <row r="6511" spans="5:5">
      <c r="E6511" s="51"/>
    </row>
    <row r="6512" spans="5:5">
      <c r="E6512" s="51"/>
    </row>
    <row r="6513" spans="5:5">
      <c r="E6513" s="51"/>
    </row>
    <row r="6514" spans="5:5">
      <c r="E6514" s="51"/>
    </row>
    <row r="6515" spans="5:5">
      <c r="E6515" s="51"/>
    </row>
    <row r="6516" spans="5:5">
      <c r="E6516" s="51"/>
    </row>
    <row r="6517" spans="5:5">
      <c r="E6517" s="51"/>
    </row>
    <row r="6518" spans="5:5">
      <c r="E6518" s="51"/>
    </row>
    <row r="6519" spans="5:5">
      <c r="E6519" s="51"/>
    </row>
    <row r="6520" spans="5:5">
      <c r="E6520" s="51"/>
    </row>
    <row r="6521" spans="5:5">
      <c r="E6521" s="51"/>
    </row>
    <row r="6522" spans="5:5">
      <c r="E6522" s="51"/>
    </row>
    <row r="6523" spans="5:5">
      <c r="E6523" s="51"/>
    </row>
    <row r="6524" spans="5:5">
      <c r="E6524" s="51"/>
    </row>
    <row r="6525" spans="5:5">
      <c r="E6525" s="51"/>
    </row>
    <row r="6526" spans="5:5">
      <c r="E6526" s="51"/>
    </row>
    <row r="6527" spans="5:5">
      <c r="E6527" s="51"/>
    </row>
    <row r="6528" spans="5:5">
      <c r="E6528" s="51"/>
    </row>
    <row r="6529" spans="5:5">
      <c r="E6529" s="51"/>
    </row>
    <row r="6530" spans="5:5">
      <c r="E6530" s="51"/>
    </row>
    <row r="6531" spans="5:5">
      <c r="E6531" s="51"/>
    </row>
    <row r="6532" spans="5:5">
      <c r="E6532" s="51"/>
    </row>
    <row r="6533" spans="5:5">
      <c r="E6533" s="51"/>
    </row>
    <row r="6534" spans="5:5">
      <c r="E6534" s="51"/>
    </row>
    <row r="6535" spans="5:5">
      <c r="E6535" s="51"/>
    </row>
    <row r="6536" spans="5:5">
      <c r="E6536" s="51"/>
    </row>
    <row r="6537" spans="5:5">
      <c r="E6537" s="51"/>
    </row>
    <row r="6538" spans="5:5">
      <c r="E6538" s="51"/>
    </row>
    <row r="6539" spans="5:5">
      <c r="E6539" s="51"/>
    </row>
    <row r="6540" spans="5:5">
      <c r="E6540" s="51"/>
    </row>
    <row r="6541" spans="5:5">
      <c r="E6541" s="51"/>
    </row>
    <row r="6542" spans="5:5">
      <c r="E6542" s="51"/>
    </row>
    <row r="6543" spans="5:5">
      <c r="E6543" s="51"/>
    </row>
    <row r="6544" spans="5:5">
      <c r="E6544" s="51"/>
    </row>
    <row r="6545" spans="5:5">
      <c r="E6545" s="51"/>
    </row>
    <row r="6546" spans="5:5">
      <c r="E6546" s="51"/>
    </row>
    <row r="6547" spans="5:5">
      <c r="E6547" s="51"/>
    </row>
    <row r="6548" spans="5:5">
      <c r="E6548" s="51"/>
    </row>
    <row r="6549" spans="5:5">
      <c r="E6549" s="51"/>
    </row>
    <row r="6550" spans="5:5">
      <c r="E6550" s="51"/>
    </row>
    <row r="6551" spans="5:5">
      <c r="E6551" s="51"/>
    </row>
    <row r="6552" spans="5:5">
      <c r="E6552" s="51"/>
    </row>
    <row r="6553" spans="5:5">
      <c r="E6553" s="51"/>
    </row>
    <row r="6554" spans="5:5">
      <c r="E6554" s="51"/>
    </row>
    <row r="6555" spans="5:5">
      <c r="E6555" s="51"/>
    </row>
    <row r="6556" spans="5:5">
      <c r="E6556" s="51"/>
    </row>
    <row r="6557" spans="5:5">
      <c r="E6557" s="51"/>
    </row>
    <row r="6558" spans="5:5">
      <c r="E6558" s="51"/>
    </row>
    <row r="6559" spans="5:5">
      <c r="E6559" s="51"/>
    </row>
    <row r="6560" spans="5:5">
      <c r="E6560" s="51"/>
    </row>
    <row r="6561" spans="5:5">
      <c r="E6561" s="51"/>
    </row>
    <row r="6562" spans="5:5">
      <c r="E6562" s="51"/>
    </row>
    <row r="6563" spans="5:5">
      <c r="E6563" s="51"/>
    </row>
    <row r="6564" spans="5:5">
      <c r="E6564" s="51"/>
    </row>
    <row r="6565" spans="5:5">
      <c r="E6565" s="51"/>
    </row>
    <row r="6566" spans="5:5">
      <c r="E6566" s="51"/>
    </row>
    <row r="6567" spans="5:5">
      <c r="E6567" s="51"/>
    </row>
    <row r="6568" spans="5:5">
      <c r="E6568" s="51"/>
    </row>
    <row r="6569" spans="5:5">
      <c r="E6569" s="51"/>
    </row>
    <row r="6570" spans="5:5">
      <c r="E6570" s="51"/>
    </row>
    <row r="6571" spans="5:5">
      <c r="E6571" s="51"/>
    </row>
    <row r="6572" spans="5:5">
      <c r="E6572" s="51"/>
    </row>
    <row r="6573" spans="5:5">
      <c r="E6573" s="51"/>
    </row>
    <row r="6574" spans="5:5">
      <c r="E6574" s="51"/>
    </row>
    <row r="6575" spans="5:5">
      <c r="E6575" s="51"/>
    </row>
    <row r="6576" spans="5:5">
      <c r="E6576" s="51"/>
    </row>
    <row r="6577" spans="5:5">
      <c r="E6577" s="51"/>
    </row>
    <row r="6578" spans="5:5">
      <c r="E6578" s="51"/>
    </row>
    <row r="6579" spans="5:5">
      <c r="E6579" s="51"/>
    </row>
    <row r="6580" spans="5:5">
      <c r="E6580" s="51"/>
    </row>
    <row r="6581" spans="5:5">
      <c r="E6581" s="51"/>
    </row>
    <row r="6582" spans="5:5">
      <c r="E6582" s="51"/>
    </row>
    <row r="6583" spans="5:5">
      <c r="E6583" s="51"/>
    </row>
    <row r="6584" spans="5:5">
      <c r="E6584" s="51"/>
    </row>
    <row r="6585" spans="5:5">
      <c r="E6585" s="51"/>
    </row>
    <row r="6586" spans="5:5">
      <c r="E6586" s="51"/>
    </row>
    <row r="6587" spans="5:5">
      <c r="E6587" s="51"/>
    </row>
    <row r="6588" spans="5:5">
      <c r="E6588" s="51"/>
    </row>
    <row r="6589" spans="5:5">
      <c r="E6589" s="51"/>
    </row>
    <row r="6590" spans="5:5">
      <c r="E6590" s="51"/>
    </row>
    <row r="6591" spans="5:5">
      <c r="E6591" s="51"/>
    </row>
    <row r="6592" spans="5:5">
      <c r="E6592" s="51"/>
    </row>
    <row r="6593" spans="5:5">
      <c r="E6593" s="51"/>
    </row>
    <row r="6594" spans="5:5">
      <c r="E6594" s="51"/>
    </row>
    <row r="6595" spans="5:5">
      <c r="E6595" s="51"/>
    </row>
    <row r="6596" spans="5:5">
      <c r="E6596" s="51"/>
    </row>
    <row r="6597" spans="5:5">
      <c r="E6597" s="51"/>
    </row>
    <row r="6598" spans="5:5">
      <c r="E6598" s="51"/>
    </row>
    <row r="6599" spans="5:5">
      <c r="E6599" s="51"/>
    </row>
    <row r="6600" spans="5:5">
      <c r="E6600" s="51"/>
    </row>
    <row r="6601" spans="5:5">
      <c r="E6601" s="51"/>
    </row>
    <row r="6602" spans="5:5">
      <c r="E6602" s="51"/>
    </row>
    <row r="6603" spans="5:5">
      <c r="E6603" s="51"/>
    </row>
    <row r="6604" spans="5:5">
      <c r="E6604" s="51"/>
    </row>
    <row r="6605" spans="5:5">
      <c r="E6605" s="51"/>
    </row>
    <row r="6606" spans="5:5">
      <c r="E6606" s="51"/>
    </row>
    <row r="6607" spans="5:5">
      <c r="E6607" s="51"/>
    </row>
    <row r="6608" spans="5:5">
      <c r="E6608" s="51"/>
    </row>
    <row r="6609" spans="5:5">
      <c r="E6609" s="51"/>
    </row>
    <row r="6610" spans="5:5">
      <c r="E6610" s="51"/>
    </row>
    <row r="6611" spans="5:5">
      <c r="E6611" s="51"/>
    </row>
    <row r="6612" spans="5:5">
      <c r="E6612" s="51"/>
    </row>
    <row r="6613" spans="5:5">
      <c r="E6613" s="51"/>
    </row>
    <row r="6614" spans="5:5">
      <c r="E6614" s="51"/>
    </row>
    <row r="6615" spans="5:5">
      <c r="E6615" s="51"/>
    </row>
    <row r="6616" spans="5:5">
      <c r="E6616" s="51"/>
    </row>
    <row r="6617" spans="5:5">
      <c r="E6617" s="51"/>
    </row>
    <row r="6618" spans="5:5">
      <c r="E6618" s="51"/>
    </row>
    <row r="6619" spans="5:5">
      <c r="E6619" s="51"/>
    </row>
    <row r="6620" spans="5:5">
      <c r="E6620" s="51"/>
    </row>
    <row r="6621" spans="5:5">
      <c r="E6621" s="51"/>
    </row>
    <row r="6622" spans="5:5">
      <c r="E6622" s="51"/>
    </row>
    <row r="6623" spans="5:5">
      <c r="E6623" s="51"/>
    </row>
    <row r="6624" spans="5:5">
      <c r="E6624" s="51"/>
    </row>
    <row r="6625" spans="5:5">
      <c r="E6625" s="51"/>
    </row>
    <row r="6626" spans="5:5">
      <c r="E6626" s="51"/>
    </row>
    <row r="6627" spans="5:5">
      <c r="E6627" s="51"/>
    </row>
    <row r="6628" spans="5:5">
      <c r="E6628" s="51"/>
    </row>
    <row r="6629" spans="5:5">
      <c r="E6629" s="51"/>
    </row>
    <row r="6630" spans="5:5">
      <c r="E6630" s="51"/>
    </row>
    <row r="6631" spans="5:5">
      <c r="E6631" s="51"/>
    </row>
    <row r="6632" spans="5:5">
      <c r="E6632" s="51"/>
    </row>
    <row r="6633" spans="5:5">
      <c r="E6633" s="51"/>
    </row>
    <row r="6634" spans="5:5">
      <c r="E6634" s="51"/>
    </row>
    <row r="6635" spans="5:5">
      <c r="E6635" s="51"/>
    </row>
    <row r="6636" spans="5:5">
      <c r="E6636" s="51"/>
    </row>
    <row r="6637" spans="5:5">
      <c r="E6637" s="51"/>
    </row>
    <row r="6638" spans="5:5">
      <c r="E6638" s="51"/>
    </row>
    <row r="6639" spans="5:5">
      <c r="E6639" s="51"/>
    </row>
    <row r="6640" spans="5:5">
      <c r="E6640" s="51"/>
    </row>
    <row r="6641" spans="5:5">
      <c r="E6641" s="51"/>
    </row>
    <row r="6642" spans="5:5">
      <c r="E6642" s="51"/>
    </row>
    <row r="6643" spans="5:5">
      <c r="E6643" s="51"/>
    </row>
    <row r="6644" spans="5:5">
      <c r="E6644" s="51"/>
    </row>
    <row r="6645" spans="5:5">
      <c r="E6645" s="51"/>
    </row>
    <row r="6646" spans="5:5">
      <c r="E6646" s="51"/>
    </row>
    <row r="6647" spans="5:5">
      <c r="E6647" s="51"/>
    </row>
    <row r="6648" spans="5:5">
      <c r="E6648" s="51"/>
    </row>
    <row r="6649" spans="5:5">
      <c r="E6649" s="51"/>
    </row>
    <row r="6650" spans="5:5">
      <c r="E6650" s="51"/>
    </row>
    <row r="6651" spans="5:5">
      <c r="E6651" s="51"/>
    </row>
    <row r="6652" spans="5:5">
      <c r="E6652" s="51"/>
    </row>
    <row r="6653" spans="5:5">
      <c r="E6653" s="51"/>
    </row>
    <row r="6654" spans="5:5">
      <c r="E6654" s="51"/>
    </row>
    <row r="6655" spans="5:5">
      <c r="E6655" s="51"/>
    </row>
    <row r="6656" spans="5:5">
      <c r="E6656" s="51"/>
    </row>
    <row r="6657" spans="5:5">
      <c r="E6657" s="51"/>
    </row>
    <row r="6658" spans="5:5">
      <c r="E6658" s="51"/>
    </row>
    <row r="6659" spans="5:5">
      <c r="E6659" s="51"/>
    </row>
    <row r="6660" spans="5:5">
      <c r="E6660" s="51"/>
    </row>
    <row r="6661" spans="5:5">
      <c r="E6661" s="51"/>
    </row>
    <row r="6662" spans="5:5">
      <c r="E6662" s="51"/>
    </row>
    <row r="6663" spans="5:5">
      <c r="E6663" s="51"/>
    </row>
    <row r="6664" spans="5:5">
      <c r="E6664" s="51"/>
    </row>
    <row r="6665" spans="5:5">
      <c r="E6665" s="51"/>
    </row>
    <row r="6666" spans="5:5">
      <c r="E6666" s="51"/>
    </row>
    <row r="6667" spans="5:5">
      <c r="E6667" s="51"/>
    </row>
    <row r="6668" spans="5:5">
      <c r="E6668" s="51"/>
    </row>
    <row r="6669" spans="5:5">
      <c r="E6669" s="51"/>
    </row>
    <row r="6670" spans="5:5">
      <c r="E6670" s="51"/>
    </row>
    <row r="6671" spans="5:5">
      <c r="E6671" s="51"/>
    </row>
    <row r="6672" spans="5:5">
      <c r="E6672" s="51"/>
    </row>
    <row r="6673" spans="5:5">
      <c r="E6673" s="51"/>
    </row>
    <row r="6674" spans="5:5">
      <c r="E6674" s="51"/>
    </row>
    <row r="6675" spans="5:5">
      <c r="E6675" s="51"/>
    </row>
    <row r="6676" spans="5:5">
      <c r="E6676" s="51"/>
    </row>
    <row r="6677" spans="5:5">
      <c r="E6677" s="51"/>
    </row>
    <row r="6678" spans="5:5">
      <c r="E6678" s="51"/>
    </row>
    <row r="6679" spans="5:5">
      <c r="E6679" s="51"/>
    </row>
    <row r="6680" spans="5:5">
      <c r="E6680" s="51"/>
    </row>
    <row r="6681" spans="5:5">
      <c r="E6681" s="51"/>
    </row>
    <row r="6682" spans="5:5">
      <c r="E6682" s="51"/>
    </row>
    <row r="6683" spans="5:5">
      <c r="E6683" s="51"/>
    </row>
    <row r="6684" spans="5:5">
      <c r="E6684" s="51"/>
    </row>
    <row r="6685" spans="5:5">
      <c r="E6685" s="51"/>
    </row>
    <row r="6686" spans="5:5">
      <c r="E6686" s="51"/>
    </row>
    <row r="6687" spans="5:5">
      <c r="E6687" s="51"/>
    </row>
    <row r="6688" spans="5:5">
      <c r="E6688" s="51"/>
    </row>
    <row r="6689" spans="5:5">
      <c r="E6689" s="51"/>
    </row>
    <row r="6690" spans="5:5">
      <c r="E6690" s="51"/>
    </row>
    <row r="6691" spans="5:5">
      <c r="E6691" s="51"/>
    </row>
    <row r="6692" spans="5:5">
      <c r="E6692" s="51"/>
    </row>
    <row r="6693" spans="5:5">
      <c r="E6693" s="51"/>
    </row>
    <row r="6694" spans="5:5">
      <c r="E6694" s="51"/>
    </row>
    <row r="6695" spans="5:5">
      <c r="E6695" s="51"/>
    </row>
    <row r="6696" spans="5:5">
      <c r="E6696" s="51"/>
    </row>
    <row r="6697" spans="5:5">
      <c r="E6697" s="51"/>
    </row>
    <row r="6698" spans="5:5">
      <c r="E6698" s="51"/>
    </row>
    <row r="6699" spans="5:5">
      <c r="E6699" s="51"/>
    </row>
    <row r="6700" spans="5:5">
      <c r="E6700" s="51"/>
    </row>
    <row r="6701" spans="5:5">
      <c r="E6701" s="51"/>
    </row>
    <row r="6702" spans="5:5">
      <c r="E6702" s="51"/>
    </row>
    <row r="6703" spans="5:5">
      <c r="E6703" s="51"/>
    </row>
    <row r="6704" spans="5:5">
      <c r="E6704" s="51"/>
    </row>
    <row r="6705" spans="5:5">
      <c r="E6705" s="51"/>
    </row>
    <row r="6706" spans="5:5">
      <c r="E6706" s="51"/>
    </row>
    <row r="6707" spans="5:5">
      <c r="E6707" s="51"/>
    </row>
    <row r="6708" spans="5:5">
      <c r="E6708" s="51"/>
    </row>
    <row r="6709" spans="5:5">
      <c r="E6709" s="51"/>
    </row>
    <row r="6710" spans="5:5">
      <c r="E6710" s="51"/>
    </row>
    <row r="6711" spans="5:5">
      <c r="E6711" s="51"/>
    </row>
    <row r="6712" spans="5:5">
      <c r="E6712" s="51"/>
    </row>
    <row r="6713" spans="5:5">
      <c r="E6713" s="51"/>
    </row>
    <row r="6714" spans="5:5">
      <c r="E6714" s="51"/>
    </row>
    <row r="6715" spans="5:5">
      <c r="E6715" s="51"/>
    </row>
    <row r="6716" spans="5:5">
      <c r="E6716" s="51"/>
    </row>
    <row r="6717" spans="5:5">
      <c r="E6717" s="51"/>
    </row>
    <row r="6718" spans="5:5">
      <c r="E6718" s="51"/>
    </row>
    <row r="6719" spans="5:5">
      <c r="E6719" s="51"/>
    </row>
    <row r="6720" spans="5:5">
      <c r="E6720" s="51"/>
    </row>
    <row r="6721" spans="5:5">
      <c r="E6721" s="51"/>
    </row>
    <row r="6722" spans="5:5">
      <c r="E6722" s="51"/>
    </row>
    <row r="6723" spans="5:5">
      <c r="E6723" s="51"/>
    </row>
    <row r="6724" spans="5:5">
      <c r="E6724" s="51"/>
    </row>
    <row r="6725" spans="5:5">
      <c r="E6725" s="51"/>
    </row>
    <row r="6726" spans="5:5">
      <c r="E6726" s="51"/>
    </row>
    <row r="6727" spans="5:5">
      <c r="E6727" s="51"/>
    </row>
    <row r="6728" spans="5:5">
      <c r="E6728" s="51"/>
    </row>
    <row r="6729" spans="5:5">
      <c r="E6729" s="51"/>
    </row>
    <row r="6730" spans="5:5">
      <c r="E6730" s="51"/>
    </row>
    <row r="6731" spans="5:5">
      <c r="E6731" s="51"/>
    </row>
    <row r="6732" spans="5:5">
      <c r="E6732" s="51"/>
    </row>
    <row r="6733" spans="5:5">
      <c r="E6733" s="51"/>
    </row>
    <row r="6734" spans="5:5">
      <c r="E6734" s="51"/>
    </row>
    <row r="6735" spans="5:5">
      <c r="E6735" s="51"/>
    </row>
    <row r="6736" spans="5:5">
      <c r="E6736" s="51"/>
    </row>
    <row r="6737" spans="5:5">
      <c r="E6737" s="51"/>
    </row>
    <row r="6738" spans="5:5">
      <c r="E6738" s="51"/>
    </row>
    <row r="6739" spans="5:5">
      <c r="E6739" s="51"/>
    </row>
    <row r="6740" spans="5:5">
      <c r="E6740" s="51"/>
    </row>
    <row r="6741" spans="5:5">
      <c r="E6741" s="51"/>
    </row>
    <row r="6742" spans="5:5">
      <c r="E6742" s="51"/>
    </row>
    <row r="6743" spans="5:5">
      <c r="E6743" s="51"/>
    </row>
    <row r="6744" spans="5:5">
      <c r="E6744" s="51"/>
    </row>
    <row r="6745" spans="5:5">
      <c r="E6745" s="51"/>
    </row>
    <row r="6746" spans="5:5">
      <c r="E6746" s="51"/>
    </row>
    <row r="6747" spans="5:5">
      <c r="E6747" s="51"/>
    </row>
    <row r="6748" spans="5:5">
      <c r="E6748" s="51"/>
    </row>
    <row r="6749" spans="5:5">
      <c r="E6749" s="51"/>
    </row>
    <row r="6750" spans="5:5">
      <c r="E6750" s="51"/>
    </row>
    <row r="6751" spans="5:5">
      <c r="E6751" s="51"/>
    </row>
    <row r="6752" spans="5:5">
      <c r="E6752" s="51"/>
    </row>
    <row r="6753" spans="5:5">
      <c r="E6753" s="51"/>
    </row>
    <row r="6754" spans="5:5">
      <c r="E6754" s="51"/>
    </row>
    <row r="6755" spans="5:5">
      <c r="E6755" s="51"/>
    </row>
    <row r="6756" spans="5:5">
      <c r="E6756" s="51"/>
    </row>
    <row r="6757" spans="5:5">
      <c r="E6757" s="51"/>
    </row>
    <row r="6758" spans="5:5">
      <c r="E6758" s="51"/>
    </row>
    <row r="6759" spans="5:5">
      <c r="E6759" s="51"/>
    </row>
    <row r="6760" spans="5:5">
      <c r="E6760" s="51"/>
    </row>
    <row r="6761" spans="5:5">
      <c r="E6761" s="51"/>
    </row>
    <row r="6762" spans="5:5">
      <c r="E6762" s="51"/>
    </row>
    <row r="6763" spans="5:5">
      <c r="E6763" s="51"/>
    </row>
    <row r="6764" spans="5:5">
      <c r="E6764" s="51"/>
    </row>
    <row r="6765" spans="5:5">
      <c r="E6765" s="51"/>
    </row>
    <row r="6766" spans="5:5">
      <c r="E6766" s="51"/>
    </row>
    <row r="6767" spans="5:5">
      <c r="E6767" s="51"/>
    </row>
    <row r="6768" spans="5:5">
      <c r="E6768" s="51"/>
    </row>
    <row r="6769" spans="5:5">
      <c r="E6769" s="51"/>
    </row>
    <row r="6770" spans="5:5">
      <c r="E6770" s="51"/>
    </row>
    <row r="6771" spans="5:5">
      <c r="E6771" s="51"/>
    </row>
    <row r="6772" spans="5:5">
      <c r="E6772" s="51"/>
    </row>
    <row r="6773" spans="5:5">
      <c r="E6773" s="51"/>
    </row>
    <row r="6774" spans="5:5">
      <c r="E6774" s="51"/>
    </row>
    <row r="6775" spans="5:5">
      <c r="E6775" s="51"/>
    </row>
    <row r="6776" spans="5:5">
      <c r="E6776" s="51"/>
    </row>
    <row r="6777" spans="5:5">
      <c r="E6777" s="51"/>
    </row>
    <row r="6778" spans="5:5">
      <c r="E6778" s="51"/>
    </row>
    <row r="6779" spans="5:5">
      <c r="E6779" s="51"/>
    </row>
    <row r="6780" spans="5:5">
      <c r="E6780" s="51"/>
    </row>
    <row r="6781" spans="5:5">
      <c r="E6781" s="51"/>
    </row>
    <row r="6782" spans="5:5">
      <c r="E6782" s="51"/>
    </row>
    <row r="6783" spans="5:5">
      <c r="E6783" s="51"/>
    </row>
    <row r="6784" spans="5:5">
      <c r="E6784" s="51"/>
    </row>
    <row r="6785" spans="5:5">
      <c r="E6785" s="51"/>
    </row>
    <row r="6786" spans="5:5">
      <c r="E6786" s="51"/>
    </row>
    <row r="6787" spans="5:5">
      <c r="E6787" s="51"/>
    </row>
    <row r="6788" spans="5:5">
      <c r="E6788" s="51"/>
    </row>
    <row r="6789" spans="5:5">
      <c r="E6789" s="51"/>
    </row>
    <row r="6790" spans="5:5">
      <c r="E6790" s="51"/>
    </row>
    <row r="6791" spans="5:5">
      <c r="E6791" s="51"/>
    </row>
    <row r="6792" spans="5:5">
      <c r="E6792" s="51"/>
    </row>
    <row r="6793" spans="5:5">
      <c r="E6793" s="51"/>
    </row>
    <row r="6794" spans="5:5">
      <c r="E6794" s="51"/>
    </row>
    <row r="6795" spans="5:5">
      <c r="E6795" s="51"/>
    </row>
    <row r="6796" spans="5:5">
      <c r="E6796" s="51"/>
    </row>
    <row r="6797" spans="5:5">
      <c r="E6797" s="51"/>
    </row>
    <row r="6798" spans="5:5">
      <c r="E6798" s="51"/>
    </row>
    <row r="6799" spans="5:5">
      <c r="E6799" s="51"/>
    </row>
    <row r="6800" spans="5:5">
      <c r="E6800" s="51"/>
    </row>
    <row r="6801" spans="5:5">
      <c r="E6801" s="51"/>
    </row>
    <row r="6802" spans="5:5">
      <c r="E6802" s="51"/>
    </row>
    <row r="6803" spans="5:5">
      <c r="E6803" s="51"/>
    </row>
    <row r="6804" spans="5:5">
      <c r="E6804" s="51"/>
    </row>
    <row r="6805" spans="5:5">
      <c r="E6805" s="51"/>
    </row>
    <row r="6806" spans="5:5">
      <c r="E6806" s="51"/>
    </row>
    <row r="6807" spans="5:5">
      <c r="E6807" s="51"/>
    </row>
    <row r="6808" spans="5:5">
      <c r="E6808" s="51"/>
    </row>
    <row r="6809" spans="5:5">
      <c r="E6809" s="51"/>
    </row>
    <row r="6810" spans="5:5">
      <c r="E6810" s="51"/>
    </row>
    <row r="6811" spans="5:5">
      <c r="E6811" s="51"/>
    </row>
    <row r="6812" spans="5:5">
      <c r="E6812" s="51"/>
    </row>
    <row r="6813" spans="5:5">
      <c r="E6813" s="51"/>
    </row>
    <row r="6814" spans="5:5">
      <c r="E6814" s="51"/>
    </row>
    <row r="6815" spans="5:5">
      <c r="E6815" s="51"/>
    </row>
    <row r="6816" spans="5:5">
      <c r="E6816" s="51"/>
    </row>
    <row r="6817" spans="5:5">
      <c r="E6817" s="51"/>
    </row>
    <row r="6818" spans="5:5">
      <c r="E6818" s="51"/>
    </row>
    <row r="6819" spans="5:5">
      <c r="E6819" s="51"/>
    </row>
    <row r="6820" spans="5:5">
      <c r="E6820" s="51"/>
    </row>
    <row r="6821" spans="5:5">
      <c r="E6821" s="51"/>
    </row>
    <row r="6822" spans="5:5">
      <c r="E6822" s="51"/>
    </row>
    <row r="6823" spans="5:5">
      <c r="E6823" s="51"/>
    </row>
    <row r="6824" spans="5:5">
      <c r="E6824" s="51"/>
    </row>
    <row r="6825" spans="5:5">
      <c r="E6825" s="51"/>
    </row>
    <row r="6826" spans="5:5">
      <c r="E6826" s="51"/>
    </row>
    <row r="6827" spans="5:5">
      <c r="E6827" s="51"/>
    </row>
    <row r="6828" spans="5:5">
      <c r="E6828" s="51"/>
    </row>
    <row r="6829" spans="5:5">
      <c r="E6829" s="51"/>
    </row>
    <row r="6830" spans="5:5">
      <c r="E6830" s="51"/>
    </row>
    <row r="6831" spans="5:5">
      <c r="E6831" s="51"/>
    </row>
    <row r="6832" spans="5:5">
      <c r="E6832" s="51"/>
    </row>
    <row r="6833" spans="5:5">
      <c r="E6833" s="51"/>
    </row>
    <row r="6834" spans="5:5">
      <c r="E6834" s="51"/>
    </row>
    <row r="6835" spans="5:5">
      <c r="E6835" s="51"/>
    </row>
    <row r="6836" spans="5:5">
      <c r="E6836" s="51"/>
    </row>
    <row r="6837" spans="5:5">
      <c r="E6837" s="51"/>
    </row>
    <row r="6838" spans="5:5">
      <c r="E6838" s="51"/>
    </row>
    <row r="6839" spans="5:5">
      <c r="E6839" s="51"/>
    </row>
    <row r="6840" spans="5:5">
      <c r="E6840" s="51"/>
    </row>
    <row r="6841" spans="5:5">
      <c r="E6841" s="51"/>
    </row>
    <row r="6842" spans="5:5">
      <c r="E6842" s="51"/>
    </row>
    <row r="6843" spans="5:5">
      <c r="E6843" s="51"/>
    </row>
    <row r="6844" spans="5:5">
      <c r="E6844" s="51"/>
    </row>
    <row r="6845" spans="5:5">
      <c r="E6845" s="51"/>
    </row>
    <row r="6846" spans="5:5">
      <c r="E6846" s="51"/>
    </row>
    <row r="6847" spans="5:5">
      <c r="E6847" s="51"/>
    </row>
    <row r="6848" spans="5:5">
      <c r="E6848" s="51"/>
    </row>
    <row r="6849" spans="5:5">
      <c r="E6849" s="51"/>
    </row>
    <row r="6850" spans="5:5">
      <c r="E6850" s="51"/>
    </row>
    <row r="6851" spans="5:5">
      <c r="E6851" s="51"/>
    </row>
    <row r="6852" spans="5:5">
      <c r="E6852" s="51"/>
    </row>
    <row r="6853" spans="5:5">
      <c r="E6853" s="51"/>
    </row>
    <row r="6854" spans="5:5">
      <c r="E6854" s="51"/>
    </row>
    <row r="6855" spans="5:5">
      <c r="E6855" s="51"/>
    </row>
    <row r="6856" spans="5:5">
      <c r="E6856" s="51"/>
    </row>
    <row r="6857" spans="5:5">
      <c r="E6857" s="51"/>
    </row>
    <row r="6858" spans="5:5">
      <c r="E6858" s="51"/>
    </row>
    <row r="6859" spans="5:5">
      <c r="E6859" s="51"/>
    </row>
    <row r="6860" spans="5:5">
      <c r="E6860" s="51"/>
    </row>
    <row r="6861" spans="5:5">
      <c r="E6861" s="51"/>
    </row>
    <row r="6862" spans="5:5">
      <c r="E6862" s="51"/>
    </row>
    <row r="6863" spans="5:5">
      <c r="E6863" s="51"/>
    </row>
    <row r="6864" spans="5:5">
      <c r="E6864" s="51"/>
    </row>
    <row r="6865" spans="5:5">
      <c r="E6865" s="51"/>
    </row>
    <row r="6866" spans="5:5">
      <c r="E6866" s="51"/>
    </row>
    <row r="6867" spans="5:5">
      <c r="E6867" s="51"/>
    </row>
    <row r="6868" spans="5:5">
      <c r="E6868" s="51"/>
    </row>
    <row r="6869" spans="5:5">
      <c r="E6869" s="51"/>
    </row>
    <row r="6870" spans="5:5">
      <c r="E6870" s="51"/>
    </row>
    <row r="6871" spans="5:5">
      <c r="E6871" s="51"/>
    </row>
    <row r="6872" spans="5:5">
      <c r="E6872" s="51"/>
    </row>
    <row r="6873" spans="5:5">
      <c r="E6873" s="51"/>
    </row>
    <row r="6874" spans="5:5">
      <c r="E6874" s="51"/>
    </row>
    <row r="6875" spans="5:5">
      <c r="E6875" s="51"/>
    </row>
    <row r="6876" spans="5:5">
      <c r="E6876" s="51"/>
    </row>
    <row r="6877" spans="5:5">
      <c r="E6877" s="51"/>
    </row>
    <row r="6878" spans="5:5">
      <c r="E6878" s="51"/>
    </row>
    <row r="6879" spans="5:5">
      <c r="E6879" s="51"/>
    </row>
    <row r="6880" spans="5:5">
      <c r="E6880" s="51"/>
    </row>
    <row r="6881" spans="5:5">
      <c r="E6881" s="51"/>
    </row>
    <row r="6882" spans="5:5">
      <c r="E6882" s="51"/>
    </row>
    <row r="6883" spans="5:5">
      <c r="E6883" s="51"/>
    </row>
    <row r="6884" spans="5:5">
      <c r="E6884" s="51"/>
    </row>
    <row r="6885" spans="5:5">
      <c r="E6885" s="51"/>
    </row>
    <row r="6886" spans="5:5">
      <c r="E6886" s="51"/>
    </row>
    <row r="6887" spans="5:5">
      <c r="E6887" s="51"/>
    </row>
    <row r="6888" spans="5:5">
      <c r="E6888" s="51"/>
    </row>
    <row r="6889" spans="5:5">
      <c r="E6889" s="51"/>
    </row>
    <row r="6890" spans="5:5">
      <c r="E6890" s="51"/>
    </row>
    <row r="6891" spans="5:5">
      <c r="E6891" s="51"/>
    </row>
    <row r="6892" spans="5:5">
      <c r="E6892" s="51"/>
    </row>
    <row r="6893" spans="5:5">
      <c r="E6893" s="51"/>
    </row>
    <row r="6894" spans="5:5">
      <c r="E6894" s="51"/>
    </row>
    <row r="6895" spans="5:5">
      <c r="E6895" s="51"/>
    </row>
    <row r="6896" spans="5:5">
      <c r="E6896" s="51"/>
    </row>
    <row r="6897" spans="5:5">
      <c r="E6897" s="51"/>
    </row>
    <row r="6898" spans="5:5">
      <c r="E6898" s="51"/>
    </row>
    <row r="6899" spans="5:5">
      <c r="E6899" s="51"/>
    </row>
    <row r="6900" spans="5:5">
      <c r="E6900" s="51"/>
    </row>
    <row r="6901" spans="5:5">
      <c r="E6901" s="51"/>
    </row>
    <row r="6902" spans="5:5">
      <c r="E6902" s="51"/>
    </row>
    <row r="6903" spans="5:5">
      <c r="E6903" s="51"/>
    </row>
    <row r="6904" spans="5:5">
      <c r="E6904" s="51"/>
    </row>
    <row r="6905" spans="5:5">
      <c r="E6905" s="51"/>
    </row>
    <row r="6906" spans="5:5">
      <c r="E6906" s="51"/>
    </row>
    <row r="6907" spans="5:5">
      <c r="E6907" s="51"/>
    </row>
    <row r="6908" spans="5:5">
      <c r="E6908" s="51"/>
    </row>
    <row r="6909" spans="5:5">
      <c r="E6909" s="51"/>
    </row>
    <row r="6910" spans="5:5">
      <c r="E6910" s="51"/>
    </row>
    <row r="6911" spans="5:5">
      <c r="E6911" s="51"/>
    </row>
    <row r="6912" spans="5:5">
      <c r="E6912" s="51"/>
    </row>
    <row r="6913" spans="5:5">
      <c r="E6913" s="51"/>
    </row>
    <row r="6914" spans="5:5">
      <c r="E6914" s="51"/>
    </row>
    <row r="6915" spans="5:5">
      <c r="E6915" s="51"/>
    </row>
    <row r="6916" spans="5:5">
      <c r="E6916" s="51"/>
    </row>
    <row r="6917" spans="5:5">
      <c r="E6917" s="51"/>
    </row>
    <row r="6918" spans="5:5">
      <c r="E6918" s="51"/>
    </row>
    <row r="6919" spans="5:5">
      <c r="E6919" s="51"/>
    </row>
    <row r="6920" spans="5:5">
      <c r="E6920" s="51"/>
    </row>
    <row r="6921" spans="5:5">
      <c r="E6921" s="51"/>
    </row>
    <row r="6922" spans="5:5">
      <c r="E6922" s="51"/>
    </row>
    <row r="6923" spans="5:5">
      <c r="E6923" s="51"/>
    </row>
    <row r="6924" spans="5:5">
      <c r="E6924" s="51"/>
    </row>
    <row r="6925" spans="5:5">
      <c r="E6925" s="51"/>
    </row>
    <row r="6926" spans="5:5">
      <c r="E6926" s="51"/>
    </row>
    <row r="6927" spans="5:5">
      <c r="E6927" s="51"/>
    </row>
    <row r="6928" spans="5:5">
      <c r="E6928" s="51"/>
    </row>
    <row r="6929" spans="5:5">
      <c r="E6929" s="51"/>
    </row>
    <row r="6930" spans="5:5">
      <c r="E6930" s="51"/>
    </row>
    <row r="6931" spans="5:5">
      <c r="E6931" s="51"/>
    </row>
    <row r="6932" spans="5:5">
      <c r="E6932" s="51"/>
    </row>
    <row r="6933" spans="5:5">
      <c r="E6933" s="51"/>
    </row>
    <row r="6934" spans="5:5">
      <c r="E6934" s="51"/>
    </row>
    <row r="6935" spans="5:5">
      <c r="E6935" s="51"/>
    </row>
    <row r="6936" spans="5:5">
      <c r="E6936" s="51"/>
    </row>
    <row r="6937" spans="5:5">
      <c r="E6937" s="51"/>
    </row>
    <row r="6938" spans="5:5">
      <c r="E6938" s="51"/>
    </row>
    <row r="6939" spans="5:5">
      <c r="E6939" s="51"/>
    </row>
    <row r="6940" spans="5:5">
      <c r="E6940" s="51"/>
    </row>
    <row r="6941" spans="5:5">
      <c r="E6941" s="51"/>
    </row>
    <row r="6942" spans="5:5">
      <c r="E6942" s="51"/>
    </row>
    <row r="6943" spans="5:5">
      <c r="E6943" s="51"/>
    </row>
    <row r="6944" spans="5:5">
      <c r="E6944" s="51"/>
    </row>
    <row r="6945" spans="5:5">
      <c r="E6945" s="51"/>
    </row>
    <row r="6946" spans="5:5">
      <c r="E6946" s="51"/>
    </row>
    <row r="6947" spans="5:5">
      <c r="E6947" s="51"/>
    </row>
    <row r="6948" spans="5:5">
      <c r="E6948" s="51"/>
    </row>
    <row r="6949" spans="5:5">
      <c r="E6949" s="51"/>
    </row>
    <row r="6950" spans="5:5">
      <c r="E6950" s="51"/>
    </row>
    <row r="6951" spans="5:5">
      <c r="E6951" s="51"/>
    </row>
    <row r="6952" spans="5:5">
      <c r="E6952" s="51"/>
    </row>
    <row r="6953" spans="5:5">
      <c r="E6953" s="51"/>
    </row>
    <row r="6954" spans="5:5">
      <c r="E6954" s="51"/>
    </row>
    <row r="6955" spans="5:5">
      <c r="E6955" s="51"/>
    </row>
    <row r="6956" spans="5:5">
      <c r="E6956" s="51"/>
    </row>
    <row r="6957" spans="5:5">
      <c r="E6957" s="51"/>
    </row>
    <row r="6958" spans="5:5">
      <c r="E6958" s="51"/>
    </row>
    <row r="6959" spans="5:5">
      <c r="E6959" s="51"/>
    </row>
    <row r="6960" spans="5:5">
      <c r="E6960" s="51"/>
    </row>
    <row r="6961" spans="5:5">
      <c r="E6961" s="51"/>
    </row>
    <row r="6962" spans="5:5">
      <c r="E6962" s="51"/>
    </row>
    <row r="6963" spans="5:5">
      <c r="E6963" s="51"/>
    </row>
    <row r="6964" spans="5:5">
      <c r="E6964" s="51"/>
    </row>
    <row r="6965" spans="5:5">
      <c r="E6965" s="51"/>
    </row>
    <row r="6966" spans="5:5">
      <c r="E6966" s="51"/>
    </row>
    <row r="6967" spans="5:5">
      <c r="E6967" s="51"/>
    </row>
    <row r="6968" spans="5:5">
      <c r="E6968" s="51"/>
    </row>
    <row r="6969" spans="5:5">
      <c r="E6969" s="51"/>
    </row>
    <row r="6970" spans="5:5">
      <c r="E6970" s="51"/>
    </row>
    <row r="6971" spans="5:5">
      <c r="E6971" s="51"/>
    </row>
    <row r="6972" spans="5:5">
      <c r="E6972" s="51"/>
    </row>
    <row r="6973" spans="5:5">
      <c r="E6973" s="51"/>
    </row>
    <row r="6974" spans="5:5">
      <c r="E6974" s="51"/>
    </row>
    <row r="6975" spans="5:5">
      <c r="E6975" s="51"/>
    </row>
    <row r="6976" spans="5:5">
      <c r="E6976" s="51"/>
    </row>
    <row r="6977" spans="5:5">
      <c r="E6977" s="51"/>
    </row>
    <row r="6978" spans="5:5">
      <c r="E6978" s="51"/>
    </row>
    <row r="6979" spans="5:5">
      <c r="E6979" s="51"/>
    </row>
    <row r="6980" spans="5:5">
      <c r="E6980" s="51"/>
    </row>
    <row r="6981" spans="5:5">
      <c r="E6981" s="51"/>
    </row>
    <row r="6982" spans="5:5">
      <c r="E6982" s="51"/>
    </row>
    <row r="6983" spans="5:5">
      <c r="E6983" s="51"/>
    </row>
    <row r="6984" spans="5:5">
      <c r="E6984" s="51"/>
    </row>
    <row r="6985" spans="5:5">
      <c r="E6985" s="51"/>
    </row>
    <row r="6986" spans="5:5">
      <c r="E6986" s="51"/>
    </row>
    <row r="6987" spans="5:5">
      <c r="E6987" s="51"/>
    </row>
    <row r="6988" spans="5:5">
      <c r="E6988" s="51"/>
    </row>
    <row r="6989" spans="5:5">
      <c r="E6989" s="51"/>
    </row>
    <row r="6990" spans="5:5">
      <c r="E6990" s="51"/>
    </row>
    <row r="6991" spans="5:5">
      <c r="E6991" s="51"/>
    </row>
    <row r="6992" spans="5:5">
      <c r="E6992" s="51"/>
    </row>
    <row r="6993" spans="5:5">
      <c r="E6993" s="51"/>
    </row>
    <row r="6994" spans="5:5">
      <c r="E6994" s="51"/>
    </row>
    <row r="6995" spans="5:5">
      <c r="E6995" s="51"/>
    </row>
    <row r="6996" spans="5:5">
      <c r="E6996" s="51"/>
    </row>
    <row r="6997" spans="5:5">
      <c r="E6997" s="51"/>
    </row>
    <row r="6998" spans="5:5">
      <c r="E6998" s="51"/>
    </row>
    <row r="6999" spans="5:5">
      <c r="E6999" s="51"/>
    </row>
    <row r="7000" spans="5:5">
      <c r="E7000" s="51"/>
    </row>
    <row r="7001" spans="5:5">
      <c r="E7001" s="51"/>
    </row>
    <row r="7002" spans="5:5">
      <c r="E7002" s="51"/>
    </row>
    <row r="7003" spans="5:5">
      <c r="E7003" s="51"/>
    </row>
    <row r="7004" spans="5:5">
      <c r="E7004" s="51"/>
    </row>
    <row r="7005" spans="5:5">
      <c r="E7005" s="51"/>
    </row>
    <row r="7006" spans="5:5">
      <c r="E7006" s="51"/>
    </row>
    <row r="7007" spans="5:5">
      <c r="E7007" s="51"/>
    </row>
    <row r="7008" spans="5:5">
      <c r="E7008" s="51"/>
    </row>
    <row r="7009" spans="5:5">
      <c r="E7009" s="51"/>
    </row>
    <row r="7010" spans="5:5">
      <c r="E7010" s="51"/>
    </row>
    <row r="7011" spans="5:5">
      <c r="E7011" s="51"/>
    </row>
    <row r="7012" spans="5:5">
      <c r="E7012" s="51"/>
    </row>
    <row r="7013" spans="5:5">
      <c r="E7013" s="51"/>
    </row>
    <row r="7014" spans="5:5">
      <c r="E7014" s="51"/>
    </row>
    <row r="7015" spans="5:5">
      <c r="E7015" s="51"/>
    </row>
    <row r="7016" spans="5:5">
      <c r="E7016" s="51"/>
    </row>
    <row r="7017" spans="5:5">
      <c r="E7017" s="51"/>
    </row>
    <row r="7018" spans="5:5">
      <c r="E7018" s="51"/>
    </row>
    <row r="7019" spans="5:5">
      <c r="E7019" s="51"/>
    </row>
    <row r="7020" spans="5:5">
      <c r="E7020" s="51"/>
    </row>
    <row r="7021" spans="5:5">
      <c r="E7021" s="51"/>
    </row>
    <row r="7022" spans="5:5">
      <c r="E7022" s="51"/>
    </row>
    <row r="7023" spans="5:5">
      <c r="E7023" s="51"/>
    </row>
    <row r="7024" spans="5:5">
      <c r="E7024" s="51"/>
    </row>
    <row r="7025" spans="5:5">
      <c r="E7025" s="51"/>
    </row>
    <row r="7026" spans="5:5">
      <c r="E7026" s="51"/>
    </row>
    <row r="7027" spans="5:5">
      <c r="E7027" s="51"/>
    </row>
    <row r="7028" spans="5:5">
      <c r="E7028" s="51"/>
    </row>
    <row r="7029" spans="5:5">
      <c r="E7029" s="51"/>
    </row>
    <row r="7030" spans="5:5">
      <c r="E7030" s="51"/>
    </row>
    <row r="7031" spans="5:5">
      <c r="E7031" s="51"/>
    </row>
    <row r="7032" spans="5:5">
      <c r="E7032" s="51"/>
    </row>
    <row r="7033" spans="5:5">
      <c r="E7033" s="51"/>
    </row>
    <row r="7034" spans="5:5">
      <c r="E7034" s="51"/>
    </row>
    <row r="7035" spans="5:5">
      <c r="E7035" s="51"/>
    </row>
    <row r="7036" spans="5:5">
      <c r="E7036" s="51"/>
    </row>
    <row r="7037" spans="5:5">
      <c r="E7037" s="51"/>
    </row>
    <row r="7038" spans="5:5">
      <c r="E7038" s="51"/>
    </row>
    <row r="7039" spans="5:5">
      <c r="E7039" s="51"/>
    </row>
    <row r="7040" spans="5:5">
      <c r="E7040" s="51"/>
    </row>
    <row r="7041" spans="5:5">
      <c r="E7041" s="51"/>
    </row>
    <row r="7042" spans="5:5">
      <c r="E7042" s="51"/>
    </row>
    <row r="7043" spans="5:5">
      <c r="E7043" s="51"/>
    </row>
    <row r="7044" spans="5:5">
      <c r="E7044" s="51"/>
    </row>
    <row r="7045" spans="5:5">
      <c r="E7045" s="51"/>
    </row>
    <row r="7046" spans="5:5">
      <c r="E7046" s="51"/>
    </row>
    <row r="7047" spans="5:5">
      <c r="E7047" s="51"/>
    </row>
    <row r="7048" spans="5:5">
      <c r="E7048" s="51"/>
    </row>
    <row r="7049" spans="5:5">
      <c r="E7049" s="51"/>
    </row>
    <row r="7050" spans="5:5">
      <c r="E7050" s="51"/>
    </row>
    <row r="7051" spans="5:5">
      <c r="E7051" s="51"/>
    </row>
    <row r="7052" spans="5:5">
      <c r="E7052" s="51"/>
    </row>
    <row r="7053" spans="5:5">
      <c r="E7053" s="51"/>
    </row>
    <row r="7054" spans="5:5">
      <c r="E7054" s="51"/>
    </row>
    <row r="7055" spans="5:5">
      <c r="E7055" s="51"/>
    </row>
    <row r="7056" spans="5:5">
      <c r="E7056" s="51"/>
    </row>
    <row r="7057" spans="5:5">
      <c r="E7057" s="51"/>
    </row>
    <row r="7058" spans="5:5">
      <c r="E7058" s="51"/>
    </row>
    <row r="7059" spans="5:5">
      <c r="E7059" s="51"/>
    </row>
    <row r="7060" spans="5:5">
      <c r="E7060" s="51"/>
    </row>
    <row r="7061" spans="5:5">
      <c r="E7061" s="51"/>
    </row>
    <row r="7062" spans="5:5">
      <c r="E7062" s="51"/>
    </row>
    <row r="7063" spans="5:5">
      <c r="E7063" s="51"/>
    </row>
    <row r="7064" spans="5:5">
      <c r="E7064" s="51"/>
    </row>
    <row r="7065" spans="5:5">
      <c r="E7065" s="51"/>
    </row>
    <row r="7066" spans="5:5">
      <c r="E7066" s="51"/>
    </row>
    <row r="7067" spans="5:5">
      <c r="E7067" s="51"/>
    </row>
    <row r="7068" spans="5:5">
      <c r="E7068" s="51"/>
    </row>
    <row r="7069" spans="5:5">
      <c r="E7069" s="51"/>
    </row>
    <row r="7070" spans="5:5">
      <c r="E7070" s="51"/>
    </row>
    <row r="7071" spans="5:5">
      <c r="E7071" s="51"/>
    </row>
    <row r="7072" spans="5:5">
      <c r="E7072" s="51"/>
    </row>
    <row r="7073" spans="5:5">
      <c r="E7073" s="51"/>
    </row>
    <row r="7074" spans="5:5">
      <c r="E7074" s="51"/>
    </row>
    <row r="7075" spans="5:5">
      <c r="E7075" s="51"/>
    </row>
    <row r="7076" spans="5:5">
      <c r="E7076" s="51"/>
    </row>
    <row r="7077" spans="5:5">
      <c r="E7077" s="51"/>
    </row>
    <row r="7078" spans="5:5">
      <c r="E7078" s="51"/>
    </row>
    <row r="7079" spans="5:5">
      <c r="E7079" s="51"/>
    </row>
    <row r="7080" spans="5:5">
      <c r="E7080" s="51"/>
    </row>
    <row r="7081" spans="5:5">
      <c r="E7081" s="51"/>
    </row>
    <row r="7082" spans="5:5">
      <c r="E7082" s="51"/>
    </row>
    <row r="7083" spans="5:5">
      <c r="E7083" s="51"/>
    </row>
    <row r="7084" spans="5:5">
      <c r="E7084" s="51"/>
    </row>
    <row r="7085" spans="5:5">
      <c r="E7085" s="51"/>
    </row>
    <row r="7086" spans="5:5">
      <c r="E7086" s="51"/>
    </row>
    <row r="7087" spans="5:5">
      <c r="E7087" s="51"/>
    </row>
    <row r="7088" spans="5:5">
      <c r="E7088" s="51"/>
    </row>
    <row r="7089" spans="5:5">
      <c r="E7089" s="51"/>
    </row>
    <row r="7090" spans="5:5">
      <c r="E7090" s="51"/>
    </row>
    <row r="7091" spans="5:5">
      <c r="E7091" s="51"/>
    </row>
    <row r="7092" spans="5:5">
      <c r="E7092" s="51"/>
    </row>
    <row r="7093" spans="5:5">
      <c r="E7093" s="51"/>
    </row>
    <row r="7094" spans="5:5">
      <c r="E7094" s="51"/>
    </row>
    <row r="7095" spans="5:5">
      <c r="E7095" s="51"/>
    </row>
    <row r="7096" spans="5:5">
      <c r="E7096" s="51"/>
    </row>
    <row r="7097" spans="5:5">
      <c r="E7097" s="51"/>
    </row>
    <row r="7098" spans="5:5">
      <c r="E7098" s="51"/>
    </row>
    <row r="7099" spans="5:5">
      <c r="E7099" s="51"/>
    </row>
    <row r="7100" spans="5:5">
      <c r="E7100" s="51"/>
    </row>
    <row r="7101" spans="5:5">
      <c r="E7101" s="51"/>
    </row>
    <row r="7102" spans="5:5">
      <c r="E7102" s="51"/>
    </row>
    <row r="7103" spans="5:5">
      <c r="E7103" s="51"/>
    </row>
    <row r="7104" spans="5:5">
      <c r="E7104" s="51"/>
    </row>
    <row r="7105" spans="5:5">
      <c r="E7105" s="51"/>
    </row>
    <row r="7106" spans="5:5">
      <c r="E7106" s="51"/>
    </row>
    <row r="7107" spans="5:5">
      <c r="E7107" s="51"/>
    </row>
    <row r="7108" spans="5:5">
      <c r="E7108" s="51"/>
    </row>
    <row r="7109" spans="5:5">
      <c r="E7109" s="51"/>
    </row>
    <row r="7110" spans="5:5">
      <c r="E7110" s="51"/>
    </row>
    <row r="7111" spans="5:5">
      <c r="E7111" s="51"/>
    </row>
    <row r="7112" spans="5:5">
      <c r="E7112" s="51"/>
    </row>
    <row r="7113" spans="5:5">
      <c r="E7113" s="51"/>
    </row>
    <row r="7114" spans="5:5">
      <c r="E7114" s="51"/>
    </row>
    <row r="7115" spans="5:5">
      <c r="E7115" s="51"/>
    </row>
    <row r="7116" spans="5:5">
      <c r="E7116" s="51"/>
    </row>
    <row r="7117" spans="5:5">
      <c r="E7117" s="51"/>
    </row>
    <row r="7118" spans="5:5">
      <c r="E7118" s="51"/>
    </row>
    <row r="7119" spans="5:5">
      <c r="E7119" s="51"/>
    </row>
    <row r="7120" spans="5:5">
      <c r="E7120" s="51"/>
    </row>
    <row r="7121" spans="5:5">
      <c r="E7121" s="51"/>
    </row>
    <row r="7122" spans="5:5">
      <c r="E7122" s="51"/>
    </row>
    <row r="7123" spans="5:5">
      <c r="E7123" s="51"/>
    </row>
    <row r="7124" spans="5:5">
      <c r="E7124" s="51"/>
    </row>
    <row r="7125" spans="5:5">
      <c r="E7125" s="51"/>
    </row>
    <row r="7126" spans="5:5">
      <c r="E7126" s="51"/>
    </row>
    <row r="7127" spans="5:5">
      <c r="E7127" s="51"/>
    </row>
    <row r="7128" spans="5:5">
      <c r="E7128" s="51"/>
    </row>
    <row r="7129" spans="5:5">
      <c r="E7129" s="51"/>
    </row>
    <row r="7130" spans="5:5">
      <c r="E7130" s="51"/>
    </row>
    <row r="7131" spans="5:5">
      <c r="E7131" s="51"/>
    </row>
    <row r="7132" spans="5:5">
      <c r="E7132" s="51"/>
    </row>
    <row r="7133" spans="5:5">
      <c r="E7133" s="51"/>
    </row>
    <row r="7134" spans="5:5">
      <c r="E7134" s="51"/>
    </row>
    <row r="7135" spans="5:5">
      <c r="E7135" s="51"/>
    </row>
    <row r="7136" spans="5:5">
      <c r="E7136" s="51"/>
    </row>
    <row r="7137" spans="5:5">
      <c r="E7137" s="51"/>
    </row>
    <row r="7138" spans="5:5">
      <c r="E7138" s="51"/>
    </row>
    <row r="7139" spans="5:5">
      <c r="E7139" s="51"/>
    </row>
    <row r="7140" spans="5:5">
      <c r="E7140" s="51"/>
    </row>
    <row r="7141" spans="5:5">
      <c r="E7141" s="51"/>
    </row>
    <row r="7142" spans="5:5">
      <c r="E7142" s="51"/>
    </row>
    <row r="7143" spans="5:5">
      <c r="E7143" s="51"/>
    </row>
    <row r="7144" spans="5:5">
      <c r="E7144" s="51"/>
    </row>
    <row r="7145" spans="5:5">
      <c r="E7145" s="51"/>
    </row>
    <row r="7146" spans="5:5">
      <c r="E7146" s="51"/>
    </row>
    <row r="7147" spans="5:5">
      <c r="E7147" s="51"/>
    </row>
    <row r="7148" spans="5:5">
      <c r="E7148" s="51"/>
    </row>
    <row r="7149" spans="5:5">
      <c r="E7149" s="51"/>
    </row>
    <row r="7150" spans="5:5">
      <c r="E7150" s="51"/>
    </row>
    <row r="7151" spans="5:5">
      <c r="E7151" s="51"/>
    </row>
    <row r="7152" spans="5:5">
      <c r="E7152" s="51"/>
    </row>
    <row r="7153" spans="5:5">
      <c r="E7153" s="51"/>
    </row>
    <row r="7154" spans="5:5">
      <c r="E7154" s="51"/>
    </row>
    <row r="7155" spans="5:5">
      <c r="E7155" s="51"/>
    </row>
    <row r="7156" spans="5:5">
      <c r="E7156" s="51"/>
    </row>
    <row r="7157" spans="5:5">
      <c r="E7157" s="51"/>
    </row>
    <row r="7158" spans="5:5">
      <c r="E7158" s="51"/>
    </row>
    <row r="7159" spans="5:5">
      <c r="E7159" s="51"/>
    </row>
    <row r="7160" spans="5:5">
      <c r="E7160" s="51"/>
    </row>
    <row r="7161" spans="5:5">
      <c r="E7161" s="51"/>
    </row>
    <row r="7162" spans="5:5">
      <c r="E7162" s="51"/>
    </row>
    <row r="7163" spans="5:5">
      <c r="E7163" s="51"/>
    </row>
    <row r="7164" spans="5:5">
      <c r="E7164" s="51"/>
    </row>
    <row r="7165" spans="5:5">
      <c r="E7165" s="51"/>
    </row>
    <row r="7166" spans="5:5">
      <c r="E7166" s="51"/>
    </row>
    <row r="7167" spans="5:5">
      <c r="E7167" s="51"/>
    </row>
    <row r="7168" spans="5:5">
      <c r="E7168" s="51"/>
    </row>
    <row r="7169" spans="5:5">
      <c r="E7169" s="51"/>
    </row>
    <row r="7170" spans="5:5">
      <c r="E7170" s="51"/>
    </row>
    <row r="7171" spans="5:5">
      <c r="E7171" s="51"/>
    </row>
    <row r="7172" spans="5:5">
      <c r="E7172" s="51"/>
    </row>
    <row r="7173" spans="5:5">
      <c r="E7173" s="51"/>
    </row>
    <row r="7174" spans="5:5">
      <c r="E7174" s="51"/>
    </row>
    <row r="7175" spans="5:5">
      <c r="E7175" s="51"/>
    </row>
    <row r="7176" spans="5:5">
      <c r="E7176" s="51"/>
    </row>
    <row r="7177" spans="5:5">
      <c r="E7177" s="51"/>
    </row>
    <row r="7178" spans="5:5">
      <c r="E7178" s="51"/>
    </row>
    <row r="7179" spans="5:5">
      <c r="E7179" s="51"/>
    </row>
    <row r="7180" spans="5:5">
      <c r="E7180" s="51"/>
    </row>
    <row r="7181" spans="5:5">
      <c r="E7181" s="51"/>
    </row>
    <row r="7182" spans="5:5">
      <c r="E7182" s="51"/>
    </row>
    <row r="7183" spans="5:5">
      <c r="E7183" s="51"/>
    </row>
    <row r="7184" spans="5:5">
      <c r="E7184" s="51"/>
    </row>
    <row r="7185" spans="5:5">
      <c r="E7185" s="51"/>
    </row>
    <row r="7186" spans="5:5">
      <c r="E7186" s="51"/>
    </row>
    <row r="7187" spans="5:5">
      <c r="E7187" s="51"/>
    </row>
    <row r="7188" spans="5:5">
      <c r="E7188" s="51"/>
    </row>
    <row r="7189" spans="5:5">
      <c r="E7189" s="51"/>
    </row>
    <row r="7190" spans="5:5">
      <c r="E7190" s="51"/>
    </row>
    <row r="7191" spans="5:5">
      <c r="E7191" s="51"/>
    </row>
    <row r="7192" spans="5:5">
      <c r="E7192" s="51"/>
    </row>
    <row r="7193" spans="5:5">
      <c r="E7193" s="51"/>
    </row>
    <row r="7194" spans="5:5">
      <c r="E7194" s="51"/>
    </row>
    <row r="7195" spans="5:5">
      <c r="E7195" s="51"/>
    </row>
    <row r="7196" spans="5:5">
      <c r="E7196" s="51"/>
    </row>
    <row r="7197" spans="5:5">
      <c r="E7197" s="51"/>
    </row>
    <row r="7198" spans="5:5">
      <c r="E7198" s="51"/>
    </row>
    <row r="7199" spans="5:5">
      <c r="E7199" s="51"/>
    </row>
    <row r="7200" spans="5:5">
      <c r="E7200" s="51"/>
    </row>
    <row r="7201" spans="5:5">
      <c r="E7201" s="51"/>
    </row>
    <row r="7202" spans="5:5">
      <c r="E7202" s="51"/>
    </row>
    <row r="7203" spans="5:5">
      <c r="E7203" s="51"/>
    </row>
    <row r="7204" spans="5:5">
      <c r="E7204" s="51"/>
    </row>
    <row r="7205" spans="5:5">
      <c r="E7205" s="51"/>
    </row>
    <row r="7206" spans="5:5">
      <c r="E7206" s="51"/>
    </row>
    <row r="7207" spans="5:5">
      <c r="E7207" s="51"/>
    </row>
    <row r="7208" spans="5:5">
      <c r="E7208" s="51"/>
    </row>
    <row r="7209" spans="5:5">
      <c r="E7209" s="51"/>
    </row>
    <row r="7210" spans="5:5">
      <c r="E7210" s="51"/>
    </row>
    <row r="7211" spans="5:5">
      <c r="E7211" s="51"/>
    </row>
    <row r="7212" spans="5:5">
      <c r="E7212" s="51"/>
    </row>
    <row r="7213" spans="5:5">
      <c r="E7213" s="51"/>
    </row>
    <row r="7214" spans="5:5">
      <c r="E7214" s="51"/>
    </row>
    <row r="7215" spans="5:5">
      <c r="E7215" s="51"/>
    </row>
    <row r="7216" spans="5:5">
      <c r="E7216" s="51"/>
    </row>
    <row r="7217" spans="5:5">
      <c r="E7217" s="51"/>
    </row>
    <row r="7218" spans="5:5">
      <c r="E7218" s="51"/>
    </row>
    <row r="7219" spans="5:5">
      <c r="E7219" s="51"/>
    </row>
    <row r="7220" spans="5:5">
      <c r="E7220" s="51"/>
    </row>
    <row r="7221" spans="5:5">
      <c r="E7221" s="51"/>
    </row>
    <row r="7222" spans="5:5">
      <c r="E7222" s="51"/>
    </row>
    <row r="7223" spans="5:5">
      <c r="E7223" s="51"/>
    </row>
    <row r="7224" spans="5:5">
      <c r="E7224" s="51"/>
    </row>
    <row r="7225" spans="5:5">
      <c r="E7225" s="51"/>
    </row>
    <row r="7226" spans="5:5">
      <c r="E7226" s="51"/>
    </row>
    <row r="7227" spans="5:5">
      <c r="E7227" s="51"/>
    </row>
    <row r="7228" spans="5:5">
      <c r="E7228" s="51"/>
    </row>
    <row r="7229" spans="5:5">
      <c r="E7229" s="51"/>
    </row>
    <row r="7230" spans="5:5">
      <c r="E7230" s="51"/>
    </row>
    <row r="7231" spans="5:5">
      <c r="E7231" s="51"/>
    </row>
    <row r="7232" spans="5:5">
      <c r="E7232" s="51"/>
    </row>
    <row r="7233" spans="5:5">
      <c r="E7233" s="51"/>
    </row>
    <row r="7234" spans="5:5">
      <c r="E7234" s="51"/>
    </row>
    <row r="7235" spans="5:5">
      <c r="E7235" s="51"/>
    </row>
    <row r="7236" spans="5:5">
      <c r="E7236" s="51"/>
    </row>
    <row r="7237" spans="5:5">
      <c r="E7237" s="51"/>
    </row>
    <row r="7238" spans="5:5">
      <c r="E7238" s="51"/>
    </row>
    <row r="7239" spans="5:5">
      <c r="E7239" s="51"/>
    </row>
    <row r="7240" spans="5:5">
      <c r="E7240" s="51"/>
    </row>
    <row r="7241" spans="5:5">
      <c r="E7241" s="51"/>
    </row>
    <row r="7242" spans="5:5">
      <c r="E7242" s="51"/>
    </row>
    <row r="7243" spans="5:5">
      <c r="E7243" s="51"/>
    </row>
    <row r="7244" spans="5:5">
      <c r="E7244" s="51"/>
    </row>
    <row r="7245" spans="5:5">
      <c r="E7245" s="51"/>
    </row>
    <row r="7246" spans="5:5">
      <c r="E7246" s="51"/>
    </row>
    <row r="7247" spans="5:5">
      <c r="E7247" s="51"/>
    </row>
    <row r="7248" spans="5:5">
      <c r="E7248" s="51"/>
    </row>
    <row r="7249" spans="5:5">
      <c r="E7249" s="51"/>
    </row>
    <row r="7250" spans="5:5">
      <c r="E7250" s="51"/>
    </row>
    <row r="7251" spans="5:5">
      <c r="E7251" s="51"/>
    </row>
    <row r="7252" spans="5:5">
      <c r="E7252" s="51"/>
    </row>
    <row r="7253" spans="5:5">
      <c r="E7253" s="51"/>
    </row>
    <row r="7254" spans="5:5">
      <c r="E7254" s="51"/>
    </row>
    <row r="7255" spans="5:5">
      <c r="E7255" s="51"/>
    </row>
    <row r="7256" spans="5:5">
      <c r="E7256" s="51"/>
    </row>
    <row r="7257" spans="5:5">
      <c r="E7257" s="51"/>
    </row>
    <row r="7258" spans="5:5">
      <c r="E7258" s="51"/>
    </row>
    <row r="7259" spans="5:5">
      <c r="E7259" s="51"/>
    </row>
    <row r="7260" spans="5:5">
      <c r="E7260" s="51"/>
    </row>
    <row r="7261" spans="5:5">
      <c r="E7261" s="51"/>
    </row>
    <row r="7262" spans="5:5">
      <c r="E7262" s="51"/>
    </row>
    <row r="7263" spans="5:5">
      <c r="E7263" s="51"/>
    </row>
    <row r="7264" spans="5:5">
      <c r="E7264" s="51"/>
    </row>
    <row r="7265" spans="5:5">
      <c r="E7265" s="51"/>
    </row>
    <row r="7266" spans="5:5">
      <c r="E7266" s="51"/>
    </row>
    <row r="7267" spans="5:5">
      <c r="E7267" s="51"/>
    </row>
    <row r="7268" spans="5:5">
      <c r="E7268" s="51"/>
    </row>
    <row r="7269" spans="5:5">
      <c r="E7269" s="51"/>
    </row>
    <row r="7270" spans="5:5">
      <c r="E7270" s="51"/>
    </row>
    <row r="7271" spans="5:5">
      <c r="E7271" s="51"/>
    </row>
    <row r="7272" spans="5:5">
      <c r="E7272" s="51"/>
    </row>
    <row r="7273" spans="5:5">
      <c r="E7273" s="51"/>
    </row>
    <row r="7274" spans="5:5">
      <c r="E7274" s="51"/>
    </row>
    <row r="7275" spans="5:5">
      <c r="E7275" s="51"/>
    </row>
    <row r="7276" spans="5:5">
      <c r="E7276" s="51"/>
    </row>
    <row r="7277" spans="5:5">
      <c r="E7277" s="51"/>
    </row>
    <row r="7278" spans="5:5">
      <c r="E7278" s="51"/>
    </row>
    <row r="7279" spans="5:5">
      <c r="E7279" s="51"/>
    </row>
    <row r="7280" spans="5:5">
      <c r="E7280" s="51"/>
    </row>
    <row r="7281" spans="5:5">
      <c r="E7281" s="51"/>
    </row>
    <row r="7282" spans="5:5">
      <c r="E7282" s="51"/>
    </row>
    <row r="7283" spans="5:5">
      <c r="E7283" s="51"/>
    </row>
    <row r="7284" spans="5:5">
      <c r="E7284" s="51"/>
    </row>
    <row r="7285" spans="5:5">
      <c r="E7285" s="51"/>
    </row>
    <row r="7286" spans="5:5">
      <c r="E7286" s="51"/>
    </row>
    <row r="7287" spans="5:5">
      <c r="E7287" s="51"/>
    </row>
    <row r="7288" spans="5:5">
      <c r="E7288" s="51"/>
    </row>
    <row r="7289" spans="5:5">
      <c r="E7289" s="51"/>
    </row>
    <row r="7290" spans="5:5">
      <c r="E7290" s="51"/>
    </row>
    <row r="7291" spans="5:5">
      <c r="E7291" s="51"/>
    </row>
    <row r="7292" spans="5:5">
      <c r="E7292" s="51"/>
    </row>
    <row r="7293" spans="5:5">
      <c r="E7293" s="51"/>
    </row>
    <row r="7294" spans="5:5">
      <c r="E7294" s="51"/>
    </row>
    <row r="7295" spans="5:5">
      <c r="E7295" s="51"/>
    </row>
    <row r="7296" spans="5:5">
      <c r="E7296" s="51"/>
    </row>
    <row r="7297" spans="5:5">
      <c r="E7297" s="51"/>
    </row>
    <row r="7298" spans="5:5">
      <c r="E7298" s="51"/>
    </row>
    <row r="7299" spans="5:5">
      <c r="E7299" s="51"/>
    </row>
    <row r="7300" spans="5:5">
      <c r="E7300" s="51"/>
    </row>
    <row r="7301" spans="5:5">
      <c r="E7301" s="51"/>
    </row>
    <row r="7302" spans="5:5">
      <c r="E7302" s="51"/>
    </row>
    <row r="7303" spans="5:5">
      <c r="E7303" s="51"/>
    </row>
    <row r="7304" spans="5:5">
      <c r="E7304" s="51"/>
    </row>
    <row r="7305" spans="5:5">
      <c r="E7305" s="51"/>
    </row>
    <row r="7306" spans="5:5">
      <c r="E7306" s="51"/>
    </row>
    <row r="7307" spans="5:5">
      <c r="E7307" s="51"/>
    </row>
    <row r="7308" spans="5:5">
      <c r="E7308" s="51"/>
    </row>
    <row r="7309" spans="5:5">
      <c r="E7309" s="51"/>
    </row>
    <row r="7310" spans="5:5">
      <c r="E7310" s="51"/>
    </row>
    <row r="7311" spans="5:5">
      <c r="E7311" s="51"/>
    </row>
    <row r="7312" spans="5:5">
      <c r="E7312" s="51"/>
    </row>
    <row r="7313" spans="5:5">
      <c r="E7313" s="51"/>
    </row>
    <row r="7314" spans="5:5">
      <c r="E7314" s="51"/>
    </row>
    <row r="7315" spans="5:5">
      <c r="E7315" s="51"/>
    </row>
    <row r="7316" spans="5:5">
      <c r="E7316" s="51"/>
    </row>
    <row r="7317" spans="5:5">
      <c r="E7317" s="51"/>
    </row>
    <row r="7318" spans="5:5">
      <c r="E7318" s="51"/>
    </row>
    <row r="7319" spans="5:5">
      <c r="E7319" s="51"/>
    </row>
    <row r="7320" spans="5:5">
      <c r="E7320" s="51"/>
    </row>
    <row r="7321" spans="5:5">
      <c r="E7321" s="51"/>
    </row>
    <row r="7322" spans="5:5">
      <c r="E7322" s="51"/>
    </row>
    <row r="7323" spans="5:5">
      <c r="E7323" s="51"/>
    </row>
    <row r="7324" spans="5:5">
      <c r="E7324" s="51"/>
    </row>
    <row r="7325" spans="5:5">
      <c r="E7325" s="51"/>
    </row>
    <row r="7326" spans="5:5">
      <c r="E7326" s="51"/>
    </row>
    <row r="7327" spans="5:5">
      <c r="E7327" s="51"/>
    </row>
    <row r="7328" spans="5:5">
      <c r="E7328" s="51"/>
    </row>
    <row r="7329" spans="5:5">
      <c r="E7329" s="51"/>
    </row>
    <row r="7330" spans="5:5">
      <c r="E7330" s="51"/>
    </row>
    <row r="7331" spans="5:5">
      <c r="E7331" s="51"/>
    </row>
    <row r="7332" spans="5:5">
      <c r="E7332" s="51"/>
    </row>
    <row r="7333" spans="5:5">
      <c r="E7333" s="51"/>
    </row>
    <row r="7334" spans="5:5">
      <c r="E7334" s="51"/>
    </row>
    <row r="7335" spans="5:5">
      <c r="E7335" s="51"/>
    </row>
    <row r="7336" spans="5:5">
      <c r="E7336" s="51"/>
    </row>
    <row r="7337" spans="5:5">
      <c r="E7337" s="51"/>
    </row>
    <row r="7338" spans="5:5">
      <c r="E7338" s="51"/>
    </row>
    <row r="7339" spans="5:5">
      <c r="E7339" s="51"/>
    </row>
    <row r="7340" spans="5:5">
      <c r="E7340" s="51"/>
    </row>
    <row r="7341" spans="5:5">
      <c r="E7341" s="51"/>
    </row>
    <row r="7342" spans="5:5">
      <c r="E7342" s="51"/>
    </row>
    <row r="7343" spans="5:5">
      <c r="E7343" s="51"/>
    </row>
    <row r="7344" spans="5:5">
      <c r="E7344" s="51"/>
    </row>
    <row r="7345" spans="5:5">
      <c r="E7345" s="51"/>
    </row>
    <row r="7346" spans="5:5">
      <c r="E7346" s="51"/>
    </row>
    <row r="7347" spans="5:5">
      <c r="E7347" s="51"/>
    </row>
    <row r="7348" spans="5:5">
      <c r="E7348" s="51"/>
    </row>
    <row r="7349" spans="5:5">
      <c r="E7349" s="51"/>
    </row>
    <row r="7350" spans="5:5">
      <c r="E7350" s="51"/>
    </row>
    <row r="7351" spans="5:5">
      <c r="E7351" s="51"/>
    </row>
    <row r="7352" spans="5:5">
      <c r="E7352" s="51"/>
    </row>
    <row r="7353" spans="5:5">
      <c r="E7353" s="51"/>
    </row>
    <row r="7354" spans="5:5">
      <c r="E7354" s="51"/>
    </row>
    <row r="7355" spans="5:5">
      <c r="E7355" s="51"/>
    </row>
    <row r="7356" spans="5:5">
      <c r="E7356" s="51"/>
    </row>
    <row r="7357" spans="5:5">
      <c r="E7357" s="51"/>
    </row>
    <row r="7358" spans="5:5">
      <c r="E7358" s="51"/>
    </row>
    <row r="7359" spans="5:5">
      <c r="E7359" s="51"/>
    </row>
    <row r="7360" spans="5:5">
      <c r="E7360" s="51"/>
    </row>
    <row r="7361" spans="5:5">
      <c r="E7361" s="51"/>
    </row>
    <row r="7362" spans="5:5">
      <c r="E7362" s="51"/>
    </row>
    <row r="7363" spans="5:5">
      <c r="E7363" s="51"/>
    </row>
    <row r="7364" spans="5:5">
      <c r="E7364" s="51"/>
    </row>
    <row r="7365" spans="5:5">
      <c r="E7365" s="51"/>
    </row>
    <row r="7366" spans="5:5">
      <c r="E7366" s="51"/>
    </row>
    <row r="7367" spans="5:5">
      <c r="E7367" s="51"/>
    </row>
    <row r="7368" spans="5:5">
      <c r="E7368" s="51"/>
    </row>
    <row r="7369" spans="5:5">
      <c r="E7369" s="51"/>
    </row>
    <row r="7370" spans="5:5">
      <c r="E7370" s="51"/>
    </row>
    <row r="7371" spans="5:5">
      <c r="E7371" s="51"/>
    </row>
    <row r="7372" spans="5:5">
      <c r="E7372" s="51"/>
    </row>
    <row r="7373" spans="5:5">
      <c r="E7373" s="51"/>
    </row>
    <row r="7374" spans="5:5">
      <c r="E7374" s="51"/>
    </row>
    <row r="7375" spans="5:5">
      <c r="E7375" s="51"/>
    </row>
    <row r="7376" spans="5:5">
      <c r="E7376" s="51"/>
    </row>
    <row r="7377" spans="5:5">
      <c r="E7377" s="51"/>
    </row>
    <row r="7378" spans="5:5">
      <c r="E7378" s="51"/>
    </row>
    <row r="7379" spans="5:5">
      <c r="E7379" s="51"/>
    </row>
    <row r="7380" spans="5:5">
      <c r="E7380" s="51"/>
    </row>
    <row r="7381" spans="5:5">
      <c r="E7381" s="51"/>
    </row>
    <row r="7382" spans="5:5">
      <c r="E7382" s="51"/>
    </row>
    <row r="7383" spans="5:5">
      <c r="E7383" s="51"/>
    </row>
    <row r="7384" spans="5:5">
      <c r="E7384" s="51"/>
    </row>
    <row r="7385" spans="5:5">
      <c r="E7385" s="51"/>
    </row>
    <row r="7386" spans="5:5">
      <c r="E7386" s="51"/>
    </row>
    <row r="7387" spans="5:5">
      <c r="E7387" s="51"/>
    </row>
    <row r="7388" spans="5:5">
      <c r="E7388" s="51"/>
    </row>
    <row r="7389" spans="5:5">
      <c r="E7389" s="51"/>
    </row>
    <row r="7390" spans="5:5">
      <c r="E7390" s="51"/>
    </row>
    <row r="7391" spans="5:5">
      <c r="E7391" s="51"/>
    </row>
    <row r="7392" spans="5:5">
      <c r="E7392" s="51"/>
    </row>
    <row r="7393" spans="5:5">
      <c r="E7393" s="51"/>
    </row>
    <row r="7394" spans="5:5">
      <c r="E7394" s="51"/>
    </row>
    <row r="7395" spans="5:5">
      <c r="E7395" s="51"/>
    </row>
    <row r="7396" spans="5:5">
      <c r="E7396" s="51"/>
    </row>
    <row r="7397" spans="5:5">
      <c r="E7397" s="51"/>
    </row>
    <row r="7398" spans="5:5">
      <c r="E7398" s="51"/>
    </row>
    <row r="7399" spans="5:5">
      <c r="E7399" s="51"/>
    </row>
    <row r="7400" spans="5:5">
      <c r="E7400" s="51"/>
    </row>
    <row r="7401" spans="5:5">
      <c r="E7401" s="51"/>
    </row>
    <row r="7402" spans="5:5">
      <c r="E7402" s="51"/>
    </row>
    <row r="7403" spans="5:5">
      <c r="E7403" s="51"/>
    </row>
    <row r="7404" spans="5:5">
      <c r="E7404" s="51"/>
    </row>
    <row r="7405" spans="5:5">
      <c r="E7405" s="51"/>
    </row>
    <row r="7406" spans="5:5">
      <c r="E7406" s="51"/>
    </row>
    <row r="7407" spans="5:5">
      <c r="E7407" s="51"/>
    </row>
    <row r="7408" spans="5:5">
      <c r="E7408" s="51"/>
    </row>
    <row r="7409" spans="5:5">
      <c r="E7409" s="51"/>
    </row>
    <row r="7410" spans="5:5">
      <c r="E7410" s="51"/>
    </row>
    <row r="7411" spans="5:5">
      <c r="E7411" s="51"/>
    </row>
    <row r="7412" spans="5:5">
      <c r="E7412" s="51"/>
    </row>
    <row r="7413" spans="5:5">
      <c r="E7413" s="51"/>
    </row>
    <row r="7414" spans="5:5">
      <c r="E7414" s="51"/>
    </row>
    <row r="7415" spans="5:5">
      <c r="E7415" s="51"/>
    </row>
    <row r="7416" spans="5:5">
      <c r="E7416" s="51"/>
    </row>
    <row r="7417" spans="5:5">
      <c r="E7417" s="51"/>
    </row>
    <row r="7418" spans="5:5">
      <c r="E7418" s="51"/>
    </row>
    <row r="7419" spans="5:5">
      <c r="E7419" s="51"/>
    </row>
    <row r="7420" spans="5:5">
      <c r="E7420" s="51"/>
    </row>
    <row r="7421" spans="5:5">
      <c r="E7421" s="51"/>
    </row>
    <row r="7422" spans="5:5">
      <c r="E7422" s="51"/>
    </row>
    <row r="7423" spans="5:5">
      <c r="E7423" s="51"/>
    </row>
    <row r="7424" spans="5:5">
      <c r="E7424" s="51"/>
    </row>
    <row r="7425" spans="5:5">
      <c r="E7425" s="51"/>
    </row>
    <row r="7426" spans="5:5">
      <c r="E7426" s="51"/>
    </row>
    <row r="7427" spans="5:5">
      <c r="E7427" s="51"/>
    </row>
    <row r="7428" spans="5:5">
      <c r="E7428" s="51"/>
    </row>
    <row r="7429" spans="5:5">
      <c r="E7429" s="51"/>
    </row>
    <row r="7430" spans="5:5">
      <c r="E7430" s="51"/>
    </row>
    <row r="7431" spans="5:5">
      <c r="E7431" s="51"/>
    </row>
    <row r="7432" spans="5:5">
      <c r="E7432" s="51"/>
    </row>
    <row r="7433" spans="5:5">
      <c r="E7433" s="51"/>
    </row>
    <row r="7434" spans="5:5">
      <c r="E7434" s="51"/>
    </row>
    <row r="7435" spans="5:5">
      <c r="E7435" s="51"/>
    </row>
    <row r="7436" spans="5:5">
      <c r="E7436" s="51"/>
    </row>
    <row r="7437" spans="5:5">
      <c r="E7437" s="51"/>
    </row>
    <row r="7438" spans="5:5">
      <c r="E7438" s="51"/>
    </row>
    <row r="7439" spans="5:5">
      <c r="E7439" s="51"/>
    </row>
    <row r="7440" spans="5:5">
      <c r="E7440" s="51"/>
    </row>
    <row r="7441" spans="5:5">
      <c r="E7441" s="51"/>
    </row>
    <row r="7442" spans="5:5">
      <c r="E7442" s="51"/>
    </row>
    <row r="7443" spans="5:5">
      <c r="E7443" s="51"/>
    </row>
    <row r="7444" spans="5:5">
      <c r="E7444" s="51"/>
    </row>
    <row r="7445" spans="5:5">
      <c r="E7445" s="51"/>
    </row>
    <row r="7446" spans="5:5">
      <c r="E7446" s="51"/>
    </row>
    <row r="7447" spans="5:5">
      <c r="E7447" s="51"/>
    </row>
    <row r="7448" spans="5:5">
      <c r="E7448" s="51"/>
    </row>
    <row r="7449" spans="5:5">
      <c r="E7449" s="51"/>
    </row>
    <row r="7450" spans="5:5">
      <c r="E7450" s="51"/>
    </row>
    <row r="7451" spans="5:5">
      <c r="E7451" s="51"/>
    </row>
    <row r="7452" spans="5:5">
      <c r="E7452" s="51"/>
    </row>
    <row r="7453" spans="5:5">
      <c r="E7453" s="51"/>
    </row>
    <row r="7454" spans="5:5">
      <c r="E7454" s="51"/>
    </row>
    <row r="7455" spans="5:5">
      <c r="E7455" s="51"/>
    </row>
    <row r="7456" spans="5:5">
      <c r="E7456" s="51"/>
    </row>
    <row r="7457" spans="5:5">
      <c r="E7457" s="51"/>
    </row>
    <row r="7458" spans="5:5">
      <c r="E7458" s="51"/>
    </row>
    <row r="7459" spans="5:5">
      <c r="E7459" s="51"/>
    </row>
    <row r="7460" spans="5:5">
      <c r="E7460" s="51"/>
    </row>
    <row r="7461" spans="5:5">
      <c r="E7461" s="51"/>
    </row>
    <row r="7462" spans="5:5">
      <c r="E7462" s="51"/>
    </row>
    <row r="7463" spans="5:5">
      <c r="E7463" s="51"/>
    </row>
    <row r="7464" spans="5:5">
      <c r="E7464" s="51"/>
    </row>
    <row r="7465" spans="5:5">
      <c r="E7465" s="51"/>
    </row>
    <row r="7466" spans="5:5">
      <c r="E7466" s="51"/>
    </row>
    <row r="7467" spans="5:5">
      <c r="E7467" s="51"/>
    </row>
    <row r="7468" spans="5:5">
      <c r="E7468" s="51"/>
    </row>
    <row r="7469" spans="5:5">
      <c r="E7469" s="51"/>
    </row>
    <row r="7470" spans="5:5">
      <c r="E7470" s="51"/>
    </row>
    <row r="7471" spans="5:5">
      <c r="E7471" s="51"/>
    </row>
    <row r="7472" spans="5:5">
      <c r="E7472" s="51"/>
    </row>
    <row r="7473" spans="5:5">
      <c r="E7473" s="51"/>
    </row>
    <row r="7474" spans="5:5">
      <c r="E7474" s="51"/>
    </row>
    <row r="7475" spans="5:5">
      <c r="E7475" s="51"/>
    </row>
    <row r="7476" spans="5:5">
      <c r="E7476" s="51"/>
    </row>
    <row r="7477" spans="5:5">
      <c r="E7477" s="51"/>
    </row>
    <row r="7478" spans="5:5">
      <c r="E7478" s="51"/>
    </row>
    <row r="7479" spans="5:5">
      <c r="E7479" s="51"/>
    </row>
    <row r="7480" spans="5:5">
      <c r="E7480" s="51"/>
    </row>
    <row r="7481" spans="5:5">
      <c r="E7481" s="51"/>
    </row>
    <row r="7482" spans="5:5">
      <c r="E7482" s="51"/>
    </row>
    <row r="7483" spans="5:5">
      <c r="E7483" s="51"/>
    </row>
    <row r="7484" spans="5:5">
      <c r="E7484" s="51"/>
    </row>
    <row r="7485" spans="5:5">
      <c r="E7485" s="51"/>
    </row>
    <row r="7486" spans="5:5">
      <c r="E7486" s="51"/>
    </row>
    <row r="7487" spans="5:5">
      <c r="E7487" s="51"/>
    </row>
    <row r="7488" spans="5:5">
      <c r="E7488" s="51"/>
    </row>
    <row r="7489" spans="5:5">
      <c r="E7489" s="51"/>
    </row>
    <row r="7490" spans="5:5">
      <c r="E7490" s="51"/>
    </row>
    <row r="7491" spans="5:5">
      <c r="E7491" s="51"/>
    </row>
    <row r="7492" spans="5:5">
      <c r="E7492" s="51"/>
    </row>
    <row r="7493" spans="5:5">
      <c r="E7493" s="51"/>
    </row>
    <row r="7494" spans="5:5">
      <c r="E7494" s="51"/>
    </row>
    <row r="7495" spans="5:5">
      <c r="E7495" s="51"/>
    </row>
    <row r="7496" spans="5:5">
      <c r="E7496" s="51"/>
    </row>
    <row r="7497" spans="5:5">
      <c r="E7497" s="51"/>
    </row>
    <row r="7498" spans="5:5">
      <c r="E7498" s="51"/>
    </row>
    <row r="7499" spans="5:5">
      <c r="E7499" s="51"/>
    </row>
    <row r="7500" spans="5:5">
      <c r="E7500" s="51"/>
    </row>
    <row r="7501" spans="5:5">
      <c r="E7501" s="51"/>
    </row>
    <row r="7502" spans="5:5">
      <c r="E7502" s="51"/>
    </row>
    <row r="7503" spans="5:5">
      <c r="E7503" s="51"/>
    </row>
    <row r="7504" spans="5:5">
      <c r="E7504" s="51"/>
    </row>
    <row r="7505" spans="5:5">
      <c r="E7505" s="51"/>
    </row>
    <row r="7506" spans="5:5">
      <c r="E7506" s="51"/>
    </row>
    <row r="7507" spans="5:5">
      <c r="E7507" s="51"/>
    </row>
    <row r="7508" spans="5:5">
      <c r="E7508" s="51"/>
    </row>
    <row r="7509" spans="5:5">
      <c r="E7509" s="51"/>
    </row>
    <row r="7510" spans="5:5">
      <c r="E7510" s="51"/>
    </row>
    <row r="7511" spans="5:5">
      <c r="E7511" s="51"/>
    </row>
    <row r="7512" spans="5:5">
      <c r="E7512" s="51"/>
    </row>
    <row r="7513" spans="5:5">
      <c r="E7513" s="51"/>
    </row>
    <row r="7514" spans="5:5">
      <c r="E7514" s="51"/>
    </row>
    <row r="7515" spans="5:5">
      <c r="E7515" s="51"/>
    </row>
    <row r="7516" spans="5:5">
      <c r="E7516" s="51"/>
    </row>
    <row r="7517" spans="5:5">
      <c r="E7517" s="51"/>
    </row>
    <row r="7518" spans="5:5">
      <c r="E7518" s="51"/>
    </row>
    <row r="7519" spans="5:5">
      <c r="E7519" s="51"/>
    </row>
    <row r="7520" spans="5:5">
      <c r="E7520" s="51"/>
    </row>
    <row r="7521" spans="5:5">
      <c r="E7521" s="51"/>
    </row>
    <row r="7522" spans="5:5">
      <c r="E7522" s="51"/>
    </row>
    <row r="7523" spans="5:5">
      <c r="E7523" s="51"/>
    </row>
    <row r="7524" spans="5:5">
      <c r="E7524" s="51"/>
    </row>
    <row r="7525" spans="5:5">
      <c r="E7525" s="51"/>
    </row>
    <row r="7526" spans="5:5">
      <c r="E7526" s="51"/>
    </row>
    <row r="7527" spans="5:5">
      <c r="E7527" s="51"/>
    </row>
    <row r="7528" spans="5:5">
      <c r="E7528" s="51"/>
    </row>
    <row r="7529" spans="5:5">
      <c r="E7529" s="51"/>
    </row>
    <row r="7530" spans="5:5">
      <c r="E7530" s="51"/>
    </row>
    <row r="7531" spans="5:5">
      <c r="E7531" s="51"/>
    </row>
    <row r="7532" spans="5:5">
      <c r="E7532" s="51"/>
    </row>
    <row r="7533" spans="5:5">
      <c r="E7533" s="51"/>
    </row>
    <row r="7534" spans="5:5">
      <c r="E7534" s="51"/>
    </row>
    <row r="7535" spans="5:5">
      <c r="E7535" s="51"/>
    </row>
    <row r="7536" spans="5:5">
      <c r="E7536" s="51"/>
    </row>
    <row r="7537" spans="5:5">
      <c r="E7537" s="51"/>
    </row>
    <row r="7538" spans="5:5">
      <c r="E7538" s="51"/>
    </row>
    <row r="7539" spans="5:5">
      <c r="E7539" s="51"/>
    </row>
    <row r="7540" spans="5:5">
      <c r="E7540" s="51"/>
    </row>
    <row r="7541" spans="5:5">
      <c r="E7541" s="51"/>
    </row>
    <row r="7542" spans="5:5">
      <c r="E7542" s="51"/>
    </row>
    <row r="7543" spans="5:5">
      <c r="E7543" s="51"/>
    </row>
    <row r="7544" spans="5:5">
      <c r="E7544" s="51"/>
    </row>
    <row r="7545" spans="5:5">
      <c r="E7545" s="51"/>
    </row>
    <row r="7546" spans="5:5">
      <c r="E7546" s="51"/>
    </row>
    <row r="7547" spans="5:5">
      <c r="E7547" s="51"/>
    </row>
    <row r="7548" spans="5:5">
      <c r="E7548" s="51"/>
    </row>
    <row r="7549" spans="5:5">
      <c r="E7549" s="51"/>
    </row>
    <row r="7550" spans="5:5">
      <c r="E7550" s="51"/>
    </row>
    <row r="7551" spans="5:5">
      <c r="E7551" s="51"/>
    </row>
    <row r="7552" spans="5:5">
      <c r="E7552" s="51"/>
    </row>
    <row r="7553" spans="5:5">
      <c r="E7553" s="51"/>
    </row>
    <row r="7554" spans="5:5">
      <c r="E7554" s="51"/>
    </row>
    <row r="7555" spans="5:5">
      <c r="E7555" s="51"/>
    </row>
    <row r="7556" spans="5:5">
      <c r="E7556" s="51"/>
    </row>
    <row r="7557" spans="5:5">
      <c r="E7557" s="51"/>
    </row>
    <row r="7558" spans="5:5">
      <c r="E7558" s="51"/>
    </row>
    <row r="7559" spans="5:5">
      <c r="E7559" s="51"/>
    </row>
    <row r="7560" spans="5:5">
      <c r="E7560" s="51"/>
    </row>
    <row r="7561" spans="5:5">
      <c r="E7561" s="51"/>
    </row>
    <row r="7562" spans="5:5">
      <c r="E7562" s="51"/>
    </row>
    <row r="7563" spans="5:5">
      <c r="E7563" s="51"/>
    </row>
    <row r="7564" spans="5:5">
      <c r="E7564" s="51"/>
    </row>
    <row r="7565" spans="5:5">
      <c r="E7565" s="51"/>
    </row>
    <row r="7566" spans="5:5">
      <c r="E7566" s="51"/>
    </row>
    <row r="7567" spans="5:5">
      <c r="E7567" s="51"/>
    </row>
    <row r="7568" spans="5:5">
      <c r="E7568" s="51"/>
    </row>
    <row r="7569" spans="5:5">
      <c r="E7569" s="51"/>
    </row>
    <row r="7570" spans="5:5">
      <c r="E7570" s="51"/>
    </row>
    <row r="7571" spans="5:5">
      <c r="E7571" s="51"/>
    </row>
    <row r="7572" spans="5:5">
      <c r="E7572" s="51"/>
    </row>
    <row r="7573" spans="5:5">
      <c r="E7573" s="51"/>
    </row>
    <row r="7574" spans="5:5">
      <c r="E7574" s="51"/>
    </row>
    <row r="7575" spans="5:5">
      <c r="E7575" s="51"/>
    </row>
    <row r="7576" spans="5:5">
      <c r="E7576" s="51"/>
    </row>
    <row r="7577" spans="5:5">
      <c r="E7577" s="51"/>
    </row>
    <row r="7578" spans="5:5">
      <c r="E7578" s="51"/>
    </row>
    <row r="7579" spans="5:5">
      <c r="E7579" s="51"/>
    </row>
    <row r="7580" spans="5:5">
      <c r="E7580" s="51"/>
    </row>
    <row r="7581" spans="5:5">
      <c r="E7581" s="51"/>
    </row>
    <row r="7582" spans="5:5">
      <c r="E7582" s="51"/>
    </row>
    <row r="7583" spans="5:5">
      <c r="E7583" s="51"/>
    </row>
    <row r="7584" spans="5:5">
      <c r="E7584" s="51"/>
    </row>
    <row r="7585" spans="5:5">
      <c r="E7585" s="51"/>
    </row>
    <row r="7586" spans="5:5">
      <c r="E7586" s="51"/>
    </row>
    <row r="7587" spans="5:5">
      <c r="E7587" s="51"/>
    </row>
    <row r="7588" spans="5:5">
      <c r="E7588" s="51"/>
    </row>
    <row r="7589" spans="5:5">
      <c r="E7589" s="51"/>
    </row>
    <row r="7590" spans="5:5">
      <c r="E7590" s="51"/>
    </row>
    <row r="7591" spans="5:5">
      <c r="E7591" s="51"/>
    </row>
    <row r="7592" spans="5:5">
      <c r="E7592" s="51"/>
    </row>
    <row r="7593" spans="5:5">
      <c r="E7593" s="51"/>
    </row>
    <row r="7594" spans="5:5">
      <c r="E7594" s="51"/>
    </row>
    <row r="7595" spans="5:5">
      <c r="E7595" s="51"/>
    </row>
    <row r="7596" spans="5:5">
      <c r="E7596" s="51"/>
    </row>
    <row r="7597" spans="5:5">
      <c r="E7597" s="51"/>
    </row>
    <row r="7598" spans="5:5">
      <c r="E7598" s="51"/>
    </row>
    <row r="7599" spans="5:5">
      <c r="E7599" s="51"/>
    </row>
    <row r="7600" spans="5:5">
      <c r="E7600" s="51"/>
    </row>
    <row r="7601" spans="5:5">
      <c r="E7601" s="51"/>
    </row>
    <row r="7602" spans="5:5">
      <c r="E7602" s="51"/>
    </row>
    <row r="7603" spans="5:5">
      <c r="E7603" s="51"/>
    </row>
    <row r="7604" spans="5:5">
      <c r="E7604" s="51"/>
    </row>
    <row r="7605" spans="5:5">
      <c r="E7605" s="51"/>
    </row>
    <row r="7606" spans="5:5">
      <c r="E7606" s="51"/>
    </row>
    <row r="7607" spans="5:5">
      <c r="E7607" s="51"/>
    </row>
    <row r="7608" spans="5:5">
      <c r="E7608" s="51"/>
    </row>
    <row r="7609" spans="5:5">
      <c r="E7609" s="51"/>
    </row>
    <row r="7610" spans="5:5">
      <c r="E7610" s="51"/>
    </row>
    <row r="7611" spans="5:5">
      <c r="E7611" s="51"/>
    </row>
    <row r="7612" spans="5:5">
      <c r="E7612" s="51"/>
    </row>
    <row r="7613" spans="5:5">
      <c r="E7613" s="51"/>
    </row>
    <row r="7614" spans="5:5">
      <c r="E7614" s="51"/>
    </row>
    <row r="7615" spans="5:5">
      <c r="E7615" s="51"/>
    </row>
    <row r="7616" spans="5:5">
      <c r="E7616" s="51"/>
    </row>
    <row r="7617" spans="5:5">
      <c r="E7617" s="51"/>
    </row>
    <row r="7618" spans="5:5">
      <c r="E7618" s="51"/>
    </row>
    <row r="7619" spans="5:5">
      <c r="E7619" s="51"/>
    </row>
    <row r="7620" spans="5:5">
      <c r="E7620" s="51"/>
    </row>
    <row r="7621" spans="5:5">
      <c r="E7621" s="51"/>
    </row>
    <row r="7622" spans="5:5">
      <c r="E7622" s="51"/>
    </row>
    <row r="7623" spans="5:5">
      <c r="E7623" s="51"/>
    </row>
    <row r="7624" spans="5:5">
      <c r="E7624" s="51"/>
    </row>
    <row r="7625" spans="5:5">
      <c r="E7625" s="51"/>
    </row>
    <row r="7626" spans="5:5">
      <c r="E7626" s="51"/>
    </row>
    <row r="7627" spans="5:5">
      <c r="E7627" s="51"/>
    </row>
    <row r="7628" spans="5:5">
      <c r="E7628" s="51"/>
    </row>
    <row r="7629" spans="5:5">
      <c r="E7629" s="51"/>
    </row>
    <row r="7630" spans="5:5">
      <c r="E7630" s="51"/>
    </row>
    <row r="7631" spans="5:5">
      <c r="E7631" s="51"/>
    </row>
    <row r="7632" spans="5:5">
      <c r="E7632" s="51"/>
    </row>
    <row r="7633" spans="5:5">
      <c r="E7633" s="51"/>
    </row>
    <row r="7634" spans="5:5">
      <c r="E7634" s="51"/>
    </row>
    <row r="7635" spans="5:5">
      <c r="E7635" s="51"/>
    </row>
    <row r="7636" spans="5:5">
      <c r="E7636" s="51"/>
    </row>
    <row r="7637" spans="5:5">
      <c r="E7637" s="51"/>
    </row>
    <row r="7638" spans="5:5">
      <c r="E7638" s="51"/>
    </row>
    <row r="7639" spans="5:5">
      <c r="E7639" s="51"/>
    </row>
    <row r="7640" spans="5:5">
      <c r="E7640" s="51"/>
    </row>
    <row r="7641" spans="5:5">
      <c r="E7641" s="51"/>
    </row>
    <row r="7642" spans="5:5">
      <c r="E7642" s="51"/>
    </row>
    <row r="7643" spans="5:5">
      <c r="E7643" s="51"/>
    </row>
    <row r="7644" spans="5:5">
      <c r="E7644" s="51"/>
    </row>
    <row r="7645" spans="5:5">
      <c r="E7645" s="51"/>
    </row>
    <row r="7646" spans="5:5">
      <c r="E7646" s="51"/>
    </row>
    <row r="7647" spans="5:5">
      <c r="E7647" s="51"/>
    </row>
    <row r="7648" spans="5:5">
      <c r="E7648" s="51"/>
    </row>
    <row r="7649" spans="5:5">
      <c r="E7649" s="51"/>
    </row>
    <row r="7650" spans="5:5">
      <c r="E7650" s="51"/>
    </row>
    <row r="7651" spans="5:5">
      <c r="E7651" s="51"/>
    </row>
    <row r="7652" spans="5:5">
      <c r="E7652" s="51"/>
    </row>
    <row r="7653" spans="5:5">
      <c r="E7653" s="51"/>
    </row>
    <row r="7654" spans="5:5">
      <c r="E7654" s="51"/>
    </row>
    <row r="7655" spans="5:5">
      <c r="E7655" s="51"/>
    </row>
    <row r="7656" spans="5:5">
      <c r="E7656" s="51"/>
    </row>
    <row r="7657" spans="5:5">
      <c r="E7657" s="51"/>
    </row>
    <row r="7658" spans="5:5">
      <c r="E7658" s="51"/>
    </row>
    <row r="7659" spans="5:5">
      <c r="E7659" s="51"/>
    </row>
    <row r="7660" spans="5:5">
      <c r="E7660" s="51"/>
    </row>
    <row r="7661" spans="5:5">
      <c r="E7661" s="51"/>
    </row>
    <row r="7662" spans="5:5">
      <c r="E7662" s="51"/>
    </row>
    <row r="7663" spans="5:5">
      <c r="E7663" s="51"/>
    </row>
    <row r="7664" spans="5:5">
      <c r="E7664" s="51"/>
    </row>
    <row r="7665" spans="5:5">
      <c r="E7665" s="51"/>
    </row>
    <row r="7666" spans="5:5">
      <c r="E7666" s="51"/>
    </row>
    <row r="7667" spans="5:5">
      <c r="E7667" s="51"/>
    </row>
    <row r="7668" spans="5:5">
      <c r="E7668" s="51"/>
    </row>
    <row r="7669" spans="5:5">
      <c r="E7669" s="51"/>
    </row>
    <row r="7670" spans="5:5">
      <c r="E7670" s="51"/>
    </row>
    <row r="7671" spans="5:5">
      <c r="E7671" s="51"/>
    </row>
    <row r="7672" spans="5:5">
      <c r="E7672" s="51"/>
    </row>
    <row r="7673" spans="5:5">
      <c r="E7673" s="51"/>
    </row>
    <row r="7674" spans="5:5">
      <c r="E7674" s="51"/>
    </row>
    <row r="7675" spans="5:5">
      <c r="E7675" s="51"/>
    </row>
    <row r="7676" spans="5:5">
      <c r="E7676" s="51"/>
    </row>
    <row r="7677" spans="5:5">
      <c r="E7677" s="51"/>
    </row>
    <row r="7678" spans="5:5">
      <c r="E7678" s="51"/>
    </row>
    <row r="7679" spans="5:5">
      <c r="E7679" s="51"/>
    </row>
    <row r="7680" spans="5:5">
      <c r="E7680" s="51"/>
    </row>
    <row r="7681" spans="5:5">
      <c r="E7681" s="51"/>
    </row>
    <row r="7682" spans="5:5">
      <c r="E7682" s="51"/>
    </row>
    <row r="7683" spans="5:5">
      <c r="E7683" s="51"/>
    </row>
    <row r="7684" spans="5:5">
      <c r="E7684" s="51"/>
    </row>
    <row r="7685" spans="5:5">
      <c r="E7685" s="51"/>
    </row>
    <row r="7686" spans="5:5">
      <c r="E7686" s="51"/>
    </row>
    <row r="7687" spans="5:5">
      <c r="E7687" s="51"/>
    </row>
    <row r="7688" spans="5:5">
      <c r="E7688" s="51"/>
    </row>
    <row r="7689" spans="5:5">
      <c r="E7689" s="51"/>
    </row>
    <row r="7690" spans="5:5">
      <c r="E7690" s="51"/>
    </row>
    <row r="7691" spans="5:5">
      <c r="E7691" s="51"/>
    </row>
    <row r="7692" spans="5:5">
      <c r="E7692" s="51"/>
    </row>
    <row r="7693" spans="5:5">
      <c r="E7693" s="51"/>
    </row>
    <row r="7694" spans="5:5">
      <c r="E7694" s="51"/>
    </row>
    <row r="7695" spans="5:5">
      <c r="E7695" s="51"/>
    </row>
    <row r="7696" spans="5:5">
      <c r="E7696" s="51"/>
    </row>
    <row r="7697" spans="5:5">
      <c r="E7697" s="51"/>
    </row>
    <row r="7698" spans="5:5">
      <c r="E7698" s="51"/>
    </row>
    <row r="7699" spans="5:5">
      <c r="E7699" s="51"/>
    </row>
    <row r="7700" spans="5:5">
      <c r="E7700" s="51"/>
    </row>
    <row r="7701" spans="5:5">
      <c r="E7701" s="51"/>
    </row>
    <row r="7702" spans="5:5">
      <c r="E7702" s="51"/>
    </row>
    <row r="7703" spans="5:5">
      <c r="E7703" s="51"/>
    </row>
    <row r="7704" spans="5:5">
      <c r="E7704" s="51"/>
    </row>
    <row r="7705" spans="5:5">
      <c r="E7705" s="51"/>
    </row>
    <row r="7706" spans="5:5">
      <c r="E7706" s="51"/>
    </row>
    <row r="7707" spans="5:5">
      <c r="E7707" s="51"/>
    </row>
    <row r="7708" spans="5:5">
      <c r="E7708" s="51"/>
    </row>
    <row r="7709" spans="5:5">
      <c r="E7709" s="51"/>
    </row>
    <row r="7710" spans="5:5">
      <c r="E7710" s="51"/>
    </row>
    <row r="7711" spans="5:5">
      <c r="E7711" s="51"/>
    </row>
    <row r="7712" spans="5:5">
      <c r="E7712" s="51"/>
    </row>
    <row r="7713" spans="5:5">
      <c r="E7713" s="51"/>
    </row>
    <row r="7714" spans="5:5">
      <c r="E7714" s="51"/>
    </row>
    <row r="7715" spans="5:5">
      <c r="E7715" s="51"/>
    </row>
    <row r="7716" spans="5:5">
      <c r="E7716" s="51"/>
    </row>
    <row r="7717" spans="5:5">
      <c r="E7717" s="51"/>
    </row>
    <row r="7718" spans="5:5">
      <c r="E7718" s="51"/>
    </row>
    <row r="7719" spans="5:5">
      <c r="E7719" s="51"/>
    </row>
    <row r="7720" spans="5:5">
      <c r="E7720" s="51"/>
    </row>
    <row r="7721" spans="5:5">
      <c r="E7721" s="51"/>
    </row>
    <row r="7722" spans="5:5">
      <c r="E7722" s="51"/>
    </row>
    <row r="7723" spans="5:5">
      <c r="E7723" s="51"/>
    </row>
    <row r="7724" spans="5:5">
      <c r="E7724" s="51"/>
    </row>
    <row r="7725" spans="5:5">
      <c r="E7725" s="51"/>
    </row>
    <row r="7726" spans="5:5">
      <c r="E7726" s="51"/>
    </row>
    <row r="7727" spans="5:5">
      <c r="E7727" s="51"/>
    </row>
    <row r="7728" spans="5:5">
      <c r="E7728" s="51"/>
    </row>
    <row r="7729" spans="5:5">
      <c r="E7729" s="51"/>
    </row>
    <row r="7730" spans="5:5">
      <c r="E7730" s="51"/>
    </row>
    <row r="7731" spans="5:5">
      <c r="E7731" s="51"/>
    </row>
    <row r="7732" spans="5:5">
      <c r="E7732" s="51"/>
    </row>
    <row r="7733" spans="5:5">
      <c r="E7733" s="51"/>
    </row>
    <row r="7734" spans="5:5">
      <c r="E7734" s="51"/>
    </row>
    <row r="7735" spans="5:5">
      <c r="E7735" s="51"/>
    </row>
    <row r="7736" spans="5:5">
      <c r="E7736" s="51"/>
    </row>
    <row r="7737" spans="5:5">
      <c r="E7737" s="51"/>
    </row>
    <row r="7738" spans="5:5">
      <c r="E7738" s="51"/>
    </row>
    <row r="7739" spans="5:5">
      <c r="E7739" s="51"/>
    </row>
    <row r="7740" spans="5:5">
      <c r="E7740" s="51"/>
    </row>
    <row r="7741" spans="5:5">
      <c r="E7741" s="51"/>
    </row>
    <row r="7742" spans="5:5">
      <c r="E7742" s="51"/>
    </row>
    <row r="7743" spans="5:5">
      <c r="E7743" s="51"/>
    </row>
    <row r="7744" spans="5:5">
      <c r="E7744" s="51"/>
    </row>
    <row r="7745" spans="5:5">
      <c r="E7745" s="51"/>
    </row>
    <row r="7746" spans="5:5">
      <c r="E7746" s="51"/>
    </row>
    <row r="7747" spans="5:5">
      <c r="E7747" s="51"/>
    </row>
    <row r="7748" spans="5:5">
      <c r="E7748" s="51"/>
    </row>
    <row r="7749" spans="5:5">
      <c r="E7749" s="51"/>
    </row>
    <row r="7750" spans="5:5">
      <c r="E7750" s="51"/>
    </row>
    <row r="7751" spans="5:5">
      <c r="E7751" s="51"/>
    </row>
    <row r="7752" spans="5:5">
      <c r="E7752" s="51"/>
    </row>
    <row r="7753" spans="5:5">
      <c r="E7753" s="51"/>
    </row>
    <row r="7754" spans="5:5">
      <c r="E7754" s="51"/>
    </row>
    <row r="7755" spans="5:5">
      <c r="E7755" s="51"/>
    </row>
    <row r="7756" spans="5:5">
      <c r="E7756" s="51"/>
    </row>
    <row r="7757" spans="5:5">
      <c r="E7757" s="51"/>
    </row>
    <row r="7758" spans="5:5">
      <c r="E7758" s="51"/>
    </row>
    <row r="7759" spans="5:5">
      <c r="E7759" s="51"/>
    </row>
    <row r="7760" spans="5:5">
      <c r="E7760" s="51"/>
    </row>
    <row r="7761" spans="5:5">
      <c r="E7761" s="51"/>
    </row>
    <row r="7762" spans="5:5">
      <c r="E7762" s="51"/>
    </row>
    <row r="7763" spans="5:5">
      <c r="E7763" s="51"/>
    </row>
    <row r="7764" spans="5:5">
      <c r="E7764" s="51"/>
    </row>
    <row r="7765" spans="5:5">
      <c r="E7765" s="51"/>
    </row>
    <row r="7766" spans="5:5">
      <c r="E7766" s="51"/>
    </row>
    <row r="7767" spans="5:5">
      <c r="E7767" s="51"/>
    </row>
    <row r="7768" spans="5:5">
      <c r="E7768" s="51"/>
    </row>
    <row r="7769" spans="5:5">
      <c r="E7769" s="51"/>
    </row>
    <row r="7770" spans="5:5">
      <c r="E7770" s="51"/>
    </row>
    <row r="7771" spans="5:5">
      <c r="E7771" s="51"/>
    </row>
    <row r="7772" spans="5:5">
      <c r="E7772" s="51"/>
    </row>
    <row r="7773" spans="5:5">
      <c r="E7773" s="51"/>
    </row>
    <row r="7774" spans="5:5">
      <c r="E7774" s="51"/>
    </row>
    <row r="7775" spans="5:5">
      <c r="E7775" s="51"/>
    </row>
    <row r="7776" spans="5:5">
      <c r="E7776" s="51"/>
    </row>
    <row r="7777" spans="5:5">
      <c r="E7777" s="51"/>
    </row>
    <row r="7778" spans="5:5">
      <c r="E7778" s="51"/>
    </row>
    <row r="7779" spans="5:5">
      <c r="E7779" s="51"/>
    </row>
    <row r="7780" spans="5:5">
      <c r="E7780" s="51"/>
    </row>
    <row r="7781" spans="5:5">
      <c r="E7781" s="51"/>
    </row>
    <row r="7782" spans="5:5">
      <c r="E7782" s="51"/>
    </row>
    <row r="7783" spans="5:5">
      <c r="E7783" s="51"/>
    </row>
    <row r="7784" spans="5:5">
      <c r="E7784" s="51"/>
    </row>
    <row r="7785" spans="5:5">
      <c r="E7785" s="51"/>
    </row>
    <row r="7786" spans="5:5">
      <c r="E7786" s="51"/>
    </row>
    <row r="7787" spans="5:5">
      <c r="E7787" s="51"/>
    </row>
    <row r="7788" spans="5:5">
      <c r="E7788" s="51"/>
    </row>
    <row r="7789" spans="5:5">
      <c r="E7789" s="51"/>
    </row>
    <row r="7790" spans="5:5">
      <c r="E7790" s="51"/>
    </row>
    <row r="7791" spans="5:5">
      <c r="E7791" s="51"/>
    </row>
    <row r="7792" spans="5:5">
      <c r="E7792" s="51"/>
    </row>
    <row r="7793" spans="5:5">
      <c r="E7793" s="51"/>
    </row>
    <row r="7794" spans="5:5">
      <c r="E7794" s="51"/>
    </row>
    <row r="7795" spans="5:5">
      <c r="E7795" s="51"/>
    </row>
    <row r="7796" spans="5:5">
      <c r="E7796" s="51"/>
    </row>
    <row r="7797" spans="5:5">
      <c r="E7797" s="51"/>
    </row>
    <row r="7798" spans="5:5">
      <c r="E7798" s="51"/>
    </row>
    <row r="7799" spans="5:5">
      <c r="E7799" s="51"/>
    </row>
    <row r="7800" spans="5:5">
      <c r="E7800" s="51"/>
    </row>
    <row r="7801" spans="5:5">
      <c r="E7801" s="51"/>
    </row>
    <row r="7802" spans="5:5">
      <c r="E7802" s="51"/>
    </row>
    <row r="7803" spans="5:5">
      <c r="E7803" s="51"/>
    </row>
    <row r="7804" spans="5:5">
      <c r="E7804" s="51"/>
    </row>
    <row r="7805" spans="5:5">
      <c r="E7805" s="51"/>
    </row>
    <row r="7806" spans="5:5">
      <c r="E7806" s="51"/>
    </row>
    <row r="7807" spans="5:5">
      <c r="E7807" s="51"/>
    </row>
    <row r="7808" spans="5:5">
      <c r="E7808" s="51"/>
    </row>
    <row r="7809" spans="5:5">
      <c r="E7809" s="51"/>
    </row>
    <row r="7810" spans="5:5">
      <c r="E7810" s="51"/>
    </row>
    <row r="7811" spans="5:5">
      <c r="E7811" s="51"/>
    </row>
    <row r="7812" spans="5:5">
      <c r="E7812" s="51"/>
    </row>
    <row r="7813" spans="5:5">
      <c r="E7813" s="51"/>
    </row>
    <row r="7814" spans="5:5">
      <c r="E7814" s="51"/>
    </row>
    <row r="7815" spans="5:5">
      <c r="E7815" s="51"/>
    </row>
    <row r="7816" spans="5:5">
      <c r="E7816" s="51"/>
    </row>
    <row r="7817" spans="5:5">
      <c r="E7817" s="51"/>
    </row>
    <row r="7818" spans="5:5">
      <c r="E7818" s="51"/>
    </row>
    <row r="7819" spans="5:5">
      <c r="E7819" s="51"/>
    </row>
    <row r="7820" spans="5:5">
      <c r="E7820" s="51"/>
    </row>
    <row r="7821" spans="5:5">
      <c r="E7821" s="51"/>
    </row>
    <row r="7822" spans="5:5">
      <c r="E7822" s="51"/>
    </row>
    <row r="7823" spans="5:5">
      <c r="E7823" s="51"/>
    </row>
    <row r="7824" spans="5:5">
      <c r="E7824" s="51"/>
    </row>
    <row r="7825" spans="5:5">
      <c r="E7825" s="51"/>
    </row>
    <row r="7826" spans="5:5">
      <c r="E7826" s="51"/>
    </row>
    <row r="7827" spans="5:5">
      <c r="E7827" s="51"/>
    </row>
    <row r="7828" spans="5:5">
      <c r="E7828" s="51"/>
    </row>
    <row r="7829" spans="5:5">
      <c r="E7829" s="51"/>
    </row>
    <row r="7830" spans="5:5">
      <c r="E7830" s="51"/>
    </row>
    <row r="7831" spans="5:5">
      <c r="E7831" s="51"/>
    </row>
    <row r="7832" spans="5:5">
      <c r="E7832" s="51"/>
    </row>
    <row r="7833" spans="5:5">
      <c r="E7833" s="51"/>
    </row>
    <row r="7834" spans="5:5">
      <c r="E7834" s="51"/>
    </row>
    <row r="7835" spans="5:5">
      <c r="E7835" s="51"/>
    </row>
    <row r="7836" spans="5:5">
      <c r="E7836" s="51"/>
    </row>
    <row r="7837" spans="5:5">
      <c r="E7837" s="51"/>
    </row>
    <row r="7838" spans="5:5">
      <c r="E7838" s="51"/>
    </row>
    <row r="7839" spans="5:5">
      <c r="E7839" s="51"/>
    </row>
    <row r="7840" spans="5:5">
      <c r="E7840" s="51"/>
    </row>
    <row r="7841" spans="5:5">
      <c r="E7841" s="51"/>
    </row>
    <row r="7842" spans="5:5">
      <c r="E7842" s="51"/>
    </row>
    <row r="7843" spans="5:5">
      <c r="E7843" s="51"/>
    </row>
    <row r="7844" spans="5:5">
      <c r="E7844" s="51"/>
    </row>
    <row r="7845" spans="5:5">
      <c r="E7845" s="51"/>
    </row>
    <row r="7846" spans="5:5">
      <c r="E7846" s="51"/>
    </row>
    <row r="7847" spans="5:5">
      <c r="E7847" s="51"/>
    </row>
    <row r="7848" spans="5:5">
      <c r="E7848" s="51"/>
    </row>
    <row r="7849" spans="5:5">
      <c r="E7849" s="51"/>
    </row>
    <row r="7850" spans="5:5">
      <c r="E7850" s="51"/>
    </row>
    <row r="7851" spans="5:5">
      <c r="E7851" s="51"/>
    </row>
    <row r="7852" spans="5:5">
      <c r="E7852" s="51"/>
    </row>
    <row r="7853" spans="5:5">
      <c r="E7853" s="51"/>
    </row>
    <row r="7854" spans="5:5">
      <c r="E7854" s="51"/>
    </row>
    <row r="7855" spans="5:5">
      <c r="E7855" s="51"/>
    </row>
    <row r="7856" spans="5:5">
      <c r="E7856" s="51"/>
    </row>
    <row r="7857" spans="5:5">
      <c r="E7857" s="51"/>
    </row>
    <row r="7858" spans="5:5">
      <c r="E7858" s="51"/>
    </row>
    <row r="7859" spans="5:5">
      <c r="E7859" s="51"/>
    </row>
    <row r="7860" spans="5:5">
      <c r="E7860" s="51"/>
    </row>
    <row r="7861" spans="5:5">
      <c r="E7861" s="51"/>
    </row>
    <row r="7862" spans="5:5">
      <c r="E7862" s="51"/>
    </row>
    <row r="7863" spans="5:5">
      <c r="E7863" s="51"/>
    </row>
    <row r="7864" spans="5:5">
      <c r="E7864" s="51"/>
    </row>
    <row r="7865" spans="5:5">
      <c r="E7865" s="51"/>
    </row>
    <row r="7866" spans="5:5">
      <c r="E7866" s="51"/>
    </row>
    <row r="7867" spans="5:5">
      <c r="E7867" s="51"/>
    </row>
    <row r="7868" spans="5:5">
      <c r="E7868" s="51"/>
    </row>
    <row r="7869" spans="5:5">
      <c r="E7869" s="51"/>
    </row>
    <row r="7870" spans="5:5">
      <c r="E7870" s="51"/>
    </row>
    <row r="7871" spans="5:5">
      <c r="E7871" s="51"/>
    </row>
    <row r="7872" spans="5:5">
      <c r="E7872" s="51"/>
    </row>
    <row r="7873" spans="5:5">
      <c r="E7873" s="51"/>
    </row>
    <row r="7874" spans="5:5">
      <c r="E7874" s="51"/>
    </row>
    <row r="7875" spans="5:5">
      <c r="E7875" s="51"/>
    </row>
    <row r="7876" spans="5:5">
      <c r="E7876" s="51"/>
    </row>
    <row r="7877" spans="5:5">
      <c r="E7877" s="51"/>
    </row>
    <row r="7878" spans="5:5">
      <c r="E7878" s="51"/>
    </row>
    <row r="7879" spans="5:5">
      <c r="E7879" s="51"/>
    </row>
    <row r="7880" spans="5:5">
      <c r="E7880" s="51"/>
    </row>
    <row r="7881" spans="5:5">
      <c r="E7881" s="51"/>
    </row>
    <row r="7882" spans="5:5">
      <c r="E7882" s="51"/>
    </row>
    <row r="7883" spans="5:5">
      <c r="E7883" s="51"/>
    </row>
    <row r="7884" spans="5:5">
      <c r="E7884" s="51"/>
    </row>
    <row r="7885" spans="5:5">
      <c r="E7885" s="51"/>
    </row>
    <row r="7886" spans="5:5">
      <c r="E7886" s="51"/>
    </row>
    <row r="7887" spans="5:5">
      <c r="E7887" s="51"/>
    </row>
    <row r="7888" spans="5:5">
      <c r="E7888" s="51"/>
    </row>
    <row r="7889" spans="5:5">
      <c r="E7889" s="51"/>
    </row>
    <row r="7890" spans="5:5">
      <c r="E7890" s="51"/>
    </row>
    <row r="7891" spans="5:5">
      <c r="E7891" s="51"/>
    </row>
    <row r="7892" spans="5:5">
      <c r="E7892" s="51"/>
    </row>
    <row r="7893" spans="5:5">
      <c r="E7893" s="51"/>
    </row>
    <row r="7894" spans="5:5">
      <c r="E7894" s="51"/>
    </row>
    <row r="7895" spans="5:5">
      <c r="E7895" s="51"/>
    </row>
    <row r="7896" spans="5:5">
      <c r="E7896" s="51"/>
    </row>
    <row r="7897" spans="5:5">
      <c r="E7897" s="51"/>
    </row>
    <row r="7898" spans="5:5">
      <c r="E7898" s="51"/>
    </row>
    <row r="7899" spans="5:5">
      <c r="E7899" s="51"/>
    </row>
    <row r="7900" spans="5:5">
      <c r="E7900" s="51"/>
    </row>
    <row r="7901" spans="5:5">
      <c r="E7901" s="51"/>
    </row>
    <row r="7902" spans="5:5">
      <c r="E7902" s="51"/>
    </row>
    <row r="7903" spans="5:5">
      <c r="E7903" s="51"/>
    </row>
    <row r="7904" spans="5:5">
      <c r="E7904" s="51"/>
    </row>
    <row r="7905" spans="5:5">
      <c r="E7905" s="51"/>
    </row>
    <row r="7906" spans="5:5">
      <c r="E7906" s="51"/>
    </row>
    <row r="7907" spans="5:5">
      <c r="E7907" s="51"/>
    </row>
    <row r="7908" spans="5:5">
      <c r="E7908" s="51"/>
    </row>
    <row r="7909" spans="5:5">
      <c r="E7909" s="51"/>
    </row>
    <row r="7910" spans="5:5">
      <c r="E7910" s="51"/>
    </row>
    <row r="7911" spans="5:5">
      <c r="E7911" s="51"/>
    </row>
    <row r="7912" spans="5:5">
      <c r="E7912" s="51"/>
    </row>
    <row r="7913" spans="5:5">
      <c r="E7913" s="51"/>
    </row>
    <row r="7914" spans="5:5">
      <c r="E7914" s="51"/>
    </row>
    <row r="7915" spans="5:5">
      <c r="E7915" s="51"/>
    </row>
    <row r="7916" spans="5:5">
      <c r="E7916" s="51"/>
    </row>
    <row r="7917" spans="5:5">
      <c r="E7917" s="51"/>
    </row>
    <row r="7918" spans="5:5">
      <c r="E7918" s="51"/>
    </row>
    <row r="7919" spans="5:5">
      <c r="E7919" s="51"/>
    </row>
    <row r="7920" spans="5:5">
      <c r="E7920" s="51"/>
    </row>
    <row r="7921" spans="5:5">
      <c r="E7921" s="51"/>
    </row>
    <row r="7922" spans="5:5">
      <c r="E7922" s="51"/>
    </row>
    <row r="7923" spans="5:5">
      <c r="E7923" s="51"/>
    </row>
    <row r="7924" spans="5:5">
      <c r="E7924" s="51"/>
    </row>
    <row r="7925" spans="5:5">
      <c r="E7925" s="51"/>
    </row>
    <row r="7926" spans="5:5">
      <c r="E7926" s="51"/>
    </row>
    <row r="7927" spans="5:5">
      <c r="E7927" s="51"/>
    </row>
    <row r="7928" spans="5:5">
      <c r="E7928" s="51"/>
    </row>
    <row r="7929" spans="5:5">
      <c r="E7929" s="51"/>
    </row>
    <row r="7930" spans="5:5">
      <c r="E7930" s="51"/>
    </row>
    <row r="7931" spans="5:5">
      <c r="E7931" s="51"/>
    </row>
    <row r="7932" spans="5:5">
      <c r="E7932" s="51"/>
    </row>
    <row r="7933" spans="5:5">
      <c r="E7933" s="51"/>
    </row>
    <row r="7934" spans="5:5">
      <c r="E7934" s="51"/>
    </row>
    <row r="7935" spans="5:5">
      <c r="E7935" s="51"/>
    </row>
    <row r="7936" spans="5:5">
      <c r="E7936" s="51"/>
    </row>
    <row r="7937" spans="5:5">
      <c r="E7937" s="51"/>
    </row>
    <row r="7938" spans="5:5">
      <c r="E7938" s="51"/>
    </row>
    <row r="7939" spans="5:5">
      <c r="E7939" s="51"/>
    </row>
    <row r="7940" spans="5:5">
      <c r="E7940" s="51"/>
    </row>
    <row r="7941" spans="5:5">
      <c r="E7941" s="51"/>
    </row>
    <row r="7942" spans="5:5">
      <c r="E7942" s="51"/>
    </row>
    <row r="7943" spans="5:5">
      <c r="E7943" s="51"/>
    </row>
    <row r="7944" spans="5:5">
      <c r="E7944" s="51"/>
    </row>
    <row r="7945" spans="5:5">
      <c r="E7945" s="51"/>
    </row>
    <row r="7946" spans="5:5">
      <c r="E7946" s="51"/>
    </row>
    <row r="7947" spans="5:5">
      <c r="E7947" s="51"/>
    </row>
    <row r="7948" spans="5:5">
      <c r="E7948" s="51"/>
    </row>
    <row r="7949" spans="5:5">
      <c r="E7949" s="51"/>
    </row>
    <row r="7950" spans="5:5">
      <c r="E7950" s="51"/>
    </row>
    <row r="7951" spans="5:5">
      <c r="E7951" s="51"/>
    </row>
    <row r="7952" spans="5:5">
      <c r="E7952" s="51"/>
    </row>
    <row r="7953" spans="5:5">
      <c r="E7953" s="51"/>
    </row>
    <row r="7954" spans="5:5">
      <c r="E7954" s="51"/>
    </row>
    <row r="7955" spans="5:5">
      <c r="E7955" s="51"/>
    </row>
    <row r="7956" spans="5:5">
      <c r="E7956" s="51"/>
    </row>
    <row r="7957" spans="5:5">
      <c r="E7957" s="51"/>
    </row>
    <row r="7958" spans="5:5">
      <c r="E7958" s="51"/>
    </row>
    <row r="7959" spans="5:5">
      <c r="E7959" s="51"/>
    </row>
    <row r="7960" spans="5:5">
      <c r="E7960" s="51"/>
    </row>
    <row r="7961" spans="5:5">
      <c r="E7961" s="51"/>
    </row>
    <row r="7962" spans="5:5">
      <c r="E7962" s="51"/>
    </row>
    <row r="7963" spans="5:5">
      <c r="E7963" s="51"/>
    </row>
    <row r="7964" spans="5:5">
      <c r="E7964" s="51"/>
    </row>
    <row r="7965" spans="5:5">
      <c r="E7965" s="51"/>
    </row>
    <row r="7966" spans="5:5">
      <c r="E7966" s="51"/>
    </row>
    <row r="7967" spans="5:5">
      <c r="E7967" s="51"/>
    </row>
    <row r="7968" spans="5:5">
      <c r="E7968" s="51"/>
    </row>
    <row r="7969" spans="5:5">
      <c r="E7969" s="51"/>
    </row>
    <row r="7970" spans="5:5">
      <c r="E7970" s="51"/>
    </row>
    <row r="7971" spans="5:5">
      <c r="E7971" s="51"/>
    </row>
    <row r="7972" spans="5:5">
      <c r="E7972" s="51"/>
    </row>
    <row r="7973" spans="5:5">
      <c r="E7973" s="51"/>
    </row>
    <row r="7974" spans="5:5">
      <c r="E7974" s="51"/>
    </row>
    <row r="7975" spans="5:5">
      <c r="E7975" s="51"/>
    </row>
    <row r="7976" spans="5:5">
      <c r="E7976" s="51"/>
    </row>
    <row r="7977" spans="5:5">
      <c r="E7977" s="51"/>
    </row>
    <row r="7978" spans="5:5">
      <c r="E7978" s="51"/>
    </row>
    <row r="7979" spans="5:5">
      <c r="E7979" s="51"/>
    </row>
    <row r="7980" spans="5:5">
      <c r="E7980" s="51"/>
    </row>
    <row r="7981" spans="5:5">
      <c r="E7981" s="51"/>
    </row>
    <row r="7982" spans="5:5">
      <c r="E7982" s="51"/>
    </row>
    <row r="7983" spans="5:5">
      <c r="E7983" s="51"/>
    </row>
    <row r="7984" spans="5:5">
      <c r="E7984" s="51"/>
    </row>
    <row r="7985" spans="5:5">
      <c r="E7985" s="51"/>
    </row>
    <row r="7986" spans="5:5">
      <c r="E7986" s="51"/>
    </row>
    <row r="7987" spans="5:5">
      <c r="E7987" s="51"/>
    </row>
    <row r="7988" spans="5:5">
      <c r="E7988" s="51"/>
    </row>
    <row r="7989" spans="5:5">
      <c r="E7989" s="51"/>
    </row>
    <row r="7990" spans="5:5">
      <c r="E7990" s="51"/>
    </row>
    <row r="7991" spans="5:5">
      <c r="E7991" s="51"/>
    </row>
    <row r="7992" spans="5:5">
      <c r="E7992" s="51"/>
    </row>
    <row r="7993" spans="5:5">
      <c r="E7993" s="51"/>
    </row>
    <row r="7994" spans="5:5">
      <c r="E7994" s="51"/>
    </row>
    <row r="7995" spans="5:5">
      <c r="E7995" s="51"/>
    </row>
    <row r="7996" spans="5:5">
      <c r="E7996" s="51"/>
    </row>
    <row r="7997" spans="5:5">
      <c r="E7997" s="51"/>
    </row>
    <row r="7998" spans="5:5">
      <c r="E7998" s="51"/>
    </row>
    <row r="7999" spans="5:5">
      <c r="E7999" s="51"/>
    </row>
    <row r="8000" spans="5:5">
      <c r="E8000" s="51"/>
    </row>
    <row r="8001" spans="5:5">
      <c r="E8001" s="51"/>
    </row>
    <row r="8002" spans="5:5">
      <c r="E8002" s="51"/>
    </row>
    <row r="8003" spans="5:5">
      <c r="E8003" s="51"/>
    </row>
    <row r="8004" spans="5:5">
      <c r="E8004" s="51"/>
    </row>
    <row r="8005" spans="5:5">
      <c r="E8005" s="51"/>
    </row>
    <row r="8006" spans="5:5">
      <c r="E8006" s="51"/>
    </row>
    <row r="8007" spans="5:5">
      <c r="E8007" s="51"/>
    </row>
    <row r="8008" spans="5:5">
      <c r="E8008" s="51"/>
    </row>
    <row r="8009" spans="5:5">
      <c r="E8009" s="51"/>
    </row>
    <row r="8010" spans="5:5">
      <c r="E8010" s="51"/>
    </row>
    <row r="8011" spans="5:5">
      <c r="E8011" s="51"/>
    </row>
    <row r="8012" spans="5:5">
      <c r="E8012" s="51"/>
    </row>
    <row r="8013" spans="5:5">
      <c r="E8013" s="51"/>
    </row>
    <row r="8014" spans="5:5">
      <c r="E8014" s="51"/>
    </row>
    <row r="8015" spans="5:5">
      <c r="E8015" s="51"/>
    </row>
    <row r="8016" spans="5:5">
      <c r="E8016" s="51"/>
    </row>
    <row r="8017" spans="5:5">
      <c r="E8017" s="51"/>
    </row>
    <row r="8018" spans="5:5">
      <c r="E8018" s="51"/>
    </row>
    <row r="8019" spans="5:5">
      <c r="E8019" s="51"/>
    </row>
    <row r="8020" spans="5:5">
      <c r="E8020" s="51"/>
    </row>
    <row r="8021" spans="5:5">
      <c r="E8021" s="51"/>
    </row>
    <row r="8022" spans="5:5">
      <c r="E8022" s="51"/>
    </row>
    <row r="8023" spans="5:5">
      <c r="E8023" s="51"/>
    </row>
    <row r="8024" spans="5:5">
      <c r="E8024" s="51"/>
    </row>
    <row r="8025" spans="5:5">
      <c r="E8025" s="51"/>
    </row>
    <row r="8026" spans="5:5">
      <c r="E8026" s="51"/>
    </row>
    <row r="8027" spans="5:5">
      <c r="E8027" s="51"/>
    </row>
    <row r="8028" spans="5:5">
      <c r="E8028" s="51"/>
    </row>
    <row r="8029" spans="5:5">
      <c r="E8029" s="51"/>
    </row>
    <row r="8030" spans="5:5">
      <c r="E8030" s="51"/>
    </row>
    <row r="8031" spans="5:5">
      <c r="E8031" s="51"/>
    </row>
    <row r="8032" spans="5:5">
      <c r="E8032" s="51"/>
    </row>
    <row r="8033" spans="5:5">
      <c r="E8033" s="51"/>
    </row>
    <row r="8034" spans="5:5">
      <c r="E8034" s="51"/>
    </row>
    <row r="8035" spans="5:5">
      <c r="E8035" s="51"/>
    </row>
    <row r="8036" spans="5:5">
      <c r="E8036" s="51"/>
    </row>
    <row r="8037" spans="5:5">
      <c r="E8037" s="51"/>
    </row>
    <row r="8038" spans="5:5">
      <c r="E8038" s="51"/>
    </row>
    <row r="8039" spans="5:5">
      <c r="E8039" s="51"/>
    </row>
    <row r="8040" spans="5:5">
      <c r="E8040" s="51"/>
    </row>
    <row r="8041" spans="5:5">
      <c r="E8041" s="51"/>
    </row>
    <row r="8042" spans="5:5">
      <c r="E8042" s="51"/>
    </row>
    <row r="8043" spans="5:5">
      <c r="E8043" s="51"/>
    </row>
    <row r="8044" spans="5:5">
      <c r="E8044" s="51"/>
    </row>
    <row r="8045" spans="5:5">
      <c r="E8045" s="51"/>
    </row>
    <row r="8046" spans="5:5">
      <c r="E8046" s="51"/>
    </row>
    <row r="8047" spans="5:5">
      <c r="E8047" s="51"/>
    </row>
    <row r="8048" spans="5:5">
      <c r="E8048" s="51"/>
    </row>
    <row r="8049" spans="5:5">
      <c r="E8049" s="51"/>
    </row>
    <row r="8050" spans="5:5">
      <c r="E8050" s="51"/>
    </row>
    <row r="8051" spans="5:5">
      <c r="E8051" s="51"/>
    </row>
    <row r="8052" spans="5:5">
      <c r="E8052" s="51"/>
    </row>
    <row r="8053" spans="5:5">
      <c r="E8053" s="51"/>
    </row>
    <row r="8054" spans="5:5">
      <c r="E8054" s="51"/>
    </row>
    <row r="8055" spans="5:5">
      <c r="E8055" s="51"/>
    </row>
    <row r="8056" spans="5:5">
      <c r="E8056" s="51"/>
    </row>
    <row r="8057" spans="5:5">
      <c r="E8057" s="51"/>
    </row>
    <row r="8058" spans="5:5">
      <c r="E8058" s="51"/>
    </row>
    <row r="8059" spans="5:5">
      <c r="E8059" s="51"/>
    </row>
    <row r="8060" spans="5:5">
      <c r="E8060" s="51"/>
    </row>
    <row r="8061" spans="5:5">
      <c r="E8061" s="51"/>
    </row>
    <row r="8062" spans="5:5">
      <c r="E8062" s="51"/>
    </row>
    <row r="8063" spans="5:5">
      <c r="E8063" s="51"/>
    </row>
    <row r="8064" spans="5:5">
      <c r="E8064" s="51"/>
    </row>
    <row r="8065" spans="5:5">
      <c r="E8065" s="51"/>
    </row>
    <row r="8066" spans="5:5">
      <c r="E8066" s="51"/>
    </row>
    <row r="8067" spans="5:5">
      <c r="E8067" s="51"/>
    </row>
    <row r="8068" spans="5:5">
      <c r="E8068" s="51"/>
    </row>
    <row r="8069" spans="5:5">
      <c r="E8069" s="51"/>
    </row>
    <row r="8070" spans="5:5">
      <c r="E8070" s="51"/>
    </row>
    <row r="8071" spans="5:5">
      <c r="E8071" s="51"/>
    </row>
    <row r="8072" spans="5:5">
      <c r="E8072" s="51"/>
    </row>
    <row r="8073" spans="5:5">
      <c r="E8073" s="51"/>
    </row>
    <row r="8074" spans="5:5">
      <c r="E8074" s="51"/>
    </row>
    <row r="8075" spans="5:5">
      <c r="E8075" s="51"/>
    </row>
    <row r="8076" spans="5:5">
      <c r="E8076" s="51"/>
    </row>
    <row r="8077" spans="5:5">
      <c r="E8077" s="51"/>
    </row>
    <row r="8078" spans="5:5">
      <c r="E8078" s="51"/>
    </row>
    <row r="8079" spans="5:5">
      <c r="E8079" s="51"/>
    </row>
    <row r="8080" spans="5:5">
      <c r="E8080" s="51"/>
    </row>
    <row r="8081" spans="5:5">
      <c r="E8081" s="51"/>
    </row>
    <row r="8082" spans="5:5">
      <c r="E8082" s="51"/>
    </row>
    <row r="8083" spans="5:5">
      <c r="E8083" s="51"/>
    </row>
    <row r="8084" spans="5:5">
      <c r="E8084" s="51"/>
    </row>
    <row r="8085" spans="5:5">
      <c r="E8085" s="51"/>
    </row>
    <row r="8086" spans="5:5">
      <c r="E8086" s="51"/>
    </row>
    <row r="8087" spans="5:5">
      <c r="E8087" s="51"/>
    </row>
    <row r="8088" spans="5:5">
      <c r="E8088" s="51"/>
    </row>
    <row r="8089" spans="5:5">
      <c r="E8089" s="51"/>
    </row>
    <row r="8090" spans="5:5">
      <c r="E8090" s="51"/>
    </row>
    <row r="8091" spans="5:5">
      <c r="E8091" s="51"/>
    </row>
    <row r="8092" spans="5:5">
      <c r="E8092" s="51"/>
    </row>
    <row r="8093" spans="5:5">
      <c r="E8093" s="51"/>
    </row>
    <row r="8094" spans="5:5">
      <c r="E8094" s="51"/>
    </row>
    <row r="8095" spans="5:5">
      <c r="E8095" s="51"/>
    </row>
    <row r="8096" spans="5:5">
      <c r="E8096" s="51"/>
    </row>
    <row r="8097" spans="5:5">
      <c r="E8097" s="51"/>
    </row>
    <row r="8098" spans="5:5">
      <c r="E8098" s="51"/>
    </row>
    <row r="8099" spans="5:5">
      <c r="E8099" s="51"/>
    </row>
    <row r="8100" spans="5:5">
      <c r="E8100" s="51"/>
    </row>
    <row r="8101" spans="5:5">
      <c r="E8101" s="51"/>
    </row>
    <row r="8102" spans="5:5">
      <c r="E8102" s="51"/>
    </row>
    <row r="8103" spans="5:5">
      <c r="E8103" s="51"/>
    </row>
    <row r="8104" spans="5:5">
      <c r="E8104" s="51"/>
    </row>
    <row r="8105" spans="5:5">
      <c r="E8105" s="51"/>
    </row>
    <row r="8106" spans="5:5">
      <c r="E8106" s="51"/>
    </row>
    <row r="8107" spans="5:5">
      <c r="E8107" s="51"/>
    </row>
    <row r="8108" spans="5:5">
      <c r="E8108" s="51"/>
    </row>
    <row r="8109" spans="5:5">
      <c r="E8109" s="51"/>
    </row>
    <row r="8110" spans="5:5">
      <c r="E8110" s="51"/>
    </row>
    <row r="8111" spans="5:5">
      <c r="E8111" s="51"/>
    </row>
    <row r="8112" spans="5:5">
      <c r="E8112" s="51"/>
    </row>
    <row r="8113" spans="5:5">
      <c r="E8113" s="51"/>
    </row>
    <row r="8114" spans="5:5">
      <c r="E8114" s="51"/>
    </row>
    <row r="8115" spans="5:5">
      <c r="E8115" s="51"/>
    </row>
    <row r="8116" spans="5:5">
      <c r="E8116" s="51"/>
    </row>
    <row r="8117" spans="5:5">
      <c r="E8117" s="51"/>
    </row>
    <row r="8118" spans="5:5">
      <c r="E8118" s="51"/>
    </row>
    <row r="8119" spans="5:5">
      <c r="E8119" s="51"/>
    </row>
    <row r="8120" spans="5:5">
      <c r="E8120" s="51"/>
    </row>
    <row r="8121" spans="5:5">
      <c r="E8121" s="51"/>
    </row>
    <row r="8122" spans="5:5">
      <c r="E8122" s="51"/>
    </row>
    <row r="8123" spans="5:5">
      <c r="E8123" s="51"/>
    </row>
    <row r="8124" spans="5:5">
      <c r="E8124" s="51"/>
    </row>
    <row r="8125" spans="5:5">
      <c r="E8125" s="51"/>
    </row>
    <row r="8126" spans="5:5">
      <c r="E8126" s="51"/>
    </row>
    <row r="8127" spans="5:5">
      <c r="E8127" s="51"/>
    </row>
    <row r="8128" spans="5:5">
      <c r="E8128" s="51"/>
    </row>
    <row r="8129" spans="5:5">
      <c r="E8129" s="51"/>
    </row>
    <row r="8130" spans="5:5">
      <c r="E8130" s="51"/>
    </row>
    <row r="8131" spans="5:5">
      <c r="E8131" s="51"/>
    </row>
    <row r="8132" spans="5:5">
      <c r="E8132" s="51"/>
    </row>
    <row r="8133" spans="5:5">
      <c r="E8133" s="51"/>
    </row>
    <row r="8134" spans="5:5">
      <c r="E8134" s="51"/>
    </row>
    <row r="8135" spans="5:5">
      <c r="E8135" s="51"/>
    </row>
    <row r="8136" spans="5:5">
      <c r="E8136" s="51"/>
    </row>
    <row r="8137" spans="5:5">
      <c r="E8137" s="51"/>
    </row>
    <row r="8138" spans="5:5">
      <c r="E8138" s="51"/>
    </row>
    <row r="8139" spans="5:5">
      <c r="E8139" s="51"/>
    </row>
    <row r="8140" spans="5:5">
      <c r="E8140" s="51"/>
    </row>
    <row r="8141" spans="5:5">
      <c r="E8141" s="51"/>
    </row>
    <row r="8142" spans="5:5">
      <c r="E8142" s="51"/>
    </row>
    <row r="8143" spans="5:5">
      <c r="E8143" s="51"/>
    </row>
    <row r="8144" spans="5:5">
      <c r="E8144" s="51"/>
    </row>
    <row r="8145" spans="5:5">
      <c r="E8145" s="51"/>
    </row>
    <row r="8146" spans="5:5">
      <c r="E8146" s="51"/>
    </row>
    <row r="8147" spans="5:5">
      <c r="E8147" s="51"/>
    </row>
    <row r="8148" spans="5:5">
      <c r="E8148" s="51"/>
    </row>
    <row r="8149" spans="5:5">
      <c r="E8149" s="51"/>
    </row>
    <row r="8150" spans="5:5">
      <c r="E8150" s="51"/>
    </row>
    <row r="8151" spans="5:5">
      <c r="E8151" s="51"/>
    </row>
    <row r="8152" spans="5:5">
      <c r="E8152" s="51"/>
    </row>
    <row r="8153" spans="5:5">
      <c r="E8153" s="51"/>
    </row>
    <row r="8154" spans="5:5">
      <c r="E8154" s="51"/>
    </row>
    <row r="8155" spans="5:5">
      <c r="E8155" s="51"/>
    </row>
    <row r="8156" spans="5:5">
      <c r="E8156" s="51"/>
    </row>
    <row r="8157" spans="5:5">
      <c r="E8157" s="51"/>
    </row>
    <row r="8158" spans="5:5">
      <c r="E8158" s="51"/>
    </row>
    <row r="8159" spans="5:5">
      <c r="E8159" s="51"/>
    </row>
    <row r="8160" spans="5:5">
      <c r="E8160" s="51"/>
    </row>
    <row r="8161" spans="5:5">
      <c r="E8161" s="51"/>
    </row>
    <row r="8162" spans="5:5">
      <c r="E8162" s="51"/>
    </row>
    <row r="8163" spans="5:5">
      <c r="E8163" s="51"/>
    </row>
    <row r="8164" spans="5:5">
      <c r="E8164" s="51"/>
    </row>
    <row r="8165" spans="5:5">
      <c r="E8165" s="51"/>
    </row>
    <row r="8166" spans="5:5">
      <c r="E8166" s="51"/>
    </row>
    <row r="8167" spans="5:5">
      <c r="E8167" s="51"/>
    </row>
    <row r="8168" spans="5:5">
      <c r="E8168" s="51"/>
    </row>
    <row r="8169" spans="5:5">
      <c r="E8169" s="51"/>
    </row>
    <row r="8170" spans="5:5">
      <c r="E8170" s="51"/>
    </row>
    <row r="8171" spans="5:5">
      <c r="E8171" s="51"/>
    </row>
    <row r="8172" spans="5:5">
      <c r="E8172" s="51"/>
    </row>
    <row r="8173" spans="5:5">
      <c r="E8173" s="51"/>
    </row>
    <row r="8174" spans="5:5">
      <c r="E8174" s="51"/>
    </row>
    <row r="8175" spans="5:5">
      <c r="E8175" s="51"/>
    </row>
    <row r="8176" spans="5:5">
      <c r="E8176" s="51"/>
    </row>
    <row r="8177" spans="5:5">
      <c r="E8177" s="51"/>
    </row>
    <row r="8178" spans="5:5">
      <c r="E8178" s="51"/>
    </row>
    <row r="8179" spans="5:5">
      <c r="E8179" s="51"/>
    </row>
    <row r="8180" spans="5:5">
      <c r="E8180" s="51"/>
    </row>
    <row r="8181" spans="5:5">
      <c r="E8181" s="51"/>
    </row>
    <row r="8182" spans="5:5">
      <c r="E8182" s="51"/>
    </row>
    <row r="8183" spans="5:5">
      <c r="E8183" s="51"/>
    </row>
    <row r="8184" spans="5:5">
      <c r="E8184" s="51"/>
    </row>
    <row r="8185" spans="5:5">
      <c r="E8185" s="51"/>
    </row>
    <row r="8186" spans="5:5">
      <c r="E8186" s="51"/>
    </row>
    <row r="8187" spans="5:5">
      <c r="E8187" s="51"/>
    </row>
    <row r="8188" spans="5:5">
      <c r="E8188" s="51"/>
    </row>
    <row r="8189" spans="5:5">
      <c r="E8189" s="51"/>
    </row>
    <row r="8190" spans="5:5">
      <c r="E8190" s="51"/>
    </row>
    <row r="8191" spans="5:5">
      <c r="E8191" s="51"/>
    </row>
    <row r="8192" spans="5:5">
      <c r="E8192" s="51"/>
    </row>
    <row r="8193" spans="5:5">
      <c r="E8193" s="51"/>
    </row>
    <row r="8194" spans="5:5">
      <c r="E8194" s="51"/>
    </row>
    <row r="8195" spans="5:5">
      <c r="E8195" s="51"/>
    </row>
    <row r="8196" spans="5:5">
      <c r="E8196" s="51"/>
    </row>
    <row r="8197" spans="5:5">
      <c r="E8197" s="51"/>
    </row>
    <row r="8198" spans="5:5">
      <c r="E8198" s="51"/>
    </row>
    <row r="8199" spans="5:5">
      <c r="E8199" s="51"/>
    </row>
    <row r="8200" spans="5:5">
      <c r="E8200" s="51"/>
    </row>
    <row r="8201" spans="5:5">
      <c r="E8201" s="51"/>
    </row>
    <row r="8202" spans="5:5">
      <c r="E8202" s="51"/>
    </row>
    <row r="8203" spans="5:5">
      <c r="E8203" s="51"/>
    </row>
    <row r="8204" spans="5:5">
      <c r="E8204" s="51"/>
    </row>
    <row r="8205" spans="5:5">
      <c r="E8205" s="51"/>
    </row>
    <row r="8206" spans="5:5">
      <c r="E8206" s="51"/>
    </row>
    <row r="8207" spans="5:5">
      <c r="E8207" s="51"/>
    </row>
    <row r="8208" spans="5:5">
      <c r="E8208" s="51"/>
    </row>
    <row r="8209" spans="5:5">
      <c r="E8209" s="51"/>
    </row>
    <row r="8210" spans="5:5">
      <c r="E8210" s="51"/>
    </row>
    <row r="8211" spans="5:5">
      <c r="E8211" s="51"/>
    </row>
    <row r="8212" spans="5:5">
      <c r="E8212" s="51"/>
    </row>
    <row r="8213" spans="5:5">
      <c r="E8213" s="51"/>
    </row>
    <row r="8214" spans="5:5">
      <c r="E8214" s="51"/>
    </row>
    <row r="8215" spans="5:5">
      <c r="E8215" s="51"/>
    </row>
    <row r="8216" spans="5:5">
      <c r="E8216" s="51"/>
    </row>
    <row r="8217" spans="5:5">
      <c r="E8217" s="51"/>
    </row>
    <row r="8218" spans="5:5">
      <c r="E8218" s="51"/>
    </row>
    <row r="8219" spans="5:5">
      <c r="E8219" s="51"/>
    </row>
    <row r="8220" spans="5:5">
      <c r="E8220" s="51"/>
    </row>
    <row r="8221" spans="5:5">
      <c r="E8221" s="51"/>
    </row>
    <row r="8222" spans="5:5">
      <c r="E8222" s="51"/>
    </row>
    <row r="8223" spans="5:5">
      <c r="E8223" s="51"/>
    </row>
    <row r="8224" spans="5:5">
      <c r="E8224" s="51"/>
    </row>
    <row r="8225" spans="5:5">
      <c r="E8225" s="51"/>
    </row>
    <row r="8226" spans="5:5">
      <c r="E8226" s="51"/>
    </row>
    <row r="8227" spans="5:5">
      <c r="E8227" s="51"/>
    </row>
    <row r="8228" spans="5:5">
      <c r="E8228" s="51"/>
    </row>
    <row r="8229" spans="5:5">
      <c r="E8229" s="51"/>
    </row>
    <row r="8230" spans="5:5">
      <c r="E8230" s="51"/>
    </row>
    <row r="8231" spans="5:5">
      <c r="E8231" s="51"/>
    </row>
    <row r="8232" spans="5:5">
      <c r="E8232" s="51"/>
    </row>
    <row r="8233" spans="5:5">
      <c r="E8233" s="51"/>
    </row>
    <row r="8234" spans="5:5">
      <c r="E8234" s="51"/>
    </row>
    <row r="8235" spans="5:5">
      <c r="E8235" s="51"/>
    </row>
    <row r="8236" spans="5:5">
      <c r="E8236" s="51"/>
    </row>
    <row r="8237" spans="5:5">
      <c r="E8237" s="51"/>
    </row>
    <row r="8238" spans="5:5">
      <c r="E8238" s="51"/>
    </row>
    <row r="8239" spans="5:5">
      <c r="E8239" s="51"/>
    </row>
    <row r="8240" spans="5:5">
      <c r="E8240" s="51"/>
    </row>
    <row r="8241" spans="5:5">
      <c r="E8241" s="51"/>
    </row>
    <row r="8242" spans="5:5">
      <c r="E8242" s="51"/>
    </row>
    <row r="8243" spans="5:5">
      <c r="E8243" s="51"/>
    </row>
    <row r="8244" spans="5:5">
      <c r="E8244" s="51"/>
    </row>
    <row r="8245" spans="5:5">
      <c r="E8245" s="51"/>
    </row>
    <row r="8246" spans="5:5">
      <c r="E8246" s="51"/>
    </row>
    <row r="8247" spans="5:5">
      <c r="E8247" s="51"/>
    </row>
    <row r="8248" spans="5:5">
      <c r="E8248" s="51"/>
    </row>
    <row r="8249" spans="5:5">
      <c r="E8249" s="51"/>
    </row>
    <row r="8250" spans="5:5">
      <c r="E8250" s="51"/>
    </row>
    <row r="8251" spans="5:5">
      <c r="E8251" s="51"/>
    </row>
    <row r="8252" spans="5:5">
      <c r="E8252" s="51"/>
    </row>
    <row r="8253" spans="5:5">
      <c r="E8253" s="51"/>
    </row>
    <row r="8254" spans="5:5">
      <c r="E8254" s="51"/>
    </row>
    <row r="8255" spans="5:5">
      <c r="E8255" s="51"/>
    </row>
    <row r="8256" spans="5:5">
      <c r="E8256" s="51"/>
    </row>
    <row r="8257" spans="5:5">
      <c r="E8257" s="51"/>
    </row>
    <row r="8258" spans="5:5">
      <c r="E8258" s="51"/>
    </row>
    <row r="8259" spans="5:5">
      <c r="E8259" s="51"/>
    </row>
    <row r="8260" spans="5:5">
      <c r="E8260" s="51"/>
    </row>
    <row r="8261" spans="5:5">
      <c r="E8261" s="51"/>
    </row>
    <row r="8262" spans="5:5">
      <c r="E8262" s="51"/>
    </row>
    <row r="8263" spans="5:5">
      <c r="E8263" s="51"/>
    </row>
    <row r="8264" spans="5:5">
      <c r="E8264" s="51"/>
    </row>
    <row r="8265" spans="5:5">
      <c r="E8265" s="51"/>
    </row>
    <row r="8266" spans="5:5">
      <c r="E8266" s="51"/>
    </row>
    <row r="8267" spans="5:5">
      <c r="E8267" s="51"/>
    </row>
    <row r="8268" spans="5:5">
      <c r="E8268" s="51"/>
    </row>
    <row r="8269" spans="5:5">
      <c r="E8269" s="51"/>
    </row>
    <row r="8270" spans="5:5">
      <c r="E8270" s="51"/>
    </row>
    <row r="8271" spans="5:5">
      <c r="E8271" s="51"/>
    </row>
    <row r="8272" spans="5:5">
      <c r="E8272" s="51"/>
    </row>
    <row r="8273" spans="5:5">
      <c r="E8273" s="51"/>
    </row>
    <row r="8274" spans="5:5">
      <c r="E8274" s="51"/>
    </row>
    <row r="8275" spans="5:5">
      <c r="E8275" s="51"/>
    </row>
    <row r="8276" spans="5:5">
      <c r="E8276" s="51"/>
    </row>
    <row r="8277" spans="5:5">
      <c r="E8277" s="51"/>
    </row>
    <row r="8278" spans="5:5">
      <c r="E8278" s="51"/>
    </row>
    <row r="8279" spans="5:5">
      <c r="E8279" s="51"/>
    </row>
    <row r="8280" spans="5:5">
      <c r="E8280" s="51"/>
    </row>
    <row r="8281" spans="5:5">
      <c r="E8281" s="51"/>
    </row>
    <row r="8282" spans="5:5">
      <c r="E8282" s="51"/>
    </row>
    <row r="8283" spans="5:5">
      <c r="E8283" s="51"/>
    </row>
    <row r="8284" spans="5:5">
      <c r="E8284" s="51"/>
    </row>
    <row r="8285" spans="5:5">
      <c r="E8285" s="51"/>
    </row>
    <row r="8286" spans="5:5">
      <c r="E8286" s="51"/>
    </row>
    <row r="8287" spans="5:5">
      <c r="E8287" s="51"/>
    </row>
    <row r="8288" spans="5:5">
      <c r="E8288" s="51"/>
    </row>
    <row r="8289" spans="5:5">
      <c r="E8289" s="51"/>
    </row>
    <row r="8290" spans="5:5">
      <c r="E8290" s="51"/>
    </row>
    <row r="8291" spans="5:5">
      <c r="E8291" s="51"/>
    </row>
    <row r="8292" spans="5:5">
      <c r="E8292" s="51"/>
    </row>
    <row r="8293" spans="5:5">
      <c r="E8293" s="51"/>
    </row>
    <row r="8294" spans="5:5">
      <c r="E8294" s="51"/>
    </row>
    <row r="8295" spans="5:5">
      <c r="E8295" s="51"/>
    </row>
    <row r="8296" spans="5:5">
      <c r="E8296" s="51"/>
    </row>
    <row r="8297" spans="5:5">
      <c r="E8297" s="51"/>
    </row>
    <row r="8298" spans="5:5">
      <c r="E8298" s="51"/>
    </row>
    <row r="8299" spans="5:5">
      <c r="E8299" s="51"/>
    </row>
    <row r="8300" spans="5:5">
      <c r="E8300" s="51"/>
    </row>
    <row r="8301" spans="5:5">
      <c r="E8301" s="51"/>
    </row>
    <row r="8302" spans="5:5">
      <c r="E8302" s="51"/>
    </row>
    <row r="8303" spans="5:5">
      <c r="E8303" s="51"/>
    </row>
    <row r="8304" spans="5:5">
      <c r="E8304" s="51"/>
    </row>
    <row r="8305" spans="5:5">
      <c r="E8305" s="51"/>
    </row>
    <row r="8306" spans="5:5">
      <c r="E8306" s="51"/>
    </row>
    <row r="8307" spans="5:5">
      <c r="E8307" s="51"/>
    </row>
    <row r="8308" spans="5:5">
      <c r="E8308" s="51"/>
    </row>
    <row r="8309" spans="5:5">
      <c r="E8309" s="51"/>
    </row>
    <row r="8310" spans="5:5">
      <c r="E8310" s="51"/>
    </row>
    <row r="8311" spans="5:5">
      <c r="E8311" s="51"/>
    </row>
    <row r="8312" spans="5:5">
      <c r="E8312" s="51"/>
    </row>
    <row r="8313" spans="5:5">
      <c r="E8313" s="51"/>
    </row>
    <row r="8314" spans="5:5">
      <c r="E8314" s="51"/>
    </row>
    <row r="8315" spans="5:5">
      <c r="E8315" s="51"/>
    </row>
    <row r="8316" spans="5:5">
      <c r="E8316" s="51"/>
    </row>
    <row r="8317" spans="5:5">
      <c r="E8317" s="51"/>
    </row>
    <row r="8318" spans="5:5">
      <c r="E8318" s="51"/>
    </row>
    <row r="8319" spans="5:5">
      <c r="E8319" s="51"/>
    </row>
    <row r="8320" spans="5:5">
      <c r="E8320" s="51"/>
    </row>
    <row r="8321" spans="5:5">
      <c r="E8321" s="51"/>
    </row>
    <row r="8322" spans="5:5">
      <c r="E8322" s="51"/>
    </row>
    <row r="8323" spans="5:5">
      <c r="E8323" s="51"/>
    </row>
    <row r="8324" spans="5:5">
      <c r="E8324" s="51"/>
    </row>
    <row r="8325" spans="5:5">
      <c r="E8325" s="51"/>
    </row>
    <row r="8326" spans="5:5">
      <c r="E8326" s="51"/>
    </row>
    <row r="8327" spans="5:5">
      <c r="E8327" s="51"/>
    </row>
    <row r="8328" spans="5:5">
      <c r="E8328" s="51"/>
    </row>
    <row r="8329" spans="5:5">
      <c r="E8329" s="51"/>
    </row>
    <row r="8330" spans="5:5">
      <c r="E8330" s="51"/>
    </row>
    <row r="8331" spans="5:5">
      <c r="E8331" s="51"/>
    </row>
    <row r="8332" spans="5:5">
      <c r="E8332" s="51"/>
    </row>
    <row r="8333" spans="5:5">
      <c r="E8333" s="51"/>
    </row>
    <row r="8334" spans="5:5">
      <c r="E8334" s="51"/>
    </row>
    <row r="8335" spans="5:5">
      <c r="E8335" s="51"/>
    </row>
    <row r="8336" spans="5:5">
      <c r="E8336" s="51"/>
    </row>
    <row r="8337" spans="5:5">
      <c r="E8337" s="51"/>
    </row>
    <row r="8338" spans="5:5">
      <c r="E8338" s="51"/>
    </row>
    <row r="8339" spans="5:5">
      <c r="E8339" s="51"/>
    </row>
    <row r="8340" spans="5:5">
      <c r="E8340" s="51"/>
    </row>
    <row r="8341" spans="5:5">
      <c r="E8341" s="51"/>
    </row>
    <row r="8342" spans="5:5">
      <c r="E8342" s="51"/>
    </row>
    <row r="8343" spans="5:5">
      <c r="E8343" s="51"/>
    </row>
    <row r="8344" spans="5:5">
      <c r="E8344" s="51"/>
    </row>
    <row r="8345" spans="5:5">
      <c r="E8345" s="51"/>
    </row>
    <row r="8346" spans="5:5">
      <c r="E8346" s="51"/>
    </row>
    <row r="8347" spans="5:5">
      <c r="E8347" s="51"/>
    </row>
    <row r="8348" spans="5:5">
      <c r="E8348" s="51"/>
    </row>
    <row r="8349" spans="5:5">
      <c r="E8349" s="51"/>
    </row>
    <row r="8350" spans="5:5">
      <c r="E8350" s="51"/>
    </row>
    <row r="8351" spans="5:5">
      <c r="E8351" s="51"/>
    </row>
    <row r="8352" spans="5:5">
      <c r="E8352" s="51"/>
    </row>
    <row r="8353" spans="5:5">
      <c r="E8353" s="51"/>
    </row>
    <row r="8354" spans="5:5">
      <c r="E8354" s="51"/>
    </row>
    <row r="8355" spans="5:5">
      <c r="E8355" s="51"/>
    </row>
    <row r="8356" spans="5:5">
      <c r="E8356" s="51"/>
    </row>
    <row r="8357" spans="5:5">
      <c r="E8357" s="51"/>
    </row>
    <row r="8358" spans="5:5">
      <c r="E8358" s="51"/>
    </row>
    <row r="8359" spans="5:5">
      <c r="E8359" s="51"/>
    </row>
    <row r="8360" spans="5:5">
      <c r="E8360" s="51"/>
    </row>
    <row r="8361" spans="5:5">
      <c r="E8361" s="51"/>
    </row>
    <row r="8362" spans="5:5">
      <c r="E8362" s="51"/>
    </row>
    <row r="8363" spans="5:5">
      <c r="E8363" s="51"/>
    </row>
    <row r="8364" spans="5:5">
      <c r="E8364" s="51"/>
    </row>
    <row r="8365" spans="5:5">
      <c r="E8365" s="51"/>
    </row>
    <row r="8366" spans="5:5">
      <c r="E8366" s="51"/>
    </row>
    <row r="8367" spans="5:5">
      <c r="E8367" s="51"/>
    </row>
    <row r="8368" spans="5:5">
      <c r="E8368" s="51"/>
    </row>
    <row r="8369" spans="5:5">
      <c r="E8369" s="51"/>
    </row>
    <row r="8370" spans="5:5">
      <c r="E8370" s="51"/>
    </row>
    <row r="8371" spans="5:5">
      <c r="E8371" s="51"/>
    </row>
    <row r="8372" spans="5:5">
      <c r="E8372" s="51"/>
    </row>
    <row r="8373" spans="5:5">
      <c r="E8373" s="51"/>
    </row>
    <row r="8374" spans="5:5">
      <c r="E8374" s="51"/>
    </row>
    <row r="8375" spans="5:5">
      <c r="E8375" s="51"/>
    </row>
    <row r="8376" spans="5:5">
      <c r="E8376" s="51"/>
    </row>
    <row r="8377" spans="5:5">
      <c r="E8377" s="51"/>
    </row>
    <row r="8378" spans="5:5">
      <c r="E8378" s="51"/>
    </row>
    <row r="8379" spans="5:5">
      <c r="E8379" s="51"/>
    </row>
    <row r="8380" spans="5:5">
      <c r="E8380" s="51"/>
    </row>
    <row r="8381" spans="5:5">
      <c r="E8381" s="51"/>
    </row>
    <row r="8382" spans="5:5">
      <c r="E8382" s="51"/>
    </row>
    <row r="8383" spans="5:5">
      <c r="E8383" s="51"/>
    </row>
    <row r="8384" spans="5:5">
      <c r="E8384" s="51"/>
    </row>
    <row r="8385" spans="5:5">
      <c r="E8385" s="51"/>
    </row>
    <row r="8386" spans="5:5">
      <c r="E8386" s="51"/>
    </row>
    <row r="8387" spans="5:5">
      <c r="E8387" s="51"/>
    </row>
    <row r="8388" spans="5:5">
      <c r="E8388" s="51"/>
    </row>
    <row r="8389" spans="5:5">
      <c r="E8389" s="51"/>
    </row>
    <row r="8390" spans="5:5">
      <c r="E8390" s="51"/>
    </row>
    <row r="8391" spans="5:5">
      <c r="E8391" s="51"/>
    </row>
    <row r="8392" spans="5:5">
      <c r="E8392" s="51"/>
    </row>
    <row r="8393" spans="5:5">
      <c r="E8393" s="51"/>
    </row>
    <row r="8394" spans="5:5">
      <c r="E8394" s="51"/>
    </row>
    <row r="8395" spans="5:5">
      <c r="E8395" s="51"/>
    </row>
    <row r="8396" spans="5:5">
      <c r="E8396" s="51"/>
    </row>
    <row r="8397" spans="5:5">
      <c r="E8397" s="51"/>
    </row>
    <row r="8398" spans="5:5">
      <c r="E8398" s="51"/>
    </row>
    <row r="8399" spans="5:5">
      <c r="E8399" s="51"/>
    </row>
    <row r="8400" spans="5:5">
      <c r="E8400" s="51"/>
    </row>
    <row r="8401" spans="5:5">
      <c r="E8401" s="51"/>
    </row>
    <row r="8402" spans="5:5">
      <c r="E8402" s="51"/>
    </row>
    <row r="8403" spans="5:5">
      <c r="E8403" s="51"/>
    </row>
    <row r="8404" spans="5:5">
      <c r="E8404" s="51"/>
    </row>
    <row r="8405" spans="5:5">
      <c r="E8405" s="51"/>
    </row>
    <row r="8406" spans="5:5">
      <c r="E8406" s="51"/>
    </row>
    <row r="8407" spans="5:5">
      <c r="E8407" s="51"/>
    </row>
    <row r="8408" spans="5:5">
      <c r="E8408" s="51"/>
    </row>
    <row r="8409" spans="5:5">
      <c r="E8409" s="51"/>
    </row>
    <row r="8410" spans="5:5">
      <c r="E8410" s="51"/>
    </row>
    <row r="8411" spans="5:5">
      <c r="E8411" s="51"/>
    </row>
    <row r="8412" spans="5:5">
      <c r="E8412" s="51"/>
    </row>
    <row r="8413" spans="5:5">
      <c r="E8413" s="51"/>
    </row>
    <row r="8414" spans="5:5">
      <c r="E8414" s="51"/>
    </row>
    <row r="8415" spans="5:5">
      <c r="E8415" s="51"/>
    </row>
    <row r="8416" spans="5:5">
      <c r="E8416" s="51"/>
    </row>
    <row r="8417" spans="5:5">
      <c r="E8417" s="51"/>
    </row>
    <row r="8418" spans="5:5">
      <c r="E8418" s="51"/>
    </row>
    <row r="8419" spans="5:5">
      <c r="E8419" s="51"/>
    </row>
    <row r="8420" spans="5:5">
      <c r="E8420" s="51"/>
    </row>
    <row r="8421" spans="5:5">
      <c r="E8421" s="51"/>
    </row>
    <row r="8422" spans="5:5">
      <c r="E8422" s="51"/>
    </row>
    <row r="8423" spans="5:5">
      <c r="E8423" s="51"/>
    </row>
    <row r="8424" spans="5:5">
      <c r="E8424" s="51"/>
    </row>
    <row r="8425" spans="5:5">
      <c r="E8425" s="51"/>
    </row>
    <row r="8426" spans="5:5">
      <c r="E8426" s="51"/>
    </row>
    <row r="8427" spans="5:5">
      <c r="E8427" s="51"/>
    </row>
    <row r="8428" spans="5:5">
      <c r="E8428" s="51"/>
    </row>
    <row r="8429" spans="5:5">
      <c r="E8429" s="51"/>
    </row>
    <row r="8430" spans="5:5">
      <c r="E8430" s="51"/>
    </row>
    <row r="8431" spans="5:5">
      <c r="E8431" s="51"/>
    </row>
    <row r="8432" spans="5:5">
      <c r="E8432" s="51"/>
    </row>
    <row r="8433" spans="5:5">
      <c r="E8433" s="51"/>
    </row>
    <row r="8434" spans="5:5">
      <c r="E8434" s="51"/>
    </row>
    <row r="8435" spans="5:5">
      <c r="E8435" s="51"/>
    </row>
    <row r="8436" spans="5:5">
      <c r="E8436" s="51"/>
    </row>
    <row r="8437" spans="5:5">
      <c r="E8437" s="51"/>
    </row>
    <row r="8438" spans="5:5">
      <c r="E8438" s="51"/>
    </row>
    <row r="8439" spans="5:5">
      <c r="E8439" s="51"/>
    </row>
    <row r="8440" spans="5:5">
      <c r="E8440" s="51"/>
    </row>
    <row r="8441" spans="5:5">
      <c r="E8441" s="51"/>
    </row>
    <row r="8442" spans="5:5">
      <c r="E8442" s="51"/>
    </row>
    <row r="8443" spans="5:5">
      <c r="E8443" s="51"/>
    </row>
    <row r="8444" spans="5:5">
      <c r="E8444" s="51"/>
    </row>
    <row r="8445" spans="5:5">
      <c r="E8445" s="51"/>
    </row>
    <row r="8446" spans="5:5">
      <c r="E8446" s="51"/>
    </row>
    <row r="8447" spans="5:5">
      <c r="E8447" s="51"/>
    </row>
    <row r="8448" spans="5:5">
      <c r="E8448" s="51"/>
    </row>
    <row r="8449" spans="5:5">
      <c r="E8449" s="51"/>
    </row>
    <row r="8450" spans="5:5">
      <c r="E8450" s="51"/>
    </row>
    <row r="8451" spans="5:5">
      <c r="E8451" s="51"/>
    </row>
    <row r="8452" spans="5:5">
      <c r="E8452" s="51"/>
    </row>
    <row r="8453" spans="5:5">
      <c r="E8453" s="51"/>
    </row>
    <row r="8454" spans="5:5">
      <c r="E8454" s="51"/>
    </row>
    <row r="8455" spans="5:5">
      <c r="E8455" s="51"/>
    </row>
    <row r="8456" spans="5:5">
      <c r="E8456" s="51"/>
    </row>
    <row r="8457" spans="5:5">
      <c r="E8457" s="51"/>
    </row>
    <row r="8458" spans="5:5">
      <c r="E8458" s="51"/>
    </row>
    <row r="8459" spans="5:5">
      <c r="E8459" s="51"/>
    </row>
    <row r="8460" spans="5:5">
      <c r="E8460" s="51"/>
    </row>
    <row r="8461" spans="5:5">
      <c r="E8461" s="51"/>
    </row>
    <row r="8462" spans="5:5">
      <c r="E8462" s="51"/>
    </row>
    <row r="8463" spans="5:5">
      <c r="E8463" s="51"/>
    </row>
    <row r="8464" spans="5:5">
      <c r="E8464" s="51"/>
    </row>
    <row r="8465" spans="5:5">
      <c r="E8465" s="51"/>
    </row>
    <row r="8466" spans="5:5">
      <c r="E8466" s="51"/>
    </row>
    <row r="8467" spans="5:5">
      <c r="E8467" s="51"/>
    </row>
    <row r="8468" spans="5:5">
      <c r="E8468" s="51"/>
    </row>
    <row r="8469" spans="5:5">
      <c r="E8469" s="51"/>
    </row>
    <row r="8470" spans="5:5">
      <c r="E8470" s="51"/>
    </row>
    <row r="8471" spans="5:5">
      <c r="E8471" s="51"/>
    </row>
    <row r="8472" spans="5:5">
      <c r="E8472" s="51"/>
    </row>
    <row r="8473" spans="5:5">
      <c r="E8473" s="51"/>
    </row>
    <row r="8474" spans="5:5">
      <c r="E8474" s="51"/>
    </row>
    <row r="8475" spans="5:5">
      <c r="E8475" s="51"/>
    </row>
    <row r="8476" spans="5:5">
      <c r="E8476" s="51"/>
    </row>
    <row r="8477" spans="5:5">
      <c r="E8477" s="51"/>
    </row>
    <row r="8478" spans="5:5">
      <c r="E8478" s="51"/>
    </row>
    <row r="8479" spans="5:5">
      <c r="E8479" s="51"/>
    </row>
    <row r="8480" spans="5:5">
      <c r="E8480" s="51"/>
    </row>
    <row r="8481" spans="5:5">
      <c r="E8481" s="51"/>
    </row>
    <row r="8482" spans="5:5">
      <c r="E8482" s="51"/>
    </row>
    <row r="8483" spans="5:5">
      <c r="E8483" s="51"/>
    </row>
    <row r="8484" spans="5:5">
      <c r="E8484" s="51"/>
    </row>
    <row r="8485" spans="5:5">
      <c r="E8485" s="51"/>
    </row>
    <row r="8486" spans="5:5">
      <c r="E8486" s="51"/>
    </row>
    <row r="8487" spans="5:5">
      <c r="E8487" s="51"/>
    </row>
    <row r="8488" spans="5:5">
      <c r="E8488" s="51"/>
    </row>
    <row r="8489" spans="5:5">
      <c r="E8489" s="51"/>
    </row>
    <row r="8490" spans="5:5">
      <c r="E8490" s="51"/>
    </row>
    <row r="8491" spans="5:5">
      <c r="E8491" s="51"/>
    </row>
    <row r="8492" spans="5:5">
      <c r="E8492" s="51"/>
    </row>
    <row r="8493" spans="5:5">
      <c r="E8493" s="51"/>
    </row>
    <row r="8494" spans="5:5">
      <c r="E8494" s="51"/>
    </row>
    <row r="8495" spans="5:5">
      <c r="E8495" s="51"/>
    </row>
    <row r="8496" spans="5:5">
      <c r="E8496" s="51"/>
    </row>
    <row r="8497" spans="5:5">
      <c r="E8497" s="51"/>
    </row>
    <row r="8498" spans="5:5">
      <c r="E8498" s="51"/>
    </row>
    <row r="8499" spans="5:5">
      <c r="E8499" s="51"/>
    </row>
    <row r="8500" spans="5:5">
      <c r="E8500" s="51"/>
    </row>
    <row r="8501" spans="5:5">
      <c r="E8501" s="51"/>
    </row>
    <row r="8502" spans="5:5">
      <c r="E8502" s="51"/>
    </row>
    <row r="8503" spans="5:5">
      <c r="E8503" s="51"/>
    </row>
    <row r="8504" spans="5:5">
      <c r="E8504" s="51"/>
    </row>
    <row r="8505" spans="5:5">
      <c r="E8505" s="51"/>
    </row>
    <row r="8506" spans="5:5">
      <c r="E8506" s="51"/>
    </row>
    <row r="8507" spans="5:5">
      <c r="E8507" s="51"/>
    </row>
    <row r="8508" spans="5:5">
      <c r="E8508" s="51"/>
    </row>
    <row r="8509" spans="5:5">
      <c r="E8509" s="51"/>
    </row>
    <row r="8510" spans="5:5">
      <c r="E8510" s="51"/>
    </row>
    <row r="8511" spans="5:5">
      <c r="E8511" s="51"/>
    </row>
    <row r="8512" spans="5:5">
      <c r="E8512" s="51"/>
    </row>
    <row r="8513" spans="5:5">
      <c r="E8513" s="51"/>
    </row>
    <row r="8514" spans="5:5">
      <c r="E8514" s="51"/>
    </row>
    <row r="8515" spans="5:5">
      <c r="E8515" s="51"/>
    </row>
    <row r="8516" spans="5:5">
      <c r="E8516" s="51"/>
    </row>
    <row r="8517" spans="5:5">
      <c r="E8517" s="51"/>
    </row>
    <row r="8518" spans="5:5">
      <c r="E8518" s="51"/>
    </row>
    <row r="8519" spans="5:5">
      <c r="E8519" s="51"/>
    </row>
    <row r="8520" spans="5:5">
      <c r="E8520" s="51"/>
    </row>
    <row r="8521" spans="5:5">
      <c r="E8521" s="51"/>
    </row>
    <row r="8522" spans="5:5">
      <c r="E8522" s="51"/>
    </row>
    <row r="8523" spans="5:5">
      <c r="E8523" s="51"/>
    </row>
    <row r="8524" spans="5:5">
      <c r="E8524" s="51"/>
    </row>
    <row r="8525" spans="5:5">
      <c r="E8525" s="51"/>
    </row>
    <row r="8526" spans="5:5">
      <c r="E8526" s="51"/>
    </row>
    <row r="8527" spans="5:5">
      <c r="E8527" s="51"/>
    </row>
    <row r="8528" spans="5:5">
      <c r="E8528" s="51"/>
    </row>
    <row r="8529" spans="5:5">
      <c r="E8529" s="51"/>
    </row>
    <row r="8530" spans="5:5">
      <c r="E8530" s="51"/>
    </row>
    <row r="8531" spans="5:5">
      <c r="E8531" s="51"/>
    </row>
    <row r="8532" spans="5:5">
      <c r="E8532" s="51"/>
    </row>
    <row r="8533" spans="5:5">
      <c r="E8533" s="51"/>
    </row>
    <row r="8534" spans="5:5">
      <c r="E8534" s="51"/>
    </row>
    <row r="8535" spans="5:5">
      <c r="E8535" s="51"/>
    </row>
    <row r="8536" spans="5:5">
      <c r="E8536" s="51"/>
    </row>
    <row r="8537" spans="5:5">
      <c r="E8537" s="51"/>
    </row>
    <row r="8538" spans="5:5">
      <c r="E8538" s="51"/>
    </row>
    <row r="8539" spans="5:5">
      <c r="E8539" s="51"/>
    </row>
    <row r="8540" spans="5:5">
      <c r="E8540" s="51"/>
    </row>
    <row r="8541" spans="5:5">
      <c r="E8541" s="51"/>
    </row>
    <row r="8542" spans="5:5">
      <c r="E8542" s="51"/>
    </row>
    <row r="8543" spans="5:5">
      <c r="E8543" s="51"/>
    </row>
    <row r="8544" spans="5:5">
      <c r="E8544" s="51"/>
    </row>
    <row r="8545" spans="5:5">
      <c r="E8545" s="51"/>
    </row>
    <row r="8546" spans="5:5">
      <c r="E8546" s="51"/>
    </row>
    <row r="8547" spans="5:5">
      <c r="E8547" s="51"/>
    </row>
    <row r="8548" spans="5:5">
      <c r="E8548" s="51"/>
    </row>
    <row r="8549" spans="5:5">
      <c r="E8549" s="51"/>
    </row>
    <row r="8550" spans="5:5">
      <c r="E8550" s="51"/>
    </row>
    <row r="8551" spans="5:5">
      <c r="E8551" s="51"/>
    </row>
    <row r="8552" spans="5:5">
      <c r="E8552" s="51"/>
    </row>
    <row r="8553" spans="5:5">
      <c r="E8553" s="51"/>
    </row>
    <row r="8554" spans="5:5">
      <c r="E8554" s="51"/>
    </row>
    <row r="8555" spans="5:5">
      <c r="E8555" s="51"/>
    </row>
    <row r="8556" spans="5:5">
      <c r="E8556" s="51"/>
    </row>
    <row r="8557" spans="5:5">
      <c r="E8557" s="51"/>
    </row>
    <row r="8558" spans="5:5">
      <c r="E8558" s="51"/>
    </row>
    <row r="8559" spans="5:5">
      <c r="E8559" s="51"/>
    </row>
    <row r="8560" spans="5:5">
      <c r="E8560" s="51"/>
    </row>
    <row r="8561" spans="5:5">
      <c r="E8561" s="51"/>
    </row>
    <row r="8562" spans="5:5">
      <c r="E8562" s="51"/>
    </row>
    <row r="8563" spans="5:5">
      <c r="E8563" s="51"/>
    </row>
    <row r="8564" spans="5:5">
      <c r="E8564" s="51"/>
    </row>
    <row r="8565" spans="5:5">
      <c r="E8565" s="51"/>
    </row>
    <row r="8566" spans="5:5">
      <c r="E8566" s="51"/>
    </row>
    <row r="8567" spans="5:5">
      <c r="E8567" s="51"/>
    </row>
    <row r="8568" spans="5:5">
      <c r="E8568" s="51"/>
    </row>
    <row r="8569" spans="5:5">
      <c r="E8569" s="51"/>
    </row>
    <row r="8570" spans="5:5">
      <c r="E8570" s="51"/>
    </row>
    <row r="8571" spans="5:5">
      <c r="E8571" s="51"/>
    </row>
    <row r="8572" spans="5:5">
      <c r="E8572" s="51"/>
    </row>
    <row r="8573" spans="5:5">
      <c r="E8573" s="51"/>
    </row>
    <row r="8574" spans="5:5">
      <c r="E8574" s="51"/>
    </row>
    <row r="8575" spans="5:5">
      <c r="E8575" s="51"/>
    </row>
    <row r="8576" spans="5:5">
      <c r="E8576" s="51"/>
    </row>
    <row r="8577" spans="5:5">
      <c r="E8577" s="51"/>
    </row>
    <row r="8578" spans="5:5">
      <c r="E8578" s="51"/>
    </row>
    <row r="8579" spans="5:5">
      <c r="E8579" s="51"/>
    </row>
    <row r="8580" spans="5:5">
      <c r="E8580" s="51"/>
    </row>
    <row r="8581" spans="5:5">
      <c r="E8581" s="51"/>
    </row>
    <row r="8582" spans="5:5">
      <c r="E8582" s="51"/>
    </row>
    <row r="8583" spans="5:5">
      <c r="E8583" s="51"/>
    </row>
    <row r="8584" spans="5:5">
      <c r="E8584" s="51"/>
    </row>
    <row r="8585" spans="5:5">
      <c r="E8585" s="51"/>
    </row>
    <row r="8586" spans="5:5">
      <c r="E8586" s="51"/>
    </row>
    <row r="8587" spans="5:5">
      <c r="E8587" s="51"/>
    </row>
    <row r="8588" spans="5:5">
      <c r="E8588" s="51"/>
    </row>
    <row r="8589" spans="5:5">
      <c r="E8589" s="51"/>
    </row>
    <row r="8590" spans="5:5">
      <c r="E8590" s="51"/>
    </row>
    <row r="8591" spans="5:5">
      <c r="E8591" s="51"/>
    </row>
    <row r="8592" spans="5:5">
      <c r="E8592" s="51"/>
    </row>
    <row r="8593" spans="5:5">
      <c r="E8593" s="51"/>
    </row>
    <row r="8594" spans="5:5">
      <c r="E8594" s="51"/>
    </row>
    <row r="8595" spans="5:5">
      <c r="E8595" s="51"/>
    </row>
    <row r="8596" spans="5:5">
      <c r="E8596" s="51"/>
    </row>
    <row r="8597" spans="5:5">
      <c r="E8597" s="51"/>
    </row>
    <row r="8598" spans="5:5">
      <c r="E8598" s="51"/>
    </row>
    <row r="8599" spans="5:5">
      <c r="E8599" s="51"/>
    </row>
    <row r="8600" spans="5:5">
      <c r="E8600" s="51"/>
    </row>
    <row r="8601" spans="5:5">
      <c r="E8601" s="51"/>
    </row>
    <row r="8602" spans="5:5">
      <c r="E8602" s="51"/>
    </row>
    <row r="8603" spans="5:5">
      <c r="E8603" s="51"/>
    </row>
    <row r="8604" spans="5:5">
      <c r="E8604" s="51"/>
    </row>
    <row r="8605" spans="5:5">
      <c r="E8605" s="51"/>
    </row>
    <row r="8606" spans="5:5">
      <c r="E8606" s="51"/>
    </row>
    <row r="8607" spans="5:5">
      <c r="E8607" s="51"/>
    </row>
    <row r="8608" spans="5:5">
      <c r="E8608" s="51"/>
    </row>
    <row r="8609" spans="5:5">
      <c r="E8609" s="51"/>
    </row>
    <row r="8610" spans="5:5">
      <c r="E8610" s="51"/>
    </row>
    <row r="8611" spans="5:5">
      <c r="E8611" s="51"/>
    </row>
    <row r="8612" spans="5:5">
      <c r="E8612" s="51"/>
    </row>
    <row r="8613" spans="5:5">
      <c r="E8613" s="51"/>
    </row>
    <row r="8614" spans="5:5">
      <c r="E8614" s="51"/>
    </row>
    <row r="8615" spans="5:5">
      <c r="E8615" s="51"/>
    </row>
    <row r="8616" spans="5:5">
      <c r="E8616" s="51"/>
    </row>
    <row r="8617" spans="5:5">
      <c r="E8617" s="51"/>
    </row>
    <row r="8618" spans="5:5">
      <c r="E8618" s="51"/>
    </row>
    <row r="8619" spans="5:5">
      <c r="E8619" s="51"/>
    </row>
    <row r="8620" spans="5:5">
      <c r="E8620" s="51"/>
    </row>
    <row r="8621" spans="5:5">
      <c r="E8621" s="51"/>
    </row>
    <row r="8622" spans="5:5">
      <c r="E8622" s="51"/>
    </row>
    <row r="8623" spans="5:5">
      <c r="E8623" s="51"/>
    </row>
    <row r="8624" spans="5:5">
      <c r="E8624" s="51"/>
    </row>
    <row r="8625" spans="5:5">
      <c r="E8625" s="51"/>
    </row>
    <row r="8626" spans="5:5">
      <c r="E8626" s="51"/>
    </row>
    <row r="8627" spans="5:5">
      <c r="E8627" s="51"/>
    </row>
    <row r="8628" spans="5:5">
      <c r="E8628" s="51"/>
    </row>
    <row r="8629" spans="5:5">
      <c r="E8629" s="51"/>
    </row>
    <row r="8630" spans="5:5">
      <c r="E8630" s="51"/>
    </row>
    <row r="8631" spans="5:5">
      <c r="E8631" s="51"/>
    </row>
    <row r="8632" spans="5:5">
      <c r="E8632" s="51"/>
    </row>
    <row r="8633" spans="5:5">
      <c r="E8633" s="51"/>
    </row>
    <row r="8634" spans="5:5">
      <c r="E8634" s="51"/>
    </row>
    <row r="8635" spans="5:5">
      <c r="E8635" s="51"/>
    </row>
    <row r="8636" spans="5:5">
      <c r="E8636" s="51"/>
    </row>
    <row r="8637" spans="5:5">
      <c r="E8637" s="51"/>
    </row>
    <row r="8638" spans="5:5">
      <c r="E8638" s="51"/>
    </row>
    <row r="8639" spans="5:5">
      <c r="E8639" s="51"/>
    </row>
    <row r="8640" spans="5:5">
      <c r="E8640" s="51"/>
    </row>
    <row r="8641" spans="5:5">
      <c r="E8641" s="51"/>
    </row>
    <row r="8642" spans="5:5">
      <c r="E8642" s="51"/>
    </row>
    <row r="8643" spans="5:5">
      <c r="E8643" s="51"/>
    </row>
    <row r="8644" spans="5:5">
      <c r="E8644" s="51"/>
    </row>
    <row r="8645" spans="5:5">
      <c r="E8645" s="51"/>
    </row>
    <row r="8646" spans="5:5">
      <c r="E8646" s="51"/>
    </row>
    <row r="8647" spans="5:5">
      <c r="E8647" s="51"/>
    </row>
    <row r="8648" spans="5:5">
      <c r="E8648" s="51"/>
    </row>
    <row r="8649" spans="5:5">
      <c r="E8649" s="51"/>
    </row>
    <row r="8650" spans="5:5">
      <c r="E8650" s="51"/>
    </row>
    <row r="8651" spans="5:5">
      <c r="E8651" s="51"/>
    </row>
    <row r="8652" spans="5:5">
      <c r="E8652" s="51"/>
    </row>
    <row r="8653" spans="5:5">
      <c r="E8653" s="51"/>
    </row>
    <row r="8654" spans="5:5">
      <c r="E8654" s="51"/>
    </row>
    <row r="8655" spans="5:5">
      <c r="E8655" s="51"/>
    </row>
    <row r="8656" spans="5:5">
      <c r="E8656" s="51"/>
    </row>
    <row r="8657" spans="5:5">
      <c r="E8657" s="51"/>
    </row>
    <row r="8658" spans="5:5">
      <c r="E8658" s="51"/>
    </row>
    <row r="8659" spans="5:5">
      <c r="E8659" s="51"/>
    </row>
    <row r="8660" spans="5:5">
      <c r="E8660" s="51"/>
    </row>
    <row r="8661" spans="5:5">
      <c r="E8661" s="51"/>
    </row>
    <row r="8662" spans="5:5">
      <c r="E8662" s="51"/>
    </row>
    <row r="8663" spans="5:5">
      <c r="E8663" s="51"/>
    </row>
    <row r="8664" spans="5:5">
      <c r="E8664" s="51"/>
    </row>
    <row r="8665" spans="5:5">
      <c r="E8665" s="51"/>
    </row>
    <row r="8666" spans="5:5">
      <c r="E8666" s="51"/>
    </row>
    <row r="8667" spans="5:5">
      <c r="E8667" s="51"/>
    </row>
    <row r="8668" spans="5:5">
      <c r="E8668" s="51"/>
    </row>
    <row r="8669" spans="5:5">
      <c r="E8669" s="51"/>
    </row>
    <row r="8670" spans="5:5">
      <c r="E8670" s="51"/>
    </row>
    <row r="8671" spans="5:5">
      <c r="E8671" s="51"/>
    </row>
    <row r="8672" spans="5:5">
      <c r="E8672" s="51"/>
    </row>
    <row r="8673" spans="5:5">
      <c r="E8673" s="51"/>
    </row>
    <row r="8674" spans="5:5">
      <c r="E8674" s="51"/>
    </row>
    <row r="8675" spans="5:5">
      <c r="E8675" s="51"/>
    </row>
    <row r="8676" spans="5:5">
      <c r="E8676" s="51"/>
    </row>
    <row r="8677" spans="5:5">
      <c r="E8677" s="51"/>
    </row>
    <row r="8678" spans="5:5">
      <c r="E8678" s="51"/>
    </row>
    <row r="8679" spans="5:5">
      <c r="E8679" s="51"/>
    </row>
    <row r="8680" spans="5:5">
      <c r="E8680" s="51"/>
    </row>
    <row r="8681" spans="5:5">
      <c r="E8681" s="51"/>
    </row>
    <row r="8682" spans="5:5">
      <c r="E8682" s="51"/>
    </row>
    <row r="8683" spans="5:5">
      <c r="E8683" s="51"/>
    </row>
    <row r="8684" spans="5:5">
      <c r="E8684" s="51"/>
    </row>
    <row r="8685" spans="5:5">
      <c r="E8685" s="51"/>
    </row>
    <row r="8686" spans="5:5">
      <c r="E8686" s="51"/>
    </row>
    <row r="8687" spans="5:5">
      <c r="E8687" s="51"/>
    </row>
    <row r="8688" spans="5:5">
      <c r="E8688" s="51"/>
    </row>
    <row r="8689" spans="5:5">
      <c r="E8689" s="51"/>
    </row>
    <row r="8690" spans="5:5">
      <c r="E8690" s="51"/>
    </row>
    <row r="8691" spans="5:5">
      <c r="E8691" s="51"/>
    </row>
    <row r="8692" spans="5:5">
      <c r="E8692" s="51"/>
    </row>
    <row r="8693" spans="5:5">
      <c r="E8693" s="51"/>
    </row>
    <row r="8694" spans="5:5">
      <c r="E8694" s="51"/>
    </row>
    <row r="8695" spans="5:5">
      <c r="E8695" s="51"/>
    </row>
    <row r="8696" spans="5:5">
      <c r="E8696" s="51"/>
    </row>
    <row r="8697" spans="5:5">
      <c r="E8697" s="51"/>
    </row>
    <row r="8698" spans="5:5">
      <c r="E8698" s="51"/>
    </row>
    <row r="8699" spans="5:5">
      <c r="E8699" s="51"/>
    </row>
    <row r="8700" spans="5:5">
      <c r="E8700" s="51"/>
    </row>
    <row r="8701" spans="5:5">
      <c r="E8701" s="51"/>
    </row>
    <row r="8702" spans="5:5">
      <c r="E8702" s="51"/>
    </row>
    <row r="8703" spans="5:5">
      <c r="E8703" s="51"/>
    </row>
    <row r="8704" spans="5:5">
      <c r="E8704" s="51"/>
    </row>
    <row r="8705" spans="5:5">
      <c r="E8705" s="51"/>
    </row>
    <row r="8706" spans="5:5">
      <c r="E8706" s="51"/>
    </row>
    <row r="8707" spans="5:5">
      <c r="E8707" s="51"/>
    </row>
    <row r="8708" spans="5:5">
      <c r="E8708" s="51"/>
    </row>
    <row r="8709" spans="5:5">
      <c r="E8709" s="51"/>
    </row>
    <row r="8710" spans="5:5">
      <c r="E8710" s="51"/>
    </row>
    <row r="8711" spans="5:5">
      <c r="E8711" s="51"/>
    </row>
    <row r="8712" spans="5:5">
      <c r="E8712" s="51"/>
    </row>
    <row r="8713" spans="5:5">
      <c r="E8713" s="51"/>
    </row>
    <row r="8714" spans="5:5">
      <c r="E8714" s="51"/>
    </row>
    <row r="8715" spans="5:5">
      <c r="E8715" s="51"/>
    </row>
    <row r="8716" spans="5:5">
      <c r="E8716" s="51"/>
    </row>
    <row r="8717" spans="5:5">
      <c r="E8717" s="51"/>
    </row>
    <row r="8718" spans="5:5">
      <c r="E8718" s="51"/>
    </row>
    <row r="8719" spans="5:5">
      <c r="E8719" s="51"/>
    </row>
    <row r="8720" spans="5:5">
      <c r="E8720" s="51"/>
    </row>
    <row r="8721" spans="5:5">
      <c r="E8721" s="51"/>
    </row>
    <row r="8722" spans="5:5">
      <c r="E8722" s="51"/>
    </row>
    <row r="8723" spans="5:5">
      <c r="E8723" s="51"/>
    </row>
    <row r="8724" spans="5:5">
      <c r="E8724" s="51"/>
    </row>
    <row r="8725" spans="5:5">
      <c r="E8725" s="51"/>
    </row>
    <row r="8726" spans="5:5">
      <c r="E8726" s="51"/>
    </row>
    <row r="8727" spans="5:5">
      <c r="E8727" s="51"/>
    </row>
    <row r="8728" spans="5:5">
      <c r="E8728" s="51"/>
    </row>
    <row r="8729" spans="5:5">
      <c r="E8729" s="51"/>
    </row>
    <row r="8730" spans="5:5">
      <c r="E8730" s="51"/>
    </row>
    <row r="8731" spans="5:5">
      <c r="E8731" s="51"/>
    </row>
    <row r="8732" spans="5:5">
      <c r="E8732" s="51"/>
    </row>
    <row r="8733" spans="5:5">
      <c r="E8733" s="51"/>
    </row>
    <row r="8734" spans="5:5">
      <c r="E8734" s="51"/>
    </row>
    <row r="8735" spans="5:5">
      <c r="E8735" s="51"/>
    </row>
    <row r="8736" spans="5:5">
      <c r="E8736" s="51"/>
    </row>
    <row r="8737" spans="5:5">
      <c r="E8737" s="51"/>
    </row>
    <row r="8738" spans="5:5">
      <c r="E8738" s="51"/>
    </row>
    <row r="8739" spans="5:5">
      <c r="E8739" s="51"/>
    </row>
    <row r="8740" spans="5:5">
      <c r="E8740" s="51"/>
    </row>
    <row r="8741" spans="5:5">
      <c r="E8741" s="51"/>
    </row>
    <row r="8742" spans="5:5">
      <c r="E8742" s="51"/>
    </row>
    <row r="8743" spans="5:5">
      <c r="E8743" s="51"/>
    </row>
    <row r="8744" spans="5:5">
      <c r="E8744" s="51"/>
    </row>
    <row r="8745" spans="5:5">
      <c r="E8745" s="51"/>
    </row>
    <row r="8746" spans="5:5">
      <c r="E8746" s="51"/>
    </row>
    <row r="8747" spans="5:5">
      <c r="E8747" s="51"/>
    </row>
    <row r="8748" spans="5:5">
      <c r="E8748" s="51"/>
    </row>
    <row r="8749" spans="5:5">
      <c r="E8749" s="51"/>
    </row>
    <row r="8750" spans="5:5">
      <c r="E8750" s="51"/>
    </row>
    <row r="8751" spans="5:5">
      <c r="E8751" s="51"/>
    </row>
    <row r="8752" spans="5:5">
      <c r="E8752" s="51"/>
    </row>
    <row r="8753" spans="5:5">
      <c r="E8753" s="51"/>
    </row>
    <row r="8754" spans="5:5">
      <c r="E8754" s="51"/>
    </row>
    <row r="8755" spans="5:5">
      <c r="E8755" s="51"/>
    </row>
    <row r="8756" spans="5:5">
      <c r="E8756" s="51"/>
    </row>
    <row r="8757" spans="5:5">
      <c r="E8757" s="51"/>
    </row>
    <row r="8758" spans="5:5">
      <c r="E8758" s="51"/>
    </row>
    <row r="8759" spans="5:5">
      <c r="E8759" s="51"/>
    </row>
    <row r="8760" spans="5:5">
      <c r="E8760" s="51"/>
    </row>
    <row r="8761" spans="5:5">
      <c r="E8761" s="51"/>
    </row>
    <row r="8762" spans="5:5">
      <c r="E8762" s="51"/>
    </row>
    <row r="8763" spans="5:5">
      <c r="E8763" s="51"/>
    </row>
    <row r="8764" spans="5:5">
      <c r="E8764" s="51"/>
    </row>
    <row r="8765" spans="5:5">
      <c r="E8765" s="51"/>
    </row>
    <row r="8766" spans="5:5">
      <c r="E8766" s="51"/>
    </row>
    <row r="8767" spans="5:5">
      <c r="E8767" s="51"/>
    </row>
    <row r="8768" spans="5:5">
      <c r="E8768" s="51"/>
    </row>
    <row r="8769" spans="5:5">
      <c r="E8769" s="51"/>
    </row>
    <row r="8770" spans="5:5">
      <c r="E8770" s="51"/>
    </row>
    <row r="8771" spans="5:5">
      <c r="E8771" s="51"/>
    </row>
    <row r="8772" spans="5:5">
      <c r="E8772" s="51"/>
    </row>
    <row r="8773" spans="5:5">
      <c r="E8773" s="51"/>
    </row>
    <row r="8774" spans="5:5">
      <c r="E8774" s="51"/>
    </row>
    <row r="8775" spans="5:5">
      <c r="E8775" s="51"/>
    </row>
    <row r="8776" spans="5:5">
      <c r="E8776" s="51"/>
    </row>
    <row r="8777" spans="5:5">
      <c r="E8777" s="51"/>
    </row>
    <row r="8778" spans="5:5">
      <c r="E8778" s="51"/>
    </row>
    <row r="8779" spans="5:5">
      <c r="E8779" s="51"/>
    </row>
    <row r="8780" spans="5:5">
      <c r="E8780" s="51"/>
    </row>
    <row r="8781" spans="5:5">
      <c r="E8781" s="51"/>
    </row>
    <row r="8782" spans="5:5">
      <c r="E8782" s="51"/>
    </row>
    <row r="8783" spans="5:5">
      <c r="E8783" s="51"/>
    </row>
    <row r="8784" spans="5:5">
      <c r="E8784" s="51"/>
    </row>
    <row r="8785" spans="5:5">
      <c r="E8785" s="51"/>
    </row>
    <row r="8786" spans="5:5">
      <c r="E8786" s="51"/>
    </row>
    <row r="8787" spans="5:5">
      <c r="E8787" s="51"/>
    </row>
    <row r="8788" spans="5:5">
      <c r="E8788" s="51"/>
    </row>
    <row r="8789" spans="5:5">
      <c r="E8789" s="51"/>
    </row>
    <row r="8790" spans="5:5">
      <c r="E8790" s="51"/>
    </row>
    <row r="8791" spans="5:5">
      <c r="E8791" s="51"/>
    </row>
    <row r="8792" spans="5:5">
      <c r="E8792" s="51"/>
    </row>
    <row r="8793" spans="5:5">
      <c r="E8793" s="51"/>
    </row>
    <row r="8794" spans="5:5">
      <c r="E8794" s="51"/>
    </row>
    <row r="8795" spans="5:5">
      <c r="E8795" s="51"/>
    </row>
    <row r="8796" spans="5:5">
      <c r="E8796" s="51"/>
    </row>
    <row r="8797" spans="5:5">
      <c r="E8797" s="51"/>
    </row>
    <row r="8798" spans="5:5">
      <c r="E8798" s="51"/>
    </row>
    <row r="8799" spans="5:5">
      <c r="E8799" s="51"/>
    </row>
    <row r="8800" spans="5:5">
      <c r="E8800" s="51"/>
    </row>
    <row r="8801" spans="5:5">
      <c r="E8801" s="51"/>
    </row>
    <row r="8802" spans="5:5">
      <c r="E8802" s="51"/>
    </row>
    <row r="8803" spans="5:5">
      <c r="E8803" s="51"/>
    </row>
    <row r="8804" spans="5:5">
      <c r="E8804" s="51"/>
    </row>
    <row r="8805" spans="5:5">
      <c r="E8805" s="51"/>
    </row>
    <row r="8806" spans="5:5">
      <c r="E8806" s="51"/>
    </row>
    <row r="8807" spans="5:5">
      <c r="E8807" s="51"/>
    </row>
    <row r="8808" spans="5:5">
      <c r="E8808" s="51"/>
    </row>
    <row r="8809" spans="5:5">
      <c r="E8809" s="51"/>
    </row>
    <row r="8810" spans="5:5">
      <c r="E8810" s="51"/>
    </row>
    <row r="8811" spans="5:5">
      <c r="E8811" s="51"/>
    </row>
    <row r="8812" spans="5:5">
      <c r="E8812" s="51"/>
    </row>
    <row r="8813" spans="5:5">
      <c r="E8813" s="51"/>
    </row>
    <row r="8814" spans="5:5">
      <c r="E8814" s="51"/>
    </row>
    <row r="8815" spans="5:5">
      <c r="E8815" s="51"/>
    </row>
    <row r="8816" spans="5:5">
      <c r="E8816" s="51"/>
    </row>
    <row r="8817" spans="5:5">
      <c r="E8817" s="51"/>
    </row>
    <row r="8818" spans="5:5">
      <c r="E8818" s="51"/>
    </row>
    <row r="8819" spans="5:5">
      <c r="E8819" s="51"/>
    </row>
    <row r="8820" spans="5:5">
      <c r="E8820" s="51"/>
    </row>
    <row r="8821" spans="5:5">
      <c r="E8821" s="51"/>
    </row>
    <row r="8822" spans="5:5">
      <c r="E8822" s="51"/>
    </row>
    <row r="8823" spans="5:5">
      <c r="E8823" s="51"/>
    </row>
    <row r="8824" spans="5:5">
      <c r="E8824" s="51"/>
    </row>
    <row r="8825" spans="5:5">
      <c r="E8825" s="51"/>
    </row>
    <row r="8826" spans="5:5">
      <c r="E8826" s="51"/>
    </row>
    <row r="8827" spans="5:5">
      <c r="E8827" s="51"/>
    </row>
    <row r="8828" spans="5:5">
      <c r="E8828" s="51"/>
    </row>
    <row r="8829" spans="5:5">
      <c r="E8829" s="51"/>
    </row>
    <row r="8830" spans="5:5">
      <c r="E8830" s="51"/>
    </row>
    <row r="8831" spans="5:5">
      <c r="E8831" s="51"/>
    </row>
    <row r="8832" spans="5:5">
      <c r="E8832" s="51"/>
    </row>
    <row r="8833" spans="5:5">
      <c r="E8833" s="51"/>
    </row>
    <row r="8834" spans="5:5">
      <c r="E8834" s="51"/>
    </row>
    <row r="8835" spans="5:5">
      <c r="E8835" s="51"/>
    </row>
    <row r="8836" spans="5:5">
      <c r="E8836" s="51"/>
    </row>
    <row r="8837" spans="5:5">
      <c r="E8837" s="51"/>
    </row>
    <row r="8838" spans="5:5">
      <c r="E8838" s="51"/>
    </row>
    <row r="8839" spans="5:5">
      <c r="E8839" s="51"/>
    </row>
    <row r="8840" spans="5:5">
      <c r="E8840" s="51"/>
    </row>
    <row r="8841" spans="5:5">
      <c r="E8841" s="51"/>
    </row>
    <row r="8842" spans="5:5">
      <c r="E8842" s="51"/>
    </row>
    <row r="8843" spans="5:5">
      <c r="E8843" s="51"/>
    </row>
    <row r="8844" spans="5:5">
      <c r="E8844" s="51"/>
    </row>
    <row r="8845" spans="5:5">
      <c r="E8845" s="51"/>
    </row>
    <row r="8846" spans="5:5">
      <c r="E8846" s="51"/>
    </row>
    <row r="8847" spans="5:5">
      <c r="E8847" s="51"/>
    </row>
    <row r="8848" spans="5:5">
      <c r="E8848" s="51"/>
    </row>
    <row r="8849" spans="5:5">
      <c r="E8849" s="51"/>
    </row>
    <row r="8850" spans="5:5">
      <c r="E8850" s="51"/>
    </row>
    <row r="8851" spans="5:5">
      <c r="E8851" s="51"/>
    </row>
    <row r="8852" spans="5:5">
      <c r="E8852" s="51"/>
    </row>
    <row r="8853" spans="5:5">
      <c r="E8853" s="51"/>
    </row>
    <row r="8854" spans="5:5">
      <c r="E8854" s="51"/>
    </row>
    <row r="8855" spans="5:5">
      <c r="E8855" s="51"/>
    </row>
    <row r="8856" spans="5:5">
      <c r="E8856" s="51"/>
    </row>
    <row r="8857" spans="5:5">
      <c r="E8857" s="51"/>
    </row>
    <row r="8858" spans="5:5">
      <c r="E8858" s="51"/>
    </row>
    <row r="8859" spans="5:5">
      <c r="E8859" s="51"/>
    </row>
    <row r="8860" spans="5:5">
      <c r="E8860" s="51"/>
    </row>
    <row r="8861" spans="5:5">
      <c r="E8861" s="51"/>
    </row>
    <row r="8862" spans="5:5">
      <c r="E8862" s="51"/>
    </row>
    <row r="8863" spans="5:5">
      <c r="E8863" s="51"/>
    </row>
    <row r="8864" spans="5:5">
      <c r="E8864" s="51"/>
    </row>
    <row r="8865" spans="5:5">
      <c r="E8865" s="51"/>
    </row>
    <row r="8866" spans="5:5">
      <c r="E8866" s="51"/>
    </row>
    <row r="8867" spans="5:5">
      <c r="E8867" s="51"/>
    </row>
    <row r="8868" spans="5:5">
      <c r="E8868" s="51"/>
    </row>
    <row r="8869" spans="5:5">
      <c r="E8869" s="51"/>
    </row>
    <row r="8870" spans="5:5">
      <c r="E8870" s="51"/>
    </row>
    <row r="8871" spans="5:5">
      <c r="E8871" s="51"/>
    </row>
    <row r="8872" spans="5:5">
      <c r="E8872" s="51"/>
    </row>
    <row r="8873" spans="5:5">
      <c r="E8873" s="51"/>
    </row>
    <row r="8874" spans="5:5">
      <c r="E8874" s="51"/>
    </row>
    <row r="8875" spans="5:5">
      <c r="E8875" s="51"/>
    </row>
    <row r="8876" spans="5:5">
      <c r="E8876" s="51"/>
    </row>
    <row r="8877" spans="5:5">
      <c r="E8877" s="51"/>
    </row>
    <row r="8878" spans="5:5">
      <c r="E8878" s="51"/>
    </row>
    <row r="8879" spans="5:5">
      <c r="E8879" s="51"/>
    </row>
    <row r="8880" spans="5:5">
      <c r="E8880" s="51"/>
    </row>
    <row r="8881" spans="5:5">
      <c r="E8881" s="51"/>
    </row>
    <row r="8882" spans="5:5">
      <c r="E8882" s="51"/>
    </row>
    <row r="8883" spans="5:5">
      <c r="E8883" s="51"/>
    </row>
    <row r="8884" spans="5:5">
      <c r="E8884" s="51"/>
    </row>
    <row r="8885" spans="5:5">
      <c r="E8885" s="51"/>
    </row>
    <row r="8886" spans="5:5">
      <c r="E8886" s="51"/>
    </row>
    <row r="8887" spans="5:5">
      <c r="E8887" s="51"/>
    </row>
    <row r="8888" spans="5:5">
      <c r="E8888" s="51"/>
    </row>
    <row r="8889" spans="5:5">
      <c r="E8889" s="51"/>
    </row>
    <row r="8890" spans="5:5">
      <c r="E8890" s="51"/>
    </row>
    <row r="8891" spans="5:5">
      <c r="E8891" s="51"/>
    </row>
    <row r="8892" spans="5:5">
      <c r="E8892" s="51"/>
    </row>
    <row r="8893" spans="5:5">
      <c r="E8893" s="51"/>
    </row>
    <row r="8894" spans="5:5">
      <c r="E8894" s="51"/>
    </row>
    <row r="8895" spans="5:5">
      <c r="E8895" s="51"/>
    </row>
    <row r="8896" spans="5:5">
      <c r="E8896" s="51"/>
    </row>
    <row r="8897" spans="5:5">
      <c r="E8897" s="51"/>
    </row>
    <row r="8898" spans="5:5">
      <c r="E8898" s="51"/>
    </row>
    <row r="8899" spans="5:5">
      <c r="E8899" s="51"/>
    </row>
    <row r="8900" spans="5:5">
      <c r="E8900" s="51"/>
    </row>
    <row r="8901" spans="5:5">
      <c r="E8901" s="51"/>
    </row>
    <row r="8902" spans="5:5">
      <c r="E8902" s="51"/>
    </row>
    <row r="8903" spans="5:5">
      <c r="E8903" s="51"/>
    </row>
    <row r="8904" spans="5:5">
      <c r="E8904" s="51"/>
    </row>
    <row r="8905" spans="5:5">
      <c r="E8905" s="51"/>
    </row>
    <row r="8906" spans="5:5">
      <c r="E8906" s="51"/>
    </row>
    <row r="8907" spans="5:5">
      <c r="E8907" s="51"/>
    </row>
    <row r="8908" spans="5:5">
      <c r="E8908" s="51"/>
    </row>
    <row r="8909" spans="5:5">
      <c r="E8909" s="51"/>
    </row>
    <row r="8910" spans="5:5">
      <c r="E8910" s="51"/>
    </row>
    <row r="8911" spans="5:5">
      <c r="E8911" s="51"/>
    </row>
    <row r="8912" spans="5:5">
      <c r="E8912" s="51"/>
    </row>
    <row r="8913" spans="5:5">
      <c r="E8913" s="51"/>
    </row>
    <row r="8914" spans="5:5">
      <c r="E8914" s="51"/>
    </row>
    <row r="8915" spans="5:5">
      <c r="E8915" s="51"/>
    </row>
    <row r="8916" spans="5:5">
      <c r="E8916" s="51"/>
    </row>
    <row r="8917" spans="5:5">
      <c r="E8917" s="51"/>
    </row>
    <row r="8918" spans="5:5">
      <c r="E8918" s="51"/>
    </row>
    <row r="8919" spans="5:5">
      <c r="E8919" s="51"/>
    </row>
    <row r="8920" spans="5:5">
      <c r="E8920" s="51"/>
    </row>
    <row r="8921" spans="5:5">
      <c r="E8921" s="51"/>
    </row>
    <row r="8922" spans="5:5">
      <c r="E8922" s="51"/>
    </row>
    <row r="8923" spans="5:5">
      <c r="E8923" s="51"/>
    </row>
    <row r="8924" spans="5:5">
      <c r="E8924" s="51"/>
    </row>
    <row r="8925" spans="5:5">
      <c r="E8925" s="51"/>
    </row>
    <row r="8926" spans="5:5">
      <c r="E8926" s="51"/>
    </row>
    <row r="8927" spans="5:5">
      <c r="E8927" s="51"/>
    </row>
    <row r="8928" spans="5:5">
      <c r="E8928" s="51"/>
    </row>
    <row r="8929" spans="5:5">
      <c r="E8929" s="51"/>
    </row>
    <row r="8930" spans="5:5">
      <c r="E8930" s="51"/>
    </row>
    <row r="8931" spans="5:5">
      <c r="E8931" s="51"/>
    </row>
    <row r="8932" spans="5:5">
      <c r="E8932" s="51"/>
    </row>
    <row r="8933" spans="5:5">
      <c r="E8933" s="51"/>
    </row>
    <row r="8934" spans="5:5">
      <c r="E8934" s="51"/>
    </row>
    <row r="8935" spans="5:5">
      <c r="E8935" s="51"/>
    </row>
    <row r="8936" spans="5:5">
      <c r="E8936" s="51"/>
    </row>
    <row r="8937" spans="5:5">
      <c r="E8937" s="51"/>
    </row>
    <row r="8938" spans="5:5">
      <c r="E8938" s="51"/>
    </row>
    <row r="8939" spans="5:5">
      <c r="E8939" s="51"/>
    </row>
    <row r="8940" spans="5:5">
      <c r="E8940" s="51"/>
    </row>
    <row r="8941" spans="5:5">
      <c r="E8941" s="51"/>
    </row>
    <row r="8942" spans="5:5">
      <c r="E8942" s="51"/>
    </row>
    <row r="8943" spans="5:5">
      <c r="E8943" s="51"/>
    </row>
    <row r="8944" spans="5:5">
      <c r="E8944" s="51"/>
    </row>
    <row r="8945" spans="5:5">
      <c r="E8945" s="51"/>
    </row>
    <row r="8946" spans="5:5">
      <c r="E8946" s="51"/>
    </row>
    <row r="8947" spans="5:5">
      <c r="E8947" s="51"/>
    </row>
    <row r="8948" spans="5:5">
      <c r="E8948" s="51"/>
    </row>
    <row r="8949" spans="5:5">
      <c r="E8949" s="51"/>
    </row>
    <row r="8950" spans="5:5">
      <c r="E8950" s="51"/>
    </row>
    <row r="8951" spans="5:5">
      <c r="E8951" s="51"/>
    </row>
    <row r="8952" spans="5:5">
      <c r="E8952" s="51"/>
    </row>
    <row r="8953" spans="5:5">
      <c r="E8953" s="51"/>
    </row>
    <row r="8954" spans="5:5">
      <c r="E8954" s="51"/>
    </row>
    <row r="8955" spans="5:5">
      <c r="E8955" s="51"/>
    </row>
    <row r="8956" spans="5:5">
      <c r="E8956" s="51"/>
    </row>
    <row r="8957" spans="5:5">
      <c r="E8957" s="51"/>
    </row>
    <row r="8958" spans="5:5">
      <c r="E8958" s="51"/>
    </row>
    <row r="8959" spans="5:5">
      <c r="E8959" s="51"/>
    </row>
    <row r="8960" spans="5:5">
      <c r="E8960" s="51"/>
    </row>
    <row r="8961" spans="5:5">
      <c r="E8961" s="51"/>
    </row>
    <row r="8962" spans="5:5">
      <c r="E8962" s="51"/>
    </row>
    <row r="8963" spans="5:5">
      <c r="E8963" s="51"/>
    </row>
    <row r="8964" spans="5:5">
      <c r="E8964" s="51"/>
    </row>
    <row r="8965" spans="5:5">
      <c r="E8965" s="51"/>
    </row>
    <row r="8966" spans="5:5">
      <c r="E8966" s="51"/>
    </row>
    <row r="8967" spans="5:5">
      <c r="E8967" s="51"/>
    </row>
    <row r="8968" spans="5:5">
      <c r="E8968" s="51"/>
    </row>
    <row r="8969" spans="5:5">
      <c r="E8969" s="51"/>
    </row>
    <row r="8970" spans="5:5">
      <c r="E8970" s="51"/>
    </row>
    <row r="8971" spans="5:5">
      <c r="E8971" s="51"/>
    </row>
    <row r="8972" spans="5:5">
      <c r="E8972" s="51"/>
    </row>
    <row r="8973" spans="5:5">
      <c r="E8973" s="51"/>
    </row>
    <row r="8974" spans="5:5">
      <c r="E8974" s="51"/>
    </row>
    <row r="8975" spans="5:5">
      <c r="E8975" s="51"/>
    </row>
    <row r="8976" spans="5:5">
      <c r="E8976" s="51"/>
    </row>
    <row r="8977" spans="5:5">
      <c r="E8977" s="51"/>
    </row>
    <row r="8978" spans="5:5">
      <c r="E8978" s="51"/>
    </row>
    <row r="8979" spans="5:5">
      <c r="E8979" s="51"/>
    </row>
    <row r="8980" spans="5:5">
      <c r="E8980" s="51"/>
    </row>
    <row r="8981" spans="5:5">
      <c r="E8981" s="51"/>
    </row>
    <row r="8982" spans="5:5">
      <c r="E8982" s="51"/>
    </row>
    <row r="8983" spans="5:5">
      <c r="E8983" s="51"/>
    </row>
    <row r="8984" spans="5:5">
      <c r="E8984" s="51"/>
    </row>
    <row r="8985" spans="5:5">
      <c r="E8985" s="51"/>
    </row>
    <row r="8986" spans="5:5">
      <c r="E8986" s="51"/>
    </row>
    <row r="8987" spans="5:5">
      <c r="E8987" s="51"/>
    </row>
    <row r="8988" spans="5:5">
      <c r="E8988" s="51"/>
    </row>
    <row r="8989" spans="5:5">
      <c r="E8989" s="51"/>
    </row>
    <row r="8990" spans="5:5">
      <c r="E8990" s="51"/>
    </row>
    <row r="8991" spans="5:5">
      <c r="E8991" s="51"/>
    </row>
    <row r="8992" spans="5:5">
      <c r="E8992" s="51"/>
    </row>
    <row r="8993" spans="5:5">
      <c r="E8993" s="51"/>
    </row>
    <row r="8994" spans="5:5">
      <c r="E8994" s="51"/>
    </row>
    <row r="8995" spans="5:5">
      <c r="E8995" s="51"/>
    </row>
    <row r="8996" spans="5:5">
      <c r="E8996" s="51"/>
    </row>
    <row r="8997" spans="5:5">
      <c r="E8997" s="51"/>
    </row>
    <row r="8998" spans="5:5">
      <c r="E8998" s="51"/>
    </row>
    <row r="8999" spans="5:5">
      <c r="E8999" s="51"/>
    </row>
    <row r="9000" spans="5:5">
      <c r="E9000" s="51"/>
    </row>
    <row r="9001" spans="5:5">
      <c r="E9001" s="51"/>
    </row>
    <row r="9002" spans="5:5">
      <c r="E9002" s="51"/>
    </row>
    <row r="9003" spans="5:5">
      <c r="E9003" s="51"/>
    </row>
    <row r="9004" spans="5:5">
      <c r="E9004" s="51"/>
    </row>
    <row r="9005" spans="5:5">
      <c r="E9005" s="51"/>
    </row>
    <row r="9006" spans="5:5">
      <c r="E9006" s="51"/>
    </row>
    <row r="9007" spans="5:5">
      <c r="E9007" s="51"/>
    </row>
    <row r="9008" spans="5:5">
      <c r="E9008" s="51"/>
    </row>
    <row r="9009" spans="5:5">
      <c r="E9009" s="51"/>
    </row>
    <row r="9010" spans="5:5">
      <c r="E9010" s="51"/>
    </row>
    <row r="9011" spans="5:5">
      <c r="E9011" s="51"/>
    </row>
    <row r="9012" spans="5:5">
      <c r="E9012" s="51"/>
    </row>
    <row r="9013" spans="5:5">
      <c r="E9013" s="51"/>
    </row>
    <row r="9014" spans="5:5">
      <c r="E9014" s="51"/>
    </row>
    <row r="9015" spans="5:5">
      <c r="E9015" s="51"/>
    </row>
    <row r="9016" spans="5:5">
      <c r="E9016" s="51"/>
    </row>
    <row r="9017" spans="5:5">
      <c r="E9017" s="51"/>
    </row>
    <row r="9018" spans="5:5">
      <c r="E9018" s="51"/>
    </row>
    <row r="9019" spans="5:5">
      <c r="E9019" s="51"/>
    </row>
    <row r="9020" spans="5:5">
      <c r="E9020" s="51"/>
    </row>
    <row r="9021" spans="5:5">
      <c r="E9021" s="51"/>
    </row>
    <row r="9022" spans="5:5">
      <c r="E9022" s="51"/>
    </row>
    <row r="9023" spans="5:5">
      <c r="E9023" s="51"/>
    </row>
    <row r="9024" spans="5:5">
      <c r="E9024" s="51"/>
    </row>
    <row r="9025" spans="5:5">
      <c r="E9025" s="51"/>
    </row>
    <row r="9026" spans="5:5">
      <c r="E9026" s="51"/>
    </row>
    <row r="9027" spans="5:5">
      <c r="E9027" s="51"/>
    </row>
    <row r="9028" spans="5:5">
      <c r="E9028" s="51"/>
    </row>
    <row r="9029" spans="5:5">
      <c r="E9029" s="51"/>
    </row>
    <row r="9030" spans="5:5">
      <c r="E9030" s="51"/>
    </row>
    <row r="9031" spans="5:5">
      <c r="E9031" s="51"/>
    </row>
    <row r="9032" spans="5:5">
      <c r="E9032" s="51"/>
    </row>
    <row r="9033" spans="5:5">
      <c r="E9033" s="51"/>
    </row>
    <row r="9034" spans="5:5">
      <c r="E9034" s="51"/>
    </row>
    <row r="9035" spans="5:5">
      <c r="E9035" s="51"/>
    </row>
    <row r="9036" spans="5:5">
      <c r="E9036" s="51"/>
    </row>
    <row r="9037" spans="5:5">
      <c r="E9037" s="51"/>
    </row>
    <row r="9038" spans="5:5">
      <c r="E9038" s="51"/>
    </row>
    <row r="9039" spans="5:5">
      <c r="E9039" s="51"/>
    </row>
    <row r="9040" spans="5:5">
      <c r="E9040" s="51"/>
    </row>
    <row r="9041" spans="5:5">
      <c r="E9041" s="51"/>
    </row>
    <row r="9042" spans="5:5">
      <c r="E9042" s="51"/>
    </row>
    <row r="9043" spans="5:5">
      <c r="E9043" s="51"/>
    </row>
    <row r="9044" spans="5:5">
      <c r="E9044" s="51"/>
    </row>
    <row r="9045" spans="5:5">
      <c r="E9045" s="51"/>
    </row>
    <row r="9046" spans="5:5">
      <c r="E9046" s="51"/>
    </row>
    <row r="9047" spans="5:5">
      <c r="E9047" s="51"/>
    </row>
    <row r="9048" spans="5:5">
      <c r="E9048" s="51"/>
    </row>
    <row r="9049" spans="5:5">
      <c r="E9049" s="51"/>
    </row>
    <row r="9050" spans="5:5">
      <c r="E9050" s="51"/>
    </row>
    <row r="9051" spans="5:5">
      <c r="E9051" s="51"/>
    </row>
    <row r="9052" spans="5:5">
      <c r="E9052" s="51"/>
    </row>
    <row r="9053" spans="5:5">
      <c r="E9053" s="51"/>
    </row>
    <row r="9054" spans="5:5">
      <c r="E9054" s="51"/>
    </row>
    <row r="9055" spans="5:5">
      <c r="E9055" s="51"/>
    </row>
    <row r="9056" spans="5:5">
      <c r="E9056" s="51"/>
    </row>
    <row r="9057" spans="5:5">
      <c r="E9057" s="51"/>
    </row>
    <row r="9058" spans="5:5">
      <c r="E9058" s="51"/>
    </row>
    <row r="9059" spans="5:5">
      <c r="E9059" s="51"/>
    </row>
    <row r="9060" spans="5:5">
      <c r="E9060" s="51"/>
    </row>
    <row r="9061" spans="5:5">
      <c r="E9061" s="51"/>
    </row>
    <row r="9062" spans="5:5">
      <c r="E9062" s="51"/>
    </row>
    <row r="9063" spans="5:5">
      <c r="E9063" s="51"/>
    </row>
    <row r="9064" spans="5:5">
      <c r="E9064" s="51"/>
    </row>
    <row r="9065" spans="5:5">
      <c r="E9065" s="51"/>
    </row>
    <row r="9066" spans="5:5">
      <c r="E9066" s="51"/>
    </row>
    <row r="9067" spans="5:5">
      <c r="E9067" s="51"/>
    </row>
    <row r="9068" spans="5:5">
      <c r="E9068" s="51"/>
    </row>
    <row r="9069" spans="5:5">
      <c r="E9069" s="51"/>
    </row>
    <row r="9070" spans="5:5">
      <c r="E9070" s="51"/>
    </row>
    <row r="9071" spans="5:5">
      <c r="E9071" s="51"/>
    </row>
    <row r="9072" spans="5:5">
      <c r="E9072" s="51"/>
    </row>
    <row r="9073" spans="5:5">
      <c r="E9073" s="51"/>
    </row>
    <row r="9074" spans="5:5">
      <c r="E9074" s="51"/>
    </row>
    <row r="9075" spans="5:5">
      <c r="E9075" s="51"/>
    </row>
    <row r="9076" spans="5:5">
      <c r="E9076" s="51"/>
    </row>
    <row r="9077" spans="5:5">
      <c r="E9077" s="51"/>
    </row>
    <row r="9078" spans="5:5">
      <c r="E9078" s="51"/>
    </row>
    <row r="9079" spans="5:5">
      <c r="E9079" s="51"/>
    </row>
    <row r="9080" spans="5:5">
      <c r="E9080" s="51"/>
    </row>
    <row r="9081" spans="5:5">
      <c r="E9081" s="51"/>
    </row>
    <row r="9082" spans="5:5">
      <c r="E9082" s="51"/>
    </row>
    <row r="9083" spans="5:5">
      <c r="E9083" s="51"/>
    </row>
    <row r="9084" spans="5:5">
      <c r="E9084" s="51"/>
    </row>
    <row r="9085" spans="5:5">
      <c r="E9085" s="51"/>
    </row>
    <row r="9086" spans="5:5">
      <c r="E9086" s="51"/>
    </row>
    <row r="9087" spans="5:5">
      <c r="E9087" s="51"/>
    </row>
    <row r="9088" spans="5:5">
      <c r="E9088" s="51"/>
    </row>
    <row r="9089" spans="5:5">
      <c r="E9089" s="51"/>
    </row>
    <row r="9090" spans="5:5">
      <c r="E9090" s="51"/>
    </row>
    <row r="9091" spans="5:5">
      <c r="E9091" s="51"/>
    </row>
    <row r="9092" spans="5:5">
      <c r="E9092" s="51"/>
    </row>
    <row r="9093" spans="5:5">
      <c r="E9093" s="51"/>
    </row>
    <row r="9094" spans="5:5">
      <c r="E9094" s="51"/>
    </row>
    <row r="9095" spans="5:5">
      <c r="E9095" s="51"/>
    </row>
    <row r="9096" spans="5:5">
      <c r="E9096" s="51"/>
    </row>
    <row r="9097" spans="5:5">
      <c r="E9097" s="51"/>
    </row>
    <row r="9098" spans="5:5">
      <c r="E9098" s="51"/>
    </row>
    <row r="9099" spans="5:5">
      <c r="E9099" s="51"/>
    </row>
    <row r="9100" spans="5:5">
      <c r="E9100" s="51"/>
    </row>
    <row r="9101" spans="5:5">
      <c r="E9101" s="51"/>
    </row>
    <row r="9102" spans="5:5">
      <c r="E9102" s="51"/>
    </row>
    <row r="9103" spans="5:5">
      <c r="E9103" s="51"/>
    </row>
    <row r="9104" spans="5:5">
      <c r="E9104" s="51"/>
    </row>
    <row r="9105" spans="5:5">
      <c r="E9105" s="51"/>
    </row>
    <row r="9106" spans="5:5">
      <c r="E9106" s="51"/>
    </row>
    <row r="9107" spans="5:5">
      <c r="E9107" s="51"/>
    </row>
    <row r="9108" spans="5:5">
      <c r="E9108" s="51"/>
    </row>
    <row r="9109" spans="5:5">
      <c r="E9109" s="51"/>
    </row>
    <row r="9110" spans="5:5">
      <c r="E9110" s="51"/>
    </row>
    <row r="9111" spans="5:5">
      <c r="E9111" s="51"/>
    </row>
    <row r="9112" spans="5:5">
      <c r="E9112" s="51"/>
    </row>
    <row r="9113" spans="5:5">
      <c r="E9113" s="51"/>
    </row>
    <row r="9114" spans="5:5">
      <c r="E9114" s="51"/>
    </row>
    <row r="9115" spans="5:5">
      <c r="E9115" s="51"/>
    </row>
    <row r="9116" spans="5:5">
      <c r="E9116" s="51"/>
    </row>
    <row r="9117" spans="5:5">
      <c r="E9117" s="51"/>
    </row>
    <row r="9118" spans="5:5">
      <c r="E9118" s="51"/>
    </row>
    <row r="9119" spans="5:5">
      <c r="E9119" s="51"/>
    </row>
    <row r="9120" spans="5:5">
      <c r="E9120" s="51"/>
    </row>
    <row r="9121" spans="5:5">
      <c r="E9121" s="51"/>
    </row>
    <row r="9122" spans="5:5">
      <c r="E9122" s="51"/>
    </row>
    <row r="9123" spans="5:5">
      <c r="E9123" s="51"/>
    </row>
    <row r="9124" spans="5:5">
      <c r="E9124" s="51"/>
    </row>
    <row r="9125" spans="5:5">
      <c r="E9125" s="51"/>
    </row>
    <row r="9126" spans="5:5">
      <c r="E9126" s="51"/>
    </row>
    <row r="9127" spans="5:5">
      <c r="E9127" s="51"/>
    </row>
    <row r="9128" spans="5:5">
      <c r="E9128" s="51"/>
    </row>
    <row r="9129" spans="5:5">
      <c r="E9129" s="51"/>
    </row>
    <row r="9130" spans="5:5">
      <c r="E9130" s="51"/>
    </row>
    <row r="9131" spans="5:5">
      <c r="E9131" s="51"/>
    </row>
    <row r="9132" spans="5:5">
      <c r="E9132" s="51"/>
    </row>
    <row r="9133" spans="5:5">
      <c r="E9133" s="51"/>
    </row>
    <row r="9134" spans="5:5">
      <c r="E9134" s="51"/>
    </row>
    <row r="9135" spans="5:5">
      <c r="E9135" s="51"/>
    </row>
    <row r="9136" spans="5:5">
      <c r="E9136" s="51"/>
    </row>
    <row r="9137" spans="5:5">
      <c r="E9137" s="51"/>
    </row>
    <row r="9138" spans="5:5">
      <c r="E9138" s="51"/>
    </row>
    <row r="9139" spans="5:5">
      <c r="E9139" s="51"/>
    </row>
    <row r="9140" spans="5:5">
      <c r="E9140" s="51"/>
    </row>
    <row r="9141" spans="5:5">
      <c r="E9141" s="51"/>
    </row>
    <row r="9142" spans="5:5">
      <c r="E9142" s="51"/>
    </row>
    <row r="9143" spans="5:5">
      <c r="E9143" s="51"/>
    </row>
    <row r="9144" spans="5:5">
      <c r="E9144" s="51"/>
    </row>
    <row r="9145" spans="5:5">
      <c r="E9145" s="51"/>
    </row>
    <row r="9146" spans="5:5">
      <c r="E9146" s="51"/>
    </row>
    <row r="9147" spans="5:5">
      <c r="E9147" s="51"/>
    </row>
    <row r="9148" spans="5:5">
      <c r="E9148" s="51"/>
    </row>
    <row r="9149" spans="5:5">
      <c r="E9149" s="51"/>
    </row>
    <row r="9150" spans="5:5">
      <c r="E9150" s="51"/>
    </row>
    <row r="9151" spans="5:5">
      <c r="E9151" s="51"/>
    </row>
    <row r="9152" spans="5:5">
      <c r="E9152" s="51"/>
    </row>
    <row r="9153" spans="5:5">
      <c r="E9153" s="51"/>
    </row>
    <row r="9154" spans="5:5">
      <c r="E9154" s="51"/>
    </row>
    <row r="9155" spans="5:5">
      <c r="E9155" s="51"/>
    </row>
    <row r="9156" spans="5:5">
      <c r="E9156" s="51"/>
    </row>
    <row r="9157" spans="5:5">
      <c r="E9157" s="51"/>
    </row>
    <row r="9158" spans="5:5">
      <c r="E9158" s="51"/>
    </row>
    <row r="9159" spans="5:5">
      <c r="E9159" s="51"/>
    </row>
    <row r="9160" spans="5:5">
      <c r="E9160" s="51"/>
    </row>
    <row r="9161" spans="5:5">
      <c r="E9161" s="51"/>
    </row>
    <row r="9162" spans="5:5">
      <c r="E9162" s="51"/>
    </row>
    <row r="9163" spans="5:5">
      <c r="E9163" s="51"/>
    </row>
    <row r="9164" spans="5:5">
      <c r="E9164" s="51"/>
    </row>
    <row r="9165" spans="5:5">
      <c r="E9165" s="51"/>
    </row>
    <row r="9166" spans="5:5">
      <c r="E9166" s="51"/>
    </row>
    <row r="9167" spans="5:5">
      <c r="E9167" s="51"/>
    </row>
    <row r="9168" spans="5:5">
      <c r="E9168" s="51"/>
    </row>
    <row r="9169" spans="5:5">
      <c r="E9169" s="51"/>
    </row>
    <row r="9170" spans="5:5">
      <c r="E9170" s="51"/>
    </row>
    <row r="9171" spans="5:5">
      <c r="E9171" s="51"/>
    </row>
    <row r="9172" spans="5:5">
      <c r="E9172" s="51"/>
    </row>
    <row r="9173" spans="5:5">
      <c r="E9173" s="51"/>
    </row>
    <row r="9174" spans="5:5">
      <c r="E9174" s="51"/>
    </row>
    <row r="9175" spans="5:5">
      <c r="E9175" s="51"/>
    </row>
    <row r="9176" spans="5:5">
      <c r="E9176" s="51"/>
    </row>
    <row r="9177" spans="5:5">
      <c r="E9177" s="51"/>
    </row>
    <row r="9178" spans="5:5">
      <c r="E9178" s="51"/>
    </row>
    <row r="9179" spans="5:5">
      <c r="E9179" s="51"/>
    </row>
    <row r="9180" spans="5:5">
      <c r="E9180" s="51"/>
    </row>
    <row r="9181" spans="5:5">
      <c r="E9181" s="51"/>
    </row>
    <row r="9182" spans="5:5">
      <c r="E9182" s="51"/>
    </row>
    <row r="9183" spans="5:5">
      <c r="E9183" s="51"/>
    </row>
    <row r="9184" spans="5:5">
      <c r="E9184" s="51"/>
    </row>
    <row r="9185" spans="5:5">
      <c r="E9185" s="51"/>
    </row>
    <row r="9186" spans="5:5">
      <c r="E9186" s="51"/>
    </row>
    <row r="9187" spans="5:5">
      <c r="E9187" s="51"/>
    </row>
    <row r="9188" spans="5:5">
      <c r="E9188" s="51"/>
    </row>
    <row r="9189" spans="5:5">
      <c r="E9189" s="51"/>
    </row>
    <row r="9190" spans="5:5">
      <c r="E9190" s="51"/>
    </row>
    <row r="9191" spans="5:5">
      <c r="E9191" s="51"/>
    </row>
    <row r="9192" spans="5:5">
      <c r="E9192" s="51"/>
    </row>
    <row r="9193" spans="5:5">
      <c r="E9193" s="51"/>
    </row>
    <row r="9194" spans="5:5">
      <c r="E9194" s="51"/>
    </row>
    <row r="9195" spans="5:5">
      <c r="E9195" s="51"/>
    </row>
    <row r="9196" spans="5:5">
      <c r="E9196" s="51"/>
    </row>
    <row r="9197" spans="5:5">
      <c r="E9197" s="51"/>
    </row>
    <row r="9198" spans="5:5">
      <c r="E9198" s="51"/>
    </row>
    <row r="9199" spans="5:5">
      <c r="E9199" s="51"/>
    </row>
    <row r="9200" spans="5:5">
      <c r="E9200" s="51"/>
    </row>
    <row r="9201" spans="5:5">
      <c r="E9201" s="51"/>
    </row>
    <row r="9202" spans="5:5">
      <c r="E9202" s="51"/>
    </row>
    <row r="9203" spans="5:5">
      <c r="E9203" s="51"/>
    </row>
    <row r="9204" spans="5:5">
      <c r="E9204" s="51"/>
    </row>
    <row r="9205" spans="5:5">
      <c r="E9205" s="51"/>
    </row>
    <row r="9206" spans="5:5">
      <c r="E9206" s="51"/>
    </row>
    <row r="9207" spans="5:5">
      <c r="E9207" s="51"/>
    </row>
    <row r="9208" spans="5:5">
      <c r="E9208" s="51"/>
    </row>
    <row r="9209" spans="5:5">
      <c r="E9209" s="51"/>
    </row>
    <row r="9210" spans="5:5">
      <c r="E9210" s="51"/>
    </row>
    <row r="9211" spans="5:5">
      <c r="E9211" s="51"/>
    </row>
    <row r="9212" spans="5:5">
      <c r="E9212" s="51"/>
    </row>
    <row r="9213" spans="5:5">
      <c r="E9213" s="51"/>
    </row>
    <row r="9214" spans="5:5">
      <c r="E9214" s="51"/>
    </row>
    <row r="9215" spans="5:5">
      <c r="E9215" s="51"/>
    </row>
    <row r="9216" spans="5:5">
      <c r="E9216" s="51"/>
    </row>
    <row r="9217" spans="5:5">
      <c r="E9217" s="51"/>
    </row>
    <row r="9218" spans="5:5">
      <c r="E9218" s="51"/>
    </row>
    <row r="9219" spans="5:5">
      <c r="E9219" s="51"/>
    </row>
    <row r="9220" spans="5:5">
      <c r="E9220" s="51"/>
    </row>
    <row r="9221" spans="5:5">
      <c r="E9221" s="51"/>
    </row>
    <row r="9222" spans="5:5">
      <c r="E9222" s="51"/>
    </row>
    <row r="9223" spans="5:5">
      <c r="E9223" s="51"/>
    </row>
    <row r="9224" spans="5:5">
      <c r="E9224" s="51"/>
    </row>
    <row r="9225" spans="5:5">
      <c r="E9225" s="51"/>
    </row>
    <row r="9226" spans="5:5">
      <c r="E9226" s="51"/>
    </row>
    <row r="9227" spans="5:5">
      <c r="E9227" s="51"/>
    </row>
    <row r="9228" spans="5:5">
      <c r="E9228" s="51"/>
    </row>
    <row r="9229" spans="5:5">
      <c r="E9229" s="51"/>
    </row>
    <row r="9230" spans="5:5">
      <c r="E9230" s="51"/>
    </row>
    <row r="9231" spans="5:5">
      <c r="E9231" s="51"/>
    </row>
    <row r="9232" spans="5:5">
      <c r="E9232" s="51"/>
    </row>
    <row r="9233" spans="5:5">
      <c r="E9233" s="51"/>
    </row>
    <row r="9234" spans="5:5">
      <c r="E9234" s="51"/>
    </row>
    <row r="9235" spans="5:5">
      <c r="E9235" s="51"/>
    </row>
    <row r="9236" spans="5:5">
      <c r="E9236" s="51"/>
    </row>
    <row r="9237" spans="5:5">
      <c r="E9237" s="51"/>
    </row>
    <row r="9238" spans="5:5">
      <c r="E9238" s="51"/>
    </row>
    <row r="9239" spans="5:5">
      <c r="E9239" s="51"/>
    </row>
    <row r="9240" spans="5:5">
      <c r="E9240" s="51"/>
    </row>
    <row r="9241" spans="5:5">
      <c r="E9241" s="51"/>
    </row>
    <row r="9242" spans="5:5">
      <c r="E9242" s="51"/>
    </row>
    <row r="9243" spans="5:5">
      <c r="E9243" s="51"/>
    </row>
    <row r="9244" spans="5:5">
      <c r="E9244" s="51"/>
    </row>
    <row r="9245" spans="5:5">
      <c r="E9245" s="51"/>
    </row>
    <row r="9246" spans="5:5">
      <c r="E9246" s="51"/>
    </row>
    <row r="9247" spans="5:5">
      <c r="E9247" s="51"/>
    </row>
    <row r="9248" spans="5:5">
      <c r="E9248" s="51"/>
    </row>
    <row r="9249" spans="5:5">
      <c r="E9249" s="51"/>
    </row>
    <row r="9250" spans="5:5">
      <c r="E9250" s="51"/>
    </row>
    <row r="9251" spans="5:5">
      <c r="E9251" s="51"/>
    </row>
    <row r="9252" spans="5:5">
      <c r="E9252" s="51"/>
    </row>
    <row r="9253" spans="5:5">
      <c r="E9253" s="51"/>
    </row>
    <row r="9254" spans="5:5">
      <c r="E9254" s="51"/>
    </row>
    <row r="9255" spans="5:5">
      <c r="E9255" s="51"/>
    </row>
    <row r="9256" spans="5:5">
      <c r="E9256" s="51"/>
    </row>
    <row r="9257" spans="5:5">
      <c r="E9257" s="51"/>
    </row>
    <row r="9258" spans="5:5">
      <c r="E9258" s="51"/>
    </row>
    <row r="9259" spans="5:5">
      <c r="E9259" s="51"/>
    </row>
    <row r="9260" spans="5:5">
      <c r="E9260" s="51"/>
    </row>
    <row r="9261" spans="5:5">
      <c r="E9261" s="51"/>
    </row>
    <row r="9262" spans="5:5">
      <c r="E9262" s="51"/>
    </row>
    <row r="9263" spans="5:5">
      <c r="E9263" s="51"/>
    </row>
    <row r="9264" spans="5:5">
      <c r="E9264" s="51"/>
    </row>
    <row r="9265" spans="5:5">
      <c r="E9265" s="51"/>
    </row>
    <row r="9266" spans="5:5">
      <c r="E9266" s="51"/>
    </row>
    <row r="9267" spans="5:5">
      <c r="E9267" s="51"/>
    </row>
    <row r="9268" spans="5:5">
      <c r="E9268" s="51"/>
    </row>
    <row r="9269" spans="5:5">
      <c r="E9269" s="51"/>
    </row>
    <row r="9270" spans="5:5">
      <c r="E9270" s="51"/>
    </row>
    <row r="9271" spans="5:5">
      <c r="E9271" s="51"/>
    </row>
    <row r="9272" spans="5:5">
      <c r="E9272" s="51"/>
    </row>
    <row r="9273" spans="5:5">
      <c r="E9273" s="51"/>
    </row>
    <row r="9274" spans="5:5">
      <c r="E9274" s="51"/>
    </row>
    <row r="9275" spans="5:5">
      <c r="E9275" s="51"/>
    </row>
    <row r="9276" spans="5:5">
      <c r="E9276" s="51"/>
    </row>
    <row r="9277" spans="5:5">
      <c r="E9277" s="51"/>
    </row>
    <row r="9278" spans="5:5">
      <c r="E9278" s="51"/>
    </row>
    <row r="9279" spans="5:5">
      <c r="E9279" s="51"/>
    </row>
    <row r="9280" spans="5:5">
      <c r="E9280" s="51"/>
    </row>
    <row r="9281" spans="5:5">
      <c r="E9281" s="51"/>
    </row>
    <row r="9282" spans="5:5">
      <c r="E9282" s="51"/>
    </row>
    <row r="9283" spans="5:5">
      <c r="E9283" s="51"/>
    </row>
    <row r="9284" spans="5:5">
      <c r="E9284" s="51"/>
    </row>
    <row r="9285" spans="5:5">
      <c r="E9285" s="51"/>
    </row>
    <row r="9286" spans="5:5">
      <c r="E9286" s="51"/>
    </row>
    <row r="9287" spans="5:5">
      <c r="E9287" s="51"/>
    </row>
    <row r="9288" spans="5:5">
      <c r="E9288" s="51"/>
    </row>
    <row r="9289" spans="5:5">
      <c r="E9289" s="51"/>
    </row>
    <row r="9290" spans="5:5">
      <c r="E9290" s="51"/>
    </row>
    <row r="9291" spans="5:5">
      <c r="E9291" s="51"/>
    </row>
    <row r="9292" spans="5:5">
      <c r="E9292" s="51"/>
    </row>
    <row r="9293" spans="5:5">
      <c r="E9293" s="51"/>
    </row>
    <row r="9294" spans="5:5">
      <c r="E9294" s="51"/>
    </row>
    <row r="9295" spans="5:5">
      <c r="E9295" s="51"/>
    </row>
    <row r="9296" spans="5:5">
      <c r="E9296" s="51"/>
    </row>
    <row r="9297" spans="5:5">
      <c r="E9297" s="51"/>
    </row>
    <row r="9298" spans="5:5">
      <c r="E9298" s="51"/>
    </row>
    <row r="9299" spans="5:5">
      <c r="E9299" s="51"/>
    </row>
    <row r="9300" spans="5:5">
      <c r="E9300" s="51"/>
    </row>
    <row r="9301" spans="5:5">
      <c r="E9301" s="51"/>
    </row>
    <row r="9302" spans="5:5">
      <c r="E9302" s="51"/>
    </row>
    <row r="9303" spans="5:5">
      <c r="E9303" s="51"/>
    </row>
    <row r="9304" spans="5:5">
      <c r="E9304" s="51"/>
    </row>
    <row r="9305" spans="5:5">
      <c r="E9305" s="51"/>
    </row>
    <row r="9306" spans="5:5">
      <c r="E9306" s="51"/>
    </row>
    <row r="9307" spans="5:5">
      <c r="E9307" s="51"/>
    </row>
    <row r="9308" spans="5:5">
      <c r="E9308" s="51"/>
    </row>
    <row r="9309" spans="5:5">
      <c r="E9309" s="51"/>
    </row>
    <row r="9310" spans="5:5">
      <c r="E9310" s="51"/>
    </row>
    <row r="9311" spans="5:5">
      <c r="E9311" s="51"/>
    </row>
    <row r="9312" spans="5:5">
      <c r="E9312" s="51"/>
    </row>
    <row r="9313" spans="5:5">
      <c r="E9313" s="51"/>
    </row>
    <row r="9314" spans="5:5">
      <c r="E9314" s="51"/>
    </row>
    <row r="9315" spans="5:5">
      <c r="E9315" s="51"/>
    </row>
    <row r="9316" spans="5:5">
      <c r="E9316" s="51"/>
    </row>
    <row r="9317" spans="5:5">
      <c r="E9317" s="51"/>
    </row>
    <row r="9318" spans="5:5">
      <c r="E9318" s="51"/>
    </row>
    <row r="9319" spans="5:5">
      <c r="E9319" s="51"/>
    </row>
    <row r="9320" spans="5:5">
      <c r="E9320" s="51"/>
    </row>
    <row r="9321" spans="5:5">
      <c r="E9321" s="51"/>
    </row>
    <row r="9322" spans="5:5">
      <c r="E9322" s="51"/>
    </row>
    <row r="9323" spans="5:5">
      <c r="E9323" s="51"/>
    </row>
    <row r="9324" spans="5:5">
      <c r="E9324" s="51"/>
    </row>
    <row r="9325" spans="5:5">
      <c r="E9325" s="51"/>
    </row>
    <row r="9326" spans="5:5">
      <c r="E9326" s="51"/>
    </row>
    <row r="9327" spans="5:5">
      <c r="E9327" s="51"/>
    </row>
    <row r="9328" spans="5:5">
      <c r="E9328" s="51"/>
    </row>
    <row r="9329" spans="5:5">
      <c r="E9329" s="51"/>
    </row>
    <row r="9330" spans="5:5">
      <c r="E9330" s="51"/>
    </row>
    <row r="9331" spans="5:5">
      <c r="E9331" s="51"/>
    </row>
    <row r="9332" spans="5:5">
      <c r="E9332" s="51"/>
    </row>
    <row r="9333" spans="5:5">
      <c r="E9333" s="51"/>
    </row>
    <row r="9334" spans="5:5">
      <c r="E9334" s="51"/>
    </row>
    <row r="9335" spans="5:5">
      <c r="E9335" s="51"/>
    </row>
    <row r="9336" spans="5:5">
      <c r="E9336" s="51"/>
    </row>
    <row r="9337" spans="5:5">
      <c r="E9337" s="51"/>
    </row>
    <row r="9338" spans="5:5">
      <c r="E9338" s="51"/>
    </row>
    <row r="9339" spans="5:5">
      <c r="E9339" s="51"/>
    </row>
    <row r="9340" spans="5:5">
      <c r="E9340" s="51"/>
    </row>
    <row r="9341" spans="5:5">
      <c r="E9341" s="51"/>
    </row>
    <row r="9342" spans="5:5">
      <c r="E9342" s="51"/>
    </row>
    <row r="9343" spans="5:5">
      <c r="E9343" s="51"/>
    </row>
    <row r="9344" spans="5:5">
      <c r="E9344" s="51"/>
    </row>
    <row r="9345" spans="5:5">
      <c r="E9345" s="51"/>
    </row>
    <row r="9346" spans="5:5">
      <c r="E9346" s="51"/>
    </row>
    <row r="9347" spans="5:5">
      <c r="E9347" s="51"/>
    </row>
    <row r="9348" spans="5:5">
      <c r="E9348" s="51"/>
    </row>
    <row r="9349" spans="5:5">
      <c r="E9349" s="51"/>
    </row>
    <row r="9350" spans="5:5">
      <c r="E9350" s="51"/>
    </row>
    <row r="9351" spans="5:5">
      <c r="E9351" s="51"/>
    </row>
    <row r="9352" spans="5:5">
      <c r="E9352" s="51"/>
    </row>
    <row r="9353" spans="5:5">
      <c r="E9353" s="51"/>
    </row>
    <row r="9354" spans="5:5">
      <c r="E9354" s="51"/>
    </row>
    <row r="9355" spans="5:5">
      <c r="E9355" s="51"/>
    </row>
    <row r="9356" spans="5:5">
      <c r="E9356" s="51"/>
    </row>
    <row r="9357" spans="5:5">
      <c r="E9357" s="51"/>
    </row>
    <row r="9358" spans="5:5">
      <c r="E9358" s="51"/>
    </row>
    <row r="9359" spans="5:5">
      <c r="E9359" s="51"/>
    </row>
    <row r="9360" spans="5:5">
      <c r="E9360" s="51"/>
    </row>
    <row r="9361" spans="5:5">
      <c r="E9361" s="51"/>
    </row>
    <row r="9362" spans="5:5">
      <c r="E9362" s="51"/>
    </row>
    <row r="9363" spans="5:5">
      <c r="E9363" s="51"/>
    </row>
    <row r="9364" spans="5:5">
      <c r="E9364" s="51"/>
    </row>
    <row r="9365" spans="5:5">
      <c r="E9365" s="51"/>
    </row>
    <row r="9366" spans="5:5">
      <c r="E9366" s="51"/>
    </row>
    <row r="9367" spans="5:5">
      <c r="E9367" s="51"/>
    </row>
    <row r="9368" spans="5:5">
      <c r="E9368" s="51"/>
    </row>
    <row r="9369" spans="5:5">
      <c r="E9369" s="51"/>
    </row>
    <row r="9370" spans="5:5">
      <c r="E9370" s="51"/>
    </row>
    <row r="9371" spans="5:5">
      <c r="E9371" s="51"/>
    </row>
    <row r="9372" spans="5:5">
      <c r="E9372" s="51"/>
    </row>
    <row r="9373" spans="5:5">
      <c r="E9373" s="51"/>
    </row>
    <row r="9374" spans="5:5">
      <c r="E9374" s="51"/>
    </row>
    <row r="9375" spans="5:5">
      <c r="E9375" s="51"/>
    </row>
    <row r="9376" spans="5:5">
      <c r="E9376" s="51"/>
    </row>
    <row r="9377" spans="5:5">
      <c r="E9377" s="51"/>
    </row>
    <row r="9378" spans="5:5">
      <c r="E9378" s="51"/>
    </row>
    <row r="9379" spans="5:5">
      <c r="E9379" s="51"/>
    </row>
    <row r="9380" spans="5:5">
      <c r="E9380" s="51"/>
    </row>
    <row r="9381" spans="5:5">
      <c r="E9381" s="51"/>
    </row>
    <row r="9382" spans="5:5">
      <c r="E9382" s="51"/>
    </row>
    <row r="9383" spans="5:5">
      <c r="E9383" s="51"/>
    </row>
    <row r="9384" spans="5:5">
      <c r="E9384" s="51"/>
    </row>
    <row r="9385" spans="5:5">
      <c r="E9385" s="51"/>
    </row>
    <row r="9386" spans="5:5">
      <c r="E9386" s="51"/>
    </row>
    <row r="9387" spans="5:5">
      <c r="E9387" s="51"/>
    </row>
    <row r="9388" spans="5:5">
      <c r="E9388" s="51"/>
    </row>
    <row r="9389" spans="5:5">
      <c r="E9389" s="51"/>
    </row>
    <row r="9390" spans="5:5">
      <c r="E9390" s="51"/>
    </row>
    <row r="9391" spans="5:5">
      <c r="E9391" s="51"/>
    </row>
    <row r="9392" spans="5:5">
      <c r="E9392" s="51"/>
    </row>
    <row r="9393" spans="5:5">
      <c r="E9393" s="51"/>
    </row>
    <row r="9394" spans="5:5">
      <c r="E9394" s="51"/>
    </row>
    <row r="9395" spans="5:5">
      <c r="E9395" s="51"/>
    </row>
    <row r="9396" spans="5:5">
      <c r="E9396" s="51"/>
    </row>
    <row r="9397" spans="5:5">
      <c r="E9397" s="51"/>
    </row>
    <row r="9398" spans="5:5">
      <c r="E9398" s="51"/>
    </row>
    <row r="9399" spans="5:5">
      <c r="E9399" s="51"/>
    </row>
    <row r="9400" spans="5:5">
      <c r="E9400" s="51"/>
    </row>
    <row r="9401" spans="5:5">
      <c r="E9401" s="51"/>
    </row>
    <row r="9402" spans="5:5">
      <c r="E9402" s="51"/>
    </row>
    <row r="9403" spans="5:5">
      <c r="E9403" s="51"/>
    </row>
    <row r="9404" spans="5:5">
      <c r="E9404" s="51"/>
    </row>
    <row r="9405" spans="5:5">
      <c r="E9405" s="51"/>
    </row>
    <row r="9406" spans="5:5">
      <c r="E9406" s="51"/>
    </row>
    <row r="9407" spans="5:5">
      <c r="E9407" s="51"/>
    </row>
    <row r="9408" spans="5:5">
      <c r="E9408" s="51"/>
    </row>
    <row r="9409" spans="5:5">
      <c r="E9409" s="51"/>
    </row>
    <row r="9410" spans="5:5">
      <c r="E9410" s="51"/>
    </row>
    <row r="9411" spans="5:5">
      <c r="E9411" s="51"/>
    </row>
    <row r="9412" spans="5:5">
      <c r="E9412" s="51"/>
    </row>
    <row r="9413" spans="5:5">
      <c r="E9413" s="51"/>
    </row>
    <row r="9414" spans="5:5">
      <c r="E9414" s="51"/>
    </row>
    <row r="9415" spans="5:5">
      <c r="E9415" s="51"/>
    </row>
    <row r="9416" spans="5:5">
      <c r="E9416" s="51"/>
    </row>
    <row r="9417" spans="5:5">
      <c r="E9417" s="51"/>
    </row>
    <row r="9418" spans="5:5">
      <c r="E9418" s="51"/>
    </row>
    <row r="9419" spans="5:5">
      <c r="E9419" s="51"/>
    </row>
    <row r="9420" spans="5:5">
      <c r="E9420" s="51"/>
    </row>
    <row r="9421" spans="5:5">
      <c r="E9421" s="51"/>
    </row>
    <row r="9422" spans="5:5">
      <c r="E9422" s="51"/>
    </row>
    <row r="9423" spans="5:5">
      <c r="E9423" s="51"/>
    </row>
    <row r="9424" spans="5:5">
      <c r="E9424" s="51"/>
    </row>
    <row r="9425" spans="5:5">
      <c r="E9425" s="51"/>
    </row>
    <row r="9426" spans="5:5">
      <c r="E9426" s="51"/>
    </row>
    <row r="9427" spans="5:5">
      <c r="E9427" s="51"/>
    </row>
    <row r="9428" spans="5:5">
      <c r="E9428" s="51"/>
    </row>
    <row r="9429" spans="5:5">
      <c r="E9429" s="51"/>
    </row>
    <row r="9430" spans="5:5">
      <c r="E9430" s="51"/>
    </row>
    <row r="9431" spans="5:5">
      <c r="E9431" s="51"/>
    </row>
    <row r="9432" spans="5:5">
      <c r="E9432" s="51"/>
    </row>
    <row r="9433" spans="5:5">
      <c r="E9433" s="51"/>
    </row>
    <row r="9434" spans="5:5">
      <c r="E9434" s="51"/>
    </row>
    <row r="9435" spans="5:5">
      <c r="E9435" s="51"/>
    </row>
    <row r="9436" spans="5:5">
      <c r="E9436" s="51"/>
    </row>
    <row r="9437" spans="5:5">
      <c r="E9437" s="51"/>
    </row>
    <row r="9438" spans="5:5">
      <c r="E9438" s="51"/>
    </row>
    <row r="9439" spans="5:5">
      <c r="E9439" s="51"/>
    </row>
    <row r="9440" spans="5:5">
      <c r="E9440" s="51"/>
    </row>
    <row r="9441" spans="5:5">
      <c r="E9441" s="51"/>
    </row>
    <row r="9442" spans="5:5">
      <c r="E9442" s="51"/>
    </row>
    <row r="9443" spans="5:5">
      <c r="E9443" s="51"/>
    </row>
    <row r="9444" spans="5:5">
      <c r="E9444" s="51"/>
    </row>
    <row r="9445" spans="5:5">
      <c r="E9445" s="51"/>
    </row>
    <row r="9446" spans="5:5">
      <c r="E9446" s="51"/>
    </row>
    <row r="9447" spans="5:5">
      <c r="E9447" s="51"/>
    </row>
    <row r="9448" spans="5:5">
      <c r="E9448" s="51"/>
    </row>
    <row r="9449" spans="5:5">
      <c r="E9449" s="51"/>
    </row>
    <row r="9450" spans="5:5">
      <c r="E9450" s="51"/>
    </row>
    <row r="9451" spans="5:5">
      <c r="E9451" s="51"/>
    </row>
    <row r="9452" spans="5:5">
      <c r="E9452" s="51"/>
    </row>
    <row r="9453" spans="5:5">
      <c r="E9453" s="51"/>
    </row>
    <row r="9454" spans="5:5">
      <c r="E9454" s="51"/>
    </row>
    <row r="9455" spans="5:5">
      <c r="E9455" s="51"/>
    </row>
    <row r="9456" spans="5:5">
      <c r="E9456" s="51"/>
    </row>
    <row r="9457" spans="5:5">
      <c r="E9457" s="51"/>
    </row>
    <row r="9458" spans="5:5">
      <c r="E9458" s="51"/>
    </row>
    <row r="9459" spans="5:5">
      <c r="E9459" s="51"/>
    </row>
    <row r="9460" spans="5:5">
      <c r="E9460" s="51"/>
    </row>
    <row r="9461" spans="5:5">
      <c r="E9461" s="51"/>
    </row>
    <row r="9462" spans="5:5">
      <c r="E9462" s="51"/>
    </row>
    <row r="9463" spans="5:5">
      <c r="E9463" s="51"/>
    </row>
    <row r="9464" spans="5:5">
      <c r="E9464" s="51"/>
    </row>
    <row r="9465" spans="5:5">
      <c r="E9465" s="51"/>
    </row>
    <row r="9466" spans="5:5">
      <c r="E9466" s="51"/>
    </row>
    <row r="9467" spans="5:5">
      <c r="E9467" s="51"/>
    </row>
    <row r="9468" spans="5:5">
      <c r="E9468" s="51"/>
    </row>
    <row r="9469" spans="5:5">
      <c r="E9469" s="51"/>
    </row>
    <row r="9470" spans="5:5">
      <c r="E9470" s="51"/>
    </row>
    <row r="9471" spans="5:5">
      <c r="E9471" s="51"/>
    </row>
    <row r="9472" spans="5:5">
      <c r="E9472" s="51"/>
    </row>
    <row r="9473" spans="5:5">
      <c r="E9473" s="51"/>
    </row>
    <row r="9474" spans="5:5">
      <c r="E9474" s="51"/>
    </row>
    <row r="9475" spans="5:5">
      <c r="E9475" s="51"/>
    </row>
    <row r="9476" spans="5:5">
      <c r="E9476" s="51"/>
    </row>
    <row r="9477" spans="5:5">
      <c r="E9477" s="51"/>
    </row>
    <row r="9478" spans="5:5">
      <c r="E9478" s="51"/>
    </row>
    <row r="9479" spans="5:5">
      <c r="E9479" s="51"/>
    </row>
    <row r="9480" spans="5:5">
      <c r="E9480" s="51"/>
    </row>
    <row r="9481" spans="5:5">
      <c r="E9481" s="51"/>
    </row>
    <row r="9482" spans="5:5">
      <c r="E9482" s="51"/>
    </row>
    <row r="9483" spans="5:5">
      <c r="E9483" s="51"/>
    </row>
    <row r="9484" spans="5:5">
      <c r="E9484" s="51"/>
    </row>
    <row r="9485" spans="5:5">
      <c r="E9485" s="51"/>
    </row>
    <row r="9486" spans="5:5">
      <c r="E9486" s="51"/>
    </row>
    <row r="9487" spans="5:5">
      <c r="E9487" s="51"/>
    </row>
    <row r="9488" spans="5:5">
      <c r="E9488" s="51"/>
    </row>
    <row r="9489" spans="5:5">
      <c r="E9489" s="51"/>
    </row>
    <row r="9490" spans="5:5">
      <c r="E9490" s="51"/>
    </row>
    <row r="9491" spans="5:5">
      <c r="E9491" s="51"/>
    </row>
    <row r="9492" spans="5:5">
      <c r="E9492" s="51"/>
    </row>
    <row r="9493" spans="5:5">
      <c r="E9493" s="51"/>
    </row>
    <row r="9494" spans="5:5">
      <c r="E9494" s="51"/>
    </row>
    <row r="9495" spans="5:5">
      <c r="E9495" s="51"/>
    </row>
    <row r="9496" spans="5:5">
      <c r="E9496" s="51"/>
    </row>
    <row r="9497" spans="5:5">
      <c r="E9497" s="51"/>
    </row>
    <row r="9498" spans="5:5">
      <c r="E9498" s="51"/>
    </row>
    <row r="9499" spans="5:5">
      <c r="E9499" s="51"/>
    </row>
    <row r="9500" spans="5:5">
      <c r="E9500" s="51"/>
    </row>
    <row r="9501" spans="5:5">
      <c r="E9501" s="51"/>
    </row>
    <row r="9502" spans="5:5">
      <c r="E9502" s="51"/>
    </row>
    <row r="9503" spans="5:5">
      <c r="E9503" s="51"/>
    </row>
    <row r="9504" spans="5:5">
      <c r="E9504" s="51"/>
    </row>
    <row r="9505" spans="5:5">
      <c r="E9505" s="51"/>
    </row>
    <row r="9506" spans="5:5">
      <c r="E9506" s="51"/>
    </row>
    <row r="9507" spans="5:5">
      <c r="E9507" s="51"/>
    </row>
    <row r="9508" spans="5:5">
      <c r="E9508" s="51"/>
    </row>
    <row r="9509" spans="5:5">
      <c r="E9509" s="51"/>
    </row>
    <row r="9510" spans="5:5">
      <c r="E9510" s="51"/>
    </row>
    <row r="9511" spans="5:5">
      <c r="E9511" s="51"/>
    </row>
    <row r="9512" spans="5:5">
      <c r="E9512" s="51"/>
    </row>
    <row r="9513" spans="5:5">
      <c r="E9513" s="51"/>
    </row>
    <row r="9514" spans="5:5">
      <c r="E9514" s="51"/>
    </row>
    <row r="9515" spans="5:5">
      <c r="E9515" s="51"/>
    </row>
    <row r="9516" spans="5:5">
      <c r="E9516" s="51"/>
    </row>
    <row r="9517" spans="5:5">
      <c r="E9517" s="51"/>
    </row>
    <row r="9518" spans="5:5">
      <c r="E9518" s="51"/>
    </row>
    <row r="9519" spans="5:5">
      <c r="E9519" s="51"/>
    </row>
    <row r="9520" spans="5:5">
      <c r="E9520" s="51"/>
    </row>
    <row r="9521" spans="5:5">
      <c r="E9521" s="51"/>
    </row>
    <row r="9522" spans="5:5">
      <c r="E9522" s="51"/>
    </row>
    <row r="9523" spans="5:5">
      <c r="E9523" s="51"/>
    </row>
    <row r="9524" spans="5:5">
      <c r="E9524" s="51"/>
    </row>
    <row r="9525" spans="5:5">
      <c r="E9525" s="51"/>
    </row>
    <row r="9526" spans="5:5">
      <c r="E9526" s="51"/>
    </row>
    <row r="9527" spans="5:5">
      <c r="E9527" s="51"/>
    </row>
    <row r="9528" spans="5:5">
      <c r="E9528" s="51"/>
    </row>
    <row r="9529" spans="5:5">
      <c r="E9529" s="51"/>
    </row>
    <row r="9530" spans="5:5">
      <c r="E9530" s="51"/>
    </row>
    <row r="9531" spans="5:5">
      <c r="E9531" s="51"/>
    </row>
    <row r="9532" spans="5:5">
      <c r="E9532" s="51"/>
    </row>
    <row r="9533" spans="5:5">
      <c r="E9533" s="51"/>
    </row>
    <row r="9534" spans="5:5">
      <c r="E9534" s="51"/>
    </row>
    <row r="9535" spans="5:5">
      <c r="E9535" s="51"/>
    </row>
    <row r="9536" spans="5:5">
      <c r="E9536" s="51"/>
    </row>
    <row r="9537" spans="5:5">
      <c r="E9537" s="51"/>
    </row>
    <row r="9538" spans="5:5">
      <c r="E9538" s="51"/>
    </row>
    <row r="9539" spans="5:5">
      <c r="E9539" s="51"/>
    </row>
    <row r="9540" spans="5:5">
      <c r="E9540" s="51"/>
    </row>
    <row r="9541" spans="5:5">
      <c r="E9541" s="51"/>
    </row>
    <row r="9542" spans="5:5">
      <c r="E9542" s="51"/>
    </row>
    <row r="9543" spans="5:5">
      <c r="E9543" s="51"/>
    </row>
    <row r="9544" spans="5:5">
      <c r="E9544" s="51"/>
    </row>
    <row r="9545" spans="5:5">
      <c r="E9545" s="51"/>
    </row>
    <row r="9546" spans="5:5">
      <c r="E9546" s="51"/>
    </row>
    <row r="9547" spans="5:5">
      <c r="E9547" s="51"/>
    </row>
    <row r="9548" spans="5:5">
      <c r="E9548" s="51"/>
    </row>
    <row r="9549" spans="5:5">
      <c r="E9549" s="51"/>
    </row>
    <row r="9550" spans="5:5">
      <c r="E9550" s="51"/>
    </row>
    <row r="9551" spans="5:5">
      <c r="E9551" s="51"/>
    </row>
    <row r="9552" spans="5:5">
      <c r="E9552" s="51"/>
    </row>
    <row r="9553" spans="5:5">
      <c r="E9553" s="51"/>
    </row>
    <row r="9554" spans="5:5">
      <c r="E9554" s="51"/>
    </row>
    <row r="9555" spans="5:5">
      <c r="E9555" s="51"/>
    </row>
    <row r="9556" spans="5:5">
      <c r="E9556" s="51"/>
    </row>
    <row r="9557" spans="5:5">
      <c r="E9557" s="51"/>
    </row>
    <row r="9558" spans="5:5">
      <c r="E9558" s="51"/>
    </row>
    <row r="9559" spans="5:5">
      <c r="E9559" s="51"/>
    </row>
    <row r="9560" spans="5:5">
      <c r="E9560" s="51"/>
    </row>
    <row r="9561" spans="5:5">
      <c r="E9561" s="51"/>
    </row>
    <row r="9562" spans="5:5">
      <c r="E9562" s="51"/>
    </row>
    <row r="9563" spans="5:5">
      <c r="E9563" s="51"/>
    </row>
    <row r="9564" spans="5:5">
      <c r="E9564" s="51"/>
    </row>
    <row r="9565" spans="5:5">
      <c r="E9565" s="51"/>
    </row>
    <row r="9566" spans="5:5">
      <c r="E9566" s="51"/>
    </row>
    <row r="9567" spans="5:5">
      <c r="E9567" s="51"/>
    </row>
    <row r="9568" spans="5:5">
      <c r="E9568" s="51"/>
    </row>
    <row r="9569" spans="5:5">
      <c r="E9569" s="51"/>
    </row>
    <row r="9570" spans="5:5">
      <c r="E9570" s="51"/>
    </row>
    <row r="9571" spans="5:5">
      <c r="E9571" s="51"/>
    </row>
    <row r="9572" spans="5:5">
      <c r="E9572" s="51"/>
    </row>
    <row r="9573" spans="5:5">
      <c r="E9573" s="51"/>
    </row>
    <row r="9574" spans="5:5">
      <c r="E9574" s="51"/>
    </row>
    <row r="9575" spans="5:5">
      <c r="E9575" s="51"/>
    </row>
    <row r="9576" spans="5:5">
      <c r="E9576" s="51"/>
    </row>
    <row r="9577" spans="5:5">
      <c r="E9577" s="51"/>
    </row>
    <row r="9578" spans="5:5">
      <c r="E9578" s="51"/>
    </row>
    <row r="9579" spans="5:5">
      <c r="E9579" s="51"/>
    </row>
    <row r="9580" spans="5:5">
      <c r="E9580" s="51"/>
    </row>
    <row r="9581" spans="5:5">
      <c r="E9581" s="51"/>
    </row>
    <row r="9582" spans="5:5">
      <c r="E9582" s="51"/>
    </row>
    <row r="9583" spans="5:5">
      <c r="E9583" s="51"/>
    </row>
    <row r="9584" spans="5:5">
      <c r="E9584" s="51"/>
    </row>
    <row r="9585" spans="5:5">
      <c r="E9585" s="51"/>
    </row>
    <row r="9586" spans="5:5">
      <c r="E9586" s="51"/>
    </row>
    <row r="9587" spans="5:5">
      <c r="E9587" s="51"/>
    </row>
    <row r="9588" spans="5:5">
      <c r="E9588" s="51"/>
    </row>
    <row r="9589" spans="5:5">
      <c r="E9589" s="51"/>
    </row>
    <row r="9590" spans="5:5">
      <c r="E9590" s="51"/>
    </row>
    <row r="9591" spans="5:5">
      <c r="E9591" s="51"/>
    </row>
    <row r="9592" spans="5:5">
      <c r="E9592" s="51"/>
    </row>
    <row r="9593" spans="5:5">
      <c r="E9593" s="51"/>
    </row>
    <row r="9594" spans="5:5">
      <c r="E9594" s="51"/>
    </row>
    <row r="9595" spans="5:5">
      <c r="E9595" s="51"/>
    </row>
    <row r="9596" spans="5:5">
      <c r="E9596" s="51"/>
    </row>
    <row r="9597" spans="5:5">
      <c r="E9597" s="51"/>
    </row>
    <row r="9598" spans="5:5">
      <c r="E9598" s="51"/>
    </row>
    <row r="9599" spans="5:5">
      <c r="E9599" s="51"/>
    </row>
    <row r="9600" spans="5:5">
      <c r="E9600" s="51"/>
    </row>
    <row r="9601" spans="5:5">
      <c r="E9601" s="51"/>
    </row>
    <row r="9602" spans="5:5">
      <c r="E9602" s="51"/>
    </row>
    <row r="9603" spans="5:5">
      <c r="E9603" s="51"/>
    </row>
    <row r="9604" spans="5:5">
      <c r="E9604" s="51"/>
    </row>
    <row r="9605" spans="5:5">
      <c r="E9605" s="51"/>
    </row>
    <row r="9606" spans="5:5">
      <c r="E9606" s="51"/>
    </row>
    <row r="9607" spans="5:5">
      <c r="E9607" s="51"/>
    </row>
    <row r="9608" spans="5:5">
      <c r="E9608" s="51"/>
    </row>
    <row r="9609" spans="5:5">
      <c r="E9609" s="51"/>
    </row>
    <row r="9610" spans="5:5">
      <c r="E9610" s="51"/>
    </row>
    <row r="9611" spans="5:5">
      <c r="E9611" s="51"/>
    </row>
    <row r="9612" spans="5:5">
      <c r="E9612" s="51"/>
    </row>
    <row r="9613" spans="5:5">
      <c r="E9613" s="51"/>
    </row>
    <row r="9614" spans="5:5">
      <c r="E9614" s="51"/>
    </row>
    <row r="9615" spans="5:5">
      <c r="E9615" s="51"/>
    </row>
    <row r="9616" spans="5:5">
      <c r="E9616" s="51"/>
    </row>
    <row r="9617" spans="5:5">
      <c r="E9617" s="51"/>
    </row>
    <row r="9618" spans="5:5">
      <c r="E9618" s="51"/>
    </row>
    <row r="9619" spans="5:5">
      <c r="E9619" s="51"/>
    </row>
    <row r="9620" spans="5:5">
      <c r="E9620" s="51"/>
    </row>
    <row r="9621" spans="5:5">
      <c r="E9621" s="51"/>
    </row>
    <row r="9622" spans="5:5">
      <c r="E9622" s="51"/>
    </row>
    <row r="9623" spans="5:5">
      <c r="E9623" s="51"/>
    </row>
    <row r="9624" spans="5:5">
      <c r="E9624" s="51"/>
    </row>
    <row r="9625" spans="5:5">
      <c r="E9625" s="51"/>
    </row>
    <row r="9626" spans="5:5">
      <c r="E9626" s="51"/>
    </row>
    <row r="9627" spans="5:5">
      <c r="E9627" s="51"/>
    </row>
    <row r="9628" spans="5:5">
      <c r="E9628" s="51"/>
    </row>
    <row r="9629" spans="5:5">
      <c r="E9629" s="51"/>
    </row>
    <row r="9630" spans="5:5">
      <c r="E9630" s="51"/>
    </row>
    <row r="9631" spans="5:5">
      <c r="E9631" s="51"/>
    </row>
    <row r="9632" spans="5:5">
      <c r="E9632" s="51"/>
    </row>
    <row r="9633" spans="5:5">
      <c r="E9633" s="51"/>
    </row>
    <row r="9634" spans="5:5">
      <c r="E9634" s="51"/>
    </row>
    <row r="9635" spans="5:5">
      <c r="E9635" s="51"/>
    </row>
    <row r="9636" spans="5:5">
      <c r="E9636" s="51"/>
    </row>
    <row r="9637" spans="5:5">
      <c r="E9637" s="51"/>
    </row>
    <row r="9638" spans="5:5">
      <c r="E9638" s="51"/>
    </row>
    <row r="9639" spans="5:5">
      <c r="E9639" s="51"/>
    </row>
    <row r="9640" spans="5:5">
      <c r="E9640" s="51"/>
    </row>
    <row r="9641" spans="5:5">
      <c r="E9641" s="51"/>
    </row>
    <row r="9642" spans="5:5">
      <c r="E9642" s="51"/>
    </row>
    <row r="9643" spans="5:5">
      <c r="E9643" s="51"/>
    </row>
    <row r="9644" spans="5:5">
      <c r="E9644" s="51"/>
    </row>
    <row r="9645" spans="5:5">
      <c r="E9645" s="51"/>
    </row>
    <row r="9646" spans="5:5">
      <c r="E9646" s="51"/>
    </row>
    <row r="9647" spans="5:5">
      <c r="E9647" s="51"/>
    </row>
    <row r="9648" spans="5:5">
      <c r="E9648" s="51"/>
    </row>
    <row r="9649" spans="5:5">
      <c r="E9649" s="51"/>
    </row>
    <row r="9650" spans="5:5">
      <c r="E9650" s="51"/>
    </row>
    <row r="9651" spans="5:5">
      <c r="E9651" s="51"/>
    </row>
    <row r="9652" spans="5:5">
      <c r="E9652" s="51"/>
    </row>
    <row r="9653" spans="5:5">
      <c r="E9653" s="51"/>
    </row>
    <row r="9654" spans="5:5">
      <c r="E9654" s="51"/>
    </row>
    <row r="9655" spans="5:5">
      <c r="E9655" s="51"/>
    </row>
    <row r="9656" spans="5:5">
      <c r="E9656" s="51"/>
    </row>
    <row r="9657" spans="5:5">
      <c r="E9657" s="51"/>
    </row>
    <row r="9658" spans="5:5">
      <c r="E9658" s="51"/>
    </row>
    <row r="9659" spans="5:5">
      <c r="E9659" s="51"/>
    </row>
    <row r="9660" spans="5:5">
      <c r="E9660" s="51"/>
    </row>
    <row r="9661" spans="5:5">
      <c r="E9661" s="51"/>
    </row>
    <row r="9662" spans="5:5">
      <c r="E9662" s="51"/>
    </row>
    <row r="9663" spans="5:5">
      <c r="E9663" s="51"/>
    </row>
    <row r="9664" spans="5:5">
      <c r="E9664" s="51"/>
    </row>
    <row r="9665" spans="5:5">
      <c r="E9665" s="51"/>
    </row>
    <row r="9666" spans="5:5">
      <c r="E9666" s="51"/>
    </row>
    <row r="9667" spans="5:5">
      <c r="E9667" s="51"/>
    </row>
    <row r="9668" spans="5:5">
      <c r="E9668" s="51"/>
    </row>
    <row r="9669" spans="5:5">
      <c r="E9669" s="51"/>
    </row>
    <row r="9670" spans="5:5">
      <c r="E9670" s="51"/>
    </row>
    <row r="9671" spans="5:5">
      <c r="E9671" s="51"/>
    </row>
    <row r="9672" spans="5:5">
      <c r="E9672" s="51"/>
    </row>
    <row r="9673" spans="5:5">
      <c r="E9673" s="51"/>
    </row>
    <row r="9674" spans="5:5">
      <c r="E9674" s="51"/>
    </row>
    <row r="9675" spans="5:5">
      <c r="E9675" s="51"/>
    </row>
    <row r="9676" spans="5:5">
      <c r="E9676" s="51"/>
    </row>
    <row r="9677" spans="5:5">
      <c r="E9677" s="51"/>
    </row>
    <row r="9678" spans="5:5">
      <c r="E9678" s="51"/>
    </row>
    <row r="9679" spans="5:5">
      <c r="E9679" s="51"/>
    </row>
    <row r="9680" spans="5:5">
      <c r="E9680" s="51"/>
    </row>
    <row r="9681" spans="5:5">
      <c r="E9681" s="51"/>
    </row>
    <row r="9682" spans="5:5">
      <c r="E9682" s="51"/>
    </row>
    <row r="9683" spans="5:5">
      <c r="E9683" s="51"/>
    </row>
    <row r="9684" spans="5:5">
      <c r="E9684" s="51"/>
    </row>
    <row r="9685" spans="5:5">
      <c r="E9685" s="51"/>
    </row>
    <row r="9686" spans="5:5">
      <c r="E9686" s="51"/>
    </row>
    <row r="9687" spans="5:5">
      <c r="E9687" s="51"/>
    </row>
    <row r="9688" spans="5:5">
      <c r="E9688" s="51"/>
    </row>
    <row r="9689" spans="5:5">
      <c r="E9689" s="51"/>
    </row>
    <row r="9690" spans="5:5">
      <c r="E9690" s="51"/>
    </row>
    <row r="9691" spans="5:5">
      <c r="E9691" s="51"/>
    </row>
    <row r="9692" spans="5:5">
      <c r="E9692" s="51"/>
    </row>
    <row r="9693" spans="5:5">
      <c r="E9693" s="51"/>
    </row>
    <row r="9694" spans="5:5">
      <c r="E9694" s="51"/>
    </row>
    <row r="9695" spans="5:5">
      <c r="E9695" s="51"/>
    </row>
    <row r="9696" spans="5:5">
      <c r="E9696" s="51"/>
    </row>
    <row r="9697" spans="5:5">
      <c r="E9697" s="51"/>
    </row>
    <row r="9698" spans="5:5">
      <c r="E9698" s="51"/>
    </row>
    <row r="9699" spans="5:5">
      <c r="E9699" s="51"/>
    </row>
    <row r="9700" spans="5:5">
      <c r="E9700" s="51"/>
    </row>
    <row r="9701" spans="5:5">
      <c r="E9701" s="51"/>
    </row>
    <row r="9702" spans="5:5">
      <c r="E9702" s="51"/>
    </row>
    <row r="9703" spans="5:5">
      <c r="E9703" s="51"/>
    </row>
    <row r="9704" spans="5:5">
      <c r="E9704" s="51"/>
    </row>
    <row r="9705" spans="5:5">
      <c r="E9705" s="51"/>
    </row>
    <row r="9706" spans="5:5">
      <c r="E9706" s="51"/>
    </row>
    <row r="9707" spans="5:5">
      <c r="E9707" s="51"/>
    </row>
    <row r="9708" spans="5:5">
      <c r="E9708" s="51"/>
    </row>
    <row r="9709" spans="5:5">
      <c r="E9709" s="51"/>
    </row>
    <row r="9710" spans="5:5">
      <c r="E9710" s="51"/>
    </row>
    <row r="9711" spans="5:5">
      <c r="E9711" s="51"/>
    </row>
    <row r="9712" spans="5:5">
      <c r="E9712" s="51"/>
    </row>
    <row r="9713" spans="5:5">
      <c r="E9713" s="51"/>
    </row>
    <row r="9714" spans="5:5">
      <c r="E9714" s="51"/>
    </row>
    <row r="9715" spans="5:5">
      <c r="E9715" s="51"/>
    </row>
    <row r="9716" spans="5:5">
      <c r="E9716" s="51"/>
    </row>
    <row r="9717" spans="5:5">
      <c r="E9717" s="51"/>
    </row>
    <row r="9718" spans="5:5">
      <c r="E9718" s="51"/>
    </row>
    <row r="9719" spans="5:5">
      <c r="E9719" s="51"/>
    </row>
    <row r="9720" spans="5:5">
      <c r="E9720" s="51"/>
    </row>
    <row r="9721" spans="5:5">
      <c r="E9721" s="51"/>
    </row>
    <row r="9722" spans="5:5">
      <c r="E9722" s="51"/>
    </row>
    <row r="9723" spans="5:5">
      <c r="E9723" s="51"/>
    </row>
    <row r="9724" spans="5:5">
      <c r="E9724" s="51"/>
    </row>
    <row r="9725" spans="5:5">
      <c r="E9725" s="51"/>
    </row>
    <row r="9726" spans="5:5">
      <c r="E9726" s="51"/>
    </row>
    <row r="9727" spans="5:5">
      <c r="E9727" s="51"/>
    </row>
    <row r="9728" spans="5:5">
      <c r="E9728" s="51"/>
    </row>
    <row r="9729" spans="5:5">
      <c r="E9729" s="51"/>
    </row>
    <row r="9730" spans="5:5">
      <c r="E9730" s="51"/>
    </row>
    <row r="9731" spans="5:5">
      <c r="E9731" s="51"/>
    </row>
    <row r="9732" spans="5:5">
      <c r="E9732" s="51"/>
    </row>
    <row r="9733" spans="5:5">
      <c r="E9733" s="51"/>
    </row>
    <row r="9734" spans="5:5">
      <c r="E9734" s="51"/>
    </row>
    <row r="9735" spans="5:5">
      <c r="E9735" s="51"/>
    </row>
    <row r="9736" spans="5:5">
      <c r="E9736" s="51"/>
    </row>
    <row r="9737" spans="5:5">
      <c r="E9737" s="51"/>
    </row>
    <row r="9738" spans="5:5">
      <c r="E9738" s="51"/>
    </row>
    <row r="9739" spans="5:5">
      <c r="E9739" s="51"/>
    </row>
    <row r="9740" spans="5:5">
      <c r="E9740" s="51"/>
    </row>
    <row r="9741" spans="5:5">
      <c r="E9741" s="51"/>
    </row>
    <row r="9742" spans="5:5">
      <c r="E9742" s="51"/>
    </row>
    <row r="9743" spans="5:5">
      <c r="E9743" s="51"/>
    </row>
    <row r="9744" spans="5:5">
      <c r="E9744" s="51"/>
    </row>
    <row r="9745" spans="5:5">
      <c r="E9745" s="51"/>
    </row>
    <row r="9746" spans="5:5">
      <c r="E9746" s="51"/>
    </row>
    <row r="9747" spans="5:5">
      <c r="E9747" s="51"/>
    </row>
    <row r="9748" spans="5:5">
      <c r="E9748" s="51"/>
    </row>
    <row r="9749" spans="5:5">
      <c r="E9749" s="51"/>
    </row>
    <row r="9750" spans="5:5">
      <c r="E9750" s="51"/>
    </row>
    <row r="9751" spans="5:5">
      <c r="E9751" s="51"/>
    </row>
    <row r="9752" spans="5:5">
      <c r="E9752" s="51"/>
    </row>
    <row r="9753" spans="5:5">
      <c r="E9753" s="51"/>
    </row>
    <row r="9754" spans="5:5">
      <c r="E9754" s="51"/>
    </row>
    <row r="9755" spans="5:5">
      <c r="E9755" s="51"/>
    </row>
    <row r="9756" spans="5:5">
      <c r="E9756" s="51"/>
    </row>
    <row r="9757" spans="5:5">
      <c r="E9757" s="51"/>
    </row>
    <row r="9758" spans="5:5">
      <c r="E9758" s="51"/>
    </row>
    <row r="9759" spans="5:5">
      <c r="E9759" s="51"/>
    </row>
    <row r="9760" spans="5:5">
      <c r="E9760" s="51"/>
    </row>
    <row r="9761" spans="5:5">
      <c r="E9761" s="51"/>
    </row>
    <row r="9762" spans="5:5">
      <c r="E9762" s="51"/>
    </row>
    <row r="9763" spans="5:5">
      <c r="E9763" s="51"/>
    </row>
    <row r="9764" spans="5:5">
      <c r="E9764" s="51"/>
    </row>
    <row r="9765" spans="5:5">
      <c r="E9765" s="51"/>
    </row>
    <row r="9766" spans="5:5">
      <c r="E9766" s="51"/>
    </row>
    <row r="9767" spans="5:5">
      <c r="E9767" s="51"/>
    </row>
    <row r="9768" spans="5:5">
      <c r="E9768" s="51"/>
    </row>
    <row r="9769" spans="5:5">
      <c r="E9769" s="51"/>
    </row>
    <row r="9770" spans="5:5">
      <c r="E9770" s="51"/>
    </row>
    <row r="9771" spans="5:5">
      <c r="E9771" s="51"/>
    </row>
    <row r="9772" spans="5:5">
      <c r="E9772" s="51"/>
    </row>
    <row r="9773" spans="5:5">
      <c r="E9773" s="51"/>
    </row>
    <row r="9774" spans="5:5">
      <c r="E9774" s="51"/>
    </row>
    <row r="9775" spans="5:5">
      <c r="E9775" s="51"/>
    </row>
    <row r="9776" spans="5:5">
      <c r="E9776" s="51"/>
    </row>
    <row r="9777" spans="5:5">
      <c r="E9777" s="51"/>
    </row>
    <row r="9778" spans="5:5">
      <c r="E9778" s="51"/>
    </row>
    <row r="9779" spans="5:5">
      <c r="E9779" s="51"/>
    </row>
    <row r="9780" spans="5:5">
      <c r="E9780" s="51"/>
    </row>
    <row r="9781" spans="5:5">
      <c r="E9781" s="51"/>
    </row>
    <row r="9782" spans="5:5">
      <c r="E9782" s="51"/>
    </row>
    <row r="9783" spans="5:5">
      <c r="E9783" s="51"/>
    </row>
    <row r="9784" spans="5:5">
      <c r="E9784" s="51"/>
    </row>
    <row r="9785" spans="5:5">
      <c r="E9785" s="51"/>
    </row>
    <row r="9786" spans="5:5">
      <c r="E9786" s="51"/>
    </row>
    <row r="9787" spans="5:5">
      <c r="E9787" s="51"/>
    </row>
    <row r="9788" spans="5:5">
      <c r="E9788" s="51"/>
    </row>
    <row r="9789" spans="5:5">
      <c r="E9789" s="51"/>
    </row>
    <row r="9790" spans="5:5">
      <c r="E9790" s="51"/>
    </row>
    <row r="9791" spans="5:5">
      <c r="E9791" s="51"/>
    </row>
    <row r="9792" spans="5:5">
      <c r="E9792" s="51"/>
    </row>
    <row r="9793" spans="5:5">
      <c r="E9793" s="51"/>
    </row>
    <row r="9794" spans="5:5">
      <c r="E9794" s="51"/>
    </row>
    <row r="9795" spans="5:5">
      <c r="E9795" s="51"/>
    </row>
    <row r="9796" spans="5:5">
      <c r="E9796" s="51"/>
    </row>
    <row r="9797" spans="5:5">
      <c r="E9797" s="51"/>
    </row>
    <row r="9798" spans="5:5">
      <c r="E9798" s="51"/>
    </row>
    <row r="9799" spans="5:5">
      <c r="E9799" s="51"/>
    </row>
    <row r="9800" spans="5:5">
      <c r="E9800" s="51"/>
    </row>
    <row r="9801" spans="5:5">
      <c r="E9801" s="51"/>
    </row>
    <row r="9802" spans="5:5">
      <c r="E9802" s="51"/>
    </row>
    <row r="9803" spans="5:5">
      <c r="E9803" s="51"/>
    </row>
    <row r="9804" spans="5:5">
      <c r="E9804" s="51"/>
    </row>
    <row r="9805" spans="5:5">
      <c r="E9805" s="51"/>
    </row>
    <row r="9806" spans="5:5">
      <c r="E9806" s="51"/>
    </row>
    <row r="9807" spans="5:5">
      <c r="E9807" s="51"/>
    </row>
    <row r="9808" spans="5:5">
      <c r="E9808" s="51"/>
    </row>
    <row r="9809" spans="5:5">
      <c r="E9809" s="51"/>
    </row>
    <row r="9810" spans="5:5">
      <c r="E9810" s="51"/>
    </row>
    <row r="9811" spans="5:5">
      <c r="E9811" s="51"/>
    </row>
    <row r="9812" spans="5:5">
      <c r="E9812" s="51"/>
    </row>
    <row r="9813" spans="5:5">
      <c r="E9813" s="51"/>
    </row>
    <row r="9814" spans="5:5">
      <c r="E9814" s="51"/>
    </row>
    <row r="9815" spans="5:5">
      <c r="E9815" s="51"/>
    </row>
    <row r="9816" spans="5:5">
      <c r="E9816" s="51"/>
    </row>
    <row r="9817" spans="5:5">
      <c r="E9817" s="51"/>
    </row>
    <row r="9818" spans="5:5">
      <c r="E9818" s="51"/>
    </row>
    <row r="9819" spans="5:5">
      <c r="E9819" s="51"/>
    </row>
    <row r="9820" spans="5:5">
      <c r="E9820" s="51"/>
    </row>
    <row r="9821" spans="5:5">
      <c r="E9821" s="51"/>
    </row>
    <row r="9822" spans="5:5">
      <c r="E9822" s="51"/>
    </row>
    <row r="9823" spans="5:5">
      <c r="E9823" s="51"/>
    </row>
    <row r="9824" spans="5:5">
      <c r="E9824" s="51"/>
    </row>
    <row r="9825" spans="5:5">
      <c r="E9825" s="51"/>
    </row>
    <row r="9826" spans="5:5">
      <c r="E9826" s="51"/>
    </row>
    <row r="9827" spans="5:5">
      <c r="E9827" s="51"/>
    </row>
    <row r="9828" spans="5:5">
      <c r="E9828" s="51"/>
    </row>
    <row r="9829" spans="5:5">
      <c r="E9829" s="51"/>
    </row>
    <row r="9830" spans="5:5">
      <c r="E9830" s="51"/>
    </row>
    <row r="9831" spans="5:5">
      <c r="E9831" s="51"/>
    </row>
    <row r="9832" spans="5:5">
      <c r="E9832" s="51"/>
    </row>
    <row r="9833" spans="5:5">
      <c r="E9833" s="51"/>
    </row>
    <row r="9834" spans="5:5">
      <c r="E9834" s="51"/>
    </row>
    <row r="9835" spans="5:5">
      <c r="E9835" s="51"/>
    </row>
    <row r="9836" spans="5:5">
      <c r="E9836" s="51"/>
    </row>
    <row r="9837" spans="5:5">
      <c r="E9837" s="51"/>
    </row>
    <row r="9838" spans="5:5">
      <c r="E9838" s="51"/>
    </row>
    <row r="9839" spans="5:5">
      <c r="E9839" s="51"/>
    </row>
    <row r="9840" spans="5:5">
      <c r="E9840" s="51"/>
    </row>
    <row r="9841" spans="5:5">
      <c r="E9841" s="51"/>
    </row>
    <row r="9842" spans="5:5">
      <c r="E9842" s="51"/>
    </row>
    <row r="9843" spans="5:5">
      <c r="E9843" s="51"/>
    </row>
    <row r="9844" spans="5:5">
      <c r="E9844" s="51"/>
    </row>
    <row r="9845" spans="5:5">
      <c r="E9845" s="51"/>
    </row>
    <row r="9846" spans="5:5">
      <c r="E9846" s="51"/>
    </row>
    <row r="9847" spans="5:5">
      <c r="E9847" s="51"/>
    </row>
    <row r="9848" spans="5:5">
      <c r="E9848" s="51"/>
    </row>
    <row r="9849" spans="5:5">
      <c r="E9849" s="51"/>
    </row>
    <row r="9850" spans="5:5">
      <c r="E9850" s="51"/>
    </row>
    <row r="9851" spans="5:5">
      <c r="E9851" s="51"/>
    </row>
    <row r="9852" spans="5:5">
      <c r="E9852" s="51"/>
    </row>
    <row r="9853" spans="5:5">
      <c r="E9853" s="51"/>
    </row>
    <row r="9854" spans="5:5">
      <c r="E9854" s="51"/>
    </row>
    <row r="9855" spans="5:5">
      <c r="E9855" s="51"/>
    </row>
    <row r="9856" spans="5:5">
      <c r="E9856" s="51"/>
    </row>
    <row r="9857" spans="5:5">
      <c r="E9857" s="51"/>
    </row>
    <row r="9858" spans="5:5">
      <c r="E9858" s="51"/>
    </row>
    <row r="9859" spans="5:5">
      <c r="E9859" s="51"/>
    </row>
    <row r="9860" spans="5:5">
      <c r="E9860" s="51"/>
    </row>
    <row r="9861" spans="5:5">
      <c r="E9861" s="51"/>
    </row>
    <row r="9862" spans="5:5">
      <c r="E9862" s="51"/>
    </row>
    <row r="9863" spans="5:5">
      <c r="E9863" s="51"/>
    </row>
    <row r="9864" spans="5:5">
      <c r="E9864" s="51"/>
    </row>
    <row r="9865" spans="5:5">
      <c r="E9865" s="51"/>
    </row>
    <row r="9866" spans="5:5">
      <c r="E9866" s="51"/>
    </row>
    <row r="9867" spans="5:5">
      <c r="E9867" s="51"/>
    </row>
    <row r="9868" spans="5:5">
      <c r="E9868" s="51"/>
    </row>
    <row r="9869" spans="5:5">
      <c r="E9869" s="51"/>
    </row>
    <row r="9870" spans="5:5">
      <c r="E9870" s="51"/>
    </row>
    <row r="9871" spans="5:5">
      <c r="E9871" s="51"/>
    </row>
    <row r="9872" spans="5:5">
      <c r="E9872" s="51"/>
    </row>
    <row r="9873" spans="5:5">
      <c r="E9873" s="51"/>
    </row>
    <row r="9874" spans="5:5">
      <c r="E9874" s="51"/>
    </row>
    <row r="9875" spans="5:5">
      <c r="E9875" s="51"/>
    </row>
    <row r="9876" spans="5:5">
      <c r="E9876" s="51"/>
    </row>
    <row r="9877" spans="5:5">
      <c r="E9877" s="51"/>
    </row>
    <row r="9878" spans="5:5">
      <c r="E9878" s="51"/>
    </row>
    <row r="9879" spans="5:5">
      <c r="E9879" s="51"/>
    </row>
    <row r="9880" spans="5:5">
      <c r="E9880" s="51"/>
    </row>
    <row r="9881" spans="5:5">
      <c r="E9881" s="51"/>
    </row>
    <row r="9882" spans="5:5">
      <c r="E9882" s="51"/>
    </row>
    <row r="9883" spans="5:5">
      <c r="E9883" s="51"/>
    </row>
    <row r="9884" spans="5:5">
      <c r="E9884" s="51"/>
    </row>
    <row r="9885" spans="5:5">
      <c r="E9885" s="51"/>
    </row>
    <row r="9886" spans="5:5">
      <c r="E9886" s="51"/>
    </row>
    <row r="9887" spans="5:5">
      <c r="E9887" s="51"/>
    </row>
    <row r="9888" spans="5:5">
      <c r="E9888" s="51"/>
    </row>
    <row r="9889" spans="5:5">
      <c r="E9889" s="51"/>
    </row>
    <row r="9890" spans="5:5">
      <c r="E9890" s="51"/>
    </row>
    <row r="9891" spans="5:5">
      <c r="E9891" s="51"/>
    </row>
    <row r="9892" spans="5:5">
      <c r="E9892" s="51"/>
    </row>
    <row r="9893" spans="5:5">
      <c r="E9893" s="51"/>
    </row>
    <row r="9894" spans="5:5">
      <c r="E9894" s="51"/>
    </row>
    <row r="9895" spans="5:5">
      <c r="E9895" s="51"/>
    </row>
    <row r="9896" spans="5:5">
      <c r="E9896" s="51"/>
    </row>
    <row r="9897" spans="5:5">
      <c r="E9897" s="51"/>
    </row>
    <row r="9898" spans="5:5">
      <c r="E9898" s="51"/>
    </row>
    <row r="9899" spans="5:5">
      <c r="E9899" s="51"/>
    </row>
    <row r="9900" spans="5:5">
      <c r="E9900" s="51"/>
    </row>
    <row r="9901" spans="5:5">
      <c r="E9901" s="51"/>
    </row>
    <row r="9902" spans="5:5">
      <c r="E9902" s="51"/>
    </row>
    <row r="9903" spans="5:5">
      <c r="E9903" s="51"/>
    </row>
    <row r="9904" spans="5:5">
      <c r="E9904" s="51"/>
    </row>
    <row r="9905" spans="5:5">
      <c r="E9905" s="51"/>
    </row>
    <row r="9906" spans="5:5">
      <c r="E9906" s="51"/>
    </row>
    <row r="9907" spans="5:5">
      <c r="E9907" s="51"/>
    </row>
    <row r="9908" spans="5:5">
      <c r="E9908" s="51"/>
    </row>
    <row r="9909" spans="5:5">
      <c r="E9909" s="51"/>
    </row>
    <row r="9910" spans="5:5">
      <c r="E9910" s="51"/>
    </row>
    <row r="9911" spans="5:5">
      <c r="E9911" s="51"/>
    </row>
    <row r="9912" spans="5:5">
      <c r="E9912" s="51"/>
    </row>
    <row r="9913" spans="5:5">
      <c r="E9913" s="51"/>
    </row>
    <row r="9914" spans="5:5">
      <c r="E9914" s="51"/>
    </row>
    <row r="9915" spans="5:5">
      <c r="E9915" s="51"/>
    </row>
    <row r="9916" spans="5:5">
      <c r="E9916" s="51"/>
    </row>
    <row r="9917" spans="5:5">
      <c r="E9917" s="51"/>
    </row>
    <row r="9918" spans="5:5">
      <c r="E9918" s="51"/>
    </row>
    <row r="9919" spans="5:5">
      <c r="E9919" s="51"/>
    </row>
    <row r="9920" spans="5:5">
      <c r="E9920" s="51"/>
    </row>
    <row r="9921" spans="5:5">
      <c r="E9921" s="51"/>
    </row>
    <row r="9922" spans="5:5">
      <c r="E9922" s="51"/>
    </row>
    <row r="9923" spans="5:5">
      <c r="E9923" s="51"/>
    </row>
    <row r="9924" spans="5:5">
      <c r="E9924" s="51"/>
    </row>
    <row r="9925" spans="5:5">
      <c r="E9925" s="51"/>
    </row>
    <row r="9926" spans="5:5">
      <c r="E9926" s="51"/>
    </row>
    <row r="9927" spans="5:5">
      <c r="E9927" s="51"/>
    </row>
    <row r="9928" spans="5:5">
      <c r="E9928" s="51"/>
    </row>
    <row r="9929" spans="5:5">
      <c r="E9929" s="51"/>
    </row>
    <row r="9930" spans="5:5">
      <c r="E9930" s="51"/>
    </row>
    <row r="9931" spans="5:5">
      <c r="E9931" s="51"/>
    </row>
    <row r="9932" spans="5:5">
      <c r="E9932" s="51"/>
    </row>
    <row r="9933" spans="5:5">
      <c r="E9933" s="51"/>
    </row>
    <row r="9934" spans="5:5">
      <c r="E9934" s="51"/>
    </row>
    <row r="9935" spans="5:5">
      <c r="E9935" s="51"/>
    </row>
    <row r="9936" spans="5:5">
      <c r="E9936" s="51"/>
    </row>
    <row r="9937" spans="5:5">
      <c r="E9937" s="51"/>
    </row>
    <row r="9938" spans="5:5">
      <c r="E9938" s="51"/>
    </row>
    <row r="9939" spans="5:5">
      <c r="E9939" s="51"/>
    </row>
    <row r="9940" spans="5:5">
      <c r="E9940" s="51"/>
    </row>
    <row r="9941" spans="5:5">
      <c r="E9941" s="51"/>
    </row>
    <row r="9942" spans="5:5">
      <c r="E9942" s="51"/>
    </row>
    <row r="9943" spans="5:5">
      <c r="E9943" s="51"/>
    </row>
    <row r="9944" spans="5:5">
      <c r="E9944" s="51"/>
    </row>
    <row r="9945" spans="5:5">
      <c r="E9945" s="51"/>
    </row>
    <row r="9946" spans="5:5">
      <c r="E9946" s="51"/>
    </row>
    <row r="9947" spans="5:5">
      <c r="E9947" s="51"/>
    </row>
    <row r="9948" spans="5:5">
      <c r="E9948" s="51"/>
    </row>
    <row r="9949" spans="5:5">
      <c r="E9949" s="51"/>
    </row>
    <row r="9950" spans="5:5">
      <c r="E9950" s="51"/>
    </row>
    <row r="9951" spans="5:5">
      <c r="E9951" s="51"/>
    </row>
    <row r="9952" spans="5:5">
      <c r="E9952" s="51"/>
    </row>
    <row r="9953" spans="5:5">
      <c r="E9953" s="51"/>
    </row>
    <row r="9954" spans="5:5">
      <c r="E9954" s="51"/>
    </row>
    <row r="9955" spans="5:5">
      <c r="E9955" s="51"/>
    </row>
    <row r="9956" spans="5:5">
      <c r="E9956" s="51"/>
    </row>
    <row r="9957" spans="5:5">
      <c r="E9957" s="51"/>
    </row>
    <row r="9958" spans="5:5">
      <c r="E9958" s="51"/>
    </row>
    <row r="9959" spans="5:5">
      <c r="E9959" s="51"/>
    </row>
    <row r="9960" spans="5:5">
      <c r="E9960" s="51"/>
    </row>
    <row r="9961" spans="5:5">
      <c r="E9961" s="51"/>
    </row>
    <row r="9962" spans="5:5">
      <c r="E9962" s="51"/>
    </row>
    <row r="9963" spans="5:5">
      <c r="E9963" s="51"/>
    </row>
    <row r="9964" spans="5:5">
      <c r="E9964" s="51"/>
    </row>
    <row r="9965" spans="5:5">
      <c r="E9965" s="51"/>
    </row>
    <row r="9966" spans="5:5">
      <c r="E9966" s="51"/>
    </row>
    <row r="9967" spans="5:5">
      <c r="E9967" s="51"/>
    </row>
    <row r="9968" spans="5:5">
      <c r="E9968" s="51"/>
    </row>
    <row r="9969" spans="5:5">
      <c r="E9969" s="51"/>
    </row>
    <row r="9970" spans="5:5">
      <c r="E9970" s="51"/>
    </row>
    <row r="9971" spans="5:5">
      <c r="E9971" s="51"/>
    </row>
    <row r="9972" spans="5:5">
      <c r="E9972" s="51"/>
    </row>
    <row r="9973" spans="5:5">
      <c r="E9973" s="51"/>
    </row>
    <row r="9974" spans="5:5">
      <c r="E9974" s="51"/>
    </row>
    <row r="9975" spans="5:5">
      <c r="E9975" s="51"/>
    </row>
    <row r="9976" spans="5:5">
      <c r="E9976" s="51"/>
    </row>
    <row r="9977" spans="5:5">
      <c r="E9977" s="51"/>
    </row>
    <row r="9978" spans="5:5">
      <c r="E9978" s="51"/>
    </row>
    <row r="9979" spans="5:5">
      <c r="E9979" s="51"/>
    </row>
    <row r="9980" spans="5:5">
      <c r="E9980" s="51"/>
    </row>
    <row r="9981" spans="5:5">
      <c r="E9981" s="51"/>
    </row>
    <row r="9982" spans="5:5">
      <c r="E9982" s="51"/>
    </row>
    <row r="9983" spans="5:5">
      <c r="E9983" s="51"/>
    </row>
    <row r="9984" spans="5:5">
      <c r="E9984" s="51"/>
    </row>
    <row r="9985" spans="5:5">
      <c r="E9985" s="51"/>
    </row>
    <row r="9986" spans="5:5">
      <c r="E9986" s="51"/>
    </row>
    <row r="9987" spans="5:5">
      <c r="E9987" s="51"/>
    </row>
    <row r="9988" spans="5:5">
      <c r="E9988" s="51"/>
    </row>
    <row r="9989" spans="5:5">
      <c r="E9989" s="51"/>
    </row>
    <row r="9990" spans="5:5">
      <c r="E9990" s="51"/>
    </row>
    <row r="9991" spans="5:5">
      <c r="E9991" s="51"/>
    </row>
    <row r="9992" spans="5:5">
      <c r="E9992" s="51"/>
    </row>
    <row r="9993" spans="5:5">
      <c r="E9993" s="51"/>
    </row>
    <row r="9994" spans="5:5">
      <c r="E9994" s="51"/>
    </row>
    <row r="9995" spans="5:5">
      <c r="E9995" s="51"/>
    </row>
    <row r="9996" spans="5:5">
      <c r="E9996" s="51"/>
    </row>
    <row r="9997" spans="5:5">
      <c r="E9997" s="51"/>
    </row>
    <row r="9998" spans="5:5">
      <c r="E9998" s="51"/>
    </row>
    <row r="9999" spans="5:5">
      <c r="E9999" s="51"/>
    </row>
    <row r="10000" spans="5:5">
      <c r="E10000" s="51"/>
    </row>
    <row r="10001" spans="5:5">
      <c r="E10001" s="51"/>
    </row>
    <row r="10002" spans="5:5">
      <c r="E10002" s="51"/>
    </row>
    <row r="10003" spans="5:5">
      <c r="E10003" s="51"/>
    </row>
    <row r="10004" spans="5:5">
      <c r="E10004" s="51"/>
    </row>
    <row r="10005" spans="5:5">
      <c r="E10005" s="51"/>
    </row>
    <row r="10006" spans="5:5">
      <c r="E10006" s="51"/>
    </row>
    <row r="10007" spans="5:5">
      <c r="E10007" s="51"/>
    </row>
    <row r="10008" spans="5:5">
      <c r="E10008" s="51"/>
    </row>
    <row r="10009" spans="5:5">
      <c r="E10009" s="51"/>
    </row>
    <row r="10010" spans="5:5">
      <c r="E10010" s="51"/>
    </row>
    <row r="10011" spans="5:5">
      <c r="E10011" s="51"/>
    </row>
    <row r="10012" spans="5:5">
      <c r="E10012" s="51"/>
    </row>
    <row r="10013" spans="5:5">
      <c r="E10013" s="51"/>
    </row>
    <row r="10014" spans="5:5">
      <c r="E10014" s="51"/>
    </row>
    <row r="10015" spans="5:5">
      <c r="E10015" s="51"/>
    </row>
    <row r="10016" spans="5:5">
      <c r="E10016" s="51"/>
    </row>
    <row r="10017" spans="5:5">
      <c r="E10017" s="51"/>
    </row>
    <row r="10018" spans="5:5">
      <c r="E10018" s="51"/>
    </row>
    <row r="10019" spans="5:5">
      <c r="E10019" s="51"/>
    </row>
    <row r="10020" spans="5:5">
      <c r="E10020" s="51"/>
    </row>
    <row r="10021" spans="5:5">
      <c r="E10021" s="51"/>
    </row>
    <row r="10022" spans="5:5">
      <c r="E10022" s="51"/>
    </row>
    <row r="10023" spans="5:5">
      <c r="E10023" s="51"/>
    </row>
    <row r="10024" spans="5:5">
      <c r="E10024" s="51"/>
    </row>
    <row r="10025" spans="5:5">
      <c r="E10025" s="51"/>
    </row>
    <row r="10026" spans="5:5">
      <c r="E10026" s="51"/>
    </row>
    <row r="10027" spans="5:5">
      <c r="E10027" s="51"/>
    </row>
    <row r="10028" spans="5:5">
      <c r="E10028" s="51"/>
    </row>
    <row r="10029" spans="5:5">
      <c r="E10029" s="51"/>
    </row>
    <row r="10030" spans="5:5">
      <c r="E10030" s="51"/>
    </row>
    <row r="10031" spans="5:5">
      <c r="E10031" s="51"/>
    </row>
    <row r="10032" spans="5:5">
      <c r="E10032" s="51"/>
    </row>
    <row r="10033" spans="5:5">
      <c r="E10033" s="51"/>
    </row>
    <row r="10034" spans="5:5">
      <c r="E10034" s="51"/>
    </row>
    <row r="10035" spans="5:5">
      <c r="E10035" s="51"/>
    </row>
    <row r="10036" spans="5:5">
      <c r="E10036" s="51"/>
    </row>
    <row r="10037" spans="5:5">
      <c r="E10037" s="51"/>
    </row>
    <row r="10038" spans="5:5">
      <c r="E10038" s="51"/>
    </row>
    <row r="10039" spans="5:5">
      <c r="E10039" s="51"/>
    </row>
    <row r="10040" spans="5:5">
      <c r="E10040" s="51"/>
    </row>
    <row r="10041" spans="5:5">
      <c r="E10041" s="51"/>
    </row>
    <row r="10042" spans="5:5">
      <c r="E10042" s="51"/>
    </row>
    <row r="10043" spans="5:5">
      <c r="E10043" s="51"/>
    </row>
    <row r="10044" spans="5:5">
      <c r="E10044" s="51"/>
    </row>
    <row r="10045" spans="5:5">
      <c r="E10045" s="51"/>
    </row>
    <row r="10046" spans="5:5">
      <c r="E10046" s="51"/>
    </row>
    <row r="10047" spans="5:5">
      <c r="E10047" s="51"/>
    </row>
    <row r="10048" spans="5:5">
      <c r="E10048" s="51"/>
    </row>
    <row r="10049" spans="5:5">
      <c r="E10049" s="51"/>
    </row>
    <row r="10050" spans="5:5">
      <c r="E10050" s="51"/>
    </row>
    <row r="10051" spans="5:5">
      <c r="E10051" s="51"/>
    </row>
    <row r="10052" spans="5:5">
      <c r="E10052" s="51"/>
    </row>
    <row r="10053" spans="5:5">
      <c r="E10053" s="51"/>
    </row>
    <row r="10054" spans="5:5">
      <c r="E10054" s="51"/>
    </row>
    <row r="10055" spans="5:5">
      <c r="E10055" s="51"/>
    </row>
    <row r="10056" spans="5:5">
      <c r="E10056" s="51"/>
    </row>
    <row r="10057" spans="5:5">
      <c r="E10057" s="51"/>
    </row>
    <row r="10058" spans="5:5">
      <c r="E10058" s="51"/>
    </row>
    <row r="10059" spans="5:5">
      <c r="E10059" s="51"/>
    </row>
    <row r="10060" spans="5:5">
      <c r="E10060" s="51"/>
    </row>
    <row r="10061" spans="5:5">
      <c r="E10061" s="51"/>
    </row>
    <row r="10062" spans="5:5">
      <c r="E10062" s="51"/>
    </row>
    <row r="10063" spans="5:5">
      <c r="E10063" s="51"/>
    </row>
    <row r="10064" spans="5:5">
      <c r="E10064" s="51"/>
    </row>
    <row r="10065" spans="5:5">
      <c r="E10065" s="51"/>
    </row>
    <row r="10066" spans="5:5">
      <c r="E10066" s="51"/>
    </row>
    <row r="10067" spans="5:5">
      <c r="E10067" s="51"/>
    </row>
    <row r="10068" spans="5:5">
      <c r="E10068" s="51"/>
    </row>
    <row r="10069" spans="5:5">
      <c r="E10069" s="51"/>
    </row>
    <row r="10070" spans="5:5">
      <c r="E10070" s="51"/>
    </row>
    <row r="10071" spans="5:5">
      <c r="E10071" s="51"/>
    </row>
    <row r="10072" spans="5:5">
      <c r="E10072" s="51"/>
    </row>
    <row r="10073" spans="5:5">
      <c r="E10073" s="51"/>
    </row>
    <row r="10074" spans="5:5">
      <c r="E10074" s="51"/>
    </row>
    <row r="10075" spans="5:5">
      <c r="E10075" s="51"/>
    </row>
    <row r="10076" spans="5:5">
      <c r="E10076" s="51"/>
    </row>
    <row r="10077" spans="5:5">
      <c r="E10077" s="51"/>
    </row>
    <row r="10078" spans="5:5">
      <c r="E10078" s="51"/>
    </row>
    <row r="10079" spans="5:5">
      <c r="E10079" s="51"/>
    </row>
    <row r="10080" spans="5:5">
      <c r="E10080" s="51"/>
    </row>
    <row r="10081" spans="5:5">
      <c r="E10081" s="51"/>
    </row>
    <row r="10082" spans="5:5">
      <c r="E10082" s="51"/>
    </row>
    <row r="10083" spans="5:5">
      <c r="E10083" s="51"/>
    </row>
    <row r="10084" spans="5:5">
      <c r="E10084" s="51"/>
    </row>
    <row r="10085" spans="5:5">
      <c r="E10085" s="51"/>
    </row>
    <row r="10086" spans="5:5">
      <c r="E10086" s="51"/>
    </row>
    <row r="10087" spans="5:5">
      <c r="E10087" s="51"/>
    </row>
    <row r="10088" spans="5:5">
      <c r="E10088" s="51"/>
    </row>
    <row r="10089" spans="5:5">
      <c r="E10089" s="51"/>
    </row>
    <row r="10090" spans="5:5">
      <c r="E10090" s="51"/>
    </row>
    <row r="10091" spans="5:5">
      <c r="E10091" s="51"/>
    </row>
    <row r="10092" spans="5:5">
      <c r="E10092" s="51"/>
    </row>
    <row r="10093" spans="5:5">
      <c r="E10093" s="51"/>
    </row>
    <row r="10094" spans="5:5">
      <c r="E10094" s="51"/>
    </row>
    <row r="10095" spans="5:5">
      <c r="E10095" s="51"/>
    </row>
    <row r="10096" spans="5:5">
      <c r="E10096" s="51"/>
    </row>
    <row r="10097" spans="5:5">
      <c r="E10097" s="51"/>
    </row>
    <row r="10098" spans="5:5">
      <c r="E10098" s="51"/>
    </row>
    <row r="10099" spans="5:5">
      <c r="E10099" s="51"/>
    </row>
    <row r="10100" spans="5:5">
      <c r="E10100" s="51"/>
    </row>
    <row r="10101" spans="5:5">
      <c r="E10101" s="51"/>
    </row>
    <row r="10102" spans="5:5">
      <c r="E10102" s="51"/>
    </row>
    <row r="10103" spans="5:5">
      <c r="E10103" s="51"/>
    </row>
    <row r="10104" spans="5:5">
      <c r="E10104" s="51"/>
    </row>
    <row r="10105" spans="5:5">
      <c r="E10105" s="51"/>
    </row>
    <row r="10106" spans="5:5">
      <c r="E10106" s="51"/>
    </row>
    <row r="10107" spans="5:5">
      <c r="E10107" s="51"/>
    </row>
    <row r="10108" spans="5:5">
      <c r="E10108" s="51"/>
    </row>
    <row r="10109" spans="5:5">
      <c r="E10109" s="51"/>
    </row>
    <row r="10110" spans="5:5">
      <c r="E10110" s="51"/>
    </row>
    <row r="10111" spans="5:5">
      <c r="E10111" s="51"/>
    </row>
    <row r="10112" spans="5:5">
      <c r="E10112" s="51"/>
    </row>
    <row r="10113" spans="5:5">
      <c r="E10113" s="51"/>
    </row>
    <row r="10114" spans="5:5">
      <c r="E10114" s="51"/>
    </row>
    <row r="10115" spans="5:5">
      <c r="E10115" s="51"/>
    </row>
    <row r="10116" spans="5:5">
      <c r="E10116" s="51"/>
    </row>
    <row r="10117" spans="5:5">
      <c r="E10117" s="51"/>
    </row>
    <row r="10118" spans="5:5">
      <c r="E10118" s="51"/>
    </row>
    <row r="10119" spans="5:5">
      <c r="E10119" s="51"/>
    </row>
    <row r="10120" spans="5:5">
      <c r="E10120" s="51"/>
    </row>
    <row r="10121" spans="5:5">
      <c r="E10121" s="51"/>
    </row>
    <row r="10122" spans="5:5">
      <c r="E10122" s="51"/>
    </row>
    <row r="10123" spans="5:5">
      <c r="E10123" s="51"/>
    </row>
    <row r="10124" spans="5:5">
      <c r="E10124" s="51"/>
    </row>
    <row r="10125" spans="5:5">
      <c r="E10125" s="51"/>
    </row>
    <row r="10126" spans="5:5">
      <c r="E10126" s="51"/>
    </row>
    <row r="10127" spans="5:5">
      <c r="E10127" s="51"/>
    </row>
    <row r="10128" spans="5:5">
      <c r="E10128" s="51"/>
    </row>
    <row r="10129" spans="5:5">
      <c r="E10129" s="51"/>
    </row>
    <row r="10130" spans="5:5">
      <c r="E10130" s="51"/>
    </row>
    <row r="10131" spans="5:5">
      <c r="E10131" s="51"/>
    </row>
    <row r="10132" spans="5:5">
      <c r="E10132" s="51"/>
    </row>
    <row r="10133" spans="5:5">
      <c r="E10133" s="51"/>
    </row>
    <row r="10134" spans="5:5">
      <c r="E10134" s="51"/>
    </row>
    <row r="10135" spans="5:5">
      <c r="E10135" s="51"/>
    </row>
    <row r="10136" spans="5:5">
      <c r="E10136" s="51"/>
    </row>
    <row r="10137" spans="5:5">
      <c r="E10137" s="51"/>
    </row>
    <row r="10138" spans="5:5">
      <c r="E10138" s="51"/>
    </row>
    <row r="10139" spans="5:5">
      <c r="E10139" s="51"/>
    </row>
    <row r="10140" spans="5:5">
      <c r="E10140" s="51"/>
    </row>
    <row r="10141" spans="5:5">
      <c r="E10141" s="51"/>
    </row>
    <row r="10142" spans="5:5">
      <c r="E10142" s="51"/>
    </row>
    <row r="10143" spans="5:5">
      <c r="E10143" s="51"/>
    </row>
    <row r="10144" spans="5:5">
      <c r="E10144" s="51"/>
    </row>
    <row r="10145" spans="5:5">
      <c r="E10145" s="51"/>
    </row>
    <row r="10146" spans="5:5">
      <c r="E10146" s="51"/>
    </row>
    <row r="10147" spans="5:5">
      <c r="E10147" s="51"/>
    </row>
    <row r="10148" spans="5:5">
      <c r="E10148" s="51"/>
    </row>
    <row r="10149" spans="5:5">
      <c r="E10149" s="51"/>
    </row>
    <row r="10150" spans="5:5">
      <c r="E10150" s="51"/>
    </row>
    <row r="10151" spans="5:5">
      <c r="E10151" s="51"/>
    </row>
    <row r="10152" spans="5:5">
      <c r="E10152" s="51"/>
    </row>
    <row r="10153" spans="5:5">
      <c r="E10153" s="51"/>
    </row>
    <row r="10154" spans="5:5">
      <c r="E10154" s="51"/>
    </row>
    <row r="10155" spans="5:5">
      <c r="E10155" s="51"/>
    </row>
    <row r="10156" spans="5:5">
      <c r="E10156" s="51"/>
    </row>
    <row r="10157" spans="5:5">
      <c r="E10157" s="51"/>
    </row>
    <row r="10158" spans="5:5">
      <c r="E10158" s="51"/>
    </row>
    <row r="10159" spans="5:5">
      <c r="E10159" s="51"/>
    </row>
    <row r="10160" spans="5:5">
      <c r="E10160" s="51"/>
    </row>
    <row r="10161" spans="5:5">
      <c r="E10161" s="51"/>
    </row>
    <row r="10162" spans="5:5">
      <c r="E10162" s="51"/>
    </row>
    <row r="10163" spans="5:5">
      <c r="E10163" s="51"/>
    </row>
    <row r="10164" spans="5:5">
      <c r="E10164" s="51"/>
    </row>
    <row r="10165" spans="5:5">
      <c r="E10165" s="51"/>
    </row>
    <row r="10166" spans="5:5">
      <c r="E10166" s="51"/>
    </row>
    <row r="10167" spans="5:5">
      <c r="E10167" s="51"/>
    </row>
    <row r="10168" spans="5:5">
      <c r="E10168" s="51"/>
    </row>
    <row r="10169" spans="5:5">
      <c r="E10169" s="51"/>
    </row>
    <row r="10170" spans="5:5">
      <c r="E10170" s="51"/>
    </row>
    <row r="10171" spans="5:5">
      <c r="E10171" s="51"/>
    </row>
    <row r="10172" spans="5:5">
      <c r="E10172" s="51"/>
    </row>
    <row r="10173" spans="5:5">
      <c r="E10173" s="51"/>
    </row>
    <row r="10174" spans="5:5">
      <c r="E10174" s="51"/>
    </row>
    <row r="10175" spans="5:5">
      <c r="E10175" s="51"/>
    </row>
    <row r="10176" spans="5:5">
      <c r="E10176" s="51"/>
    </row>
    <row r="10177" spans="5:5">
      <c r="E10177" s="51"/>
    </row>
    <row r="10178" spans="5:5">
      <c r="E10178" s="51"/>
    </row>
    <row r="10179" spans="5:5">
      <c r="E10179" s="51"/>
    </row>
    <row r="10180" spans="5:5">
      <c r="E10180" s="51"/>
    </row>
    <row r="10181" spans="5:5">
      <c r="E10181" s="51"/>
    </row>
    <row r="10182" spans="5:5">
      <c r="E10182" s="51"/>
    </row>
    <row r="10183" spans="5:5">
      <c r="E10183" s="51"/>
    </row>
    <row r="10184" spans="5:5">
      <c r="E10184" s="51"/>
    </row>
    <row r="10185" spans="5:5">
      <c r="E10185" s="51"/>
    </row>
    <row r="10186" spans="5:5">
      <c r="E10186" s="51"/>
    </row>
    <row r="10187" spans="5:5">
      <c r="E10187" s="51"/>
    </row>
    <row r="10188" spans="5:5">
      <c r="E10188" s="51"/>
    </row>
    <row r="10189" spans="5:5">
      <c r="E10189" s="51"/>
    </row>
    <row r="10190" spans="5:5">
      <c r="E10190" s="51"/>
    </row>
    <row r="10191" spans="5:5">
      <c r="E10191" s="51"/>
    </row>
    <row r="10192" spans="5:5">
      <c r="E10192" s="51"/>
    </row>
    <row r="10193" spans="5:5">
      <c r="E10193" s="51"/>
    </row>
    <row r="10194" spans="5:5">
      <c r="E10194" s="51"/>
    </row>
    <row r="10195" spans="5:5">
      <c r="E10195" s="51"/>
    </row>
    <row r="10196" spans="5:5">
      <c r="E10196" s="51"/>
    </row>
    <row r="10197" spans="5:5">
      <c r="E10197" s="51"/>
    </row>
    <row r="10198" spans="5:5">
      <c r="E10198" s="51"/>
    </row>
    <row r="10199" spans="5:5">
      <c r="E10199" s="51"/>
    </row>
    <row r="10200" spans="5:5">
      <c r="E10200" s="51"/>
    </row>
    <row r="10201" spans="5:5">
      <c r="E10201" s="51"/>
    </row>
    <row r="10202" spans="5:5">
      <c r="E10202" s="51"/>
    </row>
    <row r="10203" spans="5:5">
      <c r="E10203" s="51"/>
    </row>
    <row r="10204" spans="5:5">
      <c r="E10204" s="51"/>
    </row>
    <row r="10205" spans="5:5">
      <c r="E10205" s="51"/>
    </row>
    <row r="10206" spans="5:5">
      <c r="E10206" s="51"/>
    </row>
    <row r="10207" spans="5:5">
      <c r="E10207" s="51"/>
    </row>
    <row r="10208" spans="5:5">
      <c r="E10208" s="51"/>
    </row>
    <row r="10209" spans="5:5">
      <c r="E10209" s="51"/>
    </row>
    <row r="10210" spans="5:5">
      <c r="E10210" s="51"/>
    </row>
    <row r="10211" spans="5:5">
      <c r="E10211" s="51"/>
    </row>
    <row r="10212" spans="5:5">
      <c r="E10212" s="51"/>
    </row>
    <row r="10213" spans="5:5">
      <c r="E10213" s="51"/>
    </row>
    <row r="10214" spans="5:5">
      <c r="E10214" s="51"/>
    </row>
    <row r="10215" spans="5:5">
      <c r="E10215" s="51"/>
    </row>
    <row r="10216" spans="5:5">
      <c r="E10216" s="51"/>
    </row>
    <row r="10217" spans="5:5">
      <c r="E10217" s="51"/>
    </row>
    <row r="10218" spans="5:5">
      <c r="E10218" s="51"/>
    </row>
    <row r="10219" spans="5:5">
      <c r="E10219" s="51"/>
    </row>
    <row r="10220" spans="5:5">
      <c r="E10220" s="51"/>
    </row>
    <row r="10221" spans="5:5">
      <c r="E10221" s="51"/>
    </row>
    <row r="10222" spans="5:5">
      <c r="E10222" s="51"/>
    </row>
    <row r="10223" spans="5:5">
      <c r="E10223" s="51"/>
    </row>
    <row r="10224" spans="5:5">
      <c r="E10224" s="51"/>
    </row>
    <row r="10225" spans="5:5">
      <c r="E10225" s="51"/>
    </row>
    <row r="10226" spans="5:5">
      <c r="E10226" s="51"/>
    </row>
    <row r="10227" spans="5:5">
      <c r="E10227" s="51"/>
    </row>
    <row r="10228" spans="5:5">
      <c r="E10228" s="51"/>
    </row>
    <row r="10229" spans="5:5">
      <c r="E10229" s="51"/>
    </row>
    <row r="10230" spans="5:5">
      <c r="E10230" s="51"/>
    </row>
    <row r="10231" spans="5:5">
      <c r="E10231" s="51"/>
    </row>
    <row r="10232" spans="5:5">
      <c r="E10232" s="51"/>
    </row>
    <row r="10233" spans="5:5">
      <c r="E10233" s="51"/>
    </row>
    <row r="10234" spans="5:5">
      <c r="E10234" s="51"/>
    </row>
    <row r="10235" spans="5:5">
      <c r="E10235" s="51"/>
    </row>
    <row r="10236" spans="5:5">
      <c r="E10236" s="51"/>
    </row>
    <row r="10237" spans="5:5">
      <c r="E10237" s="51"/>
    </row>
    <row r="10238" spans="5:5">
      <c r="E10238" s="51"/>
    </row>
    <row r="10239" spans="5:5">
      <c r="E10239" s="51"/>
    </row>
    <row r="10240" spans="5:5">
      <c r="E10240" s="51"/>
    </row>
    <row r="10241" spans="5:5">
      <c r="E10241" s="51"/>
    </row>
    <row r="10242" spans="5:5">
      <c r="E10242" s="51"/>
    </row>
    <row r="10243" spans="5:5">
      <c r="E10243" s="51"/>
    </row>
    <row r="10244" spans="5:5">
      <c r="E10244" s="51"/>
    </row>
    <row r="10245" spans="5:5">
      <c r="E10245" s="51"/>
    </row>
    <row r="10246" spans="5:5">
      <c r="E10246" s="51"/>
    </row>
    <row r="10247" spans="5:5">
      <c r="E10247" s="51"/>
    </row>
    <row r="10248" spans="5:5">
      <c r="E10248" s="51"/>
    </row>
    <row r="10249" spans="5:5">
      <c r="E10249" s="51"/>
    </row>
    <row r="10250" spans="5:5">
      <c r="E10250" s="51"/>
    </row>
    <row r="10251" spans="5:5">
      <c r="E10251" s="51"/>
    </row>
    <row r="10252" spans="5:5">
      <c r="E10252" s="51"/>
    </row>
    <row r="10253" spans="5:5">
      <c r="E10253" s="51"/>
    </row>
    <row r="10254" spans="5:5">
      <c r="E10254" s="51"/>
    </row>
    <row r="10255" spans="5:5">
      <c r="E10255" s="51"/>
    </row>
    <row r="10256" spans="5:5">
      <c r="E10256" s="51"/>
    </row>
    <row r="10257" spans="5:5">
      <c r="E10257" s="51"/>
    </row>
    <row r="10258" spans="5:5">
      <c r="E10258" s="51"/>
    </row>
    <row r="10259" spans="5:5">
      <c r="E10259" s="51"/>
    </row>
    <row r="10260" spans="5:5">
      <c r="E10260" s="51"/>
    </row>
    <row r="10261" spans="5:5">
      <c r="E10261" s="51"/>
    </row>
    <row r="10262" spans="5:5">
      <c r="E10262" s="51"/>
    </row>
    <row r="10263" spans="5:5">
      <c r="E10263" s="51"/>
    </row>
    <row r="10264" spans="5:5">
      <c r="E10264" s="51"/>
    </row>
    <row r="10265" spans="5:5">
      <c r="E10265" s="51"/>
    </row>
    <row r="10266" spans="5:5">
      <c r="E10266" s="51"/>
    </row>
    <row r="10267" spans="5:5">
      <c r="E10267" s="51"/>
    </row>
    <row r="10268" spans="5:5">
      <c r="E10268" s="51"/>
    </row>
    <row r="10269" spans="5:5">
      <c r="E10269" s="51"/>
    </row>
    <row r="10270" spans="5:5">
      <c r="E10270" s="51"/>
    </row>
    <row r="10271" spans="5:5">
      <c r="E10271" s="51"/>
    </row>
    <row r="10272" spans="5:5">
      <c r="E10272" s="51"/>
    </row>
    <row r="10273" spans="5:5">
      <c r="E10273" s="51"/>
    </row>
    <row r="10274" spans="5:5">
      <c r="E10274" s="51"/>
    </row>
    <row r="10275" spans="5:5">
      <c r="E10275" s="51"/>
    </row>
    <row r="10276" spans="5:5">
      <c r="E10276" s="51"/>
    </row>
    <row r="10277" spans="5:5">
      <c r="E10277" s="51"/>
    </row>
    <row r="10278" spans="5:5">
      <c r="E10278" s="51"/>
    </row>
    <row r="10279" spans="5:5">
      <c r="E10279" s="51"/>
    </row>
    <row r="10280" spans="5:5">
      <c r="E10280" s="51"/>
    </row>
    <row r="10281" spans="5:5">
      <c r="E10281" s="51"/>
    </row>
    <row r="10282" spans="5:5">
      <c r="E10282" s="51"/>
    </row>
    <row r="10283" spans="5:5">
      <c r="E10283" s="51"/>
    </row>
    <row r="10284" spans="5:5">
      <c r="E10284" s="51"/>
    </row>
    <row r="10285" spans="5:5">
      <c r="E10285" s="51"/>
    </row>
    <row r="10286" spans="5:5">
      <c r="E10286" s="51"/>
    </row>
    <row r="10287" spans="5:5">
      <c r="E10287" s="51"/>
    </row>
    <row r="10288" spans="5:5">
      <c r="E10288" s="51"/>
    </row>
    <row r="10289" spans="5:5">
      <c r="E10289" s="51"/>
    </row>
    <row r="10290" spans="5:5">
      <c r="E10290" s="51"/>
    </row>
    <row r="10291" spans="5:5">
      <c r="E10291" s="51"/>
    </row>
    <row r="10292" spans="5:5">
      <c r="E10292" s="51"/>
    </row>
    <row r="10293" spans="5:5">
      <c r="E10293" s="51"/>
    </row>
    <row r="10294" spans="5:5">
      <c r="E10294" s="51"/>
    </row>
    <row r="10295" spans="5:5">
      <c r="E10295" s="51"/>
    </row>
    <row r="10296" spans="5:5">
      <c r="E10296" s="51"/>
    </row>
    <row r="10297" spans="5:5">
      <c r="E10297" s="51"/>
    </row>
    <row r="10298" spans="5:5">
      <c r="E10298" s="51"/>
    </row>
    <row r="10299" spans="5:5">
      <c r="E10299" s="51"/>
    </row>
    <row r="10300" spans="5:5">
      <c r="E10300" s="51"/>
    </row>
    <row r="10301" spans="5:5">
      <c r="E10301" s="51"/>
    </row>
    <row r="10302" spans="5:5">
      <c r="E10302" s="51"/>
    </row>
    <row r="10303" spans="5:5">
      <c r="E10303" s="51"/>
    </row>
    <row r="10304" spans="5:5">
      <c r="E10304" s="51"/>
    </row>
    <row r="10305" spans="5:5">
      <c r="E10305" s="51"/>
    </row>
    <row r="10306" spans="5:5">
      <c r="E10306" s="51"/>
    </row>
    <row r="10307" spans="5:5">
      <c r="E10307" s="51"/>
    </row>
    <row r="10308" spans="5:5">
      <c r="E10308" s="51"/>
    </row>
    <row r="10309" spans="5:5">
      <c r="E10309" s="51"/>
    </row>
    <row r="10310" spans="5:5">
      <c r="E10310" s="51"/>
    </row>
    <row r="10311" spans="5:5">
      <c r="E10311" s="51"/>
    </row>
    <row r="10312" spans="5:5">
      <c r="E10312" s="51"/>
    </row>
    <row r="10313" spans="5:5">
      <c r="E10313" s="51"/>
    </row>
    <row r="10314" spans="5:5">
      <c r="E10314" s="51"/>
    </row>
    <row r="10315" spans="5:5">
      <c r="E10315" s="51"/>
    </row>
    <row r="10316" spans="5:5">
      <c r="E10316" s="51"/>
    </row>
    <row r="10317" spans="5:5">
      <c r="E10317" s="51"/>
    </row>
    <row r="10318" spans="5:5">
      <c r="E10318" s="51"/>
    </row>
    <row r="10319" spans="5:5">
      <c r="E10319" s="51"/>
    </row>
    <row r="10320" spans="5:5">
      <c r="E10320" s="51"/>
    </row>
    <row r="10321" spans="5:5">
      <c r="E10321" s="51"/>
    </row>
    <row r="10322" spans="5:5">
      <c r="E10322" s="51"/>
    </row>
    <row r="10323" spans="5:5">
      <c r="E10323" s="51"/>
    </row>
    <row r="10324" spans="5:5">
      <c r="E10324" s="51"/>
    </row>
    <row r="10325" spans="5:5">
      <c r="E10325" s="51"/>
    </row>
    <row r="10326" spans="5:5">
      <c r="E10326" s="51"/>
    </row>
    <row r="10327" spans="5:5">
      <c r="E10327" s="51"/>
    </row>
    <row r="10328" spans="5:5">
      <c r="E10328" s="51"/>
    </row>
    <row r="10329" spans="5:5">
      <c r="E10329" s="51"/>
    </row>
    <row r="10330" spans="5:5">
      <c r="E10330" s="51"/>
    </row>
    <row r="10331" spans="5:5">
      <c r="E10331" s="51"/>
    </row>
    <row r="10332" spans="5:5">
      <c r="E10332" s="51"/>
    </row>
    <row r="10333" spans="5:5">
      <c r="E10333" s="51"/>
    </row>
    <row r="10334" spans="5:5">
      <c r="E10334" s="51"/>
    </row>
    <row r="10335" spans="5:5">
      <c r="E10335" s="51"/>
    </row>
    <row r="10336" spans="5:5">
      <c r="E10336" s="51"/>
    </row>
    <row r="10337" spans="5:5">
      <c r="E10337" s="51"/>
    </row>
    <row r="10338" spans="5:5">
      <c r="E10338" s="51"/>
    </row>
    <row r="10339" spans="5:5">
      <c r="E10339" s="51"/>
    </row>
    <row r="10340" spans="5:5">
      <c r="E10340" s="51"/>
    </row>
    <row r="10341" spans="5:5">
      <c r="E10341" s="51"/>
    </row>
    <row r="10342" spans="5:5">
      <c r="E10342" s="51"/>
    </row>
    <row r="10343" spans="5:5">
      <c r="E10343" s="51"/>
    </row>
    <row r="10344" spans="5:5">
      <c r="E10344" s="51"/>
    </row>
    <row r="10345" spans="5:5">
      <c r="E10345" s="51"/>
    </row>
    <row r="10346" spans="5:5">
      <c r="E10346" s="51"/>
    </row>
    <row r="10347" spans="5:5">
      <c r="E10347" s="51"/>
    </row>
    <row r="10348" spans="5:5">
      <c r="E10348" s="51"/>
    </row>
    <row r="10349" spans="5:5">
      <c r="E10349" s="51"/>
    </row>
    <row r="10350" spans="5:5">
      <c r="E10350" s="51"/>
    </row>
    <row r="10351" spans="5:5">
      <c r="E10351" s="51"/>
    </row>
    <row r="10352" spans="5:5">
      <c r="E10352" s="51"/>
    </row>
    <row r="10353" spans="5:5">
      <c r="E10353" s="51"/>
    </row>
    <row r="10354" spans="5:5">
      <c r="E10354" s="51"/>
    </row>
    <row r="10355" spans="5:5">
      <c r="E10355" s="51"/>
    </row>
    <row r="10356" spans="5:5">
      <c r="E10356" s="51"/>
    </row>
    <row r="10357" spans="5:5">
      <c r="E10357" s="51"/>
    </row>
    <row r="10358" spans="5:5">
      <c r="E10358" s="51"/>
    </row>
    <row r="10359" spans="5:5">
      <c r="E10359" s="51"/>
    </row>
    <row r="10360" spans="5:5">
      <c r="E10360" s="51"/>
    </row>
    <row r="10361" spans="5:5">
      <c r="E10361" s="51"/>
    </row>
    <row r="10362" spans="5:5">
      <c r="E10362" s="51"/>
    </row>
    <row r="10363" spans="5:5">
      <c r="E10363" s="51"/>
    </row>
    <row r="10364" spans="5:5">
      <c r="E10364" s="51"/>
    </row>
    <row r="10365" spans="5:5">
      <c r="E10365" s="51"/>
    </row>
    <row r="10366" spans="5:5">
      <c r="E10366" s="51"/>
    </row>
    <row r="10367" spans="5:5">
      <c r="E10367" s="51"/>
    </row>
    <row r="10368" spans="5:5">
      <c r="E10368" s="51"/>
    </row>
    <row r="10369" spans="5:5">
      <c r="E10369" s="51"/>
    </row>
    <row r="10370" spans="5:5">
      <c r="E10370" s="51"/>
    </row>
    <row r="10371" spans="5:5">
      <c r="E10371" s="51"/>
    </row>
    <row r="10372" spans="5:5">
      <c r="E10372" s="51"/>
    </row>
    <row r="10373" spans="5:5">
      <c r="E10373" s="51"/>
    </row>
    <row r="10374" spans="5:5">
      <c r="E10374" s="51"/>
    </row>
    <row r="10375" spans="5:5">
      <c r="E10375" s="51"/>
    </row>
    <row r="10376" spans="5:5">
      <c r="E10376" s="51"/>
    </row>
    <row r="10377" spans="5:5">
      <c r="E10377" s="51"/>
    </row>
    <row r="10378" spans="5:5">
      <c r="E10378" s="51"/>
    </row>
    <row r="10379" spans="5:5">
      <c r="E10379" s="51"/>
    </row>
    <row r="10380" spans="5:5">
      <c r="E10380" s="51"/>
    </row>
    <row r="10381" spans="5:5">
      <c r="E10381" s="51"/>
    </row>
    <row r="10382" spans="5:5">
      <c r="E10382" s="51"/>
    </row>
    <row r="10383" spans="5:5">
      <c r="E10383" s="51"/>
    </row>
    <row r="10384" spans="5:5">
      <c r="E10384" s="51"/>
    </row>
    <row r="10385" spans="5:5">
      <c r="E10385" s="51"/>
    </row>
    <row r="10386" spans="5:5">
      <c r="E10386" s="51"/>
    </row>
    <row r="10387" spans="5:5">
      <c r="E10387" s="51"/>
    </row>
    <row r="10388" spans="5:5">
      <c r="E10388" s="51"/>
    </row>
    <row r="10389" spans="5:5">
      <c r="E10389" s="51"/>
    </row>
    <row r="10390" spans="5:5">
      <c r="E10390" s="51"/>
    </row>
    <row r="10391" spans="5:5">
      <c r="E10391" s="51"/>
    </row>
    <row r="10392" spans="5:5">
      <c r="E10392" s="51"/>
    </row>
    <row r="10393" spans="5:5">
      <c r="E10393" s="51"/>
    </row>
    <row r="10394" spans="5:5">
      <c r="E10394" s="51"/>
    </row>
    <row r="10395" spans="5:5">
      <c r="E10395" s="51"/>
    </row>
    <row r="10396" spans="5:5">
      <c r="E10396" s="51"/>
    </row>
    <row r="10397" spans="5:5">
      <c r="E10397" s="51"/>
    </row>
    <row r="10398" spans="5:5">
      <c r="E10398" s="51"/>
    </row>
    <row r="10399" spans="5:5">
      <c r="E10399" s="51"/>
    </row>
    <row r="10400" spans="5:5">
      <c r="E10400" s="51"/>
    </row>
    <row r="10401" spans="5:5">
      <c r="E10401" s="51"/>
    </row>
    <row r="10402" spans="5:5">
      <c r="E10402" s="51"/>
    </row>
    <row r="10403" spans="5:5">
      <c r="E10403" s="51"/>
    </row>
    <row r="10404" spans="5:5">
      <c r="E10404" s="51"/>
    </row>
    <row r="10405" spans="5:5">
      <c r="E10405" s="51"/>
    </row>
    <row r="10406" spans="5:5">
      <c r="E10406" s="51"/>
    </row>
    <row r="10407" spans="5:5">
      <c r="E10407" s="51"/>
    </row>
    <row r="10408" spans="5:5">
      <c r="E10408" s="51"/>
    </row>
    <row r="10409" spans="5:5">
      <c r="E10409" s="51"/>
    </row>
    <row r="10410" spans="5:5">
      <c r="E10410" s="51"/>
    </row>
    <row r="10411" spans="5:5">
      <c r="E10411" s="51"/>
    </row>
    <row r="10412" spans="5:5">
      <c r="E10412" s="51"/>
    </row>
    <row r="10413" spans="5:5">
      <c r="E10413" s="51"/>
    </row>
    <row r="10414" spans="5:5">
      <c r="E10414" s="51"/>
    </row>
    <row r="10415" spans="5:5">
      <c r="E10415" s="51"/>
    </row>
    <row r="10416" spans="5:5">
      <c r="E10416" s="51"/>
    </row>
    <row r="10417" spans="5:5">
      <c r="E10417" s="51"/>
    </row>
    <row r="10418" spans="5:5">
      <c r="E10418" s="51"/>
    </row>
    <row r="10419" spans="5:5">
      <c r="E10419" s="51"/>
    </row>
    <row r="10420" spans="5:5">
      <c r="E10420" s="51"/>
    </row>
    <row r="10421" spans="5:5">
      <c r="E10421" s="51"/>
    </row>
    <row r="10422" spans="5:5">
      <c r="E10422" s="51"/>
    </row>
    <row r="10423" spans="5:5">
      <c r="E10423" s="51"/>
    </row>
    <row r="10424" spans="5:5">
      <c r="E10424" s="51"/>
    </row>
    <row r="10425" spans="5:5">
      <c r="E10425" s="51"/>
    </row>
    <row r="10426" spans="5:5">
      <c r="E10426" s="51"/>
    </row>
    <row r="10427" spans="5:5">
      <c r="E10427" s="51"/>
    </row>
    <row r="10428" spans="5:5">
      <c r="E10428" s="51"/>
    </row>
    <row r="10429" spans="5:5">
      <c r="E10429" s="51"/>
    </row>
    <row r="10430" spans="5:5">
      <c r="E10430" s="51"/>
    </row>
    <row r="10431" spans="5:5">
      <c r="E10431" s="51"/>
    </row>
    <row r="10432" spans="5:5">
      <c r="E10432" s="51"/>
    </row>
    <row r="10433" spans="5:5">
      <c r="E10433" s="51"/>
    </row>
    <row r="10434" spans="5:5">
      <c r="E10434" s="51"/>
    </row>
    <row r="10435" spans="5:5">
      <c r="E10435" s="51"/>
    </row>
    <row r="10436" spans="5:5">
      <c r="E10436" s="51"/>
    </row>
    <row r="10437" spans="5:5">
      <c r="E10437" s="51"/>
    </row>
    <row r="10438" spans="5:5">
      <c r="E10438" s="51"/>
    </row>
    <row r="10439" spans="5:5">
      <c r="E10439" s="51"/>
    </row>
    <row r="10440" spans="5:5">
      <c r="E10440" s="51"/>
    </row>
    <row r="10441" spans="5:5">
      <c r="E10441" s="51"/>
    </row>
    <row r="10442" spans="5:5">
      <c r="E10442" s="51"/>
    </row>
    <row r="10443" spans="5:5">
      <c r="E10443" s="51"/>
    </row>
    <row r="10444" spans="5:5">
      <c r="E10444" s="51"/>
    </row>
    <row r="10445" spans="5:5">
      <c r="E10445" s="51"/>
    </row>
    <row r="10446" spans="5:5">
      <c r="E10446" s="51"/>
    </row>
    <row r="10447" spans="5:5">
      <c r="E10447" s="51"/>
    </row>
    <row r="10448" spans="5:5">
      <c r="E10448" s="51"/>
    </row>
    <row r="10449" spans="5:5">
      <c r="E10449" s="51"/>
    </row>
    <row r="10450" spans="5:5">
      <c r="E10450" s="51"/>
    </row>
    <row r="10451" spans="5:5">
      <c r="E10451" s="51"/>
    </row>
    <row r="10452" spans="5:5">
      <c r="E10452" s="51"/>
    </row>
    <row r="10453" spans="5:5">
      <c r="E10453" s="51"/>
    </row>
    <row r="10454" spans="5:5">
      <c r="E10454" s="51"/>
    </row>
    <row r="10455" spans="5:5">
      <c r="E10455" s="51"/>
    </row>
    <row r="10456" spans="5:5">
      <c r="E10456" s="51"/>
    </row>
    <row r="10457" spans="5:5">
      <c r="E10457" s="51"/>
    </row>
    <row r="10458" spans="5:5">
      <c r="E10458" s="51"/>
    </row>
    <row r="10459" spans="5:5">
      <c r="E10459" s="51"/>
    </row>
    <row r="10460" spans="5:5">
      <c r="E10460" s="51"/>
    </row>
    <row r="10461" spans="5:5">
      <c r="E10461" s="51"/>
    </row>
    <row r="10462" spans="5:5">
      <c r="E10462" s="51"/>
    </row>
    <row r="10463" spans="5:5">
      <c r="E10463" s="51"/>
    </row>
    <row r="10464" spans="5:5">
      <c r="E10464" s="51"/>
    </row>
    <row r="10465" spans="5:5">
      <c r="E10465" s="51"/>
    </row>
    <row r="10466" spans="5:5">
      <c r="E10466" s="51"/>
    </row>
    <row r="10467" spans="5:5">
      <c r="E10467" s="51"/>
    </row>
    <row r="10468" spans="5:5">
      <c r="E10468" s="51"/>
    </row>
    <row r="10469" spans="5:5">
      <c r="E10469" s="51"/>
    </row>
    <row r="10470" spans="5:5">
      <c r="E10470" s="51"/>
    </row>
    <row r="10471" spans="5:5">
      <c r="E10471" s="51"/>
    </row>
    <row r="10472" spans="5:5">
      <c r="E10472" s="51"/>
    </row>
    <row r="10473" spans="5:5">
      <c r="E10473" s="51"/>
    </row>
    <row r="10474" spans="5:5">
      <c r="E10474" s="51"/>
    </row>
    <row r="10475" spans="5:5">
      <c r="E10475" s="51"/>
    </row>
    <row r="10476" spans="5:5">
      <c r="E10476" s="51"/>
    </row>
    <row r="10477" spans="5:5">
      <c r="E10477" s="51"/>
    </row>
    <row r="10478" spans="5:5">
      <c r="E10478" s="51"/>
    </row>
    <row r="10479" spans="5:5">
      <c r="E10479" s="51"/>
    </row>
    <row r="10480" spans="5:5">
      <c r="E10480" s="51"/>
    </row>
    <row r="10481" spans="5:5">
      <c r="E10481" s="51"/>
    </row>
    <row r="10482" spans="5:5">
      <c r="E10482" s="51"/>
    </row>
    <row r="10483" spans="5:5">
      <c r="E10483" s="51"/>
    </row>
    <row r="10484" spans="5:5">
      <c r="E10484" s="51"/>
    </row>
    <row r="10485" spans="5:5">
      <c r="E10485" s="51"/>
    </row>
    <row r="10486" spans="5:5">
      <c r="E10486" s="51"/>
    </row>
    <row r="10487" spans="5:5">
      <c r="E10487" s="51"/>
    </row>
    <row r="10488" spans="5:5">
      <c r="E10488" s="51"/>
    </row>
    <row r="10489" spans="5:5">
      <c r="E10489" s="51"/>
    </row>
    <row r="10490" spans="5:5">
      <c r="E10490" s="51"/>
    </row>
    <row r="10491" spans="5:5">
      <c r="E10491" s="51"/>
    </row>
    <row r="10492" spans="5:5">
      <c r="E10492" s="51"/>
    </row>
    <row r="10493" spans="5:5">
      <c r="E10493" s="51"/>
    </row>
    <row r="10494" spans="5:5">
      <c r="E10494" s="51"/>
    </row>
    <row r="10495" spans="5:5">
      <c r="E10495" s="51"/>
    </row>
    <row r="10496" spans="5:5">
      <c r="E10496" s="51"/>
    </row>
    <row r="10497" spans="5:5">
      <c r="E10497" s="51"/>
    </row>
    <row r="10498" spans="5:5">
      <c r="E10498" s="51"/>
    </row>
    <row r="10499" spans="5:5">
      <c r="E10499" s="51"/>
    </row>
    <row r="10500" spans="5:5">
      <c r="E10500" s="51"/>
    </row>
    <row r="10501" spans="5:5">
      <c r="E10501" s="51"/>
    </row>
    <row r="10502" spans="5:5">
      <c r="E10502" s="51"/>
    </row>
    <row r="10503" spans="5:5">
      <c r="E10503" s="51"/>
    </row>
    <row r="10504" spans="5:5">
      <c r="E10504" s="51"/>
    </row>
    <row r="10505" spans="5:5">
      <c r="E10505" s="51"/>
    </row>
    <row r="10506" spans="5:5">
      <c r="E10506" s="51"/>
    </row>
    <row r="10507" spans="5:5">
      <c r="E10507" s="51"/>
    </row>
    <row r="10508" spans="5:5">
      <c r="E10508" s="51"/>
    </row>
    <row r="10509" spans="5:5">
      <c r="E10509" s="51"/>
    </row>
    <row r="10510" spans="5:5">
      <c r="E10510" s="51"/>
    </row>
    <row r="10511" spans="5:5">
      <c r="E10511" s="51"/>
    </row>
    <row r="10512" spans="5:5">
      <c r="E10512" s="51"/>
    </row>
    <row r="10513" spans="5:5">
      <c r="E10513" s="51"/>
    </row>
    <row r="10514" spans="5:5">
      <c r="E10514" s="51"/>
    </row>
    <row r="10515" spans="5:5">
      <c r="E10515" s="51"/>
    </row>
    <row r="10516" spans="5:5">
      <c r="E10516" s="51"/>
    </row>
    <row r="10517" spans="5:5">
      <c r="E10517" s="51"/>
    </row>
    <row r="10518" spans="5:5">
      <c r="E10518" s="51"/>
    </row>
    <row r="10519" spans="5:5">
      <c r="E10519" s="51"/>
    </row>
    <row r="10520" spans="5:5">
      <c r="E10520" s="51"/>
    </row>
    <row r="10521" spans="5:5">
      <c r="E10521" s="51"/>
    </row>
    <row r="10522" spans="5:5">
      <c r="E10522" s="51"/>
    </row>
    <row r="10523" spans="5:5">
      <c r="E10523" s="51"/>
    </row>
    <row r="10524" spans="5:5">
      <c r="E10524" s="51"/>
    </row>
    <row r="10525" spans="5:5">
      <c r="E10525" s="51"/>
    </row>
    <row r="10526" spans="5:5">
      <c r="E10526" s="51"/>
    </row>
    <row r="10527" spans="5:5">
      <c r="E10527" s="51"/>
    </row>
    <row r="10528" spans="5:5">
      <c r="E10528" s="51"/>
    </row>
    <row r="10529" spans="5:5">
      <c r="E10529" s="51"/>
    </row>
    <row r="10530" spans="5:5">
      <c r="E10530" s="51"/>
    </row>
    <row r="10531" spans="5:5">
      <c r="E10531" s="51"/>
    </row>
    <row r="10532" spans="5:5">
      <c r="E10532" s="51"/>
    </row>
    <row r="10533" spans="5:5">
      <c r="E10533" s="51"/>
    </row>
    <row r="10534" spans="5:5">
      <c r="E10534" s="51"/>
    </row>
    <row r="10535" spans="5:5">
      <c r="E10535" s="51"/>
    </row>
    <row r="10536" spans="5:5">
      <c r="E10536" s="51"/>
    </row>
    <row r="10537" spans="5:5">
      <c r="E10537" s="51"/>
    </row>
    <row r="10538" spans="5:5">
      <c r="E10538" s="51"/>
    </row>
    <row r="10539" spans="5:5">
      <c r="E10539" s="51"/>
    </row>
    <row r="10540" spans="5:5">
      <c r="E10540" s="51"/>
    </row>
    <row r="10541" spans="5:5">
      <c r="E10541" s="51"/>
    </row>
    <row r="10542" spans="5:5">
      <c r="E10542" s="51"/>
    </row>
    <row r="10543" spans="5:5">
      <c r="E10543" s="51"/>
    </row>
    <row r="10544" spans="5:5">
      <c r="E10544" s="51"/>
    </row>
    <row r="10545" spans="5:5">
      <c r="E10545" s="51"/>
    </row>
    <row r="10546" spans="5:5">
      <c r="E10546" s="51"/>
    </row>
    <row r="10547" spans="5:5">
      <c r="E10547" s="51"/>
    </row>
    <row r="10548" spans="5:5">
      <c r="E10548" s="51"/>
    </row>
    <row r="10549" spans="5:5">
      <c r="E10549" s="51"/>
    </row>
    <row r="10550" spans="5:5">
      <c r="E10550" s="51"/>
    </row>
    <row r="10551" spans="5:5">
      <c r="E10551" s="51"/>
    </row>
    <row r="10552" spans="5:5">
      <c r="E10552" s="51"/>
    </row>
    <row r="10553" spans="5:5">
      <c r="E10553" s="51"/>
    </row>
    <row r="10554" spans="5:5">
      <c r="E10554" s="51"/>
    </row>
    <row r="10555" spans="5:5">
      <c r="E10555" s="51"/>
    </row>
    <row r="10556" spans="5:5">
      <c r="E10556" s="51"/>
    </row>
    <row r="10557" spans="5:5">
      <c r="E10557" s="51"/>
    </row>
    <row r="10558" spans="5:5">
      <c r="E10558" s="51"/>
    </row>
    <row r="10559" spans="5:5">
      <c r="E10559" s="51"/>
    </row>
    <row r="10560" spans="5:5">
      <c r="E10560" s="51"/>
    </row>
    <row r="10561" spans="5:5">
      <c r="E10561" s="51"/>
    </row>
    <row r="10562" spans="5:5">
      <c r="E10562" s="51"/>
    </row>
    <row r="10563" spans="5:5">
      <c r="E10563" s="51"/>
    </row>
    <row r="10564" spans="5:5">
      <c r="E10564" s="51"/>
    </row>
    <row r="10565" spans="5:5">
      <c r="E10565" s="51"/>
    </row>
    <row r="10566" spans="5:5">
      <c r="E10566" s="51"/>
    </row>
    <row r="10567" spans="5:5">
      <c r="E10567" s="51"/>
    </row>
    <row r="10568" spans="5:5">
      <c r="E10568" s="51"/>
    </row>
    <row r="10569" spans="5:5">
      <c r="E10569" s="51"/>
    </row>
    <row r="10570" spans="5:5">
      <c r="E10570" s="51"/>
    </row>
    <row r="10571" spans="5:5">
      <c r="E10571" s="51"/>
    </row>
    <row r="10572" spans="5:5">
      <c r="E10572" s="51"/>
    </row>
    <row r="10573" spans="5:5">
      <c r="E10573" s="51"/>
    </row>
    <row r="10574" spans="5:5">
      <c r="E10574" s="51"/>
    </row>
    <row r="10575" spans="5:5">
      <c r="E10575" s="51"/>
    </row>
    <row r="10576" spans="5:5">
      <c r="E10576" s="51"/>
    </row>
    <row r="10577" spans="5:5">
      <c r="E10577" s="51"/>
    </row>
    <row r="10578" spans="5:5">
      <c r="E10578" s="51"/>
    </row>
    <row r="10579" spans="5:5">
      <c r="E10579" s="51"/>
    </row>
    <row r="10580" spans="5:5">
      <c r="E10580" s="51"/>
    </row>
    <row r="10581" spans="5:5">
      <c r="E10581" s="51"/>
    </row>
    <row r="10582" spans="5:5">
      <c r="E10582" s="51"/>
    </row>
    <row r="10583" spans="5:5">
      <c r="E10583" s="51"/>
    </row>
    <row r="10584" spans="5:5">
      <c r="E10584" s="51"/>
    </row>
    <row r="10585" spans="5:5">
      <c r="E10585" s="51"/>
    </row>
    <row r="10586" spans="5:5">
      <c r="E10586" s="51"/>
    </row>
    <row r="10587" spans="5:5">
      <c r="E10587" s="51"/>
    </row>
    <row r="10588" spans="5:5">
      <c r="E10588" s="51"/>
    </row>
    <row r="10589" spans="5:5">
      <c r="E10589" s="51"/>
    </row>
    <row r="10590" spans="5:5">
      <c r="E10590" s="51"/>
    </row>
    <row r="10591" spans="5:5">
      <c r="E10591" s="51"/>
    </row>
    <row r="10592" spans="5:5">
      <c r="E10592" s="51"/>
    </row>
    <row r="10593" spans="5:5">
      <c r="E10593" s="51"/>
    </row>
    <row r="10594" spans="5:5">
      <c r="E10594" s="51"/>
    </row>
    <row r="10595" spans="5:5">
      <c r="E10595" s="51"/>
    </row>
    <row r="10596" spans="5:5">
      <c r="E10596" s="51"/>
    </row>
    <row r="10597" spans="5:5">
      <c r="E10597" s="51"/>
    </row>
    <row r="10598" spans="5:5">
      <c r="E10598" s="51"/>
    </row>
    <row r="10599" spans="5:5">
      <c r="E10599" s="51"/>
    </row>
    <row r="10600" spans="5:5">
      <c r="E10600" s="51"/>
    </row>
    <row r="10601" spans="5:5">
      <c r="E10601" s="51"/>
    </row>
    <row r="10602" spans="5:5">
      <c r="E10602" s="51"/>
    </row>
    <row r="10603" spans="5:5">
      <c r="E10603" s="51"/>
    </row>
    <row r="10604" spans="5:5">
      <c r="E10604" s="51"/>
    </row>
    <row r="10605" spans="5:5">
      <c r="E10605" s="51"/>
    </row>
    <row r="10606" spans="5:5">
      <c r="E10606" s="51"/>
    </row>
    <row r="10607" spans="5:5">
      <c r="E10607" s="51"/>
    </row>
    <row r="10608" spans="5:5">
      <c r="E10608" s="51"/>
    </row>
    <row r="10609" spans="5:5">
      <c r="E10609" s="51"/>
    </row>
    <row r="10610" spans="5:5">
      <c r="E10610" s="51"/>
    </row>
    <row r="10611" spans="5:5">
      <c r="E10611" s="51"/>
    </row>
    <row r="10612" spans="5:5">
      <c r="E10612" s="51"/>
    </row>
    <row r="10613" spans="5:5">
      <c r="E10613" s="51"/>
    </row>
    <row r="10614" spans="5:5">
      <c r="E10614" s="51"/>
    </row>
    <row r="10615" spans="5:5">
      <c r="E10615" s="51"/>
    </row>
    <row r="10616" spans="5:5">
      <c r="E10616" s="51"/>
    </row>
    <row r="10617" spans="5:5">
      <c r="E10617" s="51"/>
    </row>
    <row r="10618" spans="5:5">
      <c r="E10618" s="51"/>
    </row>
    <row r="10619" spans="5:5">
      <c r="E10619" s="51"/>
    </row>
    <row r="10620" spans="5:5">
      <c r="E10620" s="51"/>
    </row>
    <row r="10621" spans="5:5">
      <c r="E10621" s="51"/>
    </row>
    <row r="10622" spans="5:5">
      <c r="E10622" s="51"/>
    </row>
    <row r="10623" spans="5:5">
      <c r="E10623" s="51"/>
    </row>
    <row r="10624" spans="5:5">
      <c r="E10624" s="51"/>
    </row>
    <row r="10625" spans="5:5">
      <c r="E10625" s="51"/>
    </row>
    <row r="10626" spans="5:5">
      <c r="E10626" s="51"/>
    </row>
    <row r="10627" spans="5:5">
      <c r="E10627" s="51"/>
    </row>
    <row r="10628" spans="5:5">
      <c r="E10628" s="51"/>
    </row>
    <row r="10629" spans="5:5">
      <c r="E10629" s="51"/>
    </row>
    <row r="10630" spans="5:5">
      <c r="E10630" s="51"/>
    </row>
    <row r="10631" spans="5:5">
      <c r="E10631" s="51"/>
    </row>
    <row r="10632" spans="5:5">
      <c r="E10632" s="51"/>
    </row>
    <row r="10633" spans="5:5">
      <c r="E10633" s="51"/>
    </row>
    <row r="10634" spans="5:5">
      <c r="E10634" s="51"/>
    </row>
    <row r="10635" spans="5:5">
      <c r="E10635" s="51"/>
    </row>
    <row r="10636" spans="5:5">
      <c r="E10636" s="51"/>
    </row>
    <row r="10637" spans="5:5">
      <c r="E10637" s="51"/>
    </row>
    <row r="10638" spans="5:5">
      <c r="E10638" s="51"/>
    </row>
    <row r="10639" spans="5:5">
      <c r="E10639" s="51"/>
    </row>
    <row r="10640" spans="5:5">
      <c r="E10640" s="51"/>
    </row>
    <row r="10641" spans="5:5">
      <c r="E10641" s="51"/>
    </row>
    <row r="10642" spans="5:5">
      <c r="E10642" s="51"/>
    </row>
    <row r="10643" spans="5:5">
      <c r="E10643" s="51"/>
    </row>
    <row r="10644" spans="5:5">
      <c r="E10644" s="51"/>
    </row>
    <row r="10645" spans="5:5">
      <c r="E10645" s="51"/>
    </row>
    <row r="10646" spans="5:5">
      <c r="E10646" s="51"/>
    </row>
    <row r="10647" spans="5:5">
      <c r="E10647" s="51"/>
    </row>
    <row r="10648" spans="5:5">
      <c r="E10648" s="51"/>
    </row>
    <row r="10649" spans="5:5">
      <c r="E10649" s="51"/>
    </row>
    <row r="10650" spans="5:5">
      <c r="E10650" s="51"/>
    </row>
    <row r="10651" spans="5:5">
      <c r="E10651" s="51"/>
    </row>
    <row r="10652" spans="5:5">
      <c r="E10652" s="51"/>
    </row>
    <row r="10653" spans="5:5">
      <c r="E10653" s="51"/>
    </row>
    <row r="10654" spans="5:5">
      <c r="E10654" s="51"/>
    </row>
    <row r="10655" spans="5:5">
      <c r="E10655" s="51"/>
    </row>
    <row r="10656" spans="5:5">
      <c r="E10656" s="51"/>
    </row>
    <row r="10657" spans="5:5">
      <c r="E10657" s="51"/>
    </row>
    <row r="10658" spans="5:5">
      <c r="E10658" s="51"/>
    </row>
    <row r="10659" spans="5:5">
      <c r="E10659" s="51"/>
    </row>
    <row r="10660" spans="5:5">
      <c r="E10660" s="51"/>
    </row>
    <row r="10661" spans="5:5">
      <c r="E10661" s="51"/>
    </row>
    <row r="10662" spans="5:5">
      <c r="E10662" s="51"/>
    </row>
    <row r="10663" spans="5:5">
      <c r="E10663" s="51"/>
    </row>
    <row r="10664" spans="5:5">
      <c r="E10664" s="51"/>
    </row>
    <row r="10665" spans="5:5">
      <c r="E10665" s="51"/>
    </row>
    <row r="10666" spans="5:5">
      <c r="E10666" s="51"/>
    </row>
    <row r="10667" spans="5:5">
      <c r="E10667" s="51"/>
    </row>
    <row r="10668" spans="5:5">
      <c r="E10668" s="51"/>
    </row>
    <row r="10669" spans="5:5">
      <c r="E10669" s="51"/>
    </row>
    <row r="10670" spans="5:5">
      <c r="E10670" s="51"/>
    </row>
    <row r="10671" spans="5:5">
      <c r="E10671" s="51"/>
    </row>
    <row r="10672" spans="5:5">
      <c r="E10672" s="51"/>
    </row>
    <row r="10673" spans="5:5">
      <c r="E10673" s="51"/>
    </row>
    <row r="10674" spans="5:5">
      <c r="E10674" s="51"/>
    </row>
    <row r="10675" spans="5:5">
      <c r="E10675" s="51"/>
    </row>
    <row r="10676" spans="5:5">
      <c r="E10676" s="51"/>
    </row>
    <row r="10677" spans="5:5">
      <c r="E10677" s="51"/>
    </row>
    <row r="10678" spans="5:5">
      <c r="E10678" s="51"/>
    </row>
    <row r="10679" spans="5:5">
      <c r="E10679" s="51"/>
    </row>
    <row r="10680" spans="5:5">
      <c r="E10680" s="51"/>
    </row>
    <row r="10681" spans="5:5">
      <c r="E10681" s="51"/>
    </row>
    <row r="10682" spans="5:5">
      <c r="E10682" s="51"/>
    </row>
    <row r="10683" spans="5:5">
      <c r="E10683" s="51"/>
    </row>
    <row r="10684" spans="5:5">
      <c r="E10684" s="51"/>
    </row>
    <row r="10685" spans="5:5">
      <c r="E10685" s="51"/>
    </row>
    <row r="10686" spans="5:5">
      <c r="E10686" s="51"/>
    </row>
    <row r="10687" spans="5:5">
      <c r="E10687" s="51"/>
    </row>
    <row r="10688" spans="5:5">
      <c r="E10688" s="51"/>
    </row>
    <row r="10689" spans="5:5">
      <c r="E10689" s="51"/>
    </row>
    <row r="10690" spans="5:5">
      <c r="E10690" s="51"/>
    </row>
    <row r="10691" spans="5:5">
      <c r="E10691" s="51"/>
    </row>
    <row r="10692" spans="5:5">
      <c r="E10692" s="51"/>
    </row>
    <row r="10693" spans="5:5">
      <c r="E10693" s="51"/>
    </row>
    <row r="10694" spans="5:5">
      <c r="E10694" s="51"/>
    </row>
    <row r="10695" spans="5:5">
      <c r="E10695" s="51"/>
    </row>
    <row r="10696" spans="5:5">
      <c r="E10696" s="51"/>
    </row>
    <row r="10697" spans="5:5">
      <c r="E10697" s="51"/>
    </row>
    <row r="10698" spans="5:5">
      <c r="E10698" s="51"/>
    </row>
    <row r="10699" spans="5:5">
      <c r="E10699" s="51"/>
    </row>
    <row r="10700" spans="5:5">
      <c r="E10700" s="51"/>
    </row>
    <row r="10701" spans="5:5">
      <c r="E10701" s="51"/>
    </row>
    <row r="10702" spans="5:5">
      <c r="E10702" s="51"/>
    </row>
    <row r="10703" spans="5:5">
      <c r="E10703" s="51"/>
    </row>
    <row r="10704" spans="5:5">
      <c r="E10704" s="51"/>
    </row>
    <row r="10705" spans="5:5">
      <c r="E10705" s="51"/>
    </row>
    <row r="10706" spans="5:5">
      <c r="E10706" s="51"/>
    </row>
    <row r="10707" spans="5:5">
      <c r="E10707" s="51"/>
    </row>
    <row r="10708" spans="5:5">
      <c r="E10708" s="51"/>
    </row>
    <row r="10709" spans="5:5">
      <c r="E10709" s="51"/>
    </row>
    <row r="10710" spans="5:5">
      <c r="E10710" s="51"/>
    </row>
    <row r="10711" spans="5:5">
      <c r="E10711" s="51"/>
    </row>
    <row r="10712" spans="5:5">
      <c r="E10712" s="51"/>
    </row>
    <row r="10713" spans="5:5">
      <c r="E10713" s="51"/>
    </row>
    <row r="10714" spans="5:5">
      <c r="E10714" s="51"/>
    </row>
    <row r="10715" spans="5:5">
      <c r="E10715" s="51"/>
    </row>
    <row r="10716" spans="5:5">
      <c r="E10716" s="51"/>
    </row>
    <row r="10717" spans="5:5">
      <c r="E10717" s="51"/>
    </row>
    <row r="10718" spans="5:5">
      <c r="E10718" s="51"/>
    </row>
    <row r="10719" spans="5:5">
      <c r="E10719" s="51"/>
    </row>
    <row r="10720" spans="5:5">
      <c r="E10720" s="51"/>
    </row>
    <row r="10721" spans="5:5">
      <c r="E10721" s="51"/>
    </row>
    <row r="10722" spans="5:5">
      <c r="E10722" s="51"/>
    </row>
    <row r="10723" spans="5:5">
      <c r="E10723" s="51"/>
    </row>
    <row r="10724" spans="5:5">
      <c r="E10724" s="51"/>
    </row>
    <row r="10725" spans="5:5">
      <c r="E10725" s="51"/>
    </row>
    <row r="10726" spans="5:5">
      <c r="E10726" s="51"/>
    </row>
    <row r="10727" spans="5:5">
      <c r="E10727" s="51"/>
    </row>
    <row r="10728" spans="5:5">
      <c r="E10728" s="51"/>
    </row>
    <row r="10729" spans="5:5">
      <c r="E10729" s="51"/>
    </row>
    <row r="10730" spans="5:5">
      <c r="E10730" s="51"/>
    </row>
    <row r="10731" spans="5:5">
      <c r="E10731" s="51"/>
    </row>
    <row r="10732" spans="5:5">
      <c r="E10732" s="51"/>
    </row>
    <row r="10733" spans="5:5">
      <c r="E10733" s="51"/>
    </row>
    <row r="10734" spans="5:5">
      <c r="E10734" s="51"/>
    </row>
    <row r="10735" spans="5:5">
      <c r="E10735" s="51"/>
    </row>
    <row r="10736" spans="5:5">
      <c r="E10736" s="51"/>
    </row>
    <row r="10737" spans="5:5">
      <c r="E10737" s="51"/>
    </row>
    <row r="10738" spans="5:5">
      <c r="E10738" s="51"/>
    </row>
    <row r="10739" spans="5:5">
      <c r="E10739" s="51"/>
    </row>
    <row r="10740" spans="5:5">
      <c r="E10740" s="51"/>
    </row>
    <row r="10741" spans="5:5">
      <c r="E10741" s="51"/>
    </row>
    <row r="10742" spans="5:5">
      <c r="E10742" s="51"/>
    </row>
    <row r="10743" spans="5:5">
      <c r="E10743" s="51"/>
    </row>
    <row r="10744" spans="5:5">
      <c r="E10744" s="51"/>
    </row>
    <row r="10745" spans="5:5">
      <c r="E10745" s="51"/>
    </row>
    <row r="10746" spans="5:5">
      <c r="E10746" s="51"/>
    </row>
    <row r="10747" spans="5:5">
      <c r="E10747" s="51"/>
    </row>
    <row r="10748" spans="5:5">
      <c r="E10748" s="51"/>
    </row>
    <row r="10749" spans="5:5">
      <c r="E10749" s="51"/>
    </row>
    <row r="10750" spans="5:5">
      <c r="E10750" s="51"/>
    </row>
    <row r="10751" spans="5:5">
      <c r="E10751" s="51"/>
    </row>
    <row r="10752" spans="5:5">
      <c r="E10752" s="51"/>
    </row>
    <row r="10753" spans="5:5">
      <c r="E10753" s="51"/>
    </row>
    <row r="10754" spans="5:5">
      <c r="E10754" s="51"/>
    </row>
    <row r="10755" spans="5:5">
      <c r="E10755" s="51"/>
    </row>
    <row r="10756" spans="5:5">
      <c r="E10756" s="51"/>
    </row>
    <row r="10757" spans="5:5">
      <c r="E10757" s="51"/>
    </row>
    <row r="10758" spans="5:5">
      <c r="E10758" s="51"/>
    </row>
    <row r="10759" spans="5:5">
      <c r="E10759" s="51"/>
    </row>
    <row r="10760" spans="5:5">
      <c r="E10760" s="51"/>
    </row>
    <row r="10761" spans="5:5">
      <c r="E10761" s="51"/>
    </row>
    <row r="10762" spans="5:5">
      <c r="E10762" s="51"/>
    </row>
    <row r="10763" spans="5:5">
      <c r="E10763" s="51"/>
    </row>
    <row r="10764" spans="5:5">
      <c r="E10764" s="51"/>
    </row>
    <row r="10765" spans="5:5">
      <c r="E10765" s="51"/>
    </row>
    <row r="10766" spans="5:5">
      <c r="E10766" s="51"/>
    </row>
    <row r="10767" spans="5:5">
      <c r="E10767" s="51"/>
    </row>
    <row r="10768" spans="5:5">
      <c r="E10768" s="51"/>
    </row>
    <row r="10769" spans="5:5">
      <c r="E10769" s="51"/>
    </row>
    <row r="10770" spans="5:5">
      <c r="E10770" s="51"/>
    </row>
    <row r="10771" spans="5:5">
      <c r="E10771" s="51"/>
    </row>
    <row r="10772" spans="5:5">
      <c r="E10772" s="51"/>
    </row>
    <row r="10773" spans="5:5">
      <c r="E10773" s="51"/>
    </row>
    <row r="10774" spans="5:5">
      <c r="E10774" s="51"/>
    </row>
    <row r="10775" spans="5:5">
      <c r="E10775" s="51"/>
    </row>
    <row r="10776" spans="5:5">
      <c r="E10776" s="51"/>
    </row>
    <row r="10777" spans="5:5">
      <c r="E10777" s="51"/>
    </row>
    <row r="10778" spans="5:5">
      <c r="E10778" s="51"/>
    </row>
    <row r="10779" spans="5:5">
      <c r="E10779" s="51"/>
    </row>
    <row r="10780" spans="5:5">
      <c r="E10780" s="51"/>
    </row>
    <row r="10781" spans="5:5">
      <c r="E10781" s="51"/>
    </row>
    <row r="10782" spans="5:5">
      <c r="E10782" s="51"/>
    </row>
    <row r="10783" spans="5:5">
      <c r="E10783" s="51"/>
    </row>
    <row r="10784" spans="5:5">
      <c r="E10784" s="51"/>
    </row>
    <row r="10785" spans="5:5">
      <c r="E10785" s="51"/>
    </row>
    <row r="10786" spans="5:5">
      <c r="E10786" s="51"/>
    </row>
    <row r="10787" spans="5:5">
      <c r="E10787" s="51"/>
    </row>
    <row r="10788" spans="5:5">
      <c r="E10788" s="51"/>
    </row>
    <row r="10789" spans="5:5">
      <c r="E10789" s="51"/>
    </row>
    <row r="10790" spans="5:5">
      <c r="E10790" s="51"/>
    </row>
    <row r="10791" spans="5:5">
      <c r="E10791" s="51"/>
    </row>
    <row r="10792" spans="5:5">
      <c r="E10792" s="51"/>
    </row>
    <row r="10793" spans="5:5">
      <c r="E10793" s="51"/>
    </row>
    <row r="10794" spans="5:5">
      <c r="E10794" s="51"/>
    </row>
    <row r="10795" spans="5:5">
      <c r="E10795" s="51"/>
    </row>
    <row r="10796" spans="5:5">
      <c r="E10796" s="51"/>
    </row>
    <row r="10797" spans="5:5">
      <c r="E10797" s="51"/>
    </row>
    <row r="10798" spans="5:5">
      <c r="E10798" s="51"/>
    </row>
    <row r="10799" spans="5:5">
      <c r="E10799" s="51"/>
    </row>
    <row r="10800" spans="5:5">
      <c r="E10800" s="51"/>
    </row>
    <row r="10801" spans="5:5">
      <c r="E10801" s="51"/>
    </row>
    <row r="10802" spans="5:5">
      <c r="E10802" s="51"/>
    </row>
    <row r="10803" spans="5:5">
      <c r="E10803" s="51"/>
    </row>
    <row r="10804" spans="5:5">
      <c r="E10804" s="51"/>
    </row>
    <row r="10805" spans="5:5">
      <c r="E10805" s="51"/>
    </row>
    <row r="10806" spans="5:5">
      <c r="E10806" s="51"/>
    </row>
    <row r="10807" spans="5:5">
      <c r="E10807" s="51"/>
    </row>
    <row r="10808" spans="5:5">
      <c r="E10808" s="51"/>
    </row>
    <row r="10809" spans="5:5">
      <c r="E10809" s="51"/>
    </row>
    <row r="10810" spans="5:5">
      <c r="E10810" s="51"/>
    </row>
    <row r="10811" spans="5:5">
      <c r="E10811" s="51"/>
    </row>
    <row r="10812" spans="5:5">
      <c r="E10812" s="51"/>
    </row>
    <row r="10813" spans="5:5">
      <c r="E10813" s="51"/>
    </row>
    <row r="10814" spans="5:5">
      <c r="E10814" s="51"/>
    </row>
    <row r="10815" spans="5:5">
      <c r="E10815" s="51"/>
    </row>
    <row r="10816" spans="5:5">
      <c r="E10816" s="51"/>
    </row>
    <row r="10817" spans="5:5">
      <c r="E10817" s="51"/>
    </row>
    <row r="10818" spans="5:5">
      <c r="E10818" s="51"/>
    </row>
    <row r="10819" spans="5:5">
      <c r="E10819" s="51"/>
    </row>
    <row r="10820" spans="5:5">
      <c r="E10820" s="51"/>
    </row>
    <row r="10821" spans="5:5">
      <c r="E10821" s="51"/>
    </row>
    <row r="10822" spans="5:5">
      <c r="E10822" s="51"/>
    </row>
    <row r="10823" spans="5:5">
      <c r="E10823" s="51"/>
    </row>
    <row r="10824" spans="5:5">
      <c r="E10824" s="51"/>
    </row>
    <row r="10825" spans="5:5">
      <c r="E10825" s="51"/>
    </row>
    <row r="10826" spans="5:5">
      <c r="E10826" s="51"/>
    </row>
    <row r="10827" spans="5:5">
      <c r="E10827" s="51"/>
    </row>
    <row r="10828" spans="5:5">
      <c r="E10828" s="51"/>
    </row>
    <row r="10829" spans="5:5">
      <c r="E10829" s="51"/>
    </row>
    <row r="10830" spans="5:5">
      <c r="E10830" s="51"/>
    </row>
    <row r="10831" spans="5:5">
      <c r="E10831" s="51"/>
    </row>
    <row r="10832" spans="5:5">
      <c r="E10832" s="51"/>
    </row>
    <row r="10833" spans="5:5">
      <c r="E10833" s="51"/>
    </row>
    <row r="10834" spans="5:5">
      <c r="E10834" s="51"/>
    </row>
    <row r="10835" spans="5:5">
      <c r="E10835" s="51"/>
    </row>
    <row r="10836" spans="5:5">
      <c r="E10836" s="51"/>
    </row>
    <row r="10837" spans="5:5">
      <c r="E10837" s="51"/>
    </row>
    <row r="10838" spans="5:5">
      <c r="E10838" s="51"/>
    </row>
    <row r="10839" spans="5:5">
      <c r="E10839" s="51"/>
    </row>
    <row r="10840" spans="5:5">
      <c r="E10840" s="51"/>
    </row>
    <row r="10841" spans="5:5">
      <c r="E10841" s="51"/>
    </row>
    <row r="10842" spans="5:5">
      <c r="E10842" s="51"/>
    </row>
    <row r="10843" spans="5:5">
      <c r="E10843" s="51"/>
    </row>
    <row r="10844" spans="5:5">
      <c r="E10844" s="51"/>
    </row>
    <row r="10845" spans="5:5">
      <c r="E10845" s="51"/>
    </row>
    <row r="10846" spans="5:5">
      <c r="E10846" s="51"/>
    </row>
    <row r="10847" spans="5:5">
      <c r="E10847" s="51"/>
    </row>
    <row r="10848" spans="5:5">
      <c r="E10848" s="51"/>
    </row>
    <row r="10849" spans="5:5">
      <c r="E10849" s="51"/>
    </row>
    <row r="10850" spans="5:5">
      <c r="E10850" s="51"/>
    </row>
    <row r="10851" spans="5:5">
      <c r="E10851" s="51"/>
    </row>
    <row r="10852" spans="5:5">
      <c r="E10852" s="51"/>
    </row>
    <row r="10853" spans="5:5">
      <c r="E10853" s="51"/>
    </row>
    <row r="10854" spans="5:5">
      <c r="E10854" s="51"/>
    </row>
    <row r="10855" spans="5:5">
      <c r="E10855" s="51"/>
    </row>
    <row r="10856" spans="5:5">
      <c r="E10856" s="51"/>
    </row>
    <row r="10857" spans="5:5">
      <c r="E10857" s="51"/>
    </row>
    <row r="10858" spans="5:5">
      <c r="E10858" s="51"/>
    </row>
    <row r="10859" spans="5:5">
      <c r="E10859" s="51"/>
    </row>
    <row r="10860" spans="5:5">
      <c r="E10860" s="51"/>
    </row>
    <row r="10861" spans="5:5">
      <c r="E10861" s="51"/>
    </row>
    <row r="10862" spans="5:5">
      <c r="E10862" s="51"/>
    </row>
    <row r="10863" spans="5:5">
      <c r="E10863" s="51"/>
    </row>
    <row r="10864" spans="5:5">
      <c r="E10864" s="51"/>
    </row>
    <row r="10865" spans="5:5">
      <c r="E10865" s="51"/>
    </row>
    <row r="10866" spans="5:5">
      <c r="E10866" s="51"/>
    </row>
    <row r="10867" spans="5:5">
      <c r="E10867" s="51"/>
    </row>
    <row r="10868" spans="5:5">
      <c r="E10868" s="51"/>
    </row>
    <row r="10869" spans="5:5">
      <c r="E10869" s="51"/>
    </row>
    <row r="10870" spans="5:5">
      <c r="E10870" s="51"/>
    </row>
    <row r="10871" spans="5:5">
      <c r="E10871" s="51"/>
    </row>
    <row r="10872" spans="5:5">
      <c r="E10872" s="51"/>
    </row>
    <row r="10873" spans="5:5">
      <c r="E10873" s="51"/>
    </row>
    <row r="10874" spans="5:5">
      <c r="E10874" s="51"/>
    </row>
    <row r="10875" spans="5:5">
      <c r="E10875" s="51"/>
    </row>
    <row r="10876" spans="5:5">
      <c r="E10876" s="51"/>
    </row>
    <row r="10877" spans="5:5">
      <c r="E10877" s="51"/>
    </row>
    <row r="10878" spans="5:5">
      <c r="E10878" s="51"/>
    </row>
    <row r="10879" spans="5:5">
      <c r="E10879" s="51"/>
    </row>
    <row r="10880" spans="5:5">
      <c r="E10880" s="51"/>
    </row>
    <row r="10881" spans="5:5">
      <c r="E10881" s="51"/>
    </row>
    <row r="10882" spans="5:5">
      <c r="E10882" s="51"/>
    </row>
    <row r="10883" spans="5:5">
      <c r="E10883" s="51"/>
    </row>
    <row r="10884" spans="5:5">
      <c r="E10884" s="51"/>
    </row>
    <row r="10885" spans="5:5">
      <c r="E10885" s="51"/>
    </row>
    <row r="10886" spans="5:5">
      <c r="E10886" s="51"/>
    </row>
    <row r="10887" spans="5:5">
      <c r="E10887" s="51"/>
    </row>
    <row r="10888" spans="5:5">
      <c r="E10888" s="51"/>
    </row>
    <row r="10889" spans="5:5">
      <c r="E10889" s="51"/>
    </row>
    <row r="10890" spans="5:5">
      <c r="E10890" s="51"/>
    </row>
    <row r="10891" spans="5:5">
      <c r="E10891" s="51"/>
    </row>
    <row r="10892" spans="5:5">
      <c r="E10892" s="51"/>
    </row>
    <row r="10893" spans="5:5">
      <c r="E10893" s="51"/>
    </row>
    <row r="10894" spans="5:5">
      <c r="E10894" s="51"/>
    </row>
    <row r="10895" spans="5:5">
      <c r="E10895" s="51"/>
    </row>
    <row r="10896" spans="5:5">
      <c r="E10896" s="51"/>
    </row>
    <row r="10897" spans="5:5">
      <c r="E10897" s="51"/>
    </row>
    <row r="10898" spans="5:5">
      <c r="E10898" s="51"/>
    </row>
    <row r="10899" spans="5:5">
      <c r="E10899" s="51"/>
    </row>
    <row r="10900" spans="5:5">
      <c r="E10900" s="51"/>
    </row>
    <row r="10901" spans="5:5">
      <c r="E10901" s="51"/>
    </row>
    <row r="10902" spans="5:5">
      <c r="E10902" s="51"/>
    </row>
    <row r="10903" spans="5:5">
      <c r="E10903" s="51"/>
    </row>
    <row r="10904" spans="5:5">
      <c r="E10904" s="51"/>
    </row>
    <row r="10905" spans="5:5">
      <c r="E10905" s="51"/>
    </row>
    <row r="10906" spans="5:5">
      <c r="E10906" s="51"/>
    </row>
    <row r="10907" spans="5:5">
      <c r="E10907" s="51"/>
    </row>
    <row r="10908" spans="5:5">
      <c r="E10908" s="51"/>
    </row>
    <row r="10909" spans="5:5">
      <c r="E10909" s="51"/>
    </row>
    <row r="10910" spans="5:5">
      <c r="E10910" s="51"/>
    </row>
    <row r="10911" spans="5:5">
      <c r="E10911" s="51"/>
    </row>
    <row r="10912" spans="5:5">
      <c r="E10912" s="51"/>
    </row>
    <row r="10913" spans="5:5">
      <c r="E10913" s="51"/>
    </row>
    <row r="10914" spans="5:5">
      <c r="E10914" s="51"/>
    </row>
    <row r="10915" spans="5:5">
      <c r="E10915" s="51"/>
    </row>
    <row r="10916" spans="5:5">
      <c r="E10916" s="51"/>
    </row>
    <row r="10917" spans="5:5">
      <c r="E10917" s="51"/>
    </row>
    <row r="10918" spans="5:5">
      <c r="E10918" s="51"/>
    </row>
    <row r="10919" spans="5:5">
      <c r="E10919" s="51"/>
    </row>
    <row r="10920" spans="5:5">
      <c r="E10920" s="51"/>
    </row>
    <row r="10921" spans="5:5">
      <c r="E10921" s="51"/>
    </row>
    <row r="10922" spans="5:5">
      <c r="E10922" s="51"/>
    </row>
    <row r="10923" spans="5:5">
      <c r="E10923" s="51"/>
    </row>
    <row r="10924" spans="5:5">
      <c r="E10924" s="51"/>
    </row>
    <row r="10925" spans="5:5">
      <c r="E10925" s="51"/>
    </row>
    <row r="10926" spans="5:5">
      <c r="E10926" s="51"/>
    </row>
    <row r="10927" spans="5:5">
      <c r="E10927" s="51"/>
    </row>
    <row r="10928" spans="5:5">
      <c r="E10928" s="51"/>
    </row>
    <row r="10929" spans="5:5">
      <c r="E10929" s="51"/>
    </row>
    <row r="10930" spans="5:5">
      <c r="E10930" s="51"/>
    </row>
    <row r="10931" spans="5:5">
      <c r="E10931" s="51"/>
    </row>
    <row r="10932" spans="5:5">
      <c r="E10932" s="51"/>
    </row>
    <row r="10933" spans="5:5">
      <c r="E10933" s="51"/>
    </row>
    <row r="10934" spans="5:5">
      <c r="E10934" s="51"/>
    </row>
    <row r="10935" spans="5:5">
      <c r="E10935" s="51"/>
    </row>
    <row r="10936" spans="5:5">
      <c r="E10936" s="51"/>
    </row>
    <row r="10937" spans="5:5">
      <c r="E10937" s="51"/>
    </row>
    <row r="10938" spans="5:5">
      <c r="E10938" s="51"/>
    </row>
    <row r="10939" spans="5:5">
      <c r="E10939" s="51"/>
    </row>
    <row r="10940" spans="5:5">
      <c r="E10940" s="51"/>
    </row>
    <row r="10941" spans="5:5">
      <c r="E10941" s="51"/>
    </row>
    <row r="10942" spans="5:5">
      <c r="E10942" s="51"/>
    </row>
    <row r="10943" spans="5:5">
      <c r="E10943" s="51"/>
    </row>
    <row r="10944" spans="5:5">
      <c r="E10944" s="51"/>
    </row>
    <row r="10945" spans="5:5">
      <c r="E10945" s="51"/>
    </row>
    <row r="10946" spans="5:5">
      <c r="E10946" s="51"/>
    </row>
    <row r="10947" spans="5:5">
      <c r="E10947" s="51"/>
    </row>
    <row r="10948" spans="5:5">
      <c r="E10948" s="51"/>
    </row>
    <row r="10949" spans="5:5">
      <c r="E10949" s="51"/>
    </row>
    <row r="10950" spans="5:5">
      <c r="E10950" s="51"/>
    </row>
    <row r="10951" spans="5:5">
      <c r="E10951" s="51"/>
    </row>
    <row r="10952" spans="5:5">
      <c r="E10952" s="51"/>
    </row>
    <row r="10953" spans="5:5">
      <c r="E10953" s="51"/>
    </row>
    <row r="10954" spans="5:5">
      <c r="E10954" s="51"/>
    </row>
    <row r="10955" spans="5:5">
      <c r="E10955" s="51"/>
    </row>
    <row r="10956" spans="5:5">
      <c r="E10956" s="51"/>
    </row>
    <row r="10957" spans="5:5">
      <c r="E10957" s="51"/>
    </row>
    <row r="10958" spans="5:5">
      <c r="E10958" s="51"/>
    </row>
    <row r="10959" spans="5:5">
      <c r="E10959" s="51"/>
    </row>
    <row r="10960" spans="5:5">
      <c r="E10960" s="51"/>
    </row>
    <row r="10961" spans="5:5">
      <c r="E10961" s="51"/>
    </row>
    <row r="10962" spans="5:5">
      <c r="E10962" s="51"/>
    </row>
    <row r="10963" spans="5:5">
      <c r="E10963" s="51"/>
    </row>
    <row r="10964" spans="5:5">
      <c r="E10964" s="51"/>
    </row>
    <row r="10965" spans="5:5">
      <c r="E10965" s="51"/>
    </row>
    <row r="10966" spans="5:5">
      <c r="E10966" s="51"/>
    </row>
    <row r="10967" spans="5:5">
      <c r="E10967" s="51"/>
    </row>
    <row r="10968" spans="5:5">
      <c r="E10968" s="51"/>
    </row>
    <row r="10969" spans="5:5">
      <c r="E10969" s="51"/>
    </row>
    <row r="10970" spans="5:5">
      <c r="E10970" s="51"/>
    </row>
    <row r="10971" spans="5:5">
      <c r="E10971" s="51"/>
    </row>
    <row r="10972" spans="5:5">
      <c r="E10972" s="51"/>
    </row>
    <row r="10973" spans="5:5">
      <c r="E10973" s="51"/>
    </row>
    <row r="10974" spans="5:5">
      <c r="E10974" s="51"/>
    </row>
    <row r="10975" spans="5:5">
      <c r="E10975" s="51"/>
    </row>
    <row r="10976" spans="5:5">
      <c r="E10976" s="51"/>
    </row>
    <row r="10977" spans="5:5">
      <c r="E10977" s="51"/>
    </row>
    <row r="10978" spans="5:5">
      <c r="E10978" s="51"/>
    </row>
    <row r="10979" spans="5:5">
      <c r="E10979" s="51"/>
    </row>
    <row r="10980" spans="5:5">
      <c r="E10980" s="51"/>
    </row>
    <row r="10981" spans="5:5">
      <c r="E10981" s="51"/>
    </row>
    <row r="10982" spans="5:5">
      <c r="E10982" s="51"/>
    </row>
    <row r="10983" spans="5:5">
      <c r="E10983" s="51"/>
    </row>
    <row r="10984" spans="5:5">
      <c r="E10984" s="51"/>
    </row>
    <row r="10985" spans="5:5">
      <c r="E10985" s="51"/>
    </row>
    <row r="10986" spans="5:5">
      <c r="E10986" s="51"/>
    </row>
    <row r="10987" spans="5:5">
      <c r="E10987" s="51"/>
    </row>
    <row r="10988" spans="5:5">
      <c r="E10988" s="51"/>
    </row>
    <row r="10989" spans="5:5">
      <c r="E10989" s="51"/>
    </row>
    <row r="10990" spans="5:5">
      <c r="E10990" s="51"/>
    </row>
    <row r="10991" spans="5:5">
      <c r="E10991" s="51"/>
    </row>
    <row r="10992" spans="5:5">
      <c r="E10992" s="51"/>
    </row>
    <row r="10993" spans="5:5">
      <c r="E10993" s="51"/>
    </row>
    <row r="10994" spans="5:5">
      <c r="E10994" s="51"/>
    </row>
    <row r="10995" spans="5:5">
      <c r="E10995" s="51"/>
    </row>
    <row r="10996" spans="5:5">
      <c r="E10996" s="51"/>
    </row>
    <row r="10997" spans="5:5">
      <c r="E10997" s="51"/>
    </row>
    <row r="10998" spans="5:5">
      <c r="E10998" s="51"/>
    </row>
    <row r="10999" spans="5:5">
      <c r="E10999" s="51"/>
    </row>
    <row r="11000" spans="5:5">
      <c r="E11000" s="51"/>
    </row>
    <row r="11001" spans="5:5">
      <c r="E11001" s="51"/>
    </row>
    <row r="11002" spans="5:5">
      <c r="E11002" s="51"/>
    </row>
    <row r="11003" spans="5:5">
      <c r="E11003" s="51"/>
    </row>
    <row r="11004" spans="5:5">
      <c r="E11004" s="51"/>
    </row>
    <row r="11005" spans="5:5">
      <c r="E11005" s="51"/>
    </row>
    <row r="11006" spans="5:5">
      <c r="E11006" s="51"/>
    </row>
    <row r="11007" spans="5:5">
      <c r="E11007" s="51"/>
    </row>
    <row r="11008" spans="5:5">
      <c r="E11008" s="51"/>
    </row>
    <row r="11009" spans="5:5">
      <c r="E11009" s="51"/>
    </row>
    <row r="11010" spans="5:5">
      <c r="E11010" s="51"/>
    </row>
    <row r="11011" spans="5:5">
      <c r="E11011" s="51"/>
    </row>
    <row r="11012" spans="5:5">
      <c r="E11012" s="51"/>
    </row>
    <row r="11013" spans="5:5">
      <c r="E11013" s="51"/>
    </row>
    <row r="11014" spans="5:5">
      <c r="E11014" s="51"/>
    </row>
    <row r="11015" spans="5:5">
      <c r="E11015" s="51"/>
    </row>
    <row r="11016" spans="5:5">
      <c r="E11016" s="51"/>
    </row>
    <row r="11017" spans="5:5">
      <c r="E11017" s="51"/>
    </row>
    <row r="11018" spans="5:5">
      <c r="E11018" s="51"/>
    </row>
    <row r="11019" spans="5:5">
      <c r="E11019" s="51"/>
    </row>
    <row r="11020" spans="5:5">
      <c r="E11020" s="51"/>
    </row>
    <row r="11021" spans="5:5">
      <c r="E11021" s="51"/>
    </row>
    <row r="11022" spans="5:5">
      <c r="E11022" s="51"/>
    </row>
    <row r="11023" spans="5:5">
      <c r="E11023" s="51"/>
    </row>
    <row r="11024" spans="5:5">
      <c r="E11024" s="51"/>
    </row>
    <row r="11025" spans="5:5">
      <c r="E11025" s="51"/>
    </row>
    <row r="11026" spans="5:5">
      <c r="E11026" s="51"/>
    </row>
    <row r="11027" spans="5:5">
      <c r="E11027" s="51"/>
    </row>
    <row r="11028" spans="5:5">
      <c r="E11028" s="51"/>
    </row>
    <row r="11029" spans="5:5">
      <c r="E11029" s="51"/>
    </row>
    <row r="11030" spans="5:5">
      <c r="E11030" s="51"/>
    </row>
    <row r="11031" spans="5:5">
      <c r="E11031" s="51"/>
    </row>
    <row r="11032" spans="5:5">
      <c r="E11032" s="51"/>
    </row>
    <row r="11033" spans="5:5">
      <c r="E11033" s="51"/>
    </row>
    <row r="11034" spans="5:5">
      <c r="E11034" s="51"/>
    </row>
    <row r="11035" spans="5:5">
      <c r="E11035" s="51"/>
    </row>
    <row r="11036" spans="5:5">
      <c r="E11036" s="51"/>
    </row>
    <row r="11037" spans="5:5">
      <c r="E11037" s="51"/>
    </row>
    <row r="11038" spans="5:5">
      <c r="E11038" s="51"/>
    </row>
    <row r="11039" spans="5:5">
      <c r="E11039" s="51"/>
    </row>
    <row r="11040" spans="5:5">
      <c r="E11040" s="51"/>
    </row>
    <row r="11041" spans="5:5">
      <c r="E11041" s="51"/>
    </row>
    <row r="11042" spans="5:5">
      <c r="E11042" s="51"/>
    </row>
    <row r="11043" spans="5:5">
      <c r="E11043" s="51"/>
    </row>
    <row r="11044" spans="5:5">
      <c r="E11044" s="51"/>
    </row>
    <row r="11045" spans="5:5">
      <c r="E11045" s="51"/>
    </row>
    <row r="11046" spans="5:5">
      <c r="E11046" s="51"/>
    </row>
    <row r="11047" spans="5:5">
      <c r="E11047" s="51"/>
    </row>
    <row r="11048" spans="5:5">
      <c r="E11048" s="51"/>
    </row>
    <row r="11049" spans="5:5">
      <c r="E11049" s="51"/>
    </row>
    <row r="11050" spans="5:5">
      <c r="E11050" s="51"/>
    </row>
    <row r="11051" spans="5:5">
      <c r="E11051" s="51"/>
    </row>
    <row r="11052" spans="5:5">
      <c r="E11052" s="51"/>
    </row>
    <row r="11053" spans="5:5">
      <c r="E11053" s="51"/>
    </row>
    <row r="11054" spans="5:5">
      <c r="E11054" s="51"/>
    </row>
    <row r="11055" spans="5:5">
      <c r="E11055" s="51"/>
    </row>
    <row r="11056" spans="5:5">
      <c r="E11056" s="51"/>
    </row>
    <row r="11057" spans="5:5">
      <c r="E11057" s="51"/>
    </row>
    <row r="11058" spans="5:5">
      <c r="E11058" s="51"/>
    </row>
    <row r="11059" spans="5:5">
      <c r="E11059" s="51"/>
    </row>
    <row r="11060" spans="5:5">
      <c r="E11060" s="51"/>
    </row>
    <row r="11061" spans="5:5">
      <c r="E11061" s="51"/>
    </row>
    <row r="11062" spans="5:5">
      <c r="E11062" s="51"/>
    </row>
    <row r="11063" spans="5:5">
      <c r="E11063" s="51"/>
    </row>
    <row r="11064" spans="5:5">
      <c r="E11064" s="51"/>
    </row>
    <row r="11065" spans="5:5">
      <c r="E11065" s="51"/>
    </row>
    <row r="11066" spans="5:5">
      <c r="E11066" s="51"/>
    </row>
    <row r="11067" spans="5:5">
      <c r="E11067" s="51"/>
    </row>
    <row r="11068" spans="5:5">
      <c r="E11068" s="51"/>
    </row>
    <row r="11069" spans="5:5">
      <c r="E11069" s="51"/>
    </row>
    <row r="11070" spans="5:5">
      <c r="E11070" s="51"/>
    </row>
    <row r="11071" spans="5:5">
      <c r="E11071" s="51"/>
    </row>
    <row r="11072" spans="5:5">
      <c r="E11072" s="51"/>
    </row>
    <row r="11073" spans="5:5">
      <c r="E11073" s="51"/>
    </row>
    <row r="11074" spans="5:5">
      <c r="E11074" s="51"/>
    </row>
    <row r="11075" spans="5:5">
      <c r="E11075" s="51"/>
    </row>
    <row r="11076" spans="5:5">
      <c r="E11076" s="51"/>
    </row>
    <row r="11077" spans="5:5">
      <c r="E11077" s="51"/>
    </row>
    <row r="11078" spans="5:5">
      <c r="E11078" s="51"/>
    </row>
    <row r="11079" spans="5:5">
      <c r="E11079" s="51"/>
    </row>
    <row r="11080" spans="5:5">
      <c r="E11080" s="51"/>
    </row>
    <row r="11081" spans="5:5">
      <c r="E11081" s="51"/>
    </row>
    <row r="11082" spans="5:5">
      <c r="E11082" s="51"/>
    </row>
    <row r="11083" spans="5:5">
      <c r="E11083" s="51"/>
    </row>
    <row r="11084" spans="5:5">
      <c r="E11084" s="51"/>
    </row>
    <row r="11085" spans="5:5">
      <c r="E11085" s="51"/>
    </row>
    <row r="11086" spans="5:5">
      <c r="E11086" s="51"/>
    </row>
    <row r="11087" spans="5:5">
      <c r="E11087" s="51"/>
    </row>
    <row r="11088" spans="5:5">
      <c r="E11088" s="51"/>
    </row>
    <row r="11089" spans="5:5">
      <c r="E11089" s="51"/>
    </row>
    <row r="11090" spans="5:5">
      <c r="E11090" s="51"/>
    </row>
    <row r="11091" spans="5:5">
      <c r="E11091" s="51"/>
    </row>
    <row r="11092" spans="5:5">
      <c r="E11092" s="51"/>
    </row>
    <row r="11093" spans="5:5">
      <c r="E11093" s="51"/>
    </row>
    <row r="11094" spans="5:5">
      <c r="E11094" s="51"/>
    </row>
    <row r="11095" spans="5:5">
      <c r="E11095" s="51"/>
    </row>
    <row r="11096" spans="5:5">
      <c r="E11096" s="51"/>
    </row>
    <row r="11097" spans="5:5">
      <c r="E11097" s="51"/>
    </row>
    <row r="11098" spans="5:5">
      <c r="E11098" s="51"/>
    </row>
    <row r="11099" spans="5:5">
      <c r="E11099" s="51"/>
    </row>
    <row r="11100" spans="5:5">
      <c r="E11100" s="51"/>
    </row>
    <row r="11101" spans="5:5">
      <c r="E11101" s="51"/>
    </row>
    <row r="11102" spans="5:5">
      <c r="E11102" s="51"/>
    </row>
    <row r="11103" spans="5:5">
      <c r="E11103" s="51"/>
    </row>
    <row r="11104" spans="5:5">
      <c r="E11104" s="51"/>
    </row>
    <row r="11105" spans="5:5">
      <c r="E11105" s="51"/>
    </row>
    <row r="11106" spans="5:5">
      <c r="E11106" s="51"/>
    </row>
    <row r="11107" spans="5:5">
      <c r="E11107" s="51"/>
    </row>
    <row r="11108" spans="5:5">
      <c r="E11108" s="51"/>
    </row>
    <row r="11109" spans="5:5">
      <c r="E11109" s="51"/>
    </row>
    <row r="11110" spans="5:5">
      <c r="E11110" s="51"/>
    </row>
    <row r="11111" spans="5:5">
      <c r="E11111" s="51"/>
    </row>
    <row r="11112" spans="5:5">
      <c r="E11112" s="51"/>
    </row>
    <row r="11113" spans="5:5">
      <c r="E11113" s="51"/>
    </row>
    <row r="11114" spans="5:5">
      <c r="E11114" s="51"/>
    </row>
    <row r="11115" spans="5:5">
      <c r="E11115" s="51"/>
    </row>
    <row r="11116" spans="5:5">
      <c r="E11116" s="51"/>
    </row>
    <row r="11117" spans="5:5">
      <c r="E11117" s="51"/>
    </row>
    <row r="11118" spans="5:5">
      <c r="E11118" s="51"/>
    </row>
    <row r="11119" spans="5:5">
      <c r="E11119" s="51"/>
    </row>
    <row r="11120" spans="5:5">
      <c r="E11120" s="51"/>
    </row>
    <row r="11121" spans="5:5">
      <c r="E11121" s="51"/>
    </row>
    <row r="11122" spans="5:5">
      <c r="E11122" s="51"/>
    </row>
    <row r="11123" spans="5:5">
      <c r="E11123" s="51"/>
    </row>
    <row r="11124" spans="5:5">
      <c r="E11124" s="51"/>
    </row>
    <row r="11125" spans="5:5">
      <c r="E11125" s="51"/>
    </row>
    <row r="11126" spans="5:5">
      <c r="E11126" s="51"/>
    </row>
    <row r="11127" spans="5:5">
      <c r="E11127" s="51"/>
    </row>
    <row r="11128" spans="5:5">
      <c r="E11128" s="51"/>
    </row>
    <row r="11129" spans="5:5">
      <c r="E11129" s="51"/>
    </row>
    <row r="11130" spans="5:5">
      <c r="E11130" s="51"/>
    </row>
    <row r="11131" spans="5:5">
      <c r="E11131" s="51"/>
    </row>
    <row r="11132" spans="5:5">
      <c r="E11132" s="51"/>
    </row>
    <row r="11133" spans="5:5">
      <c r="E11133" s="51"/>
    </row>
    <row r="11134" spans="5:5">
      <c r="E11134" s="51"/>
    </row>
    <row r="11135" spans="5:5">
      <c r="E11135" s="51"/>
    </row>
    <row r="11136" spans="5:5">
      <c r="E11136" s="51"/>
    </row>
    <row r="11137" spans="5:5">
      <c r="E11137" s="51"/>
    </row>
    <row r="11138" spans="5:5">
      <c r="E11138" s="51"/>
    </row>
    <row r="11139" spans="5:5">
      <c r="E11139" s="51"/>
    </row>
    <row r="11140" spans="5:5">
      <c r="E11140" s="51"/>
    </row>
    <row r="11141" spans="5:5">
      <c r="E11141" s="51"/>
    </row>
    <row r="11142" spans="5:5">
      <c r="E11142" s="51"/>
    </row>
    <row r="11143" spans="5:5">
      <c r="E11143" s="51"/>
    </row>
    <row r="11144" spans="5:5">
      <c r="E11144" s="51"/>
    </row>
    <row r="11145" spans="5:5">
      <c r="E11145" s="51"/>
    </row>
    <row r="11146" spans="5:5">
      <c r="E11146" s="51"/>
    </row>
    <row r="11147" spans="5:5">
      <c r="E11147" s="51"/>
    </row>
    <row r="11148" spans="5:5">
      <c r="E11148" s="51"/>
    </row>
    <row r="11149" spans="5:5">
      <c r="E11149" s="51"/>
    </row>
    <row r="11150" spans="5:5">
      <c r="E11150" s="51"/>
    </row>
    <row r="11151" spans="5:5">
      <c r="E11151" s="51"/>
    </row>
    <row r="11152" spans="5:5">
      <c r="E11152" s="51"/>
    </row>
    <row r="11153" spans="5:5">
      <c r="E11153" s="51"/>
    </row>
    <row r="11154" spans="5:5">
      <c r="E11154" s="51"/>
    </row>
    <row r="11155" spans="5:5">
      <c r="E11155" s="51"/>
    </row>
    <row r="11156" spans="5:5">
      <c r="E11156" s="51"/>
    </row>
    <row r="11157" spans="5:5">
      <c r="E11157" s="51"/>
    </row>
    <row r="11158" spans="5:5">
      <c r="E11158" s="51"/>
    </row>
    <row r="11159" spans="5:5">
      <c r="E11159" s="51"/>
    </row>
    <row r="11160" spans="5:5">
      <c r="E11160" s="51"/>
    </row>
    <row r="11161" spans="5:5">
      <c r="E11161" s="51"/>
    </row>
    <row r="11162" spans="5:5">
      <c r="E11162" s="51"/>
    </row>
    <row r="11163" spans="5:5">
      <c r="E11163" s="51"/>
    </row>
    <row r="11164" spans="5:5">
      <c r="E11164" s="51"/>
    </row>
    <row r="11165" spans="5:5">
      <c r="E11165" s="51"/>
    </row>
    <row r="11166" spans="5:5">
      <c r="E11166" s="51"/>
    </row>
    <row r="11167" spans="5:5">
      <c r="E11167" s="51"/>
    </row>
    <row r="11168" spans="5:5">
      <c r="E11168" s="51"/>
    </row>
    <row r="11169" spans="5:5">
      <c r="E11169" s="51"/>
    </row>
    <row r="11170" spans="5:5">
      <c r="E11170" s="51"/>
    </row>
    <row r="11171" spans="5:5">
      <c r="E11171" s="51"/>
    </row>
    <row r="11172" spans="5:5">
      <c r="E11172" s="51"/>
    </row>
    <row r="11173" spans="5:5">
      <c r="E11173" s="51"/>
    </row>
    <row r="11174" spans="5:5">
      <c r="E11174" s="51"/>
    </row>
    <row r="11175" spans="5:5">
      <c r="E11175" s="51"/>
    </row>
    <row r="11176" spans="5:5">
      <c r="E11176" s="51"/>
    </row>
    <row r="11177" spans="5:5">
      <c r="E11177" s="51"/>
    </row>
    <row r="11178" spans="5:5">
      <c r="E11178" s="51"/>
    </row>
    <row r="11179" spans="5:5">
      <c r="E11179" s="51"/>
    </row>
    <row r="11180" spans="5:5">
      <c r="E11180" s="51"/>
    </row>
    <row r="11181" spans="5:5">
      <c r="E11181" s="51"/>
    </row>
    <row r="11182" spans="5:5">
      <c r="E11182" s="51"/>
    </row>
    <row r="11183" spans="5:5">
      <c r="E11183" s="51"/>
    </row>
    <row r="11184" spans="5:5">
      <c r="E11184" s="51"/>
    </row>
    <row r="11185" spans="5:5">
      <c r="E11185" s="51"/>
    </row>
    <row r="11186" spans="5:5">
      <c r="E11186" s="51"/>
    </row>
    <row r="11187" spans="5:5">
      <c r="E11187" s="51"/>
    </row>
    <row r="11188" spans="5:5">
      <c r="E11188" s="51"/>
    </row>
    <row r="11189" spans="5:5">
      <c r="E11189" s="51"/>
    </row>
    <row r="11190" spans="5:5">
      <c r="E11190" s="51"/>
    </row>
    <row r="11191" spans="5:5">
      <c r="E11191" s="51"/>
    </row>
    <row r="11192" spans="5:5">
      <c r="E11192" s="51"/>
    </row>
    <row r="11193" spans="5:5">
      <c r="E11193" s="51"/>
    </row>
    <row r="11194" spans="5:5">
      <c r="E11194" s="51"/>
    </row>
    <row r="11195" spans="5:5">
      <c r="E11195" s="51"/>
    </row>
    <row r="11196" spans="5:5">
      <c r="E11196" s="51"/>
    </row>
    <row r="11197" spans="5:5">
      <c r="E11197" s="51"/>
    </row>
    <row r="11198" spans="5:5">
      <c r="E11198" s="51"/>
    </row>
    <row r="11199" spans="5:5">
      <c r="E11199" s="51"/>
    </row>
    <row r="11200" spans="5:5">
      <c r="E11200" s="51"/>
    </row>
    <row r="11201" spans="5:5">
      <c r="E11201" s="51"/>
    </row>
    <row r="11202" spans="5:5">
      <c r="E11202" s="51"/>
    </row>
    <row r="11203" spans="5:5">
      <c r="E11203" s="51"/>
    </row>
    <row r="11204" spans="5:5">
      <c r="E11204" s="51"/>
    </row>
    <row r="11205" spans="5:5">
      <c r="E11205" s="51"/>
    </row>
    <row r="11206" spans="5:5">
      <c r="E11206" s="51"/>
    </row>
    <row r="11207" spans="5:5">
      <c r="E11207" s="51"/>
    </row>
    <row r="11208" spans="5:5">
      <c r="E11208" s="51"/>
    </row>
    <row r="11209" spans="5:5">
      <c r="E11209" s="51"/>
    </row>
    <row r="11210" spans="5:5">
      <c r="E11210" s="51"/>
    </row>
    <row r="11211" spans="5:5">
      <c r="E11211" s="51"/>
    </row>
    <row r="11212" spans="5:5">
      <c r="E11212" s="51"/>
    </row>
    <row r="11213" spans="5:5">
      <c r="E11213" s="51"/>
    </row>
    <row r="11214" spans="5:5">
      <c r="E11214" s="51"/>
    </row>
    <row r="11215" spans="5:5">
      <c r="E11215" s="51"/>
    </row>
    <row r="11216" spans="5:5">
      <c r="E11216" s="51"/>
    </row>
    <row r="11217" spans="5:5">
      <c r="E11217" s="51"/>
    </row>
    <row r="11218" spans="5:5">
      <c r="E11218" s="51"/>
    </row>
    <row r="11219" spans="5:5">
      <c r="E11219" s="51"/>
    </row>
    <row r="11220" spans="5:5">
      <c r="E11220" s="51"/>
    </row>
    <row r="11221" spans="5:5">
      <c r="E11221" s="51"/>
    </row>
    <row r="11222" spans="5:5">
      <c r="E11222" s="51"/>
    </row>
    <row r="11223" spans="5:5">
      <c r="E11223" s="51"/>
    </row>
    <row r="11224" spans="5:5">
      <c r="E11224" s="51"/>
    </row>
    <row r="11225" spans="5:5">
      <c r="E11225" s="51"/>
    </row>
    <row r="11226" spans="5:5">
      <c r="E11226" s="51"/>
    </row>
    <row r="11227" spans="5:5">
      <c r="E11227" s="51"/>
    </row>
    <row r="11228" spans="5:5">
      <c r="E11228" s="51"/>
    </row>
    <row r="11229" spans="5:5">
      <c r="E11229" s="51"/>
    </row>
    <row r="11230" spans="5:5">
      <c r="E11230" s="51"/>
    </row>
    <row r="11231" spans="5:5">
      <c r="E11231" s="51"/>
    </row>
    <row r="11232" spans="5:5">
      <c r="E11232" s="51"/>
    </row>
    <row r="11233" spans="5:5">
      <c r="E11233" s="51"/>
    </row>
    <row r="11234" spans="5:5">
      <c r="E11234" s="51"/>
    </row>
    <row r="11235" spans="5:5">
      <c r="E11235" s="51"/>
    </row>
    <row r="11236" spans="5:5">
      <c r="E11236" s="51"/>
    </row>
    <row r="11237" spans="5:5">
      <c r="E11237" s="51"/>
    </row>
    <row r="11238" spans="5:5">
      <c r="E11238" s="51"/>
    </row>
    <row r="11239" spans="5:5">
      <c r="E11239" s="51"/>
    </row>
    <row r="11240" spans="5:5">
      <c r="E11240" s="51"/>
    </row>
    <row r="11241" spans="5:5">
      <c r="E11241" s="51"/>
    </row>
    <row r="11242" spans="5:5">
      <c r="E11242" s="51"/>
    </row>
    <row r="11243" spans="5:5">
      <c r="E11243" s="51"/>
    </row>
    <row r="11244" spans="5:5">
      <c r="E11244" s="51"/>
    </row>
    <row r="11245" spans="5:5">
      <c r="E11245" s="51"/>
    </row>
    <row r="11246" spans="5:5">
      <c r="E11246" s="51"/>
    </row>
    <row r="11247" spans="5:5">
      <c r="E11247" s="51"/>
    </row>
    <row r="11248" spans="5:5">
      <c r="E11248" s="51"/>
    </row>
    <row r="11249" spans="5:5">
      <c r="E11249" s="51"/>
    </row>
    <row r="11250" spans="5:5">
      <c r="E11250" s="51"/>
    </row>
    <row r="11251" spans="5:5">
      <c r="E11251" s="51"/>
    </row>
    <row r="11252" spans="5:5">
      <c r="E11252" s="51"/>
    </row>
    <row r="11253" spans="5:5">
      <c r="E11253" s="51"/>
    </row>
    <row r="11254" spans="5:5">
      <c r="E11254" s="51"/>
    </row>
    <row r="11255" spans="5:5">
      <c r="E11255" s="51"/>
    </row>
    <row r="11256" spans="5:5">
      <c r="E11256" s="51"/>
    </row>
    <row r="11257" spans="5:5">
      <c r="E11257" s="51"/>
    </row>
    <row r="11258" spans="5:5">
      <c r="E11258" s="51"/>
    </row>
    <row r="11259" spans="5:5">
      <c r="E11259" s="51"/>
    </row>
    <row r="11260" spans="5:5">
      <c r="E11260" s="51"/>
    </row>
    <row r="11261" spans="5:5">
      <c r="E11261" s="51"/>
    </row>
    <row r="11262" spans="5:5">
      <c r="E11262" s="51"/>
    </row>
    <row r="11263" spans="5:5">
      <c r="E11263" s="51"/>
    </row>
    <row r="11264" spans="5:5">
      <c r="E11264" s="51"/>
    </row>
    <row r="11265" spans="5:5">
      <c r="E11265" s="51"/>
    </row>
    <row r="11266" spans="5:5">
      <c r="E11266" s="51"/>
    </row>
    <row r="11267" spans="5:5">
      <c r="E11267" s="51"/>
    </row>
    <row r="11268" spans="5:5">
      <c r="E11268" s="51"/>
    </row>
    <row r="11269" spans="5:5">
      <c r="E11269" s="51"/>
    </row>
    <row r="11270" spans="5:5">
      <c r="E11270" s="51"/>
    </row>
    <row r="11271" spans="5:5">
      <c r="E11271" s="51"/>
    </row>
    <row r="11272" spans="5:5">
      <c r="E11272" s="51"/>
    </row>
    <row r="11273" spans="5:5">
      <c r="E11273" s="51"/>
    </row>
    <row r="11274" spans="5:5">
      <c r="E11274" s="51"/>
    </row>
    <row r="11275" spans="5:5">
      <c r="E11275" s="51"/>
    </row>
    <row r="11276" spans="5:5">
      <c r="E11276" s="51"/>
    </row>
    <row r="11277" spans="5:5">
      <c r="E11277" s="51"/>
    </row>
    <row r="11278" spans="5:5">
      <c r="E11278" s="51"/>
    </row>
    <row r="11279" spans="5:5">
      <c r="E11279" s="51"/>
    </row>
    <row r="11280" spans="5:5">
      <c r="E11280" s="51"/>
    </row>
    <row r="11281" spans="5:5">
      <c r="E11281" s="51"/>
    </row>
    <row r="11282" spans="5:5">
      <c r="E11282" s="51"/>
    </row>
    <row r="11283" spans="5:5">
      <c r="E11283" s="51"/>
    </row>
    <row r="11284" spans="5:5">
      <c r="E11284" s="51"/>
    </row>
    <row r="11285" spans="5:5">
      <c r="E11285" s="51"/>
    </row>
    <row r="11286" spans="5:5">
      <c r="E11286" s="51"/>
    </row>
    <row r="11287" spans="5:5">
      <c r="E11287" s="51"/>
    </row>
    <row r="11288" spans="5:5">
      <c r="E11288" s="51"/>
    </row>
    <row r="11289" spans="5:5">
      <c r="E11289" s="51"/>
    </row>
    <row r="11290" spans="5:5">
      <c r="E11290" s="51"/>
    </row>
    <row r="11291" spans="5:5">
      <c r="E11291" s="51"/>
    </row>
    <row r="11292" spans="5:5">
      <c r="E11292" s="51"/>
    </row>
    <row r="11293" spans="5:5">
      <c r="E11293" s="51"/>
    </row>
    <row r="11294" spans="5:5">
      <c r="E11294" s="51"/>
    </row>
    <row r="11295" spans="5:5">
      <c r="E11295" s="51"/>
    </row>
    <row r="11296" spans="5:5">
      <c r="E11296" s="51"/>
    </row>
    <row r="11297" spans="5:5">
      <c r="E11297" s="51"/>
    </row>
    <row r="11298" spans="5:5">
      <c r="E11298" s="51"/>
    </row>
    <row r="11299" spans="5:5">
      <c r="E11299" s="51"/>
    </row>
    <row r="11300" spans="5:5">
      <c r="E11300" s="51"/>
    </row>
    <row r="11301" spans="5:5">
      <c r="E11301" s="51"/>
    </row>
    <row r="11302" spans="5:5">
      <c r="E11302" s="51"/>
    </row>
    <row r="11303" spans="5:5">
      <c r="E11303" s="51"/>
    </row>
    <row r="11304" spans="5:5">
      <c r="E11304" s="51"/>
    </row>
    <row r="11305" spans="5:5">
      <c r="E11305" s="51"/>
    </row>
    <row r="11306" spans="5:5">
      <c r="E11306" s="51"/>
    </row>
    <row r="11307" spans="5:5">
      <c r="E11307" s="51"/>
    </row>
    <row r="11308" spans="5:5">
      <c r="E11308" s="51"/>
    </row>
    <row r="11309" spans="5:5">
      <c r="E11309" s="51"/>
    </row>
    <row r="11310" spans="5:5">
      <c r="E11310" s="51"/>
    </row>
    <row r="11311" spans="5:5">
      <c r="E11311" s="51"/>
    </row>
    <row r="11312" spans="5:5">
      <c r="E11312" s="51"/>
    </row>
    <row r="11313" spans="5:5">
      <c r="E11313" s="51"/>
    </row>
    <row r="11314" spans="5:5">
      <c r="E11314" s="51"/>
    </row>
    <row r="11315" spans="5:5">
      <c r="E11315" s="51"/>
    </row>
    <row r="11316" spans="5:5">
      <c r="E11316" s="51"/>
    </row>
    <row r="11317" spans="5:5">
      <c r="E11317" s="51"/>
    </row>
    <row r="11318" spans="5:5">
      <c r="E11318" s="51"/>
    </row>
    <row r="11319" spans="5:5">
      <c r="E11319" s="51"/>
    </row>
    <row r="11320" spans="5:5">
      <c r="E11320" s="51"/>
    </row>
    <row r="11321" spans="5:5">
      <c r="E11321" s="51"/>
    </row>
    <row r="11322" spans="5:5">
      <c r="E11322" s="51"/>
    </row>
    <row r="11323" spans="5:5">
      <c r="E11323" s="51"/>
    </row>
    <row r="11324" spans="5:5">
      <c r="E11324" s="51"/>
    </row>
    <row r="11325" spans="5:5">
      <c r="E11325" s="51"/>
    </row>
    <row r="11326" spans="5:5">
      <c r="E11326" s="51"/>
    </row>
    <row r="11327" spans="5:5">
      <c r="E11327" s="51"/>
    </row>
    <row r="11328" spans="5:5">
      <c r="E11328" s="51"/>
    </row>
    <row r="11329" spans="5:5">
      <c r="E11329" s="51"/>
    </row>
    <row r="11330" spans="5:5">
      <c r="E11330" s="51"/>
    </row>
    <row r="11331" spans="5:5">
      <c r="E11331" s="51"/>
    </row>
    <row r="11332" spans="5:5">
      <c r="E11332" s="51"/>
    </row>
    <row r="11333" spans="5:5">
      <c r="E11333" s="51"/>
    </row>
    <row r="11334" spans="5:5">
      <c r="E11334" s="51"/>
    </row>
    <row r="11335" spans="5:5">
      <c r="E11335" s="51"/>
    </row>
    <row r="11336" spans="5:5">
      <c r="E11336" s="51"/>
    </row>
    <row r="11337" spans="5:5">
      <c r="E11337" s="51"/>
    </row>
    <row r="11338" spans="5:5">
      <c r="E11338" s="51"/>
    </row>
    <row r="11339" spans="5:5">
      <c r="E11339" s="51"/>
    </row>
    <row r="11340" spans="5:5">
      <c r="E11340" s="51"/>
    </row>
    <row r="11341" spans="5:5">
      <c r="E11341" s="51"/>
    </row>
    <row r="11342" spans="5:5">
      <c r="E11342" s="51"/>
    </row>
    <row r="11343" spans="5:5">
      <c r="E11343" s="51"/>
    </row>
    <row r="11344" spans="5:5">
      <c r="E11344" s="51"/>
    </row>
    <row r="11345" spans="5:5">
      <c r="E11345" s="51"/>
    </row>
    <row r="11346" spans="5:5">
      <c r="E11346" s="51"/>
    </row>
    <row r="11347" spans="5:5">
      <c r="E11347" s="51"/>
    </row>
    <row r="11348" spans="5:5">
      <c r="E11348" s="51"/>
    </row>
    <row r="11349" spans="5:5">
      <c r="E11349" s="51"/>
    </row>
    <row r="11350" spans="5:5">
      <c r="E11350" s="51"/>
    </row>
    <row r="11351" spans="5:5">
      <c r="E11351" s="51"/>
    </row>
    <row r="11352" spans="5:5">
      <c r="E11352" s="51"/>
    </row>
    <row r="11353" spans="5:5">
      <c r="E11353" s="51"/>
    </row>
    <row r="11354" spans="5:5">
      <c r="E11354" s="51"/>
    </row>
    <row r="11355" spans="5:5">
      <c r="E11355" s="51"/>
    </row>
    <row r="11356" spans="5:5">
      <c r="E11356" s="51"/>
    </row>
    <row r="11357" spans="5:5">
      <c r="E11357" s="51"/>
    </row>
    <row r="11358" spans="5:5">
      <c r="E11358" s="51"/>
    </row>
    <row r="11359" spans="5:5">
      <c r="E11359" s="51"/>
    </row>
    <row r="11360" spans="5:5">
      <c r="E11360" s="51"/>
    </row>
    <row r="11361" spans="5:5">
      <c r="E11361" s="51"/>
    </row>
    <row r="11362" spans="5:5">
      <c r="E11362" s="51"/>
    </row>
    <row r="11363" spans="5:5">
      <c r="E11363" s="51"/>
    </row>
    <row r="11364" spans="5:5">
      <c r="E11364" s="51"/>
    </row>
    <row r="11365" spans="5:5">
      <c r="E11365" s="51"/>
    </row>
    <row r="11366" spans="5:5">
      <c r="E11366" s="51"/>
    </row>
    <row r="11367" spans="5:5">
      <c r="E11367" s="51"/>
    </row>
    <row r="11368" spans="5:5">
      <c r="E11368" s="51"/>
    </row>
    <row r="11369" spans="5:5">
      <c r="E11369" s="51"/>
    </row>
    <row r="11370" spans="5:5">
      <c r="E11370" s="51"/>
    </row>
    <row r="11371" spans="5:5">
      <c r="E11371" s="51"/>
    </row>
    <row r="11372" spans="5:5">
      <c r="E11372" s="51"/>
    </row>
    <row r="11373" spans="5:5">
      <c r="E11373" s="51"/>
    </row>
    <row r="11374" spans="5:5">
      <c r="E11374" s="51"/>
    </row>
    <row r="11375" spans="5:5">
      <c r="E11375" s="51"/>
    </row>
    <row r="11376" spans="5:5">
      <c r="E11376" s="51"/>
    </row>
    <row r="11377" spans="5:5">
      <c r="E11377" s="51"/>
    </row>
    <row r="11378" spans="5:5">
      <c r="E11378" s="51"/>
    </row>
    <row r="11379" spans="5:5">
      <c r="E11379" s="51"/>
    </row>
    <row r="11380" spans="5:5">
      <c r="E11380" s="51"/>
    </row>
    <row r="11381" spans="5:5">
      <c r="E11381" s="51"/>
    </row>
    <row r="11382" spans="5:5">
      <c r="E11382" s="51"/>
    </row>
    <row r="11383" spans="5:5">
      <c r="E11383" s="51"/>
    </row>
    <row r="11384" spans="5:5">
      <c r="E11384" s="51"/>
    </row>
    <row r="11385" spans="5:5">
      <c r="E11385" s="51"/>
    </row>
    <row r="11386" spans="5:5">
      <c r="E11386" s="51"/>
    </row>
    <row r="11387" spans="5:5">
      <c r="E11387" s="51"/>
    </row>
    <row r="11388" spans="5:5">
      <c r="E11388" s="51"/>
    </row>
    <row r="11389" spans="5:5">
      <c r="E11389" s="51"/>
    </row>
    <row r="11390" spans="5:5">
      <c r="E11390" s="51"/>
    </row>
    <row r="11391" spans="5:5">
      <c r="E11391" s="51"/>
    </row>
    <row r="11392" spans="5:5">
      <c r="E11392" s="51"/>
    </row>
    <row r="11393" spans="5:5">
      <c r="E11393" s="51"/>
    </row>
    <row r="11394" spans="5:5">
      <c r="E11394" s="51"/>
    </row>
    <row r="11395" spans="5:5">
      <c r="E11395" s="51"/>
    </row>
    <row r="11396" spans="5:5">
      <c r="E11396" s="51"/>
    </row>
    <row r="11397" spans="5:5">
      <c r="E11397" s="51"/>
    </row>
    <row r="11398" spans="5:5">
      <c r="E11398" s="51"/>
    </row>
    <row r="11399" spans="5:5">
      <c r="E11399" s="51"/>
    </row>
    <row r="11400" spans="5:5">
      <c r="E11400" s="51"/>
    </row>
    <row r="11401" spans="5:5">
      <c r="E11401" s="51"/>
    </row>
    <row r="11402" spans="5:5">
      <c r="E11402" s="51"/>
    </row>
    <row r="11403" spans="5:5">
      <c r="E11403" s="51"/>
    </row>
    <row r="11404" spans="5:5">
      <c r="E11404" s="51"/>
    </row>
    <row r="11405" spans="5:5">
      <c r="E11405" s="51"/>
    </row>
    <row r="11406" spans="5:5">
      <c r="E11406" s="51"/>
    </row>
    <row r="11407" spans="5:5">
      <c r="E11407" s="51"/>
    </row>
    <row r="11408" spans="5:5">
      <c r="E11408" s="51"/>
    </row>
    <row r="11409" spans="5:5">
      <c r="E11409" s="51"/>
    </row>
    <row r="11410" spans="5:5">
      <c r="E11410" s="51"/>
    </row>
    <row r="11411" spans="5:5">
      <c r="E11411" s="51"/>
    </row>
    <row r="11412" spans="5:5">
      <c r="E11412" s="51"/>
    </row>
    <row r="11413" spans="5:5">
      <c r="E11413" s="51"/>
    </row>
    <row r="11414" spans="5:5">
      <c r="E11414" s="51"/>
    </row>
    <row r="11415" spans="5:5">
      <c r="E11415" s="51"/>
    </row>
    <row r="11416" spans="5:5">
      <c r="E11416" s="51"/>
    </row>
    <row r="11417" spans="5:5">
      <c r="E11417" s="51"/>
    </row>
    <row r="11418" spans="5:5">
      <c r="E11418" s="51"/>
    </row>
    <row r="11419" spans="5:5">
      <c r="E11419" s="51"/>
    </row>
    <row r="11420" spans="5:5">
      <c r="E11420" s="51"/>
    </row>
    <row r="11421" spans="5:5">
      <c r="E11421" s="51"/>
    </row>
    <row r="11422" spans="5:5">
      <c r="E11422" s="51"/>
    </row>
    <row r="11423" spans="5:5">
      <c r="E11423" s="51"/>
    </row>
    <row r="11424" spans="5:5">
      <c r="E11424" s="51"/>
    </row>
    <row r="11425" spans="5:5">
      <c r="E11425" s="51"/>
    </row>
    <row r="11426" spans="5:5">
      <c r="E11426" s="51"/>
    </row>
    <row r="11427" spans="5:5">
      <c r="E11427" s="51"/>
    </row>
    <row r="11428" spans="5:5">
      <c r="E11428" s="51"/>
    </row>
    <row r="11429" spans="5:5">
      <c r="E11429" s="51"/>
    </row>
    <row r="11430" spans="5:5">
      <c r="E11430" s="51"/>
    </row>
    <row r="11431" spans="5:5">
      <c r="E11431" s="51"/>
    </row>
    <row r="11432" spans="5:5">
      <c r="E11432" s="51"/>
    </row>
    <row r="11433" spans="5:5">
      <c r="E11433" s="51"/>
    </row>
    <row r="11434" spans="5:5">
      <c r="E11434" s="51"/>
    </row>
    <row r="11435" spans="5:5">
      <c r="E11435" s="51"/>
    </row>
    <row r="11436" spans="5:5">
      <c r="E11436" s="51"/>
    </row>
    <row r="11437" spans="5:5">
      <c r="E11437" s="51"/>
    </row>
    <row r="11438" spans="5:5">
      <c r="E11438" s="51"/>
    </row>
    <row r="11439" spans="5:5">
      <c r="E11439" s="51"/>
    </row>
    <row r="11440" spans="5:5">
      <c r="E11440" s="51"/>
    </row>
    <row r="11441" spans="5:5">
      <c r="E11441" s="51"/>
    </row>
    <row r="11442" spans="5:5">
      <c r="E11442" s="51"/>
    </row>
    <row r="11443" spans="5:5">
      <c r="E11443" s="51"/>
    </row>
    <row r="11444" spans="5:5">
      <c r="E11444" s="51"/>
    </row>
    <row r="11445" spans="5:5">
      <c r="E11445" s="51"/>
    </row>
    <row r="11446" spans="5:5">
      <c r="E11446" s="51"/>
    </row>
    <row r="11447" spans="5:5">
      <c r="E11447" s="51"/>
    </row>
    <row r="11448" spans="5:5">
      <c r="E11448" s="51"/>
    </row>
    <row r="11449" spans="5:5">
      <c r="E11449" s="51"/>
    </row>
    <row r="11450" spans="5:5">
      <c r="E11450" s="51"/>
    </row>
    <row r="11451" spans="5:5">
      <c r="E11451" s="51"/>
    </row>
    <row r="11452" spans="5:5">
      <c r="E11452" s="51"/>
    </row>
    <row r="11453" spans="5:5">
      <c r="E11453" s="51"/>
    </row>
    <row r="11454" spans="5:5">
      <c r="E11454" s="51"/>
    </row>
    <row r="11455" spans="5:5">
      <c r="E11455" s="51"/>
    </row>
    <row r="11456" spans="5:5">
      <c r="E11456" s="51"/>
    </row>
    <row r="11457" spans="5:5">
      <c r="E11457" s="51"/>
    </row>
    <row r="11458" spans="5:5">
      <c r="E11458" s="51"/>
    </row>
    <row r="11459" spans="5:5">
      <c r="E11459" s="51"/>
    </row>
    <row r="11460" spans="5:5">
      <c r="E11460" s="51"/>
    </row>
    <row r="11461" spans="5:5">
      <c r="E11461" s="51"/>
    </row>
    <row r="11462" spans="5:5">
      <c r="E11462" s="51"/>
    </row>
    <row r="11463" spans="5:5">
      <c r="E11463" s="51"/>
    </row>
    <row r="11464" spans="5:5">
      <c r="E11464" s="51"/>
    </row>
    <row r="11465" spans="5:5">
      <c r="E11465" s="51"/>
    </row>
    <row r="11466" spans="5:5">
      <c r="E11466" s="51"/>
    </row>
    <row r="11467" spans="5:5">
      <c r="E11467" s="51"/>
    </row>
    <row r="11468" spans="5:5">
      <c r="E11468" s="51"/>
    </row>
    <row r="11469" spans="5:5">
      <c r="E11469" s="51"/>
    </row>
    <row r="11470" spans="5:5">
      <c r="E11470" s="51"/>
    </row>
    <row r="11471" spans="5:5">
      <c r="E11471" s="51"/>
    </row>
    <row r="11472" spans="5:5">
      <c r="E11472" s="51"/>
    </row>
    <row r="11473" spans="5:5">
      <c r="E11473" s="51"/>
    </row>
    <row r="11474" spans="5:5">
      <c r="E11474" s="51"/>
    </row>
    <row r="11475" spans="5:5">
      <c r="E11475" s="51"/>
    </row>
    <row r="11476" spans="5:5">
      <c r="E11476" s="51"/>
    </row>
    <row r="11477" spans="5:5">
      <c r="E11477" s="51"/>
    </row>
    <row r="11478" spans="5:5">
      <c r="E11478" s="51"/>
    </row>
    <row r="11479" spans="5:5">
      <c r="E11479" s="51"/>
    </row>
    <row r="11480" spans="5:5">
      <c r="E11480" s="51"/>
    </row>
    <row r="11481" spans="5:5">
      <c r="E11481" s="51"/>
    </row>
    <row r="11482" spans="5:5">
      <c r="E11482" s="51"/>
    </row>
    <row r="11483" spans="5:5">
      <c r="E11483" s="51"/>
    </row>
    <row r="11484" spans="5:5">
      <c r="E11484" s="51"/>
    </row>
    <row r="11485" spans="5:5">
      <c r="E11485" s="51"/>
    </row>
    <row r="11486" spans="5:5">
      <c r="E11486" s="51"/>
    </row>
    <row r="11487" spans="5:5">
      <c r="E11487" s="51"/>
    </row>
    <row r="11488" spans="5:5">
      <c r="E11488" s="51"/>
    </row>
    <row r="11489" spans="5:5">
      <c r="E11489" s="51"/>
    </row>
    <row r="11490" spans="5:5">
      <c r="E11490" s="51"/>
    </row>
    <row r="11491" spans="5:5">
      <c r="E11491" s="51"/>
    </row>
    <row r="11492" spans="5:5">
      <c r="E11492" s="51"/>
    </row>
    <row r="11493" spans="5:5">
      <c r="E11493" s="51"/>
    </row>
    <row r="11494" spans="5:5">
      <c r="E11494" s="51"/>
    </row>
    <row r="11495" spans="5:5">
      <c r="E11495" s="51"/>
    </row>
    <row r="11496" spans="5:5">
      <c r="E11496" s="51"/>
    </row>
    <row r="11497" spans="5:5">
      <c r="E11497" s="51"/>
    </row>
    <row r="11498" spans="5:5">
      <c r="E11498" s="51"/>
    </row>
    <row r="11499" spans="5:5">
      <c r="E11499" s="51"/>
    </row>
    <row r="11500" spans="5:5">
      <c r="E11500" s="51"/>
    </row>
    <row r="11501" spans="5:5">
      <c r="E11501" s="51"/>
    </row>
    <row r="11502" spans="5:5">
      <c r="E11502" s="51"/>
    </row>
    <row r="11503" spans="5:5">
      <c r="E11503" s="51"/>
    </row>
    <row r="11504" spans="5:5">
      <c r="E11504" s="51"/>
    </row>
    <row r="11505" spans="5:5">
      <c r="E11505" s="51"/>
    </row>
    <row r="11506" spans="5:5">
      <c r="E11506" s="51"/>
    </row>
    <row r="11507" spans="5:5">
      <c r="E11507" s="51"/>
    </row>
    <row r="11508" spans="5:5">
      <c r="E11508" s="51"/>
    </row>
    <row r="11509" spans="5:5">
      <c r="E11509" s="51"/>
    </row>
    <row r="11510" spans="5:5">
      <c r="E11510" s="51"/>
    </row>
    <row r="11511" spans="5:5">
      <c r="E11511" s="51"/>
    </row>
    <row r="11512" spans="5:5">
      <c r="E11512" s="51"/>
    </row>
    <row r="11513" spans="5:5">
      <c r="E11513" s="51"/>
    </row>
    <row r="11514" spans="5:5">
      <c r="E11514" s="51"/>
    </row>
    <row r="11515" spans="5:5">
      <c r="E11515" s="51"/>
    </row>
    <row r="11516" spans="5:5">
      <c r="E11516" s="51"/>
    </row>
    <row r="11517" spans="5:5">
      <c r="E11517" s="51"/>
    </row>
    <row r="11518" spans="5:5">
      <c r="E11518" s="51"/>
    </row>
    <row r="11519" spans="5:5">
      <c r="E11519" s="51"/>
    </row>
    <row r="11520" spans="5:5">
      <c r="E11520" s="51"/>
    </row>
    <row r="11521" spans="5:5">
      <c r="E11521" s="51"/>
    </row>
    <row r="11522" spans="5:5">
      <c r="E11522" s="51"/>
    </row>
    <row r="11523" spans="5:5">
      <c r="E11523" s="51"/>
    </row>
    <row r="11524" spans="5:5">
      <c r="E11524" s="51"/>
    </row>
    <row r="11525" spans="5:5">
      <c r="E11525" s="51"/>
    </row>
    <row r="11526" spans="5:5">
      <c r="E11526" s="51"/>
    </row>
    <row r="11527" spans="5:5">
      <c r="E11527" s="51"/>
    </row>
    <row r="11528" spans="5:5">
      <c r="E11528" s="51"/>
    </row>
    <row r="11529" spans="5:5">
      <c r="E11529" s="51"/>
    </row>
    <row r="11530" spans="5:5">
      <c r="E11530" s="51"/>
    </row>
    <row r="11531" spans="5:5">
      <c r="E11531" s="51"/>
    </row>
    <row r="11532" spans="5:5">
      <c r="E11532" s="51"/>
    </row>
    <row r="11533" spans="5:5">
      <c r="E11533" s="51"/>
    </row>
    <row r="11534" spans="5:5">
      <c r="E11534" s="51"/>
    </row>
    <row r="11535" spans="5:5">
      <c r="E11535" s="51"/>
    </row>
    <row r="11536" spans="5:5">
      <c r="E11536" s="51"/>
    </row>
    <row r="11537" spans="5:5">
      <c r="E11537" s="51"/>
    </row>
    <row r="11538" spans="5:5">
      <c r="E11538" s="51"/>
    </row>
    <row r="11539" spans="5:5">
      <c r="E11539" s="51"/>
    </row>
    <row r="11540" spans="5:5">
      <c r="E11540" s="51"/>
    </row>
    <row r="11541" spans="5:5">
      <c r="E11541" s="51"/>
    </row>
    <row r="11542" spans="5:5">
      <c r="E11542" s="51"/>
    </row>
    <row r="11543" spans="5:5">
      <c r="E11543" s="51"/>
    </row>
    <row r="11544" spans="5:5">
      <c r="E11544" s="51"/>
    </row>
    <row r="11545" spans="5:5">
      <c r="E11545" s="51"/>
    </row>
    <row r="11546" spans="5:5">
      <c r="E11546" s="51"/>
    </row>
    <row r="11547" spans="5:5">
      <c r="E11547" s="51"/>
    </row>
    <row r="11548" spans="5:5">
      <c r="E11548" s="51"/>
    </row>
    <row r="11549" spans="5:5">
      <c r="E11549" s="51"/>
    </row>
    <row r="11550" spans="5:5">
      <c r="E11550" s="51"/>
    </row>
    <row r="11551" spans="5:5">
      <c r="E11551" s="51"/>
    </row>
    <row r="11552" spans="5:5">
      <c r="E11552" s="51"/>
    </row>
    <row r="11553" spans="5:5">
      <c r="E11553" s="51"/>
    </row>
    <row r="11554" spans="5:5">
      <c r="E11554" s="51"/>
    </row>
    <row r="11555" spans="5:5">
      <c r="E11555" s="51"/>
    </row>
    <row r="11556" spans="5:5">
      <c r="E11556" s="51"/>
    </row>
    <row r="11557" spans="5:5">
      <c r="E11557" s="51"/>
    </row>
    <row r="11558" spans="5:5">
      <c r="E11558" s="51"/>
    </row>
    <row r="11559" spans="5:5">
      <c r="E11559" s="51"/>
    </row>
    <row r="11560" spans="5:5">
      <c r="E11560" s="51"/>
    </row>
    <row r="11561" spans="5:5">
      <c r="E11561" s="51"/>
    </row>
    <row r="11562" spans="5:5">
      <c r="E11562" s="51"/>
    </row>
    <row r="11563" spans="5:5">
      <c r="E11563" s="51"/>
    </row>
    <row r="11564" spans="5:5">
      <c r="E11564" s="51"/>
    </row>
    <row r="11565" spans="5:5">
      <c r="E11565" s="51"/>
    </row>
    <row r="11566" spans="5:5">
      <c r="E11566" s="51"/>
    </row>
    <row r="11567" spans="5:5">
      <c r="E11567" s="51"/>
    </row>
    <row r="11568" spans="5:5">
      <c r="E11568" s="51"/>
    </row>
    <row r="11569" spans="5:5">
      <c r="E11569" s="51"/>
    </row>
    <row r="11570" spans="5:5">
      <c r="E11570" s="51"/>
    </row>
    <row r="11571" spans="5:5">
      <c r="E11571" s="51"/>
    </row>
    <row r="11572" spans="5:5">
      <c r="E11572" s="51"/>
    </row>
    <row r="11573" spans="5:5">
      <c r="E11573" s="51"/>
    </row>
    <row r="11574" spans="5:5">
      <c r="E11574" s="51"/>
    </row>
    <row r="11575" spans="5:5">
      <c r="E11575" s="51"/>
    </row>
    <row r="11576" spans="5:5">
      <c r="E11576" s="51"/>
    </row>
    <row r="11577" spans="5:5">
      <c r="E11577" s="51"/>
    </row>
    <row r="11578" spans="5:5">
      <c r="E11578" s="51"/>
    </row>
    <row r="11579" spans="5:5">
      <c r="E11579" s="51"/>
    </row>
    <row r="11580" spans="5:5">
      <c r="E11580" s="51"/>
    </row>
    <row r="11581" spans="5:5">
      <c r="E11581" s="51"/>
    </row>
    <row r="11582" spans="5:5">
      <c r="E11582" s="51"/>
    </row>
    <row r="11583" spans="5:5">
      <c r="E11583" s="51"/>
    </row>
    <row r="11584" spans="5:5">
      <c r="E11584" s="51"/>
    </row>
    <row r="11585" spans="5:5">
      <c r="E11585" s="51"/>
    </row>
    <row r="11586" spans="5:5">
      <c r="E11586" s="51"/>
    </row>
    <row r="11587" spans="5:5">
      <c r="E11587" s="51"/>
    </row>
    <row r="11588" spans="5:5">
      <c r="E11588" s="51"/>
    </row>
    <row r="11589" spans="5:5">
      <c r="E11589" s="51"/>
    </row>
    <row r="11590" spans="5:5">
      <c r="E11590" s="51"/>
    </row>
    <row r="11591" spans="5:5">
      <c r="E11591" s="51"/>
    </row>
    <row r="11592" spans="5:5">
      <c r="E11592" s="51"/>
    </row>
    <row r="11593" spans="5:5">
      <c r="E11593" s="51"/>
    </row>
    <row r="11594" spans="5:5">
      <c r="E11594" s="51"/>
    </row>
    <row r="11595" spans="5:5">
      <c r="E11595" s="51"/>
    </row>
    <row r="11596" spans="5:5">
      <c r="E11596" s="51"/>
    </row>
    <row r="11597" spans="5:5">
      <c r="E11597" s="51"/>
    </row>
    <row r="11598" spans="5:5">
      <c r="E11598" s="51"/>
    </row>
    <row r="11599" spans="5:5">
      <c r="E11599" s="51"/>
    </row>
    <row r="11600" spans="5:5">
      <c r="E11600" s="51"/>
    </row>
    <row r="11601" spans="5:5">
      <c r="E11601" s="51"/>
    </row>
    <row r="11602" spans="5:5">
      <c r="E11602" s="51"/>
    </row>
    <row r="11603" spans="5:5">
      <c r="E11603" s="51"/>
    </row>
    <row r="11604" spans="5:5">
      <c r="E11604" s="51"/>
    </row>
    <row r="11605" spans="5:5">
      <c r="E11605" s="51"/>
    </row>
    <row r="11606" spans="5:5">
      <c r="E11606" s="51"/>
    </row>
    <row r="11607" spans="5:5">
      <c r="E11607" s="51"/>
    </row>
    <row r="11608" spans="5:5">
      <c r="E11608" s="51"/>
    </row>
    <row r="11609" spans="5:5">
      <c r="E11609" s="51"/>
    </row>
    <row r="11610" spans="5:5">
      <c r="E11610" s="51"/>
    </row>
    <row r="11611" spans="5:5">
      <c r="E11611" s="51"/>
    </row>
    <row r="11612" spans="5:5">
      <c r="E11612" s="51"/>
    </row>
    <row r="11613" spans="5:5">
      <c r="E11613" s="51"/>
    </row>
    <row r="11614" spans="5:5">
      <c r="E11614" s="51"/>
    </row>
    <row r="11615" spans="5:5">
      <c r="E11615" s="51"/>
    </row>
    <row r="11616" spans="5:5">
      <c r="E11616" s="51"/>
    </row>
    <row r="11617" spans="5:5">
      <c r="E11617" s="51"/>
    </row>
    <row r="11618" spans="5:5">
      <c r="E11618" s="51"/>
    </row>
    <row r="11619" spans="5:5">
      <c r="E11619" s="51"/>
    </row>
    <row r="11620" spans="5:5">
      <c r="E11620" s="51"/>
    </row>
    <row r="11621" spans="5:5">
      <c r="E11621" s="51"/>
    </row>
    <row r="11622" spans="5:5">
      <c r="E11622" s="51"/>
    </row>
    <row r="11623" spans="5:5">
      <c r="E11623" s="51"/>
    </row>
    <row r="11624" spans="5:5">
      <c r="E11624" s="51"/>
    </row>
    <row r="11625" spans="5:5">
      <c r="E11625" s="51"/>
    </row>
    <row r="11626" spans="5:5">
      <c r="E11626" s="51"/>
    </row>
    <row r="11627" spans="5:5">
      <c r="E11627" s="51"/>
    </row>
    <row r="11628" spans="5:5">
      <c r="E11628" s="51"/>
    </row>
    <row r="11629" spans="5:5">
      <c r="E11629" s="51"/>
    </row>
    <row r="11630" spans="5:5">
      <c r="E11630" s="51"/>
    </row>
    <row r="11631" spans="5:5">
      <c r="E11631" s="51"/>
    </row>
    <row r="11632" spans="5:5">
      <c r="E11632" s="51"/>
    </row>
    <row r="11633" spans="5:5">
      <c r="E11633" s="51"/>
    </row>
    <row r="11634" spans="5:5">
      <c r="E11634" s="51"/>
    </row>
    <row r="11635" spans="5:5">
      <c r="E11635" s="51"/>
    </row>
    <row r="11636" spans="5:5">
      <c r="E11636" s="51"/>
    </row>
    <row r="11637" spans="5:5">
      <c r="E11637" s="51"/>
    </row>
    <row r="11638" spans="5:5">
      <c r="E11638" s="51"/>
    </row>
    <row r="11639" spans="5:5">
      <c r="E11639" s="51"/>
    </row>
    <row r="11640" spans="5:5">
      <c r="E11640" s="51"/>
    </row>
    <row r="11641" spans="5:5">
      <c r="E11641" s="51"/>
    </row>
    <row r="11642" spans="5:5">
      <c r="E11642" s="51"/>
    </row>
    <row r="11643" spans="5:5">
      <c r="E11643" s="51"/>
    </row>
    <row r="11644" spans="5:5">
      <c r="E11644" s="51"/>
    </row>
    <row r="11645" spans="5:5">
      <c r="E11645" s="51"/>
    </row>
    <row r="11646" spans="5:5">
      <c r="E11646" s="51"/>
    </row>
    <row r="11647" spans="5:5">
      <c r="E11647" s="51"/>
    </row>
    <row r="11648" spans="5:5">
      <c r="E11648" s="51"/>
    </row>
    <row r="11649" spans="5:5">
      <c r="E11649" s="51"/>
    </row>
    <row r="11650" spans="5:5">
      <c r="E11650" s="51"/>
    </row>
    <row r="11651" spans="5:5">
      <c r="E11651" s="51"/>
    </row>
    <row r="11652" spans="5:5">
      <c r="E11652" s="51"/>
    </row>
    <row r="11653" spans="5:5">
      <c r="E11653" s="51"/>
    </row>
    <row r="11654" spans="5:5">
      <c r="E11654" s="51"/>
    </row>
    <row r="11655" spans="5:5">
      <c r="E11655" s="51"/>
    </row>
    <row r="11656" spans="5:5">
      <c r="E11656" s="51"/>
    </row>
    <row r="11657" spans="5:5">
      <c r="E11657" s="51"/>
    </row>
    <row r="11658" spans="5:5">
      <c r="E11658" s="51"/>
    </row>
    <row r="11659" spans="5:5">
      <c r="E11659" s="51"/>
    </row>
    <row r="11660" spans="5:5">
      <c r="E11660" s="51"/>
    </row>
    <row r="11661" spans="5:5">
      <c r="E11661" s="51"/>
    </row>
    <row r="11662" spans="5:5">
      <c r="E11662" s="51"/>
    </row>
    <row r="11663" spans="5:5">
      <c r="E11663" s="51"/>
    </row>
    <row r="11664" spans="5:5">
      <c r="E11664" s="51"/>
    </row>
    <row r="11665" spans="5:5">
      <c r="E11665" s="51"/>
    </row>
    <row r="11666" spans="5:5">
      <c r="E11666" s="51"/>
    </row>
    <row r="11667" spans="5:5">
      <c r="E11667" s="51"/>
    </row>
    <row r="11668" spans="5:5">
      <c r="E11668" s="51"/>
    </row>
    <row r="11669" spans="5:5">
      <c r="E11669" s="51"/>
    </row>
    <row r="11670" spans="5:5">
      <c r="E11670" s="51"/>
    </row>
    <row r="11671" spans="5:5">
      <c r="E11671" s="51"/>
    </row>
    <row r="11672" spans="5:5">
      <c r="E11672" s="51"/>
    </row>
    <row r="11673" spans="5:5">
      <c r="E11673" s="51"/>
    </row>
    <row r="11674" spans="5:5">
      <c r="E11674" s="51"/>
    </row>
    <row r="11675" spans="5:5">
      <c r="E11675" s="51"/>
    </row>
    <row r="11676" spans="5:5">
      <c r="E11676" s="51"/>
    </row>
    <row r="11677" spans="5:5">
      <c r="E11677" s="51"/>
    </row>
    <row r="11678" spans="5:5">
      <c r="E11678" s="51"/>
    </row>
    <row r="11679" spans="5:5">
      <c r="E11679" s="51"/>
    </row>
    <row r="11680" spans="5:5">
      <c r="E11680" s="51"/>
    </row>
    <row r="11681" spans="5:5">
      <c r="E11681" s="51"/>
    </row>
    <row r="11682" spans="5:5">
      <c r="E11682" s="51"/>
    </row>
    <row r="11683" spans="5:5">
      <c r="E11683" s="51"/>
    </row>
    <row r="11684" spans="5:5">
      <c r="E11684" s="51"/>
    </row>
    <row r="11685" spans="5:5">
      <c r="E11685" s="51"/>
    </row>
    <row r="11686" spans="5:5">
      <c r="E11686" s="51"/>
    </row>
    <row r="11687" spans="5:5">
      <c r="E11687" s="51"/>
    </row>
    <row r="11688" spans="5:5">
      <c r="E11688" s="51"/>
    </row>
    <row r="11689" spans="5:5">
      <c r="E11689" s="51"/>
    </row>
    <row r="11690" spans="5:5">
      <c r="E11690" s="51"/>
    </row>
    <row r="11691" spans="5:5">
      <c r="E11691" s="51"/>
    </row>
    <row r="11692" spans="5:5">
      <c r="E11692" s="51"/>
    </row>
    <row r="11693" spans="5:5">
      <c r="E11693" s="51"/>
    </row>
    <row r="11694" spans="5:5">
      <c r="E11694" s="51"/>
    </row>
    <row r="11695" spans="5:5">
      <c r="E11695" s="51"/>
    </row>
    <row r="11696" spans="5:5">
      <c r="E11696" s="51"/>
    </row>
    <row r="11697" spans="5:5">
      <c r="E11697" s="51"/>
    </row>
    <row r="11698" spans="5:5">
      <c r="E11698" s="51"/>
    </row>
    <row r="11699" spans="5:5">
      <c r="E11699" s="51"/>
    </row>
    <row r="11700" spans="5:5">
      <c r="E11700" s="51"/>
    </row>
    <row r="11701" spans="5:5">
      <c r="E11701" s="51"/>
    </row>
    <row r="11702" spans="5:5">
      <c r="E11702" s="51"/>
    </row>
    <row r="11703" spans="5:5">
      <c r="E11703" s="51"/>
    </row>
    <row r="11704" spans="5:5">
      <c r="E11704" s="51"/>
    </row>
    <row r="11705" spans="5:5">
      <c r="E11705" s="51"/>
    </row>
    <row r="11706" spans="5:5">
      <c r="E11706" s="51"/>
    </row>
    <row r="11707" spans="5:5">
      <c r="E11707" s="51"/>
    </row>
    <row r="11708" spans="5:5">
      <c r="E11708" s="51"/>
    </row>
    <row r="11709" spans="5:5">
      <c r="E11709" s="51"/>
    </row>
    <row r="11710" spans="5:5">
      <c r="E11710" s="51"/>
    </row>
    <row r="11711" spans="5:5">
      <c r="E11711" s="51"/>
    </row>
    <row r="11712" spans="5:5">
      <c r="E11712" s="51"/>
    </row>
    <row r="11713" spans="5:5">
      <c r="E11713" s="51"/>
    </row>
    <row r="11714" spans="5:5">
      <c r="E11714" s="51"/>
    </row>
    <row r="11715" spans="5:5">
      <c r="E11715" s="51"/>
    </row>
    <row r="11716" spans="5:5">
      <c r="E11716" s="51"/>
    </row>
    <row r="11717" spans="5:5">
      <c r="E11717" s="51"/>
    </row>
    <row r="11718" spans="5:5">
      <c r="E11718" s="51"/>
    </row>
    <row r="11719" spans="5:5">
      <c r="E11719" s="51"/>
    </row>
    <row r="11720" spans="5:5">
      <c r="E11720" s="51"/>
    </row>
    <row r="11721" spans="5:5">
      <c r="E11721" s="51"/>
    </row>
    <row r="11722" spans="5:5">
      <c r="E11722" s="51"/>
    </row>
    <row r="11723" spans="5:5">
      <c r="E11723" s="51"/>
    </row>
    <row r="11724" spans="5:5">
      <c r="E11724" s="51"/>
    </row>
    <row r="11725" spans="5:5">
      <c r="E11725" s="51"/>
    </row>
    <row r="11726" spans="5:5">
      <c r="E11726" s="51"/>
    </row>
    <row r="11727" spans="5:5">
      <c r="E11727" s="51"/>
    </row>
    <row r="11728" spans="5:5">
      <c r="E11728" s="51"/>
    </row>
    <row r="11729" spans="5:5">
      <c r="E11729" s="51"/>
    </row>
    <row r="11730" spans="5:5">
      <c r="E11730" s="51"/>
    </row>
    <row r="11731" spans="5:5">
      <c r="E11731" s="51"/>
    </row>
    <row r="11732" spans="5:5">
      <c r="E11732" s="51"/>
    </row>
    <row r="11733" spans="5:5">
      <c r="E11733" s="51"/>
    </row>
    <row r="11734" spans="5:5">
      <c r="E11734" s="51"/>
    </row>
    <row r="11735" spans="5:5">
      <c r="E11735" s="51"/>
    </row>
    <row r="11736" spans="5:5">
      <c r="E11736" s="51"/>
    </row>
    <row r="11737" spans="5:5">
      <c r="E11737" s="51"/>
    </row>
    <row r="11738" spans="5:5">
      <c r="E11738" s="51"/>
    </row>
    <row r="11739" spans="5:5">
      <c r="E11739" s="51"/>
    </row>
    <row r="11740" spans="5:5">
      <c r="E11740" s="51"/>
    </row>
    <row r="11741" spans="5:5">
      <c r="E11741" s="51"/>
    </row>
    <row r="11742" spans="5:5">
      <c r="E11742" s="51"/>
    </row>
    <row r="11743" spans="5:5">
      <c r="E11743" s="51"/>
    </row>
    <row r="11744" spans="5:5">
      <c r="E11744" s="51"/>
    </row>
    <row r="11745" spans="5:5">
      <c r="E11745" s="51"/>
    </row>
    <row r="11746" spans="5:5">
      <c r="E11746" s="51"/>
    </row>
    <row r="11747" spans="5:5">
      <c r="E11747" s="51"/>
    </row>
    <row r="11748" spans="5:5">
      <c r="E11748" s="51"/>
    </row>
    <row r="11749" spans="5:5">
      <c r="E11749" s="51"/>
    </row>
    <row r="11750" spans="5:5">
      <c r="E11750" s="51"/>
    </row>
    <row r="11751" spans="5:5">
      <c r="E11751" s="51"/>
    </row>
    <row r="11752" spans="5:5">
      <c r="E11752" s="51"/>
    </row>
    <row r="11753" spans="5:5">
      <c r="E11753" s="51"/>
    </row>
    <row r="11754" spans="5:5">
      <c r="E11754" s="51"/>
    </row>
    <row r="11755" spans="5:5">
      <c r="E11755" s="51"/>
    </row>
    <row r="11756" spans="5:5">
      <c r="E11756" s="51"/>
    </row>
    <row r="11757" spans="5:5">
      <c r="E11757" s="51"/>
    </row>
    <row r="11758" spans="5:5">
      <c r="E11758" s="51"/>
    </row>
    <row r="11759" spans="5:5">
      <c r="E11759" s="51"/>
    </row>
    <row r="11760" spans="5:5">
      <c r="E11760" s="51"/>
    </row>
    <row r="11761" spans="5:5">
      <c r="E11761" s="51"/>
    </row>
    <row r="11762" spans="5:5">
      <c r="E11762" s="51"/>
    </row>
    <row r="11763" spans="5:5">
      <c r="E11763" s="51"/>
    </row>
    <row r="11764" spans="5:5">
      <c r="E11764" s="51"/>
    </row>
    <row r="11765" spans="5:5">
      <c r="E11765" s="51"/>
    </row>
    <row r="11766" spans="5:5">
      <c r="E11766" s="51"/>
    </row>
    <row r="11767" spans="5:5">
      <c r="E11767" s="51"/>
    </row>
    <row r="11768" spans="5:5">
      <c r="E11768" s="51"/>
    </row>
    <row r="11769" spans="5:5">
      <c r="E11769" s="51"/>
    </row>
    <row r="11770" spans="5:5">
      <c r="E11770" s="51"/>
    </row>
    <row r="11771" spans="5:5">
      <c r="E11771" s="51"/>
    </row>
    <row r="11772" spans="5:5">
      <c r="E11772" s="51"/>
    </row>
    <row r="11773" spans="5:5">
      <c r="E11773" s="51"/>
    </row>
    <row r="11774" spans="5:5">
      <c r="E11774" s="51"/>
    </row>
    <row r="11775" spans="5:5">
      <c r="E11775" s="51"/>
    </row>
    <row r="11776" spans="5:5">
      <c r="E11776" s="51"/>
    </row>
    <row r="11777" spans="5:5">
      <c r="E11777" s="51"/>
    </row>
    <row r="11778" spans="5:5">
      <c r="E11778" s="51"/>
    </row>
    <row r="11779" spans="5:5">
      <c r="E11779" s="51"/>
    </row>
    <row r="11780" spans="5:5">
      <c r="E11780" s="51"/>
    </row>
    <row r="11781" spans="5:5">
      <c r="E11781" s="51"/>
    </row>
    <row r="11782" spans="5:5">
      <c r="E11782" s="51"/>
    </row>
    <row r="11783" spans="5:5">
      <c r="E11783" s="51"/>
    </row>
    <row r="11784" spans="5:5">
      <c r="E11784" s="51"/>
    </row>
    <row r="11785" spans="5:5">
      <c r="E11785" s="51"/>
    </row>
    <row r="11786" spans="5:5">
      <c r="E11786" s="51"/>
    </row>
    <row r="11787" spans="5:5">
      <c r="E11787" s="51"/>
    </row>
    <row r="11788" spans="5:5">
      <c r="E11788" s="51"/>
    </row>
    <row r="11789" spans="5:5">
      <c r="E11789" s="51"/>
    </row>
    <row r="11790" spans="5:5">
      <c r="E11790" s="51"/>
    </row>
    <row r="11791" spans="5:5">
      <c r="E11791" s="51"/>
    </row>
    <row r="11792" spans="5:5">
      <c r="E11792" s="51"/>
    </row>
    <row r="11793" spans="5:5">
      <c r="E11793" s="51"/>
    </row>
    <row r="11794" spans="5:5">
      <c r="E11794" s="51"/>
    </row>
    <row r="11795" spans="5:5">
      <c r="E11795" s="51"/>
    </row>
    <row r="11796" spans="5:5">
      <c r="E11796" s="51"/>
    </row>
    <row r="11797" spans="5:5">
      <c r="E11797" s="51"/>
    </row>
    <row r="11798" spans="5:5">
      <c r="E11798" s="51"/>
    </row>
    <row r="11799" spans="5:5">
      <c r="E11799" s="51"/>
    </row>
    <row r="11800" spans="5:5">
      <c r="E11800" s="51"/>
    </row>
    <row r="11801" spans="5:5">
      <c r="E11801" s="51"/>
    </row>
    <row r="11802" spans="5:5">
      <c r="E11802" s="51"/>
    </row>
    <row r="11803" spans="5:5">
      <c r="E11803" s="51"/>
    </row>
    <row r="11804" spans="5:5">
      <c r="E11804" s="51"/>
    </row>
    <row r="11805" spans="5:5">
      <c r="E11805" s="51"/>
    </row>
    <row r="11806" spans="5:5">
      <c r="E11806" s="51"/>
    </row>
    <row r="11807" spans="5:5">
      <c r="E11807" s="51"/>
    </row>
    <row r="11808" spans="5:5">
      <c r="E11808" s="51"/>
    </row>
    <row r="11809" spans="5:5">
      <c r="E11809" s="51"/>
    </row>
    <row r="11810" spans="5:5">
      <c r="E11810" s="51"/>
    </row>
    <row r="11811" spans="5:5">
      <c r="E11811" s="51"/>
    </row>
    <row r="11812" spans="5:5">
      <c r="E11812" s="51"/>
    </row>
    <row r="11813" spans="5:5">
      <c r="E11813" s="51"/>
    </row>
    <row r="11814" spans="5:5">
      <c r="E11814" s="51"/>
    </row>
    <row r="11815" spans="5:5">
      <c r="E11815" s="51"/>
    </row>
    <row r="11816" spans="5:5">
      <c r="E11816" s="51"/>
    </row>
    <row r="11817" spans="5:5">
      <c r="E11817" s="51"/>
    </row>
    <row r="11818" spans="5:5">
      <c r="E11818" s="51"/>
    </row>
    <row r="11819" spans="5:5">
      <c r="E11819" s="51"/>
    </row>
    <row r="11820" spans="5:5">
      <c r="E11820" s="51"/>
    </row>
    <row r="11821" spans="5:5">
      <c r="E11821" s="51"/>
    </row>
    <row r="11822" spans="5:5">
      <c r="E11822" s="51"/>
    </row>
    <row r="11823" spans="5:5">
      <c r="E11823" s="51"/>
    </row>
    <row r="11824" spans="5:5">
      <c r="E11824" s="51"/>
    </row>
    <row r="11825" spans="5:5">
      <c r="E11825" s="51"/>
    </row>
    <row r="11826" spans="5:5">
      <c r="E11826" s="51"/>
    </row>
    <row r="11827" spans="5:5">
      <c r="E11827" s="51"/>
    </row>
    <row r="11828" spans="5:5">
      <c r="E11828" s="51"/>
    </row>
    <row r="11829" spans="5:5">
      <c r="E11829" s="51"/>
    </row>
    <row r="11830" spans="5:5">
      <c r="E11830" s="51"/>
    </row>
    <row r="11831" spans="5:5">
      <c r="E11831" s="51"/>
    </row>
    <row r="11832" spans="5:5">
      <c r="E11832" s="51"/>
    </row>
    <row r="11833" spans="5:5">
      <c r="E11833" s="51"/>
    </row>
    <row r="11834" spans="5:5">
      <c r="E11834" s="51"/>
    </row>
    <row r="11835" spans="5:5">
      <c r="E11835" s="51"/>
    </row>
    <row r="11836" spans="5:5">
      <c r="E11836" s="51"/>
    </row>
    <row r="11837" spans="5:5">
      <c r="E11837" s="51"/>
    </row>
    <row r="11838" spans="5:5">
      <c r="E11838" s="51"/>
    </row>
    <row r="11839" spans="5:5">
      <c r="E11839" s="51"/>
    </row>
    <row r="11840" spans="5:5">
      <c r="E11840" s="51"/>
    </row>
    <row r="11841" spans="5:5">
      <c r="E11841" s="51"/>
    </row>
    <row r="11842" spans="5:5">
      <c r="E11842" s="51"/>
    </row>
    <row r="11843" spans="5:5">
      <c r="E11843" s="51"/>
    </row>
    <row r="11844" spans="5:5">
      <c r="E11844" s="51"/>
    </row>
    <row r="11845" spans="5:5">
      <c r="E11845" s="51"/>
    </row>
    <row r="11846" spans="5:5">
      <c r="E11846" s="51"/>
    </row>
    <row r="11847" spans="5:5">
      <c r="E11847" s="51"/>
    </row>
    <row r="11848" spans="5:5">
      <c r="E11848" s="51"/>
    </row>
    <row r="11849" spans="5:5">
      <c r="E11849" s="51"/>
    </row>
    <row r="11850" spans="5:5">
      <c r="E11850" s="51"/>
    </row>
    <row r="11851" spans="5:5">
      <c r="E11851" s="51"/>
    </row>
    <row r="11852" spans="5:5">
      <c r="E11852" s="51"/>
    </row>
    <row r="11853" spans="5:5">
      <c r="E11853" s="51"/>
    </row>
    <row r="11854" spans="5:5">
      <c r="E11854" s="51"/>
    </row>
    <row r="11855" spans="5:5">
      <c r="E11855" s="51"/>
    </row>
    <row r="11856" spans="5:5">
      <c r="E11856" s="51"/>
    </row>
    <row r="11857" spans="5:5">
      <c r="E11857" s="51"/>
    </row>
    <row r="11858" spans="5:5">
      <c r="E11858" s="51"/>
    </row>
    <row r="11859" spans="5:5">
      <c r="E11859" s="51"/>
    </row>
    <row r="11860" spans="5:5">
      <c r="E11860" s="51"/>
    </row>
    <row r="11861" spans="5:5">
      <c r="E11861" s="51"/>
    </row>
    <row r="11862" spans="5:5">
      <c r="E11862" s="51"/>
    </row>
    <row r="11863" spans="5:5">
      <c r="E11863" s="51"/>
    </row>
    <row r="11864" spans="5:5">
      <c r="E11864" s="51"/>
    </row>
    <row r="11865" spans="5:5">
      <c r="E11865" s="51"/>
    </row>
    <row r="11866" spans="5:5">
      <c r="E11866" s="51"/>
    </row>
    <row r="11867" spans="5:5">
      <c r="E11867" s="51"/>
    </row>
    <row r="11868" spans="5:5">
      <c r="E11868" s="51"/>
    </row>
    <row r="11869" spans="5:5">
      <c r="E11869" s="51"/>
    </row>
    <row r="11870" spans="5:5">
      <c r="E11870" s="51"/>
    </row>
    <row r="11871" spans="5:5">
      <c r="E11871" s="51"/>
    </row>
    <row r="11872" spans="5:5">
      <c r="E11872" s="51"/>
    </row>
    <row r="11873" spans="5:5">
      <c r="E11873" s="51"/>
    </row>
    <row r="11874" spans="5:5">
      <c r="E11874" s="51"/>
    </row>
    <row r="11875" spans="5:5">
      <c r="E11875" s="51"/>
    </row>
    <row r="11876" spans="5:5">
      <c r="E11876" s="51"/>
    </row>
    <row r="11877" spans="5:5">
      <c r="E11877" s="51"/>
    </row>
    <row r="11878" spans="5:5">
      <c r="E11878" s="51"/>
    </row>
    <row r="11879" spans="5:5">
      <c r="E11879" s="51"/>
    </row>
    <row r="11880" spans="5:5">
      <c r="E11880" s="51"/>
    </row>
    <row r="11881" spans="5:5">
      <c r="E11881" s="51"/>
    </row>
    <row r="11882" spans="5:5">
      <c r="E11882" s="51"/>
    </row>
    <row r="11883" spans="5:5">
      <c r="E11883" s="51"/>
    </row>
    <row r="11884" spans="5:5">
      <c r="E11884" s="51"/>
    </row>
    <row r="11885" spans="5:5">
      <c r="E11885" s="51"/>
    </row>
    <row r="11886" spans="5:5">
      <c r="E11886" s="51"/>
    </row>
    <row r="11887" spans="5:5">
      <c r="E11887" s="51"/>
    </row>
    <row r="11888" spans="5:5">
      <c r="E11888" s="51"/>
    </row>
    <row r="11889" spans="5:5">
      <c r="E11889" s="51"/>
    </row>
    <row r="11890" spans="5:5">
      <c r="E11890" s="51"/>
    </row>
    <row r="11891" spans="5:5">
      <c r="E11891" s="51"/>
    </row>
    <row r="11892" spans="5:5">
      <c r="E11892" s="51"/>
    </row>
    <row r="11893" spans="5:5">
      <c r="E11893" s="51"/>
    </row>
    <row r="11894" spans="5:5">
      <c r="E11894" s="51"/>
    </row>
    <row r="11895" spans="5:5">
      <c r="E11895" s="51"/>
    </row>
    <row r="11896" spans="5:5">
      <c r="E11896" s="51"/>
    </row>
    <row r="11897" spans="5:5">
      <c r="E11897" s="51"/>
    </row>
    <row r="11898" spans="5:5">
      <c r="E11898" s="51"/>
    </row>
    <row r="11899" spans="5:5">
      <c r="E11899" s="51"/>
    </row>
    <row r="11900" spans="5:5">
      <c r="E11900" s="51"/>
    </row>
    <row r="11901" spans="5:5">
      <c r="E11901" s="51"/>
    </row>
    <row r="11902" spans="5:5">
      <c r="E11902" s="51"/>
    </row>
    <row r="11903" spans="5:5">
      <c r="E11903" s="51"/>
    </row>
    <row r="11904" spans="5:5">
      <c r="E11904" s="51"/>
    </row>
    <row r="11905" spans="5:5">
      <c r="E11905" s="51"/>
    </row>
    <row r="11906" spans="5:5">
      <c r="E11906" s="51"/>
    </row>
    <row r="11907" spans="5:5">
      <c r="E11907" s="51"/>
    </row>
    <row r="11908" spans="5:5">
      <c r="E11908" s="51"/>
    </row>
    <row r="11909" spans="5:5">
      <c r="E11909" s="51"/>
    </row>
    <row r="11910" spans="5:5">
      <c r="E11910" s="51"/>
    </row>
    <row r="11911" spans="5:5">
      <c r="E11911" s="51"/>
    </row>
    <row r="11912" spans="5:5">
      <c r="E11912" s="51"/>
    </row>
    <row r="11913" spans="5:5">
      <c r="E11913" s="51"/>
    </row>
    <row r="11914" spans="5:5">
      <c r="E11914" s="51"/>
    </row>
    <row r="11915" spans="5:5">
      <c r="E11915" s="51"/>
    </row>
    <row r="11916" spans="5:5">
      <c r="E11916" s="51"/>
    </row>
    <row r="11917" spans="5:5">
      <c r="E11917" s="51"/>
    </row>
    <row r="11918" spans="5:5">
      <c r="E11918" s="51"/>
    </row>
    <row r="11919" spans="5:5">
      <c r="E11919" s="51"/>
    </row>
    <row r="11920" spans="5:5">
      <c r="E11920" s="51"/>
    </row>
    <row r="11921" spans="5:5">
      <c r="E11921" s="51"/>
    </row>
    <row r="11922" spans="5:5">
      <c r="E11922" s="51"/>
    </row>
    <row r="11923" spans="5:5">
      <c r="E11923" s="51"/>
    </row>
    <row r="11924" spans="5:5">
      <c r="E11924" s="51"/>
    </row>
    <row r="11925" spans="5:5">
      <c r="E11925" s="51"/>
    </row>
    <row r="11926" spans="5:5">
      <c r="E11926" s="51"/>
    </row>
    <row r="11927" spans="5:5">
      <c r="E11927" s="51"/>
    </row>
    <row r="11928" spans="5:5">
      <c r="E11928" s="51"/>
    </row>
    <row r="11929" spans="5:5">
      <c r="E11929" s="51"/>
    </row>
    <row r="11930" spans="5:5">
      <c r="E11930" s="51"/>
    </row>
    <row r="11931" spans="5:5">
      <c r="E11931" s="51"/>
    </row>
    <row r="11932" spans="5:5">
      <c r="E11932" s="51"/>
    </row>
    <row r="11933" spans="5:5">
      <c r="E11933" s="51"/>
    </row>
    <row r="11934" spans="5:5">
      <c r="E11934" s="51"/>
    </row>
    <row r="11935" spans="5:5">
      <c r="E11935" s="51"/>
    </row>
    <row r="11936" spans="5:5">
      <c r="E11936" s="51"/>
    </row>
    <row r="11937" spans="5:5">
      <c r="E11937" s="51"/>
    </row>
    <row r="11938" spans="5:5">
      <c r="E11938" s="51"/>
    </row>
    <row r="11939" spans="5:5">
      <c r="E11939" s="51"/>
    </row>
    <row r="11940" spans="5:5">
      <c r="E11940" s="51"/>
    </row>
    <row r="11941" spans="5:5">
      <c r="E11941" s="51"/>
    </row>
    <row r="11942" spans="5:5">
      <c r="E11942" s="51"/>
    </row>
    <row r="11943" spans="5:5">
      <c r="E11943" s="51"/>
    </row>
    <row r="11944" spans="5:5">
      <c r="E11944" s="51"/>
    </row>
    <row r="11945" spans="5:5">
      <c r="E11945" s="51"/>
    </row>
    <row r="11946" spans="5:5">
      <c r="E11946" s="51"/>
    </row>
    <row r="11947" spans="5:5">
      <c r="E11947" s="51"/>
    </row>
    <row r="11948" spans="5:5">
      <c r="E11948" s="51"/>
    </row>
    <row r="11949" spans="5:5">
      <c r="E11949" s="51"/>
    </row>
    <row r="11950" spans="5:5">
      <c r="E11950" s="51"/>
    </row>
    <row r="11951" spans="5:5">
      <c r="E11951" s="51"/>
    </row>
    <row r="11952" spans="5:5">
      <c r="E11952" s="51"/>
    </row>
    <row r="11953" spans="5:5">
      <c r="E11953" s="51"/>
    </row>
    <row r="11954" spans="5:5">
      <c r="E11954" s="51"/>
    </row>
    <row r="11955" spans="5:5">
      <c r="E11955" s="51"/>
    </row>
    <row r="11956" spans="5:5">
      <c r="E11956" s="51"/>
    </row>
    <row r="11957" spans="5:5">
      <c r="E11957" s="51"/>
    </row>
    <row r="11958" spans="5:5">
      <c r="E11958" s="51"/>
    </row>
    <row r="11959" spans="5:5">
      <c r="E11959" s="51"/>
    </row>
    <row r="11960" spans="5:5">
      <c r="E11960" s="51"/>
    </row>
    <row r="11961" spans="5:5">
      <c r="E11961" s="51"/>
    </row>
    <row r="11962" spans="5:5">
      <c r="E11962" s="51"/>
    </row>
    <row r="11963" spans="5:5">
      <c r="E11963" s="51"/>
    </row>
    <row r="11964" spans="5:5">
      <c r="E11964" s="51"/>
    </row>
    <row r="11965" spans="5:5">
      <c r="E11965" s="51"/>
    </row>
    <row r="11966" spans="5:5">
      <c r="E11966" s="51"/>
    </row>
    <row r="11967" spans="5:5">
      <c r="E11967" s="51"/>
    </row>
    <row r="11968" spans="5:5">
      <c r="E11968" s="51"/>
    </row>
    <row r="11969" spans="5:5">
      <c r="E11969" s="51"/>
    </row>
    <row r="11970" spans="5:5">
      <c r="E11970" s="51"/>
    </row>
    <row r="11971" spans="5:5">
      <c r="E11971" s="51"/>
    </row>
    <row r="11972" spans="5:5">
      <c r="E11972" s="51"/>
    </row>
    <row r="11973" spans="5:5">
      <c r="E11973" s="51"/>
    </row>
    <row r="11974" spans="5:5">
      <c r="E11974" s="51"/>
    </row>
    <row r="11975" spans="5:5">
      <c r="E11975" s="51"/>
    </row>
    <row r="11976" spans="5:5">
      <c r="E11976" s="51"/>
    </row>
    <row r="11977" spans="5:5">
      <c r="E11977" s="51"/>
    </row>
    <row r="11978" spans="5:5">
      <c r="E11978" s="51"/>
    </row>
    <row r="11979" spans="5:5">
      <c r="E11979" s="51"/>
    </row>
    <row r="11980" spans="5:5">
      <c r="E11980" s="51"/>
    </row>
    <row r="11981" spans="5:5">
      <c r="E11981" s="51"/>
    </row>
    <row r="11982" spans="5:5">
      <c r="E11982" s="51"/>
    </row>
    <row r="11983" spans="5:5">
      <c r="E11983" s="51"/>
    </row>
    <row r="11984" spans="5:5">
      <c r="E11984" s="51"/>
    </row>
    <row r="11985" spans="5:5">
      <c r="E11985" s="51"/>
    </row>
    <row r="11986" spans="5:5">
      <c r="E11986" s="51"/>
    </row>
    <row r="11987" spans="5:5">
      <c r="E11987" s="51"/>
    </row>
    <row r="11988" spans="5:5">
      <c r="E11988" s="51"/>
    </row>
    <row r="11989" spans="5:5">
      <c r="E11989" s="51"/>
    </row>
    <row r="11990" spans="5:5">
      <c r="E11990" s="51"/>
    </row>
    <row r="11991" spans="5:5">
      <c r="E11991" s="51"/>
    </row>
    <row r="11992" spans="5:5">
      <c r="E11992" s="51"/>
    </row>
    <row r="11993" spans="5:5">
      <c r="E11993" s="51"/>
    </row>
    <row r="11994" spans="5:5">
      <c r="E11994" s="51"/>
    </row>
    <row r="11995" spans="5:5">
      <c r="E11995" s="51"/>
    </row>
    <row r="11996" spans="5:5">
      <c r="E11996" s="51"/>
    </row>
    <row r="11997" spans="5:5">
      <c r="E11997" s="51"/>
    </row>
    <row r="11998" spans="5:5">
      <c r="E11998" s="51"/>
    </row>
    <row r="11999" spans="5:5">
      <c r="E11999" s="51"/>
    </row>
    <row r="12000" spans="5:5">
      <c r="E12000" s="51"/>
    </row>
    <row r="12001" spans="5:5">
      <c r="E12001" s="51"/>
    </row>
    <row r="12002" spans="5:5">
      <c r="E12002" s="51"/>
    </row>
    <row r="12003" spans="5:5">
      <c r="E12003" s="51"/>
    </row>
    <row r="12004" spans="5:5">
      <c r="E12004" s="51"/>
    </row>
    <row r="12005" spans="5:5">
      <c r="E12005" s="51"/>
    </row>
    <row r="12006" spans="5:5">
      <c r="E12006" s="51"/>
    </row>
    <row r="12007" spans="5:5">
      <c r="E12007" s="51"/>
    </row>
    <row r="12008" spans="5:5">
      <c r="E12008" s="51"/>
    </row>
    <row r="12009" spans="5:5">
      <c r="E12009" s="51"/>
    </row>
    <row r="12010" spans="5:5">
      <c r="E12010" s="51"/>
    </row>
    <row r="12011" spans="5:5">
      <c r="E12011" s="51"/>
    </row>
    <row r="12012" spans="5:5">
      <c r="E12012" s="51"/>
    </row>
    <row r="12013" spans="5:5">
      <c r="E12013" s="51"/>
    </row>
    <row r="12014" spans="5:5">
      <c r="E12014" s="51"/>
    </row>
    <row r="12015" spans="5:5">
      <c r="E12015" s="51"/>
    </row>
    <row r="12016" spans="5:5">
      <c r="E12016" s="51"/>
    </row>
    <row r="12017" spans="5:5">
      <c r="E12017" s="51"/>
    </row>
    <row r="12018" spans="5:5">
      <c r="E12018" s="51"/>
    </row>
    <row r="12019" spans="5:5">
      <c r="E12019" s="51"/>
    </row>
    <row r="12020" spans="5:5">
      <c r="E12020" s="51"/>
    </row>
    <row r="12021" spans="5:5">
      <c r="E12021" s="51"/>
    </row>
    <row r="12022" spans="5:5">
      <c r="E12022" s="51"/>
    </row>
    <row r="12023" spans="5:5">
      <c r="E12023" s="51"/>
    </row>
    <row r="12024" spans="5:5">
      <c r="E12024" s="51"/>
    </row>
    <row r="12025" spans="5:5">
      <c r="E12025" s="51"/>
    </row>
    <row r="12026" spans="5:5">
      <c r="E12026" s="51"/>
    </row>
    <row r="12027" spans="5:5">
      <c r="E12027" s="51"/>
    </row>
    <row r="12028" spans="5:5">
      <c r="E12028" s="51"/>
    </row>
    <row r="12029" spans="5:5">
      <c r="E12029" s="51"/>
    </row>
    <row r="12030" spans="5:5">
      <c r="E12030" s="51"/>
    </row>
    <row r="12031" spans="5:5">
      <c r="E12031" s="51"/>
    </row>
    <row r="12032" spans="5:5">
      <c r="E12032" s="51"/>
    </row>
    <row r="12033" spans="5:5">
      <c r="E12033" s="51"/>
    </row>
    <row r="12034" spans="5:5">
      <c r="E12034" s="51"/>
    </row>
    <row r="12035" spans="5:5">
      <c r="E12035" s="51"/>
    </row>
    <row r="12036" spans="5:5">
      <c r="E12036" s="51"/>
    </row>
    <row r="12037" spans="5:5">
      <c r="E12037" s="51"/>
    </row>
    <row r="12038" spans="5:5">
      <c r="E12038" s="51"/>
    </row>
    <row r="12039" spans="5:5">
      <c r="E12039" s="51"/>
    </row>
    <row r="12040" spans="5:5">
      <c r="E12040" s="51"/>
    </row>
    <row r="12041" spans="5:5">
      <c r="E12041" s="51"/>
    </row>
    <row r="12042" spans="5:5">
      <c r="E12042" s="51"/>
    </row>
    <row r="12043" spans="5:5">
      <c r="E12043" s="51"/>
    </row>
    <row r="12044" spans="5:5">
      <c r="E12044" s="51"/>
    </row>
    <row r="12045" spans="5:5">
      <c r="E12045" s="51"/>
    </row>
    <row r="12046" spans="5:5">
      <c r="E12046" s="51"/>
    </row>
    <row r="12047" spans="5:5">
      <c r="E12047" s="51"/>
    </row>
    <row r="12048" spans="5:5">
      <c r="E12048" s="51"/>
    </row>
    <row r="12049" spans="5:5">
      <c r="E12049" s="51"/>
    </row>
    <row r="12050" spans="5:5">
      <c r="E12050" s="51"/>
    </row>
    <row r="12051" spans="5:5">
      <c r="E12051" s="51"/>
    </row>
    <row r="12052" spans="5:5">
      <c r="E12052" s="51"/>
    </row>
    <row r="12053" spans="5:5">
      <c r="E12053" s="51"/>
    </row>
    <row r="12054" spans="5:5">
      <c r="E12054" s="51"/>
    </row>
    <row r="12055" spans="5:5">
      <c r="E12055" s="51"/>
    </row>
    <row r="12056" spans="5:5">
      <c r="E12056" s="51"/>
    </row>
    <row r="12057" spans="5:5">
      <c r="E12057" s="51"/>
    </row>
    <row r="12058" spans="5:5">
      <c r="E12058" s="51"/>
    </row>
    <row r="12059" spans="5:5">
      <c r="E12059" s="51"/>
    </row>
    <row r="12060" spans="5:5">
      <c r="E12060" s="51"/>
    </row>
    <row r="12061" spans="5:5">
      <c r="E12061" s="51"/>
    </row>
    <row r="12062" spans="5:5">
      <c r="E12062" s="51"/>
    </row>
    <row r="12063" spans="5:5">
      <c r="E12063" s="51"/>
    </row>
    <row r="12064" spans="5:5">
      <c r="E12064" s="51"/>
    </row>
    <row r="12065" spans="5:5">
      <c r="E12065" s="51"/>
    </row>
    <row r="12066" spans="5:5">
      <c r="E12066" s="51"/>
    </row>
    <row r="12067" spans="5:5">
      <c r="E12067" s="51"/>
    </row>
    <row r="12068" spans="5:5">
      <c r="E12068" s="51"/>
    </row>
    <row r="12069" spans="5:5">
      <c r="E12069" s="51"/>
    </row>
    <row r="12070" spans="5:5">
      <c r="E12070" s="51"/>
    </row>
    <row r="12071" spans="5:5">
      <c r="E12071" s="51"/>
    </row>
    <row r="12072" spans="5:5">
      <c r="E12072" s="51"/>
    </row>
    <row r="12073" spans="5:5">
      <c r="E12073" s="51"/>
    </row>
    <row r="12074" spans="5:5">
      <c r="E12074" s="51"/>
    </row>
    <row r="12075" spans="5:5">
      <c r="E12075" s="51"/>
    </row>
    <row r="12076" spans="5:5">
      <c r="E12076" s="51"/>
    </row>
    <row r="12077" spans="5:5">
      <c r="E12077" s="51"/>
    </row>
    <row r="12078" spans="5:5">
      <c r="E12078" s="51"/>
    </row>
    <row r="12079" spans="5:5">
      <c r="E12079" s="51"/>
    </row>
    <row r="12080" spans="5:5">
      <c r="E12080" s="51"/>
    </row>
    <row r="12081" spans="5:5">
      <c r="E12081" s="51"/>
    </row>
    <row r="12082" spans="5:5">
      <c r="E12082" s="51"/>
    </row>
    <row r="12083" spans="5:5">
      <c r="E12083" s="51"/>
    </row>
    <row r="12084" spans="5:5">
      <c r="E12084" s="51"/>
    </row>
    <row r="12085" spans="5:5">
      <c r="E12085" s="51"/>
    </row>
    <row r="12086" spans="5:5">
      <c r="E12086" s="51"/>
    </row>
    <row r="12087" spans="5:5">
      <c r="E12087" s="51"/>
    </row>
    <row r="12088" spans="5:5">
      <c r="E12088" s="51"/>
    </row>
    <row r="12089" spans="5:5">
      <c r="E12089" s="51"/>
    </row>
    <row r="12090" spans="5:5">
      <c r="E12090" s="51"/>
    </row>
    <row r="12091" spans="5:5">
      <c r="E12091" s="51"/>
    </row>
    <row r="12092" spans="5:5">
      <c r="E12092" s="51"/>
    </row>
    <row r="12093" spans="5:5">
      <c r="E12093" s="51"/>
    </row>
    <row r="12094" spans="5:5">
      <c r="E12094" s="51"/>
    </row>
    <row r="12095" spans="5:5">
      <c r="E12095" s="51"/>
    </row>
    <row r="12096" spans="5:5">
      <c r="E12096" s="51"/>
    </row>
    <row r="12097" spans="5:5">
      <c r="E12097" s="51"/>
    </row>
    <row r="12098" spans="5:5">
      <c r="E12098" s="51"/>
    </row>
    <row r="12099" spans="5:5">
      <c r="E12099" s="51"/>
    </row>
    <row r="12100" spans="5:5">
      <c r="E12100" s="51"/>
    </row>
    <row r="12101" spans="5:5">
      <c r="E12101" s="51"/>
    </row>
    <row r="12102" spans="5:5">
      <c r="E12102" s="51"/>
    </row>
    <row r="12103" spans="5:5">
      <c r="E12103" s="51"/>
    </row>
    <row r="12104" spans="5:5">
      <c r="E12104" s="51"/>
    </row>
    <row r="12105" spans="5:5">
      <c r="E12105" s="51"/>
    </row>
    <row r="12106" spans="5:5">
      <c r="E12106" s="51"/>
    </row>
    <row r="12107" spans="5:5">
      <c r="E12107" s="51"/>
    </row>
    <row r="12108" spans="5:5">
      <c r="E12108" s="51"/>
    </row>
    <row r="12109" spans="5:5">
      <c r="E12109" s="51"/>
    </row>
    <row r="12110" spans="5:5">
      <c r="E12110" s="51"/>
    </row>
    <row r="12111" spans="5:5">
      <c r="E12111" s="51"/>
    </row>
    <row r="12112" spans="5:5">
      <c r="E12112" s="51"/>
    </row>
    <row r="12113" spans="5:5">
      <c r="E12113" s="51"/>
    </row>
    <row r="12114" spans="5:5">
      <c r="E12114" s="51"/>
    </row>
    <row r="12115" spans="5:5">
      <c r="E12115" s="51"/>
    </row>
    <row r="12116" spans="5:5">
      <c r="E12116" s="51"/>
    </row>
    <row r="12117" spans="5:5">
      <c r="E12117" s="51"/>
    </row>
    <row r="12118" spans="5:5">
      <c r="E12118" s="51"/>
    </row>
    <row r="12119" spans="5:5">
      <c r="E12119" s="51"/>
    </row>
    <row r="12120" spans="5:5">
      <c r="E12120" s="51"/>
    </row>
    <row r="12121" spans="5:5">
      <c r="E12121" s="51"/>
    </row>
    <row r="12122" spans="5:5">
      <c r="E12122" s="51"/>
    </row>
    <row r="12123" spans="5:5">
      <c r="E12123" s="51"/>
    </row>
    <row r="12124" spans="5:5">
      <c r="E12124" s="51"/>
    </row>
    <row r="12125" spans="5:5">
      <c r="E12125" s="51"/>
    </row>
    <row r="12126" spans="5:5">
      <c r="E12126" s="51"/>
    </row>
    <row r="12127" spans="5:5">
      <c r="E12127" s="51"/>
    </row>
    <row r="12128" spans="5:5">
      <c r="E12128" s="51"/>
    </row>
    <row r="12129" spans="5:5">
      <c r="E12129" s="51"/>
    </row>
    <row r="12130" spans="5:5">
      <c r="E12130" s="51"/>
    </row>
    <row r="12131" spans="5:5">
      <c r="E12131" s="51"/>
    </row>
    <row r="12132" spans="5:5">
      <c r="E12132" s="51"/>
    </row>
    <row r="12133" spans="5:5">
      <c r="E12133" s="51"/>
    </row>
    <row r="12134" spans="5:5">
      <c r="E12134" s="51"/>
    </row>
    <row r="12135" spans="5:5">
      <c r="E12135" s="51"/>
    </row>
    <row r="12136" spans="5:5">
      <c r="E12136" s="51"/>
    </row>
    <row r="12137" spans="5:5">
      <c r="E12137" s="51"/>
    </row>
    <row r="12138" spans="5:5">
      <c r="E12138" s="51"/>
    </row>
    <row r="12139" spans="5:5">
      <c r="E12139" s="51"/>
    </row>
    <row r="12140" spans="5:5">
      <c r="E12140" s="51"/>
    </row>
    <row r="12141" spans="5:5">
      <c r="E12141" s="51"/>
    </row>
    <row r="12142" spans="5:5">
      <c r="E12142" s="51"/>
    </row>
    <row r="12143" spans="5:5">
      <c r="E12143" s="51"/>
    </row>
    <row r="12144" spans="5:5">
      <c r="E12144" s="51"/>
    </row>
    <row r="12145" spans="5:5">
      <c r="E12145" s="51"/>
    </row>
    <row r="12146" spans="5:5">
      <c r="E12146" s="51"/>
    </row>
    <row r="12147" spans="5:5">
      <c r="E12147" s="51"/>
    </row>
    <row r="12148" spans="5:5">
      <c r="E12148" s="51"/>
    </row>
    <row r="12149" spans="5:5">
      <c r="E12149" s="51"/>
    </row>
    <row r="12150" spans="5:5">
      <c r="E12150" s="51"/>
    </row>
    <row r="12151" spans="5:5">
      <c r="E12151" s="51"/>
    </row>
    <row r="12152" spans="5:5">
      <c r="E12152" s="51"/>
    </row>
    <row r="12153" spans="5:5">
      <c r="E12153" s="51"/>
    </row>
    <row r="12154" spans="5:5">
      <c r="E12154" s="51"/>
    </row>
    <row r="12155" spans="5:5">
      <c r="E12155" s="51"/>
    </row>
    <row r="12156" spans="5:5">
      <c r="E12156" s="51"/>
    </row>
    <row r="12157" spans="5:5">
      <c r="E12157" s="51"/>
    </row>
    <row r="12158" spans="5:5">
      <c r="E12158" s="51"/>
    </row>
    <row r="12159" spans="5:5">
      <c r="E12159" s="51"/>
    </row>
    <row r="12160" spans="5:5">
      <c r="E12160" s="51"/>
    </row>
    <row r="12161" spans="5:5">
      <c r="E12161" s="51"/>
    </row>
    <row r="12162" spans="5:5">
      <c r="E12162" s="51"/>
    </row>
    <row r="12163" spans="5:5">
      <c r="E12163" s="51"/>
    </row>
    <row r="12164" spans="5:5">
      <c r="E12164" s="51"/>
    </row>
    <row r="12165" spans="5:5">
      <c r="E12165" s="51"/>
    </row>
    <row r="12166" spans="5:5">
      <c r="E12166" s="51"/>
    </row>
    <row r="12167" spans="5:5">
      <c r="E12167" s="51"/>
    </row>
    <row r="12168" spans="5:5">
      <c r="E12168" s="51"/>
    </row>
    <row r="12169" spans="5:5">
      <c r="E12169" s="51"/>
    </row>
    <row r="12170" spans="5:5">
      <c r="E12170" s="51"/>
    </row>
    <row r="12171" spans="5:5">
      <c r="E12171" s="51"/>
    </row>
    <row r="12172" spans="5:5">
      <c r="E12172" s="51"/>
    </row>
    <row r="12173" spans="5:5">
      <c r="E12173" s="51"/>
    </row>
    <row r="12174" spans="5:5">
      <c r="E12174" s="51"/>
    </row>
    <row r="12175" spans="5:5">
      <c r="E12175" s="51"/>
    </row>
    <row r="12176" spans="5:5">
      <c r="E12176" s="51"/>
    </row>
    <row r="12177" spans="5:5">
      <c r="E12177" s="51"/>
    </row>
    <row r="12178" spans="5:5">
      <c r="E12178" s="51"/>
    </row>
    <row r="12179" spans="5:5">
      <c r="E12179" s="51"/>
    </row>
    <row r="12180" spans="5:5">
      <c r="E12180" s="51"/>
    </row>
    <row r="12181" spans="5:5">
      <c r="E12181" s="51"/>
    </row>
    <row r="12182" spans="5:5">
      <c r="E12182" s="51"/>
    </row>
    <row r="12183" spans="5:5">
      <c r="E12183" s="51"/>
    </row>
    <row r="12184" spans="5:5">
      <c r="E12184" s="51"/>
    </row>
    <row r="12185" spans="5:5">
      <c r="E12185" s="51"/>
    </row>
    <row r="12186" spans="5:5">
      <c r="E12186" s="51"/>
    </row>
    <row r="12187" spans="5:5">
      <c r="E12187" s="51"/>
    </row>
    <row r="12188" spans="5:5">
      <c r="E12188" s="51"/>
    </row>
    <row r="12189" spans="5:5">
      <c r="E12189" s="51"/>
    </row>
    <row r="12190" spans="5:5">
      <c r="E12190" s="51"/>
    </row>
    <row r="12191" spans="5:5">
      <c r="E12191" s="51"/>
    </row>
    <row r="12192" spans="5:5">
      <c r="E12192" s="51"/>
    </row>
    <row r="12193" spans="5:5">
      <c r="E12193" s="51"/>
    </row>
    <row r="12194" spans="5:5">
      <c r="E12194" s="51"/>
    </row>
    <row r="12195" spans="5:5">
      <c r="E12195" s="51"/>
    </row>
    <row r="12196" spans="5:5">
      <c r="E12196" s="51"/>
    </row>
    <row r="12197" spans="5:5">
      <c r="E12197" s="51"/>
    </row>
    <row r="12198" spans="5:5">
      <c r="E12198" s="51"/>
    </row>
    <row r="12199" spans="5:5">
      <c r="E12199" s="51"/>
    </row>
    <row r="12200" spans="5:5">
      <c r="E12200" s="51"/>
    </row>
    <row r="12201" spans="5:5">
      <c r="E12201" s="51"/>
    </row>
    <row r="12202" spans="5:5">
      <c r="E12202" s="51"/>
    </row>
    <row r="12203" spans="5:5">
      <c r="E12203" s="51"/>
    </row>
    <row r="12204" spans="5:5">
      <c r="E12204" s="51"/>
    </row>
    <row r="12205" spans="5:5">
      <c r="E12205" s="51"/>
    </row>
    <row r="12206" spans="5:5">
      <c r="E12206" s="51"/>
    </row>
    <row r="12207" spans="5:5">
      <c r="E12207" s="51"/>
    </row>
    <row r="12208" spans="5:5">
      <c r="E12208" s="51"/>
    </row>
    <row r="12209" spans="5:5">
      <c r="E12209" s="51"/>
    </row>
    <row r="12210" spans="5:5">
      <c r="E12210" s="51"/>
    </row>
    <row r="12211" spans="5:5">
      <c r="E12211" s="51"/>
    </row>
    <row r="12212" spans="5:5">
      <c r="E12212" s="51"/>
    </row>
    <row r="12213" spans="5:5">
      <c r="E12213" s="51"/>
    </row>
    <row r="12214" spans="5:5">
      <c r="E12214" s="51"/>
    </row>
    <row r="12215" spans="5:5">
      <c r="E12215" s="51"/>
    </row>
    <row r="12216" spans="5:5">
      <c r="E12216" s="51"/>
    </row>
    <row r="12217" spans="5:5">
      <c r="E12217" s="51"/>
    </row>
    <row r="12218" spans="5:5">
      <c r="E12218" s="51"/>
    </row>
    <row r="12219" spans="5:5">
      <c r="E12219" s="51"/>
    </row>
    <row r="12220" spans="5:5">
      <c r="E12220" s="51"/>
    </row>
    <row r="12221" spans="5:5">
      <c r="E12221" s="51"/>
    </row>
    <row r="12222" spans="5:5">
      <c r="E12222" s="51"/>
    </row>
    <row r="12223" spans="5:5">
      <c r="E12223" s="51"/>
    </row>
    <row r="12224" spans="5:5">
      <c r="E12224" s="51"/>
    </row>
    <row r="12225" spans="5:5">
      <c r="E12225" s="51"/>
    </row>
    <row r="12226" spans="5:5">
      <c r="E12226" s="51"/>
    </row>
    <row r="12227" spans="5:5">
      <c r="E12227" s="51"/>
    </row>
    <row r="12228" spans="5:5">
      <c r="E12228" s="51"/>
    </row>
    <row r="12229" spans="5:5">
      <c r="E12229" s="51"/>
    </row>
    <row r="12230" spans="5:5">
      <c r="E12230" s="51"/>
    </row>
    <row r="12231" spans="5:5">
      <c r="E12231" s="51"/>
    </row>
    <row r="12232" spans="5:5">
      <c r="E12232" s="51"/>
    </row>
    <row r="12233" spans="5:5">
      <c r="E12233" s="51"/>
    </row>
    <row r="12234" spans="5:5">
      <c r="E12234" s="51"/>
    </row>
    <row r="12235" spans="5:5">
      <c r="E12235" s="51"/>
    </row>
    <row r="12236" spans="5:5">
      <c r="E12236" s="51"/>
    </row>
    <row r="12237" spans="5:5">
      <c r="E12237" s="51"/>
    </row>
    <row r="12238" spans="5:5">
      <c r="E12238" s="51"/>
    </row>
    <row r="12239" spans="5:5">
      <c r="E12239" s="51"/>
    </row>
    <row r="12240" spans="5:5">
      <c r="E12240" s="51"/>
    </row>
    <row r="12241" spans="5:5">
      <c r="E12241" s="51"/>
    </row>
    <row r="12242" spans="5:5">
      <c r="E12242" s="51"/>
    </row>
    <row r="12243" spans="5:5">
      <c r="E12243" s="51"/>
    </row>
    <row r="12244" spans="5:5">
      <c r="E12244" s="51"/>
    </row>
    <row r="12245" spans="5:5">
      <c r="E12245" s="51"/>
    </row>
    <row r="12246" spans="5:5">
      <c r="E12246" s="51"/>
    </row>
    <row r="12247" spans="5:5">
      <c r="E12247" s="51"/>
    </row>
    <row r="12248" spans="5:5">
      <c r="E12248" s="51"/>
    </row>
    <row r="12249" spans="5:5">
      <c r="E12249" s="51"/>
    </row>
    <row r="12250" spans="5:5">
      <c r="E12250" s="51"/>
    </row>
    <row r="12251" spans="5:5">
      <c r="E12251" s="51"/>
    </row>
    <row r="12252" spans="5:5">
      <c r="E12252" s="51"/>
    </row>
    <row r="12253" spans="5:5">
      <c r="E12253" s="51"/>
    </row>
    <row r="12254" spans="5:5">
      <c r="E12254" s="51"/>
    </row>
    <row r="12255" spans="5:5">
      <c r="E12255" s="51"/>
    </row>
    <row r="12256" spans="5:5">
      <c r="E12256" s="51"/>
    </row>
    <row r="12257" spans="5:5">
      <c r="E12257" s="51"/>
    </row>
    <row r="12258" spans="5:5">
      <c r="E12258" s="51"/>
    </row>
    <row r="12259" spans="5:5">
      <c r="E12259" s="51"/>
    </row>
    <row r="12260" spans="5:5">
      <c r="E12260" s="51"/>
    </row>
    <row r="12261" spans="5:5">
      <c r="E12261" s="51"/>
    </row>
    <row r="12262" spans="5:5">
      <c r="E12262" s="51"/>
    </row>
    <row r="12263" spans="5:5">
      <c r="E12263" s="51"/>
    </row>
    <row r="12264" spans="5:5">
      <c r="E12264" s="51"/>
    </row>
    <row r="12265" spans="5:5">
      <c r="E12265" s="51"/>
    </row>
    <row r="12266" spans="5:5">
      <c r="E12266" s="51"/>
    </row>
    <row r="12267" spans="5:5">
      <c r="E12267" s="51"/>
    </row>
    <row r="12268" spans="5:5">
      <c r="E12268" s="51"/>
    </row>
    <row r="12269" spans="5:5">
      <c r="E12269" s="51"/>
    </row>
    <row r="12270" spans="5:5">
      <c r="E12270" s="51"/>
    </row>
    <row r="12271" spans="5:5">
      <c r="E12271" s="51"/>
    </row>
    <row r="12272" spans="5:5">
      <c r="E12272" s="51"/>
    </row>
    <row r="12273" spans="5:5">
      <c r="E12273" s="51"/>
    </row>
    <row r="12274" spans="5:5">
      <c r="E12274" s="51"/>
    </row>
    <row r="12275" spans="5:5">
      <c r="E12275" s="51"/>
    </row>
    <row r="12276" spans="5:5">
      <c r="E12276" s="51"/>
    </row>
    <row r="12277" spans="5:5">
      <c r="E12277" s="51"/>
    </row>
    <row r="12278" spans="5:5">
      <c r="E12278" s="51"/>
    </row>
    <row r="12279" spans="5:5">
      <c r="E12279" s="51"/>
    </row>
    <row r="12280" spans="5:5">
      <c r="E12280" s="51"/>
    </row>
    <row r="12281" spans="5:5">
      <c r="E12281" s="51"/>
    </row>
    <row r="12282" spans="5:5">
      <c r="E12282" s="51"/>
    </row>
    <row r="12283" spans="5:5">
      <c r="E12283" s="51"/>
    </row>
    <row r="12284" spans="5:5">
      <c r="E12284" s="51"/>
    </row>
    <row r="12285" spans="5:5">
      <c r="E12285" s="51"/>
    </row>
    <row r="12286" spans="5:5">
      <c r="E12286" s="51"/>
    </row>
    <row r="12287" spans="5:5">
      <c r="E12287" s="51"/>
    </row>
    <row r="12288" spans="5:5">
      <c r="E12288" s="51"/>
    </row>
    <row r="12289" spans="5:5">
      <c r="E12289" s="51"/>
    </row>
    <row r="12290" spans="5:5">
      <c r="E12290" s="51"/>
    </row>
    <row r="12291" spans="5:5">
      <c r="E12291" s="51"/>
    </row>
    <row r="12292" spans="5:5">
      <c r="E12292" s="51"/>
    </row>
    <row r="12293" spans="5:5">
      <c r="E12293" s="51"/>
    </row>
    <row r="12294" spans="5:5">
      <c r="E12294" s="51"/>
    </row>
    <row r="12295" spans="5:5">
      <c r="E12295" s="51"/>
    </row>
    <row r="12296" spans="5:5">
      <c r="E12296" s="51"/>
    </row>
    <row r="12297" spans="5:5">
      <c r="E12297" s="51"/>
    </row>
    <row r="12298" spans="5:5">
      <c r="E12298" s="51"/>
    </row>
    <row r="12299" spans="5:5">
      <c r="E12299" s="51"/>
    </row>
    <row r="12300" spans="5:5">
      <c r="E12300" s="51"/>
    </row>
    <row r="12301" spans="5:5">
      <c r="E12301" s="51"/>
    </row>
    <row r="12302" spans="5:5">
      <c r="E12302" s="51"/>
    </row>
    <row r="12303" spans="5:5">
      <c r="E12303" s="51"/>
    </row>
    <row r="12304" spans="5:5">
      <c r="E12304" s="51"/>
    </row>
    <row r="12305" spans="5:5">
      <c r="E12305" s="51"/>
    </row>
    <row r="12306" spans="5:5">
      <c r="E12306" s="51"/>
    </row>
    <row r="12307" spans="5:5">
      <c r="E12307" s="51"/>
    </row>
    <row r="12308" spans="5:5">
      <c r="E12308" s="51"/>
    </row>
    <row r="12309" spans="5:5">
      <c r="E12309" s="51"/>
    </row>
    <row r="12310" spans="5:5">
      <c r="E12310" s="51"/>
    </row>
    <row r="12311" spans="5:5">
      <c r="E12311" s="51"/>
    </row>
    <row r="12312" spans="5:5">
      <c r="E12312" s="51"/>
    </row>
    <row r="12313" spans="5:5">
      <c r="E12313" s="51"/>
    </row>
    <row r="12314" spans="5:5">
      <c r="E12314" s="51"/>
    </row>
    <row r="12315" spans="5:5">
      <c r="E12315" s="51"/>
    </row>
    <row r="12316" spans="5:5">
      <c r="E12316" s="51"/>
    </row>
    <row r="12317" spans="5:5">
      <c r="E12317" s="51"/>
    </row>
    <row r="12318" spans="5:5">
      <c r="E12318" s="51"/>
    </row>
    <row r="12319" spans="5:5">
      <c r="E12319" s="51"/>
    </row>
    <row r="12320" spans="5:5">
      <c r="E12320" s="51"/>
    </row>
    <row r="12321" spans="5:5">
      <c r="E12321" s="51"/>
    </row>
    <row r="12322" spans="5:5">
      <c r="E12322" s="51"/>
    </row>
    <row r="12323" spans="5:5">
      <c r="E12323" s="51"/>
    </row>
    <row r="12324" spans="5:5">
      <c r="E12324" s="51"/>
    </row>
    <row r="12325" spans="5:5">
      <c r="E12325" s="51"/>
    </row>
    <row r="12326" spans="5:5">
      <c r="E12326" s="51"/>
    </row>
    <row r="12327" spans="5:5">
      <c r="E12327" s="51"/>
    </row>
    <row r="12328" spans="5:5">
      <c r="E12328" s="51"/>
    </row>
    <row r="12329" spans="5:5">
      <c r="E12329" s="51"/>
    </row>
    <row r="12330" spans="5:5">
      <c r="E12330" s="51"/>
    </row>
    <row r="12331" spans="5:5">
      <c r="E12331" s="51"/>
    </row>
    <row r="12332" spans="5:5">
      <c r="E12332" s="51"/>
    </row>
    <row r="12333" spans="5:5">
      <c r="E12333" s="51"/>
    </row>
    <row r="12334" spans="5:5">
      <c r="E12334" s="51"/>
    </row>
    <row r="12335" spans="5:5">
      <c r="E12335" s="51"/>
    </row>
    <row r="12336" spans="5:5">
      <c r="E12336" s="51"/>
    </row>
    <row r="12337" spans="5:5">
      <c r="E12337" s="51"/>
    </row>
    <row r="12338" spans="5:5">
      <c r="E12338" s="51"/>
    </row>
    <row r="12339" spans="5:5">
      <c r="E12339" s="51"/>
    </row>
    <row r="12340" spans="5:5">
      <c r="E12340" s="51"/>
    </row>
    <row r="12341" spans="5:5">
      <c r="E12341" s="51"/>
    </row>
    <row r="12342" spans="5:5">
      <c r="E12342" s="51"/>
    </row>
    <row r="12343" spans="5:5">
      <c r="E12343" s="51"/>
    </row>
    <row r="12344" spans="5:5">
      <c r="E12344" s="51"/>
    </row>
    <row r="12345" spans="5:5">
      <c r="E12345" s="51"/>
    </row>
    <row r="12346" spans="5:5">
      <c r="E12346" s="51"/>
    </row>
    <row r="12347" spans="5:5">
      <c r="E12347" s="51"/>
    </row>
    <row r="12348" spans="5:5">
      <c r="E12348" s="51"/>
    </row>
    <row r="12349" spans="5:5">
      <c r="E12349" s="51"/>
    </row>
    <row r="12350" spans="5:5">
      <c r="E12350" s="51"/>
    </row>
    <row r="12351" spans="5:5">
      <c r="E12351" s="51"/>
    </row>
    <row r="12352" spans="5:5">
      <c r="E12352" s="51"/>
    </row>
    <row r="12353" spans="5:5">
      <c r="E12353" s="51"/>
    </row>
    <row r="12354" spans="5:5">
      <c r="E12354" s="51"/>
    </row>
    <row r="12355" spans="5:5">
      <c r="E12355" s="51"/>
    </row>
    <row r="12356" spans="5:5">
      <c r="E12356" s="51"/>
    </row>
    <row r="12357" spans="5:5">
      <c r="E12357" s="51"/>
    </row>
    <row r="12358" spans="5:5">
      <c r="E12358" s="51"/>
    </row>
    <row r="12359" spans="5:5">
      <c r="E12359" s="51"/>
    </row>
    <row r="12360" spans="5:5">
      <c r="E12360" s="51"/>
    </row>
    <row r="12361" spans="5:5">
      <c r="E12361" s="51"/>
    </row>
    <row r="12362" spans="5:5">
      <c r="E12362" s="51"/>
    </row>
    <row r="12363" spans="5:5">
      <c r="E12363" s="51"/>
    </row>
    <row r="12364" spans="5:5">
      <c r="E12364" s="51"/>
    </row>
    <row r="12365" spans="5:5">
      <c r="E12365" s="51"/>
    </row>
    <row r="12366" spans="5:5">
      <c r="E12366" s="51"/>
    </row>
    <row r="12367" spans="5:5">
      <c r="E12367" s="51"/>
    </row>
    <row r="12368" spans="5:5">
      <c r="E12368" s="51"/>
    </row>
    <row r="12369" spans="5:5">
      <c r="E12369" s="51"/>
    </row>
    <row r="12370" spans="5:5">
      <c r="E12370" s="51"/>
    </row>
    <row r="12371" spans="5:5">
      <c r="E12371" s="51"/>
    </row>
    <row r="12372" spans="5:5">
      <c r="E12372" s="51"/>
    </row>
    <row r="12373" spans="5:5">
      <c r="E12373" s="51"/>
    </row>
    <row r="12374" spans="5:5">
      <c r="E12374" s="51"/>
    </row>
    <row r="12375" spans="5:5">
      <c r="E12375" s="51"/>
    </row>
    <row r="12376" spans="5:5">
      <c r="E12376" s="51"/>
    </row>
    <row r="12377" spans="5:5">
      <c r="E12377" s="51"/>
    </row>
    <row r="12378" spans="5:5">
      <c r="E12378" s="51"/>
    </row>
    <row r="12379" spans="5:5">
      <c r="E12379" s="51"/>
    </row>
    <row r="12380" spans="5:5">
      <c r="E12380" s="51"/>
    </row>
    <row r="12381" spans="5:5">
      <c r="E12381" s="51"/>
    </row>
    <row r="12382" spans="5:5">
      <c r="E12382" s="51"/>
    </row>
    <row r="12383" spans="5:5">
      <c r="E12383" s="51"/>
    </row>
    <row r="12384" spans="5:5">
      <c r="E12384" s="51"/>
    </row>
    <row r="12385" spans="5:5">
      <c r="E12385" s="51"/>
    </row>
    <row r="12386" spans="5:5">
      <c r="E12386" s="51"/>
    </row>
    <row r="12387" spans="5:5">
      <c r="E12387" s="51"/>
    </row>
    <row r="12388" spans="5:5">
      <c r="E12388" s="51"/>
    </row>
    <row r="12389" spans="5:5">
      <c r="E12389" s="51"/>
    </row>
    <row r="12390" spans="5:5">
      <c r="E12390" s="51"/>
    </row>
    <row r="12391" spans="5:5">
      <c r="E12391" s="51"/>
    </row>
    <row r="12392" spans="5:5">
      <c r="E12392" s="51"/>
    </row>
    <row r="12393" spans="5:5">
      <c r="E12393" s="51"/>
    </row>
    <row r="12394" spans="5:5">
      <c r="E12394" s="51"/>
    </row>
    <row r="12395" spans="5:5">
      <c r="E12395" s="51"/>
    </row>
    <row r="12396" spans="5:5">
      <c r="E12396" s="51"/>
    </row>
    <row r="12397" spans="5:5">
      <c r="E12397" s="51"/>
    </row>
    <row r="12398" spans="5:5">
      <c r="E12398" s="51"/>
    </row>
    <row r="12399" spans="5:5">
      <c r="E12399" s="51"/>
    </row>
    <row r="12400" spans="5:5">
      <c r="E12400" s="51"/>
    </row>
    <row r="12401" spans="5:5">
      <c r="E12401" s="51"/>
    </row>
    <row r="12402" spans="5:5">
      <c r="E12402" s="51"/>
    </row>
    <row r="12403" spans="5:5">
      <c r="E12403" s="51"/>
    </row>
    <row r="12404" spans="5:5">
      <c r="E12404" s="51"/>
    </row>
    <row r="12405" spans="5:5">
      <c r="E12405" s="51"/>
    </row>
    <row r="12406" spans="5:5">
      <c r="E12406" s="51"/>
    </row>
    <row r="12407" spans="5:5">
      <c r="E12407" s="51"/>
    </row>
    <row r="12408" spans="5:5">
      <c r="E12408" s="51"/>
    </row>
    <row r="12409" spans="5:5">
      <c r="E12409" s="51"/>
    </row>
    <row r="12410" spans="5:5">
      <c r="E12410" s="51"/>
    </row>
    <row r="12411" spans="5:5">
      <c r="E12411" s="51"/>
    </row>
    <row r="12412" spans="5:5">
      <c r="E12412" s="51"/>
    </row>
    <row r="12413" spans="5:5">
      <c r="E12413" s="51"/>
    </row>
    <row r="12414" spans="5:5">
      <c r="E12414" s="51"/>
    </row>
    <row r="12415" spans="5:5">
      <c r="E12415" s="51"/>
    </row>
    <row r="12416" spans="5:5">
      <c r="E12416" s="51"/>
    </row>
    <row r="12417" spans="5:5">
      <c r="E12417" s="51"/>
    </row>
    <row r="12418" spans="5:5">
      <c r="E12418" s="51"/>
    </row>
    <row r="12419" spans="5:5">
      <c r="E12419" s="51"/>
    </row>
    <row r="12420" spans="5:5">
      <c r="E12420" s="51"/>
    </row>
    <row r="12421" spans="5:5">
      <c r="E12421" s="51"/>
    </row>
    <row r="12422" spans="5:5">
      <c r="E12422" s="51"/>
    </row>
    <row r="12423" spans="5:5">
      <c r="E12423" s="51"/>
    </row>
    <row r="12424" spans="5:5">
      <c r="E12424" s="51"/>
    </row>
    <row r="12425" spans="5:5">
      <c r="E12425" s="51"/>
    </row>
    <row r="12426" spans="5:5">
      <c r="E12426" s="51"/>
    </row>
    <row r="12427" spans="5:5">
      <c r="E12427" s="51"/>
    </row>
    <row r="12428" spans="5:5">
      <c r="E12428" s="51"/>
    </row>
    <row r="12429" spans="5:5">
      <c r="E12429" s="51"/>
    </row>
    <row r="12430" spans="5:5">
      <c r="E12430" s="51"/>
    </row>
    <row r="12431" spans="5:5">
      <c r="E12431" s="51"/>
    </row>
    <row r="12432" spans="5:5">
      <c r="E12432" s="51"/>
    </row>
    <row r="12433" spans="5:5">
      <c r="E12433" s="51"/>
    </row>
    <row r="12434" spans="5:5">
      <c r="E12434" s="51"/>
    </row>
    <row r="12435" spans="5:5">
      <c r="E12435" s="51"/>
    </row>
    <row r="12436" spans="5:5">
      <c r="E12436" s="51"/>
    </row>
    <row r="12437" spans="5:5">
      <c r="E12437" s="51"/>
    </row>
    <row r="12438" spans="5:5">
      <c r="E12438" s="51"/>
    </row>
    <row r="12439" spans="5:5">
      <c r="E12439" s="51"/>
    </row>
    <row r="12440" spans="5:5">
      <c r="E12440" s="51"/>
    </row>
    <row r="12441" spans="5:5">
      <c r="E12441" s="51"/>
    </row>
    <row r="12442" spans="5:5">
      <c r="E12442" s="51"/>
    </row>
    <row r="12443" spans="5:5">
      <c r="E12443" s="51"/>
    </row>
    <row r="12444" spans="5:5">
      <c r="E12444" s="51"/>
    </row>
    <row r="12445" spans="5:5">
      <c r="E12445" s="51"/>
    </row>
    <row r="12446" spans="5:5">
      <c r="E12446" s="51"/>
    </row>
    <row r="12447" spans="5:5">
      <c r="E12447" s="51"/>
    </row>
    <row r="12448" spans="5:5">
      <c r="E12448" s="51"/>
    </row>
    <row r="12449" spans="5:5">
      <c r="E12449" s="51"/>
    </row>
    <row r="12450" spans="5:5">
      <c r="E12450" s="51"/>
    </row>
    <row r="12451" spans="5:5">
      <c r="E12451" s="51"/>
    </row>
    <row r="12452" spans="5:5">
      <c r="E12452" s="51"/>
    </row>
    <row r="12453" spans="5:5">
      <c r="E12453" s="51"/>
    </row>
    <row r="12454" spans="5:5">
      <c r="E12454" s="51"/>
    </row>
    <row r="12455" spans="5:5">
      <c r="E12455" s="51"/>
    </row>
    <row r="12456" spans="5:5">
      <c r="E12456" s="51"/>
    </row>
    <row r="12457" spans="5:5">
      <c r="E12457" s="51"/>
    </row>
    <row r="12458" spans="5:5">
      <c r="E12458" s="51"/>
    </row>
    <row r="12459" spans="5:5">
      <c r="E12459" s="51"/>
    </row>
    <row r="12460" spans="5:5">
      <c r="E12460" s="51"/>
    </row>
    <row r="12461" spans="5:5">
      <c r="E12461" s="51"/>
    </row>
    <row r="12462" spans="5:5">
      <c r="E12462" s="51"/>
    </row>
    <row r="12463" spans="5:5">
      <c r="E12463" s="51"/>
    </row>
    <row r="12464" spans="5:5">
      <c r="E12464" s="51"/>
    </row>
    <row r="12465" spans="5:5">
      <c r="E12465" s="51"/>
    </row>
    <row r="12466" spans="5:5">
      <c r="E12466" s="51"/>
    </row>
    <row r="12467" spans="5:5">
      <c r="E12467" s="51"/>
    </row>
    <row r="12468" spans="5:5">
      <c r="E12468" s="51"/>
    </row>
    <row r="12469" spans="5:5">
      <c r="E12469" s="51"/>
    </row>
    <row r="12470" spans="5:5">
      <c r="E12470" s="51"/>
    </row>
    <row r="12471" spans="5:5">
      <c r="E12471" s="51"/>
    </row>
    <row r="12472" spans="5:5">
      <c r="E12472" s="51"/>
    </row>
    <row r="12473" spans="5:5">
      <c r="E12473" s="51"/>
    </row>
    <row r="12474" spans="5:5">
      <c r="E12474" s="51"/>
    </row>
    <row r="12475" spans="5:5">
      <c r="E12475" s="51"/>
    </row>
    <row r="12476" spans="5:5">
      <c r="E12476" s="51"/>
    </row>
    <row r="12477" spans="5:5">
      <c r="E12477" s="51"/>
    </row>
    <row r="12478" spans="5:5">
      <c r="E12478" s="51"/>
    </row>
    <row r="12479" spans="5:5">
      <c r="E12479" s="51"/>
    </row>
    <row r="12480" spans="5:5">
      <c r="E12480" s="51"/>
    </row>
    <row r="12481" spans="5:5">
      <c r="E12481" s="51"/>
    </row>
    <row r="12482" spans="5:5">
      <c r="E12482" s="51"/>
    </row>
    <row r="12483" spans="5:5">
      <c r="E12483" s="51"/>
    </row>
    <row r="12484" spans="5:5">
      <c r="E12484" s="51"/>
    </row>
    <row r="12485" spans="5:5">
      <c r="E12485" s="51"/>
    </row>
    <row r="12486" spans="5:5">
      <c r="E12486" s="51"/>
    </row>
    <row r="12487" spans="5:5">
      <c r="E12487" s="51"/>
    </row>
    <row r="12488" spans="5:5">
      <c r="E12488" s="51"/>
    </row>
    <row r="12489" spans="5:5">
      <c r="E12489" s="51"/>
    </row>
    <row r="12490" spans="5:5">
      <c r="E12490" s="51"/>
    </row>
    <row r="12491" spans="5:5">
      <c r="E12491" s="51"/>
    </row>
    <row r="12492" spans="5:5">
      <c r="E12492" s="51"/>
    </row>
    <row r="12493" spans="5:5">
      <c r="E12493" s="51"/>
    </row>
    <row r="12494" spans="5:5">
      <c r="E12494" s="51"/>
    </row>
    <row r="12495" spans="5:5">
      <c r="E12495" s="51"/>
    </row>
    <row r="12496" spans="5:5">
      <c r="E12496" s="51"/>
    </row>
    <row r="12497" spans="5:5">
      <c r="E12497" s="51"/>
    </row>
    <row r="12498" spans="5:5">
      <c r="E12498" s="51"/>
    </row>
    <row r="12499" spans="5:5">
      <c r="E12499" s="51"/>
    </row>
    <row r="12500" spans="5:5">
      <c r="E12500" s="51"/>
    </row>
    <row r="12501" spans="5:5">
      <c r="E12501" s="51"/>
    </row>
    <row r="12502" spans="5:5">
      <c r="E12502" s="51"/>
    </row>
    <row r="12503" spans="5:5">
      <c r="E12503" s="51"/>
    </row>
    <row r="12504" spans="5:5">
      <c r="E12504" s="51"/>
    </row>
    <row r="12505" spans="5:5">
      <c r="E12505" s="51"/>
    </row>
    <row r="12506" spans="5:5">
      <c r="E12506" s="51"/>
    </row>
    <row r="12507" spans="5:5">
      <c r="E12507" s="51"/>
    </row>
    <row r="12508" spans="5:5">
      <c r="E12508" s="51"/>
    </row>
    <row r="12509" spans="5:5">
      <c r="E12509" s="51"/>
    </row>
    <row r="12510" spans="5:5">
      <c r="E12510" s="51"/>
    </row>
    <row r="12511" spans="5:5">
      <c r="E12511" s="51"/>
    </row>
    <row r="12512" spans="5:5">
      <c r="E12512" s="51"/>
    </row>
    <row r="12513" spans="5:5">
      <c r="E12513" s="51"/>
    </row>
    <row r="12514" spans="5:5">
      <c r="E12514" s="51"/>
    </row>
    <row r="12515" spans="5:5">
      <c r="E12515" s="51"/>
    </row>
    <row r="12516" spans="5:5">
      <c r="E12516" s="51"/>
    </row>
    <row r="12517" spans="5:5">
      <c r="E12517" s="51"/>
    </row>
    <row r="12518" spans="5:5">
      <c r="E12518" s="51"/>
    </row>
    <row r="12519" spans="5:5">
      <c r="E12519" s="51"/>
    </row>
    <row r="12520" spans="5:5">
      <c r="E12520" s="51"/>
    </row>
    <row r="12521" spans="5:5">
      <c r="E12521" s="51"/>
    </row>
    <row r="12522" spans="5:5">
      <c r="E12522" s="51"/>
    </row>
    <row r="12523" spans="5:5">
      <c r="E12523" s="51"/>
    </row>
    <row r="12524" spans="5:5">
      <c r="E12524" s="51"/>
    </row>
    <row r="12525" spans="5:5">
      <c r="E12525" s="51"/>
    </row>
    <row r="12526" spans="5:5">
      <c r="E12526" s="51"/>
    </row>
    <row r="12527" spans="5:5">
      <c r="E12527" s="51"/>
    </row>
    <row r="12528" spans="5:5">
      <c r="E12528" s="51"/>
    </row>
    <row r="12529" spans="5:5">
      <c r="E12529" s="51"/>
    </row>
    <row r="12530" spans="5:5">
      <c r="E12530" s="51"/>
    </row>
    <row r="12531" spans="5:5">
      <c r="E12531" s="51"/>
    </row>
    <row r="12532" spans="5:5">
      <c r="E12532" s="51"/>
    </row>
    <row r="12533" spans="5:5">
      <c r="E12533" s="51"/>
    </row>
    <row r="12534" spans="5:5">
      <c r="E12534" s="51"/>
    </row>
    <row r="12535" spans="5:5">
      <c r="E12535" s="51"/>
    </row>
    <row r="12536" spans="5:5">
      <c r="E12536" s="51"/>
    </row>
    <row r="12537" spans="5:5">
      <c r="E12537" s="51"/>
    </row>
    <row r="12538" spans="5:5">
      <c r="E12538" s="51"/>
    </row>
    <row r="12539" spans="5:5">
      <c r="E12539" s="51"/>
    </row>
    <row r="12540" spans="5:5">
      <c r="E12540" s="51"/>
    </row>
    <row r="12541" spans="5:5">
      <c r="E12541" s="51"/>
    </row>
    <row r="12542" spans="5:5">
      <c r="E12542" s="51"/>
    </row>
    <row r="12543" spans="5:5">
      <c r="E12543" s="51"/>
    </row>
    <row r="12544" spans="5:5">
      <c r="E12544" s="51"/>
    </row>
    <row r="12545" spans="5:5">
      <c r="E12545" s="51"/>
    </row>
    <row r="12546" spans="5:5">
      <c r="E12546" s="51"/>
    </row>
    <row r="12547" spans="5:5">
      <c r="E12547" s="51"/>
    </row>
    <row r="12548" spans="5:5">
      <c r="E12548" s="51"/>
    </row>
    <row r="12549" spans="5:5">
      <c r="E12549" s="51"/>
    </row>
    <row r="12550" spans="5:5">
      <c r="E12550" s="51"/>
    </row>
    <row r="12551" spans="5:5">
      <c r="E12551" s="51"/>
    </row>
    <row r="12552" spans="5:5">
      <c r="E12552" s="51"/>
    </row>
    <row r="12553" spans="5:5">
      <c r="E12553" s="51"/>
    </row>
    <row r="12554" spans="5:5">
      <c r="E12554" s="51"/>
    </row>
    <row r="12555" spans="5:5">
      <c r="E12555" s="51"/>
    </row>
    <row r="12556" spans="5:5">
      <c r="E12556" s="51"/>
    </row>
    <row r="12557" spans="5:5">
      <c r="E12557" s="51"/>
    </row>
    <row r="12558" spans="5:5">
      <c r="E12558" s="51"/>
    </row>
    <row r="12559" spans="5:5">
      <c r="E12559" s="51"/>
    </row>
    <row r="12560" spans="5:5">
      <c r="E12560" s="51"/>
    </row>
    <row r="12561" spans="5:5">
      <c r="E12561" s="51"/>
    </row>
    <row r="12562" spans="5:5">
      <c r="E12562" s="51"/>
    </row>
    <row r="12563" spans="5:5">
      <c r="E12563" s="51"/>
    </row>
    <row r="12564" spans="5:5">
      <c r="E12564" s="51"/>
    </row>
    <row r="12565" spans="5:5">
      <c r="E12565" s="51"/>
    </row>
    <row r="12566" spans="5:5">
      <c r="E12566" s="51"/>
    </row>
    <row r="12567" spans="5:5">
      <c r="E12567" s="51"/>
    </row>
    <row r="12568" spans="5:5">
      <c r="E12568" s="51"/>
    </row>
    <row r="12569" spans="5:5">
      <c r="E12569" s="51"/>
    </row>
    <row r="12570" spans="5:5">
      <c r="E12570" s="51"/>
    </row>
    <row r="12571" spans="5:5">
      <c r="E12571" s="51"/>
    </row>
    <row r="12572" spans="5:5">
      <c r="E12572" s="51"/>
    </row>
    <row r="12573" spans="5:5">
      <c r="E12573" s="51"/>
    </row>
    <row r="12574" spans="5:5">
      <c r="E12574" s="51"/>
    </row>
    <row r="12575" spans="5:5">
      <c r="E12575" s="51"/>
    </row>
    <row r="12576" spans="5:5">
      <c r="E12576" s="51"/>
    </row>
    <row r="12577" spans="5:5">
      <c r="E12577" s="51"/>
    </row>
    <row r="12578" spans="5:5">
      <c r="E12578" s="51"/>
    </row>
    <row r="12579" spans="5:5">
      <c r="E12579" s="51"/>
    </row>
    <row r="12580" spans="5:5">
      <c r="E12580" s="51"/>
    </row>
    <row r="12581" spans="5:5">
      <c r="E12581" s="51"/>
    </row>
    <row r="12582" spans="5:5">
      <c r="E12582" s="51"/>
    </row>
    <row r="12583" spans="5:5">
      <c r="E12583" s="51"/>
    </row>
    <row r="12584" spans="5:5">
      <c r="E12584" s="51"/>
    </row>
    <row r="12585" spans="5:5">
      <c r="E12585" s="51"/>
    </row>
    <row r="12586" spans="5:5">
      <c r="E12586" s="51"/>
    </row>
    <row r="12587" spans="5:5">
      <c r="E12587" s="51"/>
    </row>
    <row r="12588" spans="5:5">
      <c r="E12588" s="51"/>
    </row>
    <row r="12589" spans="5:5">
      <c r="E12589" s="51"/>
    </row>
    <row r="12590" spans="5:5">
      <c r="E12590" s="51"/>
    </row>
    <row r="12591" spans="5:5">
      <c r="E12591" s="51"/>
    </row>
    <row r="12592" spans="5:5">
      <c r="E12592" s="51"/>
    </row>
    <row r="12593" spans="5:5">
      <c r="E12593" s="51"/>
    </row>
    <row r="12594" spans="5:5">
      <c r="E12594" s="51"/>
    </row>
    <row r="12595" spans="5:5">
      <c r="E12595" s="51"/>
    </row>
    <row r="12596" spans="5:5">
      <c r="E12596" s="51"/>
    </row>
    <row r="12597" spans="5:5">
      <c r="E12597" s="51"/>
    </row>
    <row r="12598" spans="5:5">
      <c r="E12598" s="51"/>
    </row>
    <row r="12599" spans="5:5">
      <c r="E12599" s="51"/>
    </row>
    <row r="12600" spans="5:5">
      <c r="E12600" s="51"/>
    </row>
    <row r="12601" spans="5:5">
      <c r="E12601" s="51"/>
    </row>
    <row r="12602" spans="5:5">
      <c r="E12602" s="51"/>
    </row>
    <row r="12603" spans="5:5">
      <c r="E12603" s="51"/>
    </row>
    <row r="12604" spans="5:5">
      <c r="E12604" s="51"/>
    </row>
    <row r="12605" spans="5:5">
      <c r="E12605" s="51"/>
    </row>
    <row r="12606" spans="5:5">
      <c r="E12606" s="51"/>
    </row>
    <row r="12607" spans="5:5">
      <c r="E12607" s="51"/>
    </row>
    <row r="12608" spans="5:5">
      <c r="E12608" s="51"/>
    </row>
    <row r="12609" spans="5:5">
      <c r="E12609" s="51"/>
    </row>
    <row r="12610" spans="5:5">
      <c r="E12610" s="51"/>
    </row>
    <row r="12611" spans="5:5">
      <c r="E12611" s="51"/>
    </row>
    <row r="12612" spans="5:5">
      <c r="E12612" s="51"/>
    </row>
    <row r="12613" spans="5:5">
      <c r="E12613" s="51"/>
    </row>
    <row r="12614" spans="5:5">
      <c r="E12614" s="51"/>
    </row>
    <row r="12615" spans="5:5">
      <c r="E12615" s="51"/>
    </row>
    <row r="12616" spans="5:5">
      <c r="E12616" s="51"/>
    </row>
    <row r="12617" spans="5:5">
      <c r="E12617" s="51"/>
    </row>
    <row r="12618" spans="5:5">
      <c r="E12618" s="51"/>
    </row>
    <row r="12619" spans="5:5">
      <c r="E12619" s="51"/>
    </row>
    <row r="12620" spans="5:5">
      <c r="E12620" s="51"/>
    </row>
    <row r="12621" spans="5:5">
      <c r="E12621" s="51"/>
    </row>
    <row r="12622" spans="5:5">
      <c r="E12622" s="51"/>
    </row>
    <row r="12623" spans="5:5">
      <c r="E12623" s="51"/>
    </row>
    <row r="12624" spans="5:5">
      <c r="E12624" s="51"/>
    </row>
    <row r="12625" spans="5:5">
      <c r="E12625" s="51"/>
    </row>
    <row r="12626" spans="5:5">
      <c r="E12626" s="51"/>
    </row>
    <row r="12627" spans="5:5">
      <c r="E12627" s="51"/>
    </row>
    <row r="12628" spans="5:5">
      <c r="E12628" s="51"/>
    </row>
    <row r="12629" spans="5:5">
      <c r="E12629" s="51"/>
    </row>
    <row r="12630" spans="5:5">
      <c r="E12630" s="51"/>
    </row>
    <row r="12631" spans="5:5">
      <c r="E12631" s="51"/>
    </row>
    <row r="12632" spans="5:5">
      <c r="E12632" s="51"/>
    </row>
    <row r="12633" spans="5:5">
      <c r="E12633" s="51"/>
    </row>
    <row r="12634" spans="5:5">
      <c r="E12634" s="51"/>
    </row>
    <row r="12635" spans="5:5">
      <c r="E12635" s="51"/>
    </row>
    <row r="12636" spans="5:5">
      <c r="E12636" s="51"/>
    </row>
    <row r="12637" spans="5:5">
      <c r="E12637" s="51"/>
    </row>
    <row r="12638" spans="5:5">
      <c r="E12638" s="51"/>
    </row>
    <row r="12639" spans="5:5">
      <c r="E12639" s="51"/>
    </row>
    <row r="12640" spans="5:5">
      <c r="E12640" s="51"/>
    </row>
    <row r="12641" spans="5:5">
      <c r="E12641" s="51"/>
    </row>
    <row r="12642" spans="5:5">
      <c r="E12642" s="51"/>
    </row>
    <row r="12643" spans="5:5">
      <c r="E12643" s="51"/>
    </row>
    <row r="12644" spans="5:5">
      <c r="E12644" s="51"/>
    </row>
    <row r="12645" spans="5:5">
      <c r="E12645" s="51"/>
    </row>
    <row r="12646" spans="5:5">
      <c r="E12646" s="51"/>
    </row>
    <row r="12647" spans="5:5">
      <c r="E12647" s="51"/>
    </row>
    <row r="12648" spans="5:5">
      <c r="E12648" s="51"/>
    </row>
    <row r="12649" spans="5:5">
      <c r="E12649" s="51"/>
    </row>
    <row r="12650" spans="5:5">
      <c r="E12650" s="51"/>
    </row>
    <row r="12651" spans="5:5">
      <c r="E12651" s="51"/>
    </row>
    <row r="12652" spans="5:5">
      <c r="E12652" s="51"/>
    </row>
    <row r="12653" spans="5:5">
      <c r="E12653" s="51"/>
    </row>
    <row r="12654" spans="5:5">
      <c r="E12654" s="51"/>
    </row>
    <row r="12655" spans="5:5">
      <c r="E12655" s="51"/>
    </row>
    <row r="12656" spans="5:5">
      <c r="E12656" s="51"/>
    </row>
    <row r="12657" spans="5:5">
      <c r="E12657" s="51"/>
    </row>
    <row r="12658" spans="5:5">
      <c r="E12658" s="51"/>
    </row>
    <row r="12659" spans="5:5">
      <c r="E12659" s="51"/>
    </row>
    <row r="12660" spans="5:5">
      <c r="E12660" s="51"/>
    </row>
    <row r="12661" spans="5:5">
      <c r="E12661" s="51"/>
    </row>
    <row r="12662" spans="5:5">
      <c r="E12662" s="51"/>
    </row>
    <row r="12663" spans="5:5">
      <c r="E12663" s="51"/>
    </row>
    <row r="12664" spans="5:5">
      <c r="E12664" s="51"/>
    </row>
    <row r="12665" spans="5:5">
      <c r="E12665" s="51"/>
    </row>
    <row r="12666" spans="5:5">
      <c r="E12666" s="51"/>
    </row>
    <row r="12667" spans="5:5">
      <c r="E12667" s="51"/>
    </row>
    <row r="12668" spans="5:5">
      <c r="E12668" s="51"/>
    </row>
    <row r="12669" spans="5:5">
      <c r="E12669" s="51"/>
    </row>
    <row r="12670" spans="5:5">
      <c r="E12670" s="51"/>
    </row>
    <row r="12671" spans="5:5">
      <c r="E12671" s="51"/>
    </row>
    <row r="12672" spans="5:5">
      <c r="E12672" s="51"/>
    </row>
    <row r="12673" spans="5:5">
      <c r="E12673" s="51"/>
    </row>
    <row r="12674" spans="5:5">
      <c r="E12674" s="51"/>
    </row>
    <row r="12675" spans="5:5">
      <c r="E12675" s="51"/>
    </row>
    <row r="12676" spans="5:5">
      <c r="E12676" s="51"/>
    </row>
    <row r="12677" spans="5:5">
      <c r="E12677" s="51"/>
    </row>
    <row r="12678" spans="5:5">
      <c r="E12678" s="51"/>
    </row>
    <row r="12679" spans="5:5">
      <c r="E12679" s="51"/>
    </row>
    <row r="12680" spans="5:5">
      <c r="E12680" s="51"/>
    </row>
    <row r="12681" spans="5:5">
      <c r="E12681" s="51"/>
    </row>
    <row r="12682" spans="5:5">
      <c r="E12682" s="51"/>
    </row>
    <row r="12683" spans="5:5">
      <c r="E12683" s="51"/>
    </row>
    <row r="12684" spans="5:5">
      <c r="E12684" s="51"/>
    </row>
    <row r="12685" spans="5:5">
      <c r="E12685" s="51"/>
    </row>
    <row r="12686" spans="5:5">
      <c r="E12686" s="51"/>
    </row>
    <row r="12687" spans="5:5">
      <c r="E12687" s="51"/>
    </row>
    <row r="12688" spans="5:5">
      <c r="E12688" s="51"/>
    </row>
    <row r="12689" spans="5:5">
      <c r="E12689" s="51"/>
    </row>
    <row r="12690" spans="5:5">
      <c r="E12690" s="51"/>
    </row>
    <row r="12691" spans="5:5">
      <c r="E12691" s="51"/>
    </row>
    <row r="12692" spans="5:5">
      <c r="E12692" s="51"/>
    </row>
    <row r="12693" spans="5:5">
      <c r="E12693" s="51"/>
    </row>
    <row r="12694" spans="5:5">
      <c r="E12694" s="51"/>
    </row>
    <row r="12695" spans="5:5">
      <c r="E12695" s="51"/>
    </row>
    <row r="12696" spans="5:5">
      <c r="E12696" s="51"/>
    </row>
    <row r="12697" spans="5:5">
      <c r="E12697" s="51"/>
    </row>
    <row r="12698" spans="5:5">
      <c r="E12698" s="51"/>
    </row>
    <row r="12699" spans="5:5">
      <c r="E12699" s="51"/>
    </row>
    <row r="12700" spans="5:5">
      <c r="E12700" s="51"/>
    </row>
    <row r="12701" spans="5:5">
      <c r="E12701" s="51"/>
    </row>
    <row r="12702" spans="5:5">
      <c r="E12702" s="51"/>
    </row>
    <row r="12703" spans="5:5">
      <c r="E12703" s="51"/>
    </row>
    <row r="12704" spans="5:5">
      <c r="E12704" s="51"/>
    </row>
    <row r="12705" spans="5:5">
      <c r="E12705" s="51"/>
    </row>
    <row r="12706" spans="5:5">
      <c r="E12706" s="51"/>
    </row>
    <row r="12707" spans="5:5">
      <c r="E12707" s="51"/>
    </row>
    <row r="12708" spans="5:5">
      <c r="E12708" s="51"/>
    </row>
    <row r="12709" spans="5:5">
      <c r="E12709" s="51"/>
    </row>
    <row r="12710" spans="5:5">
      <c r="E12710" s="51"/>
    </row>
    <row r="12711" spans="5:5">
      <c r="E12711" s="51"/>
    </row>
    <row r="12712" spans="5:5">
      <c r="E12712" s="51"/>
    </row>
    <row r="12713" spans="5:5">
      <c r="E12713" s="51"/>
    </row>
    <row r="12714" spans="5:5">
      <c r="E12714" s="51"/>
    </row>
    <row r="12715" spans="5:5">
      <c r="E12715" s="51"/>
    </row>
    <row r="12716" spans="5:5">
      <c r="E12716" s="51"/>
    </row>
    <row r="12717" spans="5:5">
      <c r="E12717" s="51"/>
    </row>
    <row r="12718" spans="5:5">
      <c r="E12718" s="51"/>
    </row>
    <row r="12719" spans="5:5">
      <c r="E12719" s="51"/>
    </row>
    <row r="12720" spans="5:5">
      <c r="E12720" s="51"/>
    </row>
    <row r="12721" spans="5:5">
      <c r="E12721" s="51"/>
    </row>
    <row r="12722" spans="5:5">
      <c r="E12722" s="51"/>
    </row>
    <row r="12723" spans="5:5">
      <c r="E12723" s="51"/>
    </row>
    <row r="12724" spans="5:5">
      <c r="E12724" s="51"/>
    </row>
    <row r="12725" spans="5:5">
      <c r="E12725" s="51"/>
    </row>
    <row r="12726" spans="5:5">
      <c r="E12726" s="51"/>
    </row>
    <row r="12727" spans="5:5">
      <c r="E12727" s="51"/>
    </row>
    <row r="12728" spans="5:5">
      <c r="E12728" s="51"/>
    </row>
    <row r="12729" spans="5:5">
      <c r="E12729" s="51"/>
    </row>
    <row r="12730" spans="5:5">
      <c r="E12730" s="51"/>
    </row>
    <row r="12731" spans="5:5">
      <c r="E12731" s="51"/>
    </row>
    <row r="12732" spans="5:5">
      <c r="E12732" s="51"/>
    </row>
    <row r="12733" spans="5:5">
      <c r="E12733" s="51"/>
    </row>
    <row r="12734" spans="5:5">
      <c r="E12734" s="51"/>
    </row>
    <row r="12735" spans="5:5">
      <c r="E12735" s="51"/>
    </row>
    <row r="12736" spans="5:5">
      <c r="E12736" s="51"/>
    </row>
    <row r="12737" spans="5:5">
      <c r="E12737" s="51"/>
    </row>
    <row r="12738" spans="5:5">
      <c r="E12738" s="51"/>
    </row>
    <row r="12739" spans="5:5">
      <c r="E12739" s="51"/>
    </row>
    <row r="12740" spans="5:5">
      <c r="E12740" s="51"/>
    </row>
    <row r="12741" spans="5:5">
      <c r="E12741" s="51"/>
    </row>
    <row r="12742" spans="5:5">
      <c r="E12742" s="51"/>
    </row>
    <row r="12743" spans="5:5">
      <c r="E12743" s="51"/>
    </row>
    <row r="12744" spans="5:5">
      <c r="E12744" s="51"/>
    </row>
    <row r="12745" spans="5:5">
      <c r="E12745" s="51"/>
    </row>
    <row r="12746" spans="5:5">
      <c r="E12746" s="51"/>
    </row>
    <row r="12747" spans="5:5">
      <c r="E12747" s="51"/>
    </row>
    <row r="12748" spans="5:5">
      <c r="E12748" s="51"/>
    </row>
    <row r="12749" spans="5:5">
      <c r="E12749" s="51"/>
    </row>
    <row r="12750" spans="5:5">
      <c r="E12750" s="51"/>
    </row>
    <row r="12751" spans="5:5">
      <c r="E12751" s="51"/>
    </row>
    <row r="12752" spans="5:5">
      <c r="E12752" s="51"/>
    </row>
    <row r="12753" spans="5:5">
      <c r="E12753" s="51"/>
    </row>
    <row r="12754" spans="5:5">
      <c r="E12754" s="51"/>
    </row>
    <row r="12755" spans="5:5">
      <c r="E12755" s="51"/>
    </row>
    <row r="12756" spans="5:5">
      <c r="E12756" s="51"/>
    </row>
    <row r="12757" spans="5:5">
      <c r="E12757" s="51"/>
    </row>
    <row r="12758" spans="5:5">
      <c r="E12758" s="51"/>
    </row>
    <row r="12759" spans="5:5">
      <c r="E12759" s="51"/>
    </row>
    <row r="12760" spans="5:5">
      <c r="E12760" s="51"/>
    </row>
    <row r="12761" spans="5:5">
      <c r="E12761" s="51"/>
    </row>
    <row r="12762" spans="5:5">
      <c r="E12762" s="51"/>
    </row>
    <row r="12763" spans="5:5">
      <c r="E12763" s="51"/>
    </row>
    <row r="12764" spans="5:5">
      <c r="E12764" s="51"/>
    </row>
    <row r="12765" spans="5:5">
      <c r="E12765" s="51"/>
    </row>
    <row r="12766" spans="5:5">
      <c r="E12766" s="51"/>
    </row>
    <row r="12767" spans="5:5">
      <c r="E12767" s="51"/>
    </row>
    <row r="12768" spans="5:5">
      <c r="E12768" s="51"/>
    </row>
    <row r="12769" spans="5:5">
      <c r="E12769" s="51"/>
    </row>
    <row r="12770" spans="5:5">
      <c r="E12770" s="51"/>
    </row>
    <row r="12771" spans="5:5">
      <c r="E12771" s="51"/>
    </row>
    <row r="12772" spans="5:5">
      <c r="E12772" s="51"/>
    </row>
    <row r="12773" spans="5:5">
      <c r="E12773" s="51"/>
    </row>
    <row r="12774" spans="5:5">
      <c r="E12774" s="51"/>
    </row>
    <row r="12775" spans="5:5">
      <c r="E12775" s="51"/>
    </row>
    <row r="12776" spans="5:5">
      <c r="E12776" s="51"/>
    </row>
    <row r="12777" spans="5:5">
      <c r="E12777" s="51"/>
    </row>
    <row r="12778" spans="5:5">
      <c r="E12778" s="51"/>
    </row>
    <row r="12779" spans="5:5">
      <c r="E12779" s="51"/>
    </row>
    <row r="12780" spans="5:5">
      <c r="E12780" s="51"/>
    </row>
    <row r="12781" spans="5:5">
      <c r="E12781" s="51"/>
    </row>
    <row r="12782" spans="5:5">
      <c r="E12782" s="51"/>
    </row>
    <row r="12783" spans="5:5">
      <c r="E12783" s="51"/>
    </row>
    <row r="12784" spans="5:5">
      <c r="E12784" s="51"/>
    </row>
    <row r="12785" spans="5:5">
      <c r="E12785" s="51"/>
    </row>
    <row r="12786" spans="5:5">
      <c r="E12786" s="51"/>
    </row>
    <row r="12787" spans="5:5">
      <c r="E12787" s="51"/>
    </row>
    <row r="12788" spans="5:5">
      <c r="E12788" s="51"/>
    </row>
    <row r="12789" spans="5:5">
      <c r="E12789" s="51"/>
    </row>
    <row r="12790" spans="5:5">
      <c r="E12790" s="51"/>
    </row>
    <row r="12791" spans="5:5">
      <c r="E12791" s="51"/>
    </row>
    <row r="12792" spans="5:5">
      <c r="E12792" s="51"/>
    </row>
    <row r="12793" spans="5:5">
      <c r="E12793" s="51"/>
    </row>
    <row r="12794" spans="5:5">
      <c r="E12794" s="51"/>
    </row>
    <row r="12795" spans="5:5">
      <c r="E12795" s="51"/>
    </row>
    <row r="12796" spans="5:5">
      <c r="E12796" s="51"/>
    </row>
    <row r="12797" spans="5:5">
      <c r="E12797" s="51"/>
    </row>
    <row r="12798" spans="5:5">
      <c r="E12798" s="51"/>
    </row>
    <row r="12799" spans="5:5">
      <c r="E12799" s="51"/>
    </row>
    <row r="12800" spans="5:5">
      <c r="E12800" s="51"/>
    </row>
    <row r="12801" spans="5:5">
      <c r="E12801" s="51"/>
    </row>
    <row r="12802" spans="5:5">
      <c r="E12802" s="51"/>
    </row>
    <row r="12803" spans="5:5">
      <c r="E12803" s="51"/>
    </row>
    <row r="12804" spans="5:5">
      <c r="E12804" s="51"/>
    </row>
    <row r="12805" spans="5:5">
      <c r="E12805" s="51"/>
    </row>
    <row r="12806" spans="5:5">
      <c r="E12806" s="51"/>
    </row>
    <row r="12807" spans="5:5">
      <c r="E12807" s="51"/>
    </row>
    <row r="12808" spans="5:5">
      <c r="E12808" s="51"/>
    </row>
    <row r="12809" spans="5:5">
      <c r="E12809" s="51"/>
    </row>
    <row r="12810" spans="5:5">
      <c r="E12810" s="51"/>
    </row>
    <row r="12811" spans="5:5">
      <c r="E12811" s="51"/>
    </row>
    <row r="12812" spans="5:5">
      <c r="E12812" s="51"/>
    </row>
    <row r="12813" spans="5:5">
      <c r="E12813" s="51"/>
    </row>
    <row r="12814" spans="5:5">
      <c r="E12814" s="51"/>
    </row>
    <row r="12815" spans="5:5">
      <c r="E12815" s="51"/>
    </row>
    <row r="12816" spans="5:5">
      <c r="E12816" s="51"/>
    </row>
    <row r="12817" spans="5:5">
      <c r="E12817" s="51"/>
    </row>
    <row r="12818" spans="5:5">
      <c r="E12818" s="51"/>
    </row>
    <row r="12819" spans="5:5">
      <c r="E12819" s="51"/>
    </row>
    <row r="12820" spans="5:5">
      <c r="E12820" s="51"/>
    </row>
    <row r="12821" spans="5:5">
      <c r="E12821" s="51"/>
    </row>
    <row r="12822" spans="5:5">
      <c r="E12822" s="51"/>
    </row>
    <row r="12823" spans="5:5">
      <c r="E12823" s="51"/>
    </row>
    <row r="12824" spans="5:5">
      <c r="E12824" s="51"/>
    </row>
    <row r="12825" spans="5:5">
      <c r="E12825" s="51"/>
    </row>
    <row r="12826" spans="5:5">
      <c r="E12826" s="51"/>
    </row>
    <row r="12827" spans="5:5">
      <c r="E12827" s="51"/>
    </row>
    <row r="12828" spans="5:5">
      <c r="E12828" s="51"/>
    </row>
    <row r="12829" spans="5:5">
      <c r="E12829" s="51"/>
    </row>
    <row r="12830" spans="5:5">
      <c r="E12830" s="51"/>
    </row>
    <row r="12831" spans="5:5">
      <c r="E12831" s="51"/>
    </row>
    <row r="12832" spans="5:5">
      <c r="E12832" s="51"/>
    </row>
    <row r="12833" spans="5:5">
      <c r="E12833" s="51"/>
    </row>
    <row r="12834" spans="5:5">
      <c r="E12834" s="51"/>
    </row>
    <row r="12835" spans="5:5">
      <c r="E12835" s="51"/>
    </row>
    <row r="12836" spans="5:5">
      <c r="E12836" s="51"/>
    </row>
    <row r="12837" spans="5:5">
      <c r="E12837" s="51"/>
    </row>
    <row r="12838" spans="5:5">
      <c r="E12838" s="51"/>
    </row>
    <row r="12839" spans="5:5">
      <c r="E12839" s="51"/>
    </row>
    <row r="12840" spans="5:5">
      <c r="E12840" s="51"/>
    </row>
    <row r="12841" spans="5:5">
      <c r="E12841" s="51"/>
    </row>
    <row r="12842" spans="5:5">
      <c r="E12842" s="51"/>
    </row>
    <row r="12843" spans="5:5">
      <c r="E12843" s="51"/>
    </row>
    <row r="12844" spans="5:5">
      <c r="E12844" s="51"/>
    </row>
    <row r="12845" spans="5:5">
      <c r="E12845" s="51"/>
    </row>
    <row r="12846" spans="5:5">
      <c r="E12846" s="51"/>
    </row>
    <row r="12847" spans="5:5">
      <c r="E12847" s="51"/>
    </row>
    <row r="12848" spans="5:5">
      <c r="E12848" s="51"/>
    </row>
    <row r="12849" spans="5:5">
      <c r="E12849" s="51"/>
    </row>
    <row r="12850" spans="5:5">
      <c r="E12850" s="51"/>
    </row>
    <row r="12851" spans="5:5">
      <c r="E12851" s="51"/>
    </row>
    <row r="12852" spans="5:5">
      <c r="E12852" s="51"/>
    </row>
    <row r="12853" spans="5:5">
      <c r="E12853" s="51"/>
    </row>
    <row r="12854" spans="5:5">
      <c r="E12854" s="51"/>
    </row>
    <row r="12855" spans="5:5">
      <c r="E12855" s="51"/>
    </row>
    <row r="12856" spans="5:5">
      <c r="E12856" s="51"/>
    </row>
    <row r="12857" spans="5:5">
      <c r="E12857" s="51"/>
    </row>
    <row r="12858" spans="5:5">
      <c r="E12858" s="51"/>
    </row>
    <row r="12859" spans="5:5">
      <c r="E12859" s="51"/>
    </row>
    <row r="12860" spans="5:5">
      <c r="E12860" s="51"/>
    </row>
    <row r="12861" spans="5:5">
      <c r="E12861" s="51"/>
    </row>
    <row r="12862" spans="5:5">
      <c r="E12862" s="51"/>
    </row>
    <row r="12863" spans="5:5">
      <c r="E12863" s="51"/>
    </row>
    <row r="12864" spans="5:5">
      <c r="E12864" s="51"/>
    </row>
    <row r="12865" spans="5:5">
      <c r="E12865" s="51"/>
    </row>
    <row r="12866" spans="5:5">
      <c r="E12866" s="51"/>
    </row>
    <row r="12867" spans="5:5">
      <c r="E12867" s="51"/>
    </row>
    <row r="12868" spans="5:5">
      <c r="E12868" s="51"/>
    </row>
    <row r="12869" spans="5:5">
      <c r="E12869" s="51"/>
    </row>
    <row r="12870" spans="5:5">
      <c r="E12870" s="51"/>
    </row>
    <row r="12871" spans="5:5">
      <c r="E12871" s="51"/>
    </row>
    <row r="12872" spans="5:5">
      <c r="E12872" s="51"/>
    </row>
    <row r="12873" spans="5:5">
      <c r="E12873" s="51"/>
    </row>
    <row r="12874" spans="5:5">
      <c r="E12874" s="51"/>
    </row>
    <row r="12875" spans="5:5">
      <c r="E12875" s="51"/>
    </row>
    <row r="12876" spans="5:5">
      <c r="E12876" s="51"/>
    </row>
    <row r="12877" spans="5:5">
      <c r="E12877" s="51"/>
    </row>
    <row r="12878" spans="5:5">
      <c r="E12878" s="51"/>
    </row>
    <row r="12879" spans="5:5">
      <c r="E12879" s="51"/>
    </row>
    <row r="12880" spans="5:5">
      <c r="E12880" s="51"/>
    </row>
    <row r="12881" spans="5:5">
      <c r="E12881" s="51"/>
    </row>
    <row r="12882" spans="5:5">
      <c r="E12882" s="51"/>
    </row>
    <row r="12883" spans="5:5">
      <c r="E12883" s="51"/>
    </row>
    <row r="12884" spans="5:5">
      <c r="E12884" s="51"/>
    </row>
    <row r="12885" spans="5:5">
      <c r="E12885" s="51"/>
    </row>
    <row r="12886" spans="5:5">
      <c r="E12886" s="51"/>
    </row>
    <row r="12887" spans="5:5">
      <c r="E12887" s="51"/>
    </row>
    <row r="12888" spans="5:5">
      <c r="E12888" s="51"/>
    </row>
    <row r="12889" spans="5:5">
      <c r="E12889" s="51"/>
    </row>
    <row r="12890" spans="5:5">
      <c r="E12890" s="51"/>
    </row>
    <row r="12891" spans="5:5">
      <c r="E12891" s="51"/>
    </row>
    <row r="12892" spans="5:5">
      <c r="E12892" s="51"/>
    </row>
    <row r="12893" spans="5:5">
      <c r="E12893" s="51"/>
    </row>
    <row r="12894" spans="5:5">
      <c r="E12894" s="51"/>
    </row>
    <row r="12895" spans="5:5">
      <c r="E12895" s="51"/>
    </row>
    <row r="12896" spans="5:5">
      <c r="E12896" s="51"/>
    </row>
    <row r="12897" spans="5:5">
      <c r="E12897" s="51"/>
    </row>
    <row r="12898" spans="5:5">
      <c r="E12898" s="51"/>
    </row>
    <row r="12899" spans="5:5">
      <c r="E12899" s="51"/>
    </row>
    <row r="12900" spans="5:5">
      <c r="E12900" s="51"/>
    </row>
    <row r="12901" spans="5:5">
      <c r="E12901" s="51"/>
    </row>
    <row r="12902" spans="5:5">
      <c r="E12902" s="51"/>
    </row>
    <row r="12903" spans="5:5">
      <c r="E12903" s="51"/>
    </row>
    <row r="12904" spans="5:5">
      <c r="E12904" s="51"/>
    </row>
    <row r="12905" spans="5:5">
      <c r="E12905" s="51"/>
    </row>
    <row r="12906" spans="5:5">
      <c r="E12906" s="51"/>
    </row>
    <row r="12907" spans="5:5">
      <c r="E12907" s="51"/>
    </row>
    <row r="12908" spans="5:5">
      <c r="E12908" s="51"/>
    </row>
    <row r="12909" spans="5:5">
      <c r="E12909" s="51"/>
    </row>
    <row r="12910" spans="5:5">
      <c r="E12910" s="51"/>
    </row>
    <row r="12911" spans="5:5">
      <c r="E12911" s="51"/>
    </row>
    <row r="12912" spans="5:5">
      <c r="E12912" s="51"/>
    </row>
    <row r="12913" spans="5:5">
      <c r="E12913" s="51"/>
    </row>
    <row r="12914" spans="5:5">
      <c r="E12914" s="51"/>
    </row>
    <row r="12915" spans="5:5">
      <c r="E12915" s="51"/>
    </row>
    <row r="12916" spans="5:5">
      <c r="E12916" s="51"/>
    </row>
    <row r="12917" spans="5:5">
      <c r="E12917" s="51"/>
    </row>
    <row r="12918" spans="5:5">
      <c r="E12918" s="51"/>
    </row>
    <row r="12919" spans="5:5">
      <c r="E12919" s="51"/>
    </row>
    <row r="12920" spans="5:5">
      <c r="E12920" s="51"/>
    </row>
    <row r="12921" spans="5:5">
      <c r="E12921" s="51"/>
    </row>
    <row r="12922" spans="5:5">
      <c r="E12922" s="51"/>
    </row>
    <row r="12923" spans="5:5">
      <c r="E12923" s="51"/>
    </row>
    <row r="12924" spans="5:5">
      <c r="E12924" s="51"/>
    </row>
    <row r="12925" spans="5:5">
      <c r="E12925" s="51"/>
    </row>
    <row r="12926" spans="5:5">
      <c r="E12926" s="51"/>
    </row>
    <row r="12927" spans="5:5">
      <c r="E12927" s="51"/>
    </row>
    <row r="12928" spans="5:5">
      <c r="E12928" s="51"/>
    </row>
    <row r="12929" spans="5:5">
      <c r="E12929" s="51"/>
    </row>
    <row r="12930" spans="5:5">
      <c r="E12930" s="51"/>
    </row>
    <row r="12931" spans="5:5">
      <c r="E12931" s="51"/>
    </row>
    <row r="12932" spans="5:5">
      <c r="E12932" s="51"/>
    </row>
    <row r="12933" spans="5:5">
      <c r="E12933" s="51"/>
    </row>
    <row r="12934" spans="5:5">
      <c r="E12934" s="51"/>
    </row>
    <row r="12935" spans="5:5">
      <c r="E12935" s="51"/>
    </row>
    <row r="12936" spans="5:5">
      <c r="E12936" s="51"/>
    </row>
    <row r="12937" spans="5:5">
      <c r="E12937" s="51"/>
    </row>
    <row r="12938" spans="5:5">
      <c r="E12938" s="51"/>
    </row>
    <row r="12939" spans="5:5">
      <c r="E12939" s="51"/>
    </row>
    <row r="12940" spans="5:5">
      <c r="E12940" s="51"/>
    </row>
    <row r="12941" spans="5:5">
      <c r="E12941" s="51"/>
    </row>
    <row r="12942" spans="5:5">
      <c r="E12942" s="51"/>
    </row>
    <row r="12943" spans="5:5">
      <c r="E12943" s="51"/>
    </row>
    <row r="12944" spans="5:5">
      <c r="E12944" s="51"/>
    </row>
    <row r="12945" spans="5:5">
      <c r="E12945" s="51"/>
    </row>
    <row r="12946" spans="5:5">
      <c r="E12946" s="51"/>
    </row>
    <row r="12947" spans="5:5">
      <c r="E12947" s="51"/>
    </row>
    <row r="12948" spans="5:5">
      <c r="E12948" s="51"/>
    </row>
    <row r="12949" spans="5:5">
      <c r="E12949" s="51"/>
    </row>
    <row r="12950" spans="5:5">
      <c r="E12950" s="51"/>
    </row>
    <row r="12951" spans="5:5">
      <c r="E12951" s="51"/>
    </row>
    <row r="12952" spans="5:5">
      <c r="E12952" s="51"/>
    </row>
    <row r="12953" spans="5:5">
      <c r="E12953" s="51"/>
    </row>
    <row r="12954" spans="5:5">
      <c r="E12954" s="51"/>
    </row>
    <row r="12955" spans="5:5">
      <c r="E12955" s="51"/>
    </row>
    <row r="12956" spans="5:5">
      <c r="E12956" s="51"/>
    </row>
    <row r="12957" spans="5:5">
      <c r="E12957" s="51"/>
    </row>
    <row r="12958" spans="5:5">
      <c r="E12958" s="51"/>
    </row>
    <row r="12959" spans="5:5">
      <c r="E12959" s="51"/>
    </row>
    <row r="12960" spans="5:5">
      <c r="E12960" s="51"/>
    </row>
    <row r="12961" spans="5:5">
      <c r="E12961" s="51"/>
    </row>
    <row r="12962" spans="5:5">
      <c r="E12962" s="51"/>
    </row>
    <row r="12963" spans="5:5">
      <c r="E12963" s="51"/>
    </row>
    <row r="12964" spans="5:5">
      <c r="E12964" s="51"/>
    </row>
    <row r="12965" spans="5:5">
      <c r="E12965" s="51"/>
    </row>
    <row r="12966" spans="5:5">
      <c r="E12966" s="51"/>
    </row>
    <row r="12967" spans="5:5">
      <c r="E12967" s="51"/>
    </row>
    <row r="12968" spans="5:5">
      <c r="E12968" s="51"/>
    </row>
    <row r="12969" spans="5:5">
      <c r="E12969" s="51"/>
    </row>
    <row r="12970" spans="5:5">
      <c r="E12970" s="51"/>
    </row>
    <row r="12971" spans="5:5">
      <c r="E12971" s="51"/>
    </row>
    <row r="12972" spans="5:5">
      <c r="E12972" s="51"/>
    </row>
    <row r="12973" spans="5:5">
      <c r="E12973" s="51"/>
    </row>
    <row r="12974" spans="5:5">
      <c r="E12974" s="51"/>
    </row>
    <row r="12975" spans="5:5">
      <c r="E12975" s="51"/>
    </row>
    <row r="12976" spans="5:5">
      <c r="E12976" s="51"/>
    </row>
    <row r="12977" spans="5:5">
      <c r="E12977" s="51"/>
    </row>
    <row r="12978" spans="5:5">
      <c r="E12978" s="51"/>
    </row>
    <row r="12979" spans="5:5">
      <c r="E12979" s="51"/>
    </row>
    <row r="12980" spans="5:5">
      <c r="E12980" s="51"/>
    </row>
    <row r="12981" spans="5:5">
      <c r="E12981" s="51"/>
    </row>
    <row r="12982" spans="5:5">
      <c r="E12982" s="51"/>
    </row>
    <row r="12983" spans="5:5">
      <c r="E12983" s="51"/>
    </row>
    <row r="12984" spans="5:5">
      <c r="E12984" s="51"/>
    </row>
    <row r="12985" spans="5:5">
      <c r="E12985" s="51"/>
    </row>
    <row r="12986" spans="5:5">
      <c r="E12986" s="51"/>
    </row>
    <row r="12987" spans="5:5">
      <c r="E12987" s="51"/>
    </row>
    <row r="12988" spans="5:5">
      <c r="E12988" s="51"/>
    </row>
    <row r="12989" spans="5:5">
      <c r="E12989" s="51"/>
    </row>
    <row r="12990" spans="5:5">
      <c r="E12990" s="51"/>
    </row>
    <row r="12991" spans="5:5">
      <c r="E12991" s="51"/>
    </row>
    <row r="12992" spans="5:5">
      <c r="E12992" s="51"/>
    </row>
    <row r="12993" spans="5:5">
      <c r="E12993" s="51"/>
    </row>
    <row r="12994" spans="5:5">
      <c r="E12994" s="51"/>
    </row>
    <row r="12995" spans="5:5">
      <c r="E12995" s="51"/>
    </row>
    <row r="12996" spans="5:5">
      <c r="E12996" s="51"/>
    </row>
    <row r="12997" spans="5:5">
      <c r="E12997" s="51"/>
    </row>
    <row r="12998" spans="5:5">
      <c r="E12998" s="51"/>
    </row>
    <row r="12999" spans="5:5">
      <c r="E12999" s="51"/>
    </row>
    <row r="13000" spans="5:5">
      <c r="E13000" s="51"/>
    </row>
    <row r="13001" spans="5:5">
      <c r="E13001" s="51"/>
    </row>
    <row r="13002" spans="5:5">
      <c r="E13002" s="51"/>
    </row>
    <row r="13003" spans="5:5">
      <c r="E13003" s="51"/>
    </row>
    <row r="13004" spans="5:5">
      <c r="E13004" s="51"/>
    </row>
    <row r="13005" spans="5:5">
      <c r="E13005" s="51"/>
    </row>
    <row r="13006" spans="5:5">
      <c r="E13006" s="51"/>
    </row>
    <row r="13007" spans="5:5">
      <c r="E13007" s="51"/>
    </row>
    <row r="13008" spans="5:5">
      <c r="E13008" s="51"/>
    </row>
    <row r="13009" spans="5:5">
      <c r="E13009" s="51"/>
    </row>
    <row r="13010" spans="5:5">
      <c r="E13010" s="51"/>
    </row>
    <row r="13011" spans="5:5">
      <c r="E13011" s="51"/>
    </row>
    <row r="13012" spans="5:5">
      <c r="E13012" s="51"/>
    </row>
    <row r="13013" spans="5:5">
      <c r="E13013" s="51"/>
    </row>
    <row r="13014" spans="5:5">
      <c r="E13014" s="51"/>
    </row>
    <row r="13015" spans="5:5">
      <c r="E13015" s="51"/>
    </row>
    <row r="13016" spans="5:5">
      <c r="E13016" s="51"/>
    </row>
    <row r="13017" spans="5:5">
      <c r="E13017" s="51"/>
    </row>
    <row r="13018" spans="5:5">
      <c r="E13018" s="51"/>
    </row>
    <row r="13019" spans="5:5">
      <c r="E13019" s="51"/>
    </row>
    <row r="13020" spans="5:5">
      <c r="E13020" s="51"/>
    </row>
    <row r="13021" spans="5:5">
      <c r="E13021" s="51"/>
    </row>
    <row r="13022" spans="5:5">
      <c r="E13022" s="51"/>
    </row>
    <row r="13023" spans="5:5">
      <c r="E13023" s="51"/>
    </row>
    <row r="13024" spans="5:5">
      <c r="E13024" s="51"/>
    </row>
    <row r="13025" spans="5:5">
      <c r="E13025" s="51"/>
    </row>
    <row r="13026" spans="5:5">
      <c r="E13026" s="51"/>
    </row>
    <row r="13027" spans="5:5">
      <c r="E13027" s="51"/>
    </row>
    <row r="13028" spans="5:5">
      <c r="E13028" s="51"/>
    </row>
    <row r="13029" spans="5:5">
      <c r="E13029" s="51"/>
    </row>
    <row r="13030" spans="5:5">
      <c r="E13030" s="51"/>
    </row>
    <row r="13031" spans="5:5">
      <c r="E13031" s="51"/>
    </row>
    <row r="13032" spans="5:5">
      <c r="E13032" s="51"/>
    </row>
    <row r="13033" spans="5:5">
      <c r="E13033" s="51"/>
    </row>
    <row r="13034" spans="5:5">
      <c r="E13034" s="51"/>
    </row>
    <row r="13035" spans="5:5">
      <c r="E13035" s="51"/>
    </row>
    <row r="13036" spans="5:5">
      <c r="E13036" s="51"/>
    </row>
    <row r="13037" spans="5:5">
      <c r="E13037" s="51"/>
    </row>
    <row r="13038" spans="5:5">
      <c r="E13038" s="51"/>
    </row>
    <row r="13039" spans="5:5">
      <c r="E13039" s="51"/>
    </row>
    <row r="13040" spans="5:5">
      <c r="E13040" s="51"/>
    </row>
    <row r="13041" spans="5:5">
      <c r="E13041" s="51"/>
    </row>
    <row r="13042" spans="5:5">
      <c r="E13042" s="51"/>
    </row>
    <row r="13043" spans="5:5">
      <c r="E13043" s="51"/>
    </row>
    <row r="13044" spans="5:5">
      <c r="E13044" s="51"/>
    </row>
    <row r="13045" spans="5:5">
      <c r="E13045" s="51"/>
    </row>
    <row r="13046" spans="5:5">
      <c r="E13046" s="51"/>
    </row>
    <row r="13047" spans="5:5">
      <c r="E13047" s="51"/>
    </row>
    <row r="13048" spans="5:5">
      <c r="E13048" s="51"/>
    </row>
    <row r="13049" spans="5:5">
      <c r="E13049" s="51"/>
    </row>
    <row r="13050" spans="5:5">
      <c r="E13050" s="51"/>
    </row>
    <row r="13051" spans="5:5">
      <c r="E13051" s="51"/>
    </row>
    <row r="13052" spans="5:5">
      <c r="E13052" s="51"/>
    </row>
    <row r="13053" spans="5:5">
      <c r="E13053" s="51"/>
    </row>
    <row r="13054" spans="5:5">
      <c r="E13054" s="51"/>
    </row>
    <row r="13055" spans="5:5">
      <c r="E13055" s="51"/>
    </row>
    <row r="13056" spans="5:5">
      <c r="E13056" s="51"/>
    </row>
    <row r="13057" spans="5:5">
      <c r="E13057" s="51"/>
    </row>
    <row r="13058" spans="5:5">
      <c r="E13058" s="51"/>
    </row>
    <row r="13059" spans="5:5">
      <c r="E13059" s="51"/>
    </row>
    <row r="13060" spans="5:5">
      <c r="E13060" s="51"/>
    </row>
    <row r="13061" spans="5:5">
      <c r="E13061" s="51"/>
    </row>
    <row r="13062" spans="5:5">
      <c r="E13062" s="51"/>
    </row>
    <row r="13063" spans="5:5">
      <c r="E13063" s="51"/>
    </row>
    <row r="13064" spans="5:5">
      <c r="E13064" s="51"/>
    </row>
    <row r="13065" spans="5:5">
      <c r="E13065" s="51"/>
    </row>
    <row r="13066" spans="5:5">
      <c r="E13066" s="51"/>
    </row>
    <row r="13067" spans="5:5">
      <c r="E13067" s="51"/>
    </row>
    <row r="13068" spans="5:5">
      <c r="E13068" s="51"/>
    </row>
    <row r="13069" spans="5:5">
      <c r="E13069" s="51"/>
    </row>
    <row r="13070" spans="5:5">
      <c r="E13070" s="51"/>
    </row>
    <row r="13071" spans="5:5">
      <c r="E13071" s="51"/>
    </row>
    <row r="13072" spans="5:5">
      <c r="E13072" s="51"/>
    </row>
    <row r="13073" spans="5:5">
      <c r="E13073" s="51"/>
    </row>
    <row r="13074" spans="5:5">
      <c r="E13074" s="51"/>
    </row>
    <row r="13075" spans="5:5">
      <c r="E13075" s="51"/>
    </row>
    <row r="13076" spans="5:5">
      <c r="E13076" s="51"/>
    </row>
    <row r="13077" spans="5:5">
      <c r="E13077" s="51"/>
    </row>
    <row r="13078" spans="5:5">
      <c r="E13078" s="51"/>
    </row>
    <row r="13079" spans="5:5">
      <c r="E13079" s="51"/>
    </row>
    <row r="13080" spans="5:5">
      <c r="E13080" s="51"/>
    </row>
    <row r="13081" spans="5:5">
      <c r="E13081" s="51"/>
    </row>
    <row r="13082" spans="5:5">
      <c r="E13082" s="51"/>
    </row>
    <row r="13083" spans="5:5">
      <c r="E13083" s="51"/>
    </row>
    <row r="13084" spans="5:5">
      <c r="E13084" s="51"/>
    </row>
    <row r="13085" spans="5:5">
      <c r="E13085" s="51"/>
    </row>
    <row r="13086" spans="5:5">
      <c r="E13086" s="51"/>
    </row>
    <row r="13087" spans="5:5">
      <c r="E13087" s="51"/>
    </row>
    <row r="13088" spans="5:5">
      <c r="E13088" s="51"/>
    </row>
    <row r="13089" spans="5:5">
      <c r="E13089" s="51"/>
    </row>
    <row r="13090" spans="5:5">
      <c r="E13090" s="51"/>
    </row>
    <row r="13091" spans="5:5">
      <c r="E13091" s="51"/>
    </row>
    <row r="13092" spans="5:5">
      <c r="E13092" s="51"/>
    </row>
    <row r="13093" spans="5:5">
      <c r="E13093" s="51"/>
    </row>
    <row r="13094" spans="5:5">
      <c r="E13094" s="51"/>
    </row>
    <row r="13095" spans="5:5">
      <c r="E13095" s="51"/>
    </row>
    <row r="13096" spans="5:5">
      <c r="E13096" s="51"/>
    </row>
    <row r="13097" spans="5:5">
      <c r="E13097" s="51"/>
    </row>
    <row r="13098" spans="5:5">
      <c r="E13098" s="51"/>
    </row>
    <row r="13099" spans="5:5">
      <c r="E13099" s="51"/>
    </row>
    <row r="13100" spans="5:5">
      <c r="E13100" s="51"/>
    </row>
    <row r="13101" spans="5:5">
      <c r="E13101" s="51"/>
    </row>
    <row r="13102" spans="5:5">
      <c r="E13102" s="51"/>
    </row>
    <row r="13103" spans="5:5">
      <c r="E13103" s="51"/>
    </row>
    <row r="13104" spans="5:5">
      <c r="E13104" s="51"/>
    </row>
    <row r="13105" spans="5:5">
      <c r="E13105" s="51"/>
    </row>
    <row r="13106" spans="5:5">
      <c r="E13106" s="51"/>
    </row>
    <row r="13107" spans="5:5">
      <c r="E13107" s="51"/>
    </row>
    <row r="13108" spans="5:5">
      <c r="E13108" s="51"/>
    </row>
    <row r="13109" spans="5:5">
      <c r="E13109" s="51"/>
    </row>
    <row r="13110" spans="5:5">
      <c r="E13110" s="51"/>
    </row>
    <row r="13111" spans="5:5">
      <c r="E13111" s="51"/>
    </row>
    <row r="13112" spans="5:5">
      <c r="E13112" s="51"/>
    </row>
    <row r="13113" spans="5:5">
      <c r="E13113" s="51"/>
    </row>
    <row r="13114" spans="5:5">
      <c r="E13114" s="51"/>
    </row>
    <row r="13115" spans="5:5">
      <c r="E13115" s="51"/>
    </row>
    <row r="13116" spans="5:5">
      <c r="E13116" s="51"/>
    </row>
    <row r="13117" spans="5:5">
      <c r="E13117" s="51"/>
    </row>
    <row r="13118" spans="5:5">
      <c r="E13118" s="51"/>
    </row>
    <row r="13119" spans="5:5">
      <c r="E13119" s="51"/>
    </row>
    <row r="13120" spans="5:5">
      <c r="E13120" s="51"/>
    </row>
    <row r="13121" spans="5:5">
      <c r="E13121" s="51"/>
    </row>
    <row r="13122" spans="5:5">
      <c r="E13122" s="51"/>
    </row>
    <row r="13123" spans="5:5">
      <c r="E13123" s="51"/>
    </row>
    <row r="13124" spans="5:5">
      <c r="E13124" s="51"/>
    </row>
    <row r="13125" spans="5:5">
      <c r="E13125" s="51"/>
    </row>
    <row r="13126" spans="5:5">
      <c r="E13126" s="51"/>
    </row>
    <row r="13127" spans="5:5">
      <c r="E13127" s="51"/>
    </row>
    <row r="13128" spans="5:5">
      <c r="E13128" s="51"/>
    </row>
    <row r="13129" spans="5:5">
      <c r="E13129" s="51"/>
    </row>
    <row r="13130" spans="5:5">
      <c r="E13130" s="51"/>
    </row>
    <row r="13131" spans="5:5">
      <c r="E13131" s="51"/>
    </row>
    <row r="13132" spans="5:5">
      <c r="E13132" s="51"/>
    </row>
    <row r="13133" spans="5:5">
      <c r="E13133" s="51"/>
    </row>
    <row r="13134" spans="5:5">
      <c r="E13134" s="51"/>
    </row>
    <row r="13135" spans="5:5">
      <c r="E13135" s="51"/>
    </row>
    <row r="13136" spans="5:5">
      <c r="E13136" s="51"/>
    </row>
    <row r="13137" spans="5:5">
      <c r="E13137" s="51"/>
    </row>
    <row r="13138" spans="5:5">
      <c r="E13138" s="51"/>
    </row>
    <row r="13139" spans="5:5">
      <c r="E13139" s="51"/>
    </row>
    <row r="13140" spans="5:5">
      <c r="E13140" s="51"/>
    </row>
    <row r="13141" spans="5:5">
      <c r="E13141" s="51"/>
    </row>
    <row r="13142" spans="5:5">
      <c r="E13142" s="51"/>
    </row>
    <row r="13143" spans="5:5">
      <c r="E13143" s="51"/>
    </row>
    <row r="13144" spans="5:5">
      <c r="E13144" s="51"/>
    </row>
    <row r="13145" spans="5:5">
      <c r="E13145" s="51"/>
    </row>
    <row r="13146" spans="5:5">
      <c r="E13146" s="51"/>
    </row>
    <row r="13147" spans="5:5">
      <c r="E13147" s="51"/>
    </row>
    <row r="13148" spans="5:5">
      <c r="E13148" s="51"/>
    </row>
    <row r="13149" spans="5:5">
      <c r="E13149" s="51"/>
    </row>
    <row r="13150" spans="5:5">
      <c r="E13150" s="51"/>
    </row>
    <row r="13151" spans="5:5">
      <c r="E13151" s="51"/>
    </row>
    <row r="13152" spans="5:5">
      <c r="E13152" s="51"/>
    </row>
    <row r="13153" spans="5:5">
      <c r="E13153" s="51"/>
    </row>
    <row r="13154" spans="5:5">
      <c r="E13154" s="51"/>
    </row>
    <row r="13155" spans="5:5">
      <c r="E13155" s="51"/>
    </row>
    <row r="13156" spans="5:5">
      <c r="E13156" s="51"/>
    </row>
    <row r="13157" spans="5:5">
      <c r="E13157" s="51"/>
    </row>
    <row r="13158" spans="5:5">
      <c r="E13158" s="51"/>
    </row>
    <row r="13159" spans="5:5">
      <c r="E13159" s="51"/>
    </row>
    <row r="13160" spans="5:5">
      <c r="E13160" s="51"/>
    </row>
    <row r="13161" spans="5:5">
      <c r="E13161" s="51"/>
    </row>
    <row r="13162" spans="5:5">
      <c r="E13162" s="51"/>
    </row>
    <row r="13163" spans="5:5">
      <c r="E13163" s="51"/>
    </row>
    <row r="13164" spans="5:5">
      <c r="E13164" s="51"/>
    </row>
    <row r="13165" spans="5:5">
      <c r="E13165" s="51"/>
    </row>
    <row r="13166" spans="5:5">
      <c r="E13166" s="51"/>
    </row>
    <row r="13167" spans="5:5">
      <c r="E13167" s="51"/>
    </row>
    <row r="13168" spans="5:5">
      <c r="E13168" s="51"/>
    </row>
    <row r="13169" spans="5:5">
      <c r="E13169" s="51"/>
    </row>
    <row r="13170" spans="5:5">
      <c r="E13170" s="51"/>
    </row>
    <row r="13171" spans="5:5">
      <c r="E13171" s="51"/>
    </row>
    <row r="13172" spans="5:5">
      <c r="E13172" s="51"/>
    </row>
    <row r="13173" spans="5:5">
      <c r="E13173" s="51"/>
    </row>
    <row r="13174" spans="5:5">
      <c r="E13174" s="51"/>
    </row>
    <row r="13175" spans="5:5">
      <c r="E13175" s="51"/>
    </row>
    <row r="13176" spans="5:5">
      <c r="E13176" s="51"/>
    </row>
    <row r="13177" spans="5:5">
      <c r="E13177" s="51"/>
    </row>
    <row r="13178" spans="5:5">
      <c r="E13178" s="51"/>
    </row>
    <row r="13179" spans="5:5">
      <c r="E13179" s="51"/>
    </row>
    <row r="13180" spans="5:5">
      <c r="E13180" s="51"/>
    </row>
    <row r="13181" spans="5:5">
      <c r="E13181" s="51"/>
    </row>
    <row r="13182" spans="5:5">
      <c r="E13182" s="51"/>
    </row>
    <row r="13183" spans="5:5">
      <c r="E13183" s="51"/>
    </row>
    <row r="13184" spans="5:5">
      <c r="E13184" s="51"/>
    </row>
    <row r="13185" spans="5:5">
      <c r="E13185" s="51"/>
    </row>
    <row r="13186" spans="5:5">
      <c r="E13186" s="51"/>
    </row>
    <row r="13187" spans="5:5">
      <c r="E13187" s="51"/>
    </row>
    <row r="13188" spans="5:5">
      <c r="E13188" s="51"/>
    </row>
    <row r="13189" spans="5:5">
      <c r="E13189" s="51"/>
    </row>
    <row r="13190" spans="5:5">
      <c r="E13190" s="51"/>
    </row>
    <row r="13191" spans="5:5">
      <c r="E13191" s="51"/>
    </row>
    <row r="13192" spans="5:5">
      <c r="E13192" s="51"/>
    </row>
    <row r="13193" spans="5:5">
      <c r="E13193" s="51"/>
    </row>
    <row r="13194" spans="5:5">
      <c r="E13194" s="51"/>
    </row>
    <row r="13195" spans="5:5">
      <c r="E13195" s="51"/>
    </row>
    <row r="13196" spans="5:5">
      <c r="E13196" s="51"/>
    </row>
    <row r="13197" spans="5:5">
      <c r="E13197" s="51"/>
    </row>
    <row r="13198" spans="5:5">
      <c r="E13198" s="51"/>
    </row>
    <row r="13199" spans="5:5">
      <c r="E13199" s="51"/>
    </row>
    <row r="13200" spans="5:5">
      <c r="E13200" s="51"/>
    </row>
    <row r="13201" spans="5:5">
      <c r="E13201" s="51"/>
    </row>
    <row r="13202" spans="5:5">
      <c r="E13202" s="51"/>
    </row>
    <row r="13203" spans="5:5">
      <c r="E13203" s="51"/>
    </row>
    <row r="13204" spans="5:5">
      <c r="E13204" s="51"/>
    </row>
    <row r="13205" spans="5:5">
      <c r="E13205" s="51"/>
    </row>
    <row r="13206" spans="5:5">
      <c r="E13206" s="51"/>
    </row>
    <row r="13207" spans="5:5">
      <c r="E13207" s="51"/>
    </row>
    <row r="13208" spans="5:5">
      <c r="E13208" s="51"/>
    </row>
    <row r="13209" spans="5:5">
      <c r="E13209" s="51"/>
    </row>
    <row r="13210" spans="5:5">
      <c r="E13210" s="51"/>
    </row>
    <row r="13211" spans="5:5">
      <c r="E13211" s="51"/>
    </row>
    <row r="13212" spans="5:5">
      <c r="E13212" s="51"/>
    </row>
    <row r="13213" spans="5:5">
      <c r="E13213" s="51"/>
    </row>
    <row r="13214" spans="5:5">
      <c r="E13214" s="51"/>
    </row>
    <row r="13215" spans="5:5">
      <c r="E13215" s="51"/>
    </row>
    <row r="13216" spans="5:5">
      <c r="E13216" s="51"/>
    </row>
    <row r="13217" spans="5:5">
      <c r="E13217" s="51"/>
    </row>
    <row r="13218" spans="5:5">
      <c r="E13218" s="51"/>
    </row>
    <row r="13219" spans="5:5">
      <c r="E13219" s="51"/>
    </row>
    <row r="13220" spans="5:5">
      <c r="E13220" s="51"/>
    </row>
    <row r="13221" spans="5:5">
      <c r="E13221" s="51"/>
    </row>
    <row r="13222" spans="5:5">
      <c r="E13222" s="51"/>
    </row>
    <row r="13223" spans="5:5">
      <c r="E13223" s="51"/>
    </row>
    <row r="13224" spans="5:5">
      <c r="E13224" s="51"/>
    </row>
    <row r="13225" spans="5:5">
      <c r="E13225" s="51"/>
    </row>
    <row r="13226" spans="5:5">
      <c r="E13226" s="51"/>
    </row>
    <row r="13227" spans="5:5">
      <c r="E13227" s="51"/>
    </row>
    <row r="13228" spans="5:5">
      <c r="E13228" s="51"/>
    </row>
    <row r="13229" spans="5:5">
      <c r="E13229" s="51"/>
    </row>
    <row r="13230" spans="5:5">
      <c r="E13230" s="51"/>
    </row>
    <row r="13231" spans="5:5">
      <c r="E13231" s="51"/>
    </row>
    <row r="13232" spans="5:5">
      <c r="E13232" s="51"/>
    </row>
    <row r="13233" spans="5:5">
      <c r="E13233" s="51"/>
    </row>
    <row r="13234" spans="5:5">
      <c r="E13234" s="51"/>
    </row>
    <row r="13235" spans="5:5">
      <c r="E13235" s="51"/>
    </row>
    <row r="13236" spans="5:5">
      <c r="E13236" s="51"/>
    </row>
    <row r="13237" spans="5:5">
      <c r="E13237" s="51"/>
    </row>
    <row r="13238" spans="5:5">
      <c r="E13238" s="51"/>
    </row>
    <row r="13239" spans="5:5">
      <c r="E13239" s="51"/>
    </row>
    <row r="13240" spans="5:5">
      <c r="E13240" s="51"/>
    </row>
    <row r="13241" spans="5:5">
      <c r="E13241" s="51"/>
    </row>
    <row r="13242" spans="5:5">
      <c r="E13242" s="51"/>
    </row>
    <row r="13243" spans="5:5">
      <c r="E13243" s="51"/>
    </row>
    <row r="13244" spans="5:5">
      <c r="E13244" s="51"/>
    </row>
    <row r="13245" spans="5:5">
      <c r="E13245" s="51"/>
    </row>
    <row r="13246" spans="5:5">
      <c r="E13246" s="51"/>
    </row>
    <row r="13247" spans="5:5">
      <c r="E13247" s="51"/>
    </row>
    <row r="13248" spans="5:5">
      <c r="E13248" s="51"/>
    </row>
    <row r="13249" spans="5:5">
      <c r="E13249" s="51"/>
    </row>
    <row r="13250" spans="5:5">
      <c r="E13250" s="51"/>
    </row>
    <row r="13251" spans="5:5">
      <c r="E13251" s="51"/>
    </row>
    <row r="13252" spans="5:5">
      <c r="E13252" s="51"/>
    </row>
    <row r="13253" spans="5:5">
      <c r="E13253" s="51"/>
    </row>
    <row r="13254" spans="5:5">
      <c r="E13254" s="51"/>
    </row>
    <row r="13255" spans="5:5">
      <c r="E13255" s="51"/>
    </row>
    <row r="13256" spans="5:5">
      <c r="E13256" s="51"/>
    </row>
    <row r="13257" spans="5:5">
      <c r="E13257" s="51"/>
    </row>
    <row r="13258" spans="5:5">
      <c r="E13258" s="51"/>
    </row>
    <row r="13259" spans="5:5">
      <c r="E13259" s="51"/>
    </row>
    <row r="13260" spans="5:5">
      <c r="E13260" s="51"/>
    </row>
    <row r="13261" spans="5:5">
      <c r="E13261" s="51"/>
    </row>
    <row r="13262" spans="5:5">
      <c r="E13262" s="51"/>
    </row>
    <row r="13263" spans="5:5">
      <c r="E13263" s="51"/>
    </row>
    <row r="13264" spans="5:5">
      <c r="E13264" s="51"/>
    </row>
    <row r="13265" spans="5:5">
      <c r="E13265" s="51"/>
    </row>
    <row r="13266" spans="5:5">
      <c r="E13266" s="51"/>
    </row>
    <row r="13267" spans="5:5">
      <c r="E13267" s="51"/>
    </row>
    <row r="13268" spans="5:5">
      <c r="E13268" s="51"/>
    </row>
    <row r="13269" spans="5:5">
      <c r="E13269" s="51"/>
    </row>
    <row r="13270" spans="5:5">
      <c r="E13270" s="51"/>
    </row>
    <row r="13271" spans="5:5">
      <c r="E13271" s="51"/>
    </row>
    <row r="13272" spans="5:5">
      <c r="E13272" s="51"/>
    </row>
    <row r="13273" spans="5:5">
      <c r="E13273" s="51"/>
    </row>
    <row r="13274" spans="5:5">
      <c r="E13274" s="51"/>
    </row>
    <row r="13275" spans="5:5">
      <c r="E13275" s="51"/>
    </row>
    <row r="13276" spans="5:5">
      <c r="E13276" s="51"/>
    </row>
    <row r="13277" spans="5:5">
      <c r="E13277" s="51"/>
    </row>
    <row r="13278" spans="5:5">
      <c r="E13278" s="51"/>
    </row>
    <row r="13279" spans="5:5">
      <c r="E13279" s="51"/>
    </row>
    <row r="13280" spans="5:5">
      <c r="E13280" s="51"/>
    </row>
    <row r="13281" spans="5:5">
      <c r="E13281" s="51"/>
    </row>
    <row r="13282" spans="5:5">
      <c r="E13282" s="51"/>
    </row>
    <row r="13283" spans="5:5">
      <c r="E13283" s="51"/>
    </row>
    <row r="13284" spans="5:5">
      <c r="E13284" s="51"/>
    </row>
    <row r="13285" spans="5:5">
      <c r="E13285" s="51"/>
    </row>
    <row r="13286" spans="5:5">
      <c r="E13286" s="51"/>
    </row>
    <row r="13287" spans="5:5">
      <c r="E13287" s="51"/>
    </row>
    <row r="13288" spans="5:5">
      <c r="E13288" s="51"/>
    </row>
    <row r="13289" spans="5:5">
      <c r="E13289" s="51"/>
    </row>
    <row r="13290" spans="5:5">
      <c r="E13290" s="51"/>
    </row>
    <row r="13291" spans="5:5">
      <c r="E13291" s="51"/>
    </row>
    <row r="13292" spans="5:5">
      <c r="E13292" s="51"/>
    </row>
    <row r="13293" spans="5:5">
      <c r="E13293" s="51"/>
    </row>
    <row r="13294" spans="5:5">
      <c r="E13294" s="51"/>
    </row>
    <row r="13295" spans="5:5">
      <c r="E13295" s="51"/>
    </row>
    <row r="13296" spans="5:5">
      <c r="E13296" s="51"/>
    </row>
    <row r="13297" spans="5:5">
      <c r="E13297" s="51"/>
    </row>
    <row r="13298" spans="5:5">
      <c r="E13298" s="51"/>
    </row>
    <row r="13299" spans="5:5">
      <c r="E13299" s="51"/>
    </row>
    <row r="13300" spans="5:5">
      <c r="E13300" s="51"/>
    </row>
    <row r="13301" spans="5:5">
      <c r="E13301" s="51"/>
    </row>
    <row r="13302" spans="5:5">
      <c r="E13302" s="51"/>
    </row>
    <row r="13303" spans="5:5">
      <c r="E13303" s="51"/>
    </row>
    <row r="13304" spans="5:5">
      <c r="E13304" s="51"/>
    </row>
    <row r="13305" spans="5:5">
      <c r="E13305" s="51"/>
    </row>
    <row r="13306" spans="5:5">
      <c r="E13306" s="51"/>
    </row>
    <row r="13307" spans="5:5">
      <c r="E13307" s="51"/>
    </row>
    <row r="13308" spans="5:5">
      <c r="E13308" s="51"/>
    </row>
    <row r="13309" spans="5:5">
      <c r="E13309" s="51"/>
    </row>
    <row r="13310" spans="5:5">
      <c r="E13310" s="51"/>
    </row>
    <row r="13311" spans="5:5">
      <c r="E13311" s="51"/>
    </row>
    <row r="13312" spans="5:5">
      <c r="E13312" s="51"/>
    </row>
    <row r="13313" spans="5:5">
      <c r="E13313" s="51"/>
    </row>
    <row r="13314" spans="5:5">
      <c r="E13314" s="51"/>
    </row>
    <row r="13315" spans="5:5">
      <c r="E13315" s="51"/>
    </row>
    <row r="13316" spans="5:5">
      <c r="E13316" s="51"/>
    </row>
    <row r="13317" spans="5:5">
      <c r="E13317" s="51"/>
    </row>
    <row r="13318" spans="5:5">
      <c r="E13318" s="51"/>
    </row>
    <row r="13319" spans="5:5">
      <c r="E13319" s="51"/>
    </row>
    <row r="13320" spans="5:5">
      <c r="E13320" s="51"/>
    </row>
    <row r="13321" spans="5:5">
      <c r="E13321" s="51"/>
    </row>
    <row r="13322" spans="5:5">
      <c r="E13322" s="51"/>
    </row>
    <row r="13323" spans="5:5">
      <c r="E13323" s="51"/>
    </row>
    <row r="13324" spans="5:5">
      <c r="E13324" s="51"/>
    </row>
    <row r="13325" spans="5:5">
      <c r="E13325" s="51"/>
    </row>
    <row r="13326" spans="5:5">
      <c r="E13326" s="51"/>
    </row>
    <row r="13327" spans="5:5">
      <c r="E13327" s="51"/>
    </row>
    <row r="13328" spans="5:5">
      <c r="E13328" s="51"/>
    </row>
    <row r="13329" spans="5:5">
      <c r="E13329" s="51"/>
    </row>
    <row r="13330" spans="5:5">
      <c r="E13330" s="51"/>
    </row>
    <row r="13331" spans="5:5">
      <c r="E13331" s="51"/>
    </row>
    <row r="13332" spans="5:5">
      <c r="E13332" s="51"/>
    </row>
    <row r="13333" spans="5:5">
      <c r="E13333" s="51"/>
    </row>
    <row r="13334" spans="5:5">
      <c r="E13334" s="51"/>
    </row>
    <row r="13335" spans="5:5">
      <c r="E13335" s="51"/>
    </row>
    <row r="13336" spans="5:5">
      <c r="E13336" s="51"/>
    </row>
    <row r="13337" spans="5:5">
      <c r="E13337" s="51"/>
    </row>
    <row r="13338" spans="5:5">
      <c r="E13338" s="51"/>
    </row>
    <row r="13339" spans="5:5">
      <c r="E13339" s="51"/>
    </row>
    <row r="13340" spans="5:5">
      <c r="E13340" s="51"/>
    </row>
    <row r="13341" spans="5:5">
      <c r="E13341" s="51"/>
    </row>
    <row r="13342" spans="5:5">
      <c r="E13342" s="51"/>
    </row>
    <row r="13343" spans="5:5">
      <c r="E13343" s="51"/>
    </row>
    <row r="13344" spans="5:5">
      <c r="E13344" s="51"/>
    </row>
    <row r="13345" spans="5:5">
      <c r="E13345" s="51"/>
    </row>
    <row r="13346" spans="5:5">
      <c r="E13346" s="51"/>
    </row>
    <row r="13347" spans="5:5">
      <c r="E13347" s="51"/>
    </row>
    <row r="13348" spans="5:5">
      <c r="E13348" s="51"/>
    </row>
    <row r="13349" spans="5:5">
      <c r="E13349" s="51"/>
    </row>
    <row r="13350" spans="5:5">
      <c r="E13350" s="51"/>
    </row>
    <row r="13351" spans="5:5">
      <c r="E13351" s="51"/>
    </row>
    <row r="13352" spans="5:5">
      <c r="E13352" s="51"/>
    </row>
    <row r="13353" spans="5:5">
      <c r="E13353" s="51"/>
    </row>
    <row r="13354" spans="5:5">
      <c r="E13354" s="51"/>
    </row>
    <row r="13355" spans="5:5">
      <c r="E13355" s="51"/>
    </row>
    <row r="13356" spans="5:5">
      <c r="E13356" s="51"/>
    </row>
    <row r="13357" spans="5:5">
      <c r="E13357" s="51"/>
    </row>
    <row r="13358" spans="5:5">
      <c r="E13358" s="51"/>
    </row>
    <row r="13359" spans="5:5">
      <c r="E13359" s="51"/>
    </row>
    <row r="13360" spans="5:5">
      <c r="E13360" s="51"/>
    </row>
    <row r="13361" spans="5:5">
      <c r="E13361" s="51"/>
    </row>
    <row r="13362" spans="5:5">
      <c r="E13362" s="51"/>
    </row>
    <row r="13363" spans="5:5">
      <c r="E13363" s="51"/>
    </row>
    <row r="13364" spans="5:5">
      <c r="E13364" s="51"/>
    </row>
    <row r="13365" spans="5:5">
      <c r="E13365" s="51"/>
    </row>
    <row r="13366" spans="5:5">
      <c r="E13366" s="51"/>
    </row>
    <row r="13367" spans="5:5">
      <c r="E13367" s="51"/>
    </row>
    <row r="13368" spans="5:5">
      <c r="E13368" s="51"/>
    </row>
    <row r="13369" spans="5:5">
      <c r="E13369" s="51"/>
    </row>
    <row r="13370" spans="5:5">
      <c r="E13370" s="51"/>
    </row>
    <row r="13371" spans="5:5">
      <c r="E13371" s="51"/>
    </row>
    <row r="13372" spans="5:5">
      <c r="E13372" s="51"/>
    </row>
    <row r="13373" spans="5:5">
      <c r="E13373" s="51"/>
    </row>
    <row r="13374" spans="5:5">
      <c r="E13374" s="51"/>
    </row>
    <row r="13375" spans="5:5">
      <c r="E13375" s="51"/>
    </row>
    <row r="13376" spans="5:5">
      <c r="E13376" s="51"/>
    </row>
    <row r="13377" spans="5:5">
      <c r="E13377" s="51"/>
    </row>
    <row r="13378" spans="5:5">
      <c r="E13378" s="51"/>
    </row>
    <row r="13379" spans="5:5">
      <c r="E13379" s="51"/>
    </row>
    <row r="13380" spans="5:5">
      <c r="E13380" s="51"/>
    </row>
    <row r="13381" spans="5:5">
      <c r="E13381" s="51"/>
    </row>
    <row r="13382" spans="5:5">
      <c r="E13382" s="51"/>
    </row>
    <row r="13383" spans="5:5">
      <c r="E13383" s="51"/>
    </row>
    <row r="13384" spans="5:5">
      <c r="E13384" s="51"/>
    </row>
    <row r="13385" spans="5:5">
      <c r="E13385" s="51"/>
    </row>
    <row r="13386" spans="5:5">
      <c r="E13386" s="51"/>
    </row>
    <row r="13387" spans="5:5">
      <c r="E13387" s="51"/>
    </row>
    <row r="13388" spans="5:5">
      <c r="E13388" s="51"/>
    </row>
    <row r="13389" spans="5:5">
      <c r="E13389" s="51"/>
    </row>
    <row r="13390" spans="5:5">
      <c r="E13390" s="51"/>
    </row>
    <row r="13391" spans="5:5">
      <c r="E13391" s="51"/>
    </row>
    <row r="13392" spans="5:5">
      <c r="E13392" s="51"/>
    </row>
    <row r="13393" spans="5:5">
      <c r="E13393" s="51"/>
    </row>
    <row r="13394" spans="5:5">
      <c r="E13394" s="51"/>
    </row>
    <row r="13395" spans="5:5">
      <c r="E13395" s="51"/>
    </row>
    <row r="13396" spans="5:5">
      <c r="E13396" s="51"/>
    </row>
    <row r="13397" spans="5:5">
      <c r="E13397" s="51"/>
    </row>
    <row r="13398" spans="5:5">
      <c r="E13398" s="51"/>
    </row>
    <row r="13399" spans="5:5">
      <c r="E13399" s="51"/>
    </row>
    <row r="13400" spans="5:5">
      <c r="E13400" s="51"/>
    </row>
    <row r="13401" spans="5:5">
      <c r="E13401" s="51"/>
    </row>
    <row r="13402" spans="5:5">
      <c r="E13402" s="51"/>
    </row>
    <row r="13403" spans="5:5">
      <c r="E13403" s="51"/>
    </row>
    <row r="13404" spans="5:5">
      <c r="E13404" s="51"/>
    </row>
    <row r="13405" spans="5:5">
      <c r="E13405" s="51"/>
    </row>
    <row r="13406" spans="5:5">
      <c r="E13406" s="51"/>
    </row>
    <row r="13407" spans="5:5">
      <c r="E13407" s="51"/>
    </row>
    <row r="13408" spans="5:5">
      <c r="E13408" s="51"/>
    </row>
    <row r="13409" spans="5:5">
      <c r="E13409" s="51"/>
    </row>
    <row r="13410" spans="5:5">
      <c r="E13410" s="51"/>
    </row>
    <row r="13411" spans="5:5">
      <c r="E13411" s="51"/>
    </row>
    <row r="13412" spans="5:5">
      <c r="E13412" s="51"/>
    </row>
    <row r="13413" spans="5:5">
      <c r="E13413" s="51"/>
    </row>
    <row r="13414" spans="5:5">
      <c r="E13414" s="51"/>
    </row>
    <row r="13415" spans="5:5">
      <c r="E13415" s="51"/>
    </row>
    <row r="13416" spans="5:5">
      <c r="E13416" s="51"/>
    </row>
    <row r="13417" spans="5:5">
      <c r="E13417" s="51"/>
    </row>
    <row r="13418" spans="5:5">
      <c r="E13418" s="51"/>
    </row>
    <row r="13419" spans="5:5">
      <c r="E13419" s="51"/>
    </row>
    <row r="13420" spans="5:5">
      <c r="E13420" s="51"/>
    </row>
    <row r="13421" spans="5:5">
      <c r="E13421" s="51"/>
    </row>
    <row r="13422" spans="5:5">
      <c r="E13422" s="51"/>
    </row>
    <row r="13423" spans="5:5">
      <c r="E13423" s="51"/>
    </row>
    <row r="13424" spans="5:5">
      <c r="E13424" s="51"/>
    </row>
    <row r="13425" spans="5:5">
      <c r="E13425" s="51"/>
    </row>
    <row r="13426" spans="5:5">
      <c r="E13426" s="51"/>
    </row>
    <row r="13427" spans="5:5">
      <c r="E13427" s="51"/>
    </row>
    <row r="13428" spans="5:5">
      <c r="E13428" s="51"/>
    </row>
    <row r="13429" spans="5:5">
      <c r="E13429" s="51"/>
    </row>
    <row r="13430" spans="5:5">
      <c r="E13430" s="51"/>
    </row>
    <row r="13431" spans="5:5">
      <c r="E13431" s="51"/>
    </row>
    <row r="13432" spans="5:5">
      <c r="E13432" s="51"/>
    </row>
    <row r="13433" spans="5:5">
      <c r="E13433" s="51"/>
    </row>
    <row r="13434" spans="5:5">
      <c r="E13434" s="51"/>
    </row>
    <row r="13435" spans="5:5">
      <c r="E13435" s="51"/>
    </row>
    <row r="13436" spans="5:5">
      <c r="E13436" s="51"/>
    </row>
    <row r="13437" spans="5:5">
      <c r="E13437" s="51"/>
    </row>
    <row r="13438" spans="5:5">
      <c r="E13438" s="51"/>
    </row>
    <row r="13439" spans="5:5">
      <c r="E13439" s="51"/>
    </row>
    <row r="13440" spans="5:5">
      <c r="E13440" s="51"/>
    </row>
    <row r="13441" spans="5:5">
      <c r="E13441" s="51"/>
    </row>
    <row r="13442" spans="5:5">
      <c r="E13442" s="51"/>
    </row>
    <row r="13443" spans="5:5">
      <c r="E13443" s="51"/>
    </row>
    <row r="13444" spans="5:5">
      <c r="E13444" s="51"/>
    </row>
    <row r="13445" spans="5:5">
      <c r="E13445" s="51"/>
    </row>
    <row r="13446" spans="5:5">
      <c r="E13446" s="51"/>
    </row>
    <row r="13447" spans="5:5">
      <c r="E13447" s="51"/>
    </row>
    <row r="13448" spans="5:5">
      <c r="E13448" s="51"/>
    </row>
    <row r="13449" spans="5:5">
      <c r="E13449" s="51"/>
    </row>
    <row r="13450" spans="5:5">
      <c r="E13450" s="51"/>
    </row>
    <row r="13451" spans="5:5">
      <c r="E13451" s="51"/>
    </row>
    <row r="13452" spans="5:5">
      <c r="E13452" s="51"/>
    </row>
    <row r="13453" spans="5:5">
      <c r="E13453" s="51"/>
    </row>
    <row r="13454" spans="5:5">
      <c r="E13454" s="51"/>
    </row>
    <row r="13455" spans="5:5">
      <c r="E13455" s="51"/>
    </row>
    <row r="13456" spans="5:5">
      <c r="E13456" s="51"/>
    </row>
    <row r="13457" spans="5:5">
      <c r="E13457" s="51"/>
    </row>
    <row r="13458" spans="5:5">
      <c r="E13458" s="51"/>
    </row>
    <row r="13459" spans="5:5">
      <c r="E13459" s="51"/>
    </row>
    <row r="13460" spans="5:5">
      <c r="E13460" s="51"/>
    </row>
    <row r="13461" spans="5:5">
      <c r="E13461" s="51"/>
    </row>
    <row r="13462" spans="5:5">
      <c r="E13462" s="51"/>
    </row>
    <row r="13463" spans="5:5">
      <c r="E13463" s="51"/>
    </row>
    <row r="13464" spans="5:5">
      <c r="E13464" s="51"/>
    </row>
    <row r="13465" spans="5:5">
      <c r="E13465" s="51"/>
    </row>
    <row r="13466" spans="5:5">
      <c r="E13466" s="51"/>
    </row>
    <row r="13467" spans="5:5">
      <c r="E13467" s="51"/>
    </row>
    <row r="13468" spans="5:5">
      <c r="E13468" s="51"/>
    </row>
    <row r="13469" spans="5:5">
      <c r="E13469" s="51"/>
    </row>
    <row r="13470" spans="5:5">
      <c r="E13470" s="51"/>
    </row>
    <row r="13471" spans="5:5">
      <c r="E13471" s="51"/>
    </row>
    <row r="13472" spans="5:5">
      <c r="E13472" s="51"/>
    </row>
    <row r="13473" spans="5:5">
      <c r="E13473" s="51"/>
    </row>
    <row r="13474" spans="5:5">
      <c r="E13474" s="51"/>
    </row>
    <row r="13475" spans="5:5">
      <c r="E13475" s="51"/>
    </row>
    <row r="13476" spans="5:5">
      <c r="E13476" s="51"/>
    </row>
    <row r="13477" spans="5:5">
      <c r="E13477" s="51"/>
    </row>
    <row r="13478" spans="5:5">
      <c r="E13478" s="51"/>
    </row>
    <row r="13479" spans="5:5">
      <c r="E13479" s="51"/>
    </row>
    <row r="13480" spans="5:5">
      <c r="E13480" s="51"/>
    </row>
    <row r="13481" spans="5:5">
      <c r="E13481" s="51"/>
    </row>
    <row r="13482" spans="5:5">
      <c r="E13482" s="51"/>
    </row>
    <row r="13483" spans="5:5">
      <c r="E13483" s="51"/>
    </row>
    <row r="13484" spans="5:5">
      <c r="E13484" s="51"/>
    </row>
    <row r="13485" spans="5:5">
      <c r="E13485" s="51"/>
    </row>
    <row r="13486" spans="5:5">
      <c r="E13486" s="51"/>
    </row>
    <row r="13487" spans="5:5">
      <c r="E13487" s="51"/>
    </row>
    <row r="13488" spans="5:5">
      <c r="E13488" s="51"/>
    </row>
    <row r="13489" spans="5:5">
      <c r="E13489" s="51"/>
    </row>
    <row r="13490" spans="5:5">
      <c r="E13490" s="51"/>
    </row>
    <row r="13491" spans="5:5">
      <c r="E13491" s="51"/>
    </row>
    <row r="13492" spans="5:5">
      <c r="E13492" s="51"/>
    </row>
    <row r="13493" spans="5:5">
      <c r="E13493" s="51"/>
    </row>
    <row r="13494" spans="5:5">
      <c r="E13494" s="51"/>
    </row>
    <row r="13495" spans="5:5">
      <c r="E13495" s="51"/>
    </row>
    <row r="13496" spans="5:5">
      <c r="E13496" s="51"/>
    </row>
    <row r="13497" spans="5:5">
      <c r="E13497" s="51"/>
    </row>
    <row r="13498" spans="5:5">
      <c r="E13498" s="51"/>
    </row>
    <row r="13499" spans="5:5">
      <c r="E13499" s="51"/>
    </row>
    <row r="13500" spans="5:5">
      <c r="E13500" s="51"/>
    </row>
    <row r="13501" spans="5:5">
      <c r="E13501" s="51"/>
    </row>
    <row r="13502" spans="5:5">
      <c r="E13502" s="51"/>
    </row>
    <row r="13503" spans="5:5">
      <c r="E13503" s="51"/>
    </row>
    <row r="13504" spans="5:5">
      <c r="E13504" s="51"/>
    </row>
    <row r="13505" spans="5:5">
      <c r="E13505" s="51"/>
    </row>
    <row r="13506" spans="5:5">
      <c r="E13506" s="51"/>
    </row>
    <row r="13507" spans="5:5">
      <c r="E13507" s="51"/>
    </row>
    <row r="13508" spans="5:5">
      <c r="E13508" s="51"/>
    </row>
    <row r="13509" spans="5:5">
      <c r="E13509" s="51"/>
    </row>
    <row r="13510" spans="5:5">
      <c r="E13510" s="51"/>
    </row>
    <row r="13511" spans="5:5">
      <c r="E13511" s="51"/>
    </row>
    <row r="13512" spans="5:5">
      <c r="E13512" s="51"/>
    </row>
    <row r="13513" spans="5:5">
      <c r="E13513" s="51"/>
    </row>
    <row r="13514" spans="5:5">
      <c r="E13514" s="51"/>
    </row>
    <row r="13515" spans="5:5">
      <c r="E13515" s="51"/>
    </row>
    <row r="13516" spans="5:5">
      <c r="E13516" s="51"/>
    </row>
    <row r="13517" spans="5:5">
      <c r="E13517" s="51"/>
    </row>
    <row r="13518" spans="5:5">
      <c r="E13518" s="51"/>
    </row>
    <row r="13519" spans="5:5">
      <c r="E13519" s="51"/>
    </row>
    <row r="13520" spans="5:5">
      <c r="E13520" s="51"/>
    </row>
    <row r="13521" spans="5:5">
      <c r="E13521" s="51"/>
    </row>
    <row r="13522" spans="5:5">
      <c r="E13522" s="51"/>
    </row>
    <row r="13523" spans="5:5">
      <c r="E13523" s="51"/>
    </row>
    <row r="13524" spans="5:5">
      <c r="E13524" s="51"/>
    </row>
    <row r="13525" spans="5:5">
      <c r="E13525" s="51"/>
    </row>
    <row r="13526" spans="5:5">
      <c r="E13526" s="51"/>
    </row>
    <row r="13527" spans="5:5">
      <c r="E13527" s="51"/>
    </row>
    <row r="13528" spans="5:5">
      <c r="E13528" s="51"/>
    </row>
    <row r="13529" spans="5:5">
      <c r="E13529" s="51"/>
    </row>
    <row r="13530" spans="5:5">
      <c r="E13530" s="51"/>
    </row>
    <row r="13531" spans="5:5">
      <c r="E13531" s="51"/>
    </row>
    <row r="13532" spans="5:5">
      <c r="E13532" s="51"/>
    </row>
    <row r="13533" spans="5:5">
      <c r="E13533" s="51"/>
    </row>
    <row r="13534" spans="5:5">
      <c r="E13534" s="51"/>
    </row>
    <row r="13535" spans="5:5">
      <c r="E13535" s="51"/>
    </row>
    <row r="13536" spans="5:5">
      <c r="E13536" s="51"/>
    </row>
    <row r="13537" spans="5:5">
      <c r="E13537" s="51"/>
    </row>
    <row r="13538" spans="5:5">
      <c r="E13538" s="51"/>
    </row>
    <row r="13539" spans="5:5">
      <c r="E13539" s="51"/>
    </row>
    <row r="13540" spans="5:5">
      <c r="E13540" s="51"/>
    </row>
    <row r="13541" spans="5:5">
      <c r="E13541" s="51"/>
    </row>
    <row r="13542" spans="5:5">
      <c r="E13542" s="51"/>
    </row>
    <row r="13543" spans="5:5">
      <c r="E13543" s="51"/>
    </row>
    <row r="13544" spans="5:5">
      <c r="E13544" s="51"/>
    </row>
    <row r="13545" spans="5:5">
      <c r="E13545" s="51"/>
    </row>
    <row r="13546" spans="5:5">
      <c r="E13546" s="51"/>
    </row>
    <row r="13547" spans="5:5">
      <c r="E13547" s="51"/>
    </row>
    <row r="13548" spans="5:5">
      <c r="E13548" s="51"/>
    </row>
    <row r="13549" spans="5:5">
      <c r="E13549" s="51"/>
    </row>
    <row r="13550" spans="5:5">
      <c r="E13550" s="51"/>
    </row>
    <row r="13551" spans="5:5">
      <c r="E13551" s="51"/>
    </row>
    <row r="13552" spans="5:5">
      <c r="E13552" s="51"/>
    </row>
    <row r="13553" spans="5:5">
      <c r="E13553" s="51"/>
    </row>
    <row r="13554" spans="5:5">
      <c r="E13554" s="51"/>
    </row>
    <row r="13555" spans="5:5">
      <c r="E13555" s="51"/>
    </row>
    <row r="13556" spans="5:5">
      <c r="E13556" s="51"/>
    </row>
    <row r="13557" spans="5:5">
      <c r="E13557" s="51"/>
    </row>
    <row r="13558" spans="5:5">
      <c r="E13558" s="51"/>
    </row>
    <row r="13559" spans="5:5">
      <c r="E13559" s="51"/>
    </row>
    <row r="13560" spans="5:5">
      <c r="E13560" s="51"/>
    </row>
    <row r="13561" spans="5:5">
      <c r="E13561" s="51"/>
    </row>
    <row r="13562" spans="5:5">
      <c r="E13562" s="51"/>
    </row>
    <row r="13563" spans="5:5">
      <c r="E13563" s="51"/>
    </row>
    <row r="13564" spans="5:5">
      <c r="E13564" s="51"/>
    </row>
    <row r="13565" spans="5:5">
      <c r="E13565" s="51"/>
    </row>
    <row r="13566" spans="5:5">
      <c r="E13566" s="51"/>
    </row>
    <row r="13567" spans="5:5">
      <c r="E13567" s="51"/>
    </row>
    <row r="13568" spans="5:5">
      <c r="E13568" s="51"/>
    </row>
    <row r="13569" spans="5:5">
      <c r="E13569" s="51"/>
    </row>
    <row r="13570" spans="5:5">
      <c r="E13570" s="51"/>
    </row>
    <row r="13571" spans="5:5">
      <c r="E13571" s="51"/>
    </row>
    <row r="13572" spans="5:5">
      <c r="E13572" s="51"/>
    </row>
    <row r="13573" spans="5:5">
      <c r="E13573" s="51"/>
    </row>
    <row r="13574" spans="5:5">
      <c r="E13574" s="51"/>
    </row>
    <row r="13575" spans="5:5">
      <c r="E13575" s="51"/>
    </row>
    <row r="13576" spans="5:5">
      <c r="E13576" s="51"/>
    </row>
    <row r="13577" spans="5:5">
      <c r="E13577" s="51"/>
    </row>
    <row r="13578" spans="5:5">
      <c r="E13578" s="51"/>
    </row>
    <row r="13579" spans="5:5">
      <c r="E13579" s="51"/>
    </row>
    <row r="13580" spans="5:5">
      <c r="E13580" s="51"/>
    </row>
    <row r="13581" spans="5:5">
      <c r="E13581" s="51"/>
    </row>
    <row r="13582" spans="5:5">
      <c r="E13582" s="51"/>
    </row>
    <row r="13583" spans="5:5">
      <c r="E13583" s="51"/>
    </row>
    <row r="13584" spans="5:5">
      <c r="E13584" s="51"/>
    </row>
    <row r="13585" spans="5:5">
      <c r="E13585" s="51"/>
    </row>
    <row r="13586" spans="5:5">
      <c r="E13586" s="51"/>
    </row>
    <row r="13587" spans="5:5">
      <c r="E13587" s="51"/>
    </row>
    <row r="13588" spans="5:5">
      <c r="E13588" s="51"/>
    </row>
    <row r="13589" spans="5:5">
      <c r="E13589" s="51"/>
    </row>
    <row r="13590" spans="5:5">
      <c r="E13590" s="51"/>
    </row>
    <row r="13591" spans="5:5">
      <c r="E13591" s="51"/>
    </row>
    <row r="13592" spans="5:5">
      <c r="E13592" s="51"/>
    </row>
    <row r="13593" spans="5:5">
      <c r="E13593" s="51"/>
    </row>
    <row r="13594" spans="5:5">
      <c r="E13594" s="51"/>
    </row>
    <row r="13595" spans="5:5">
      <c r="E13595" s="51"/>
    </row>
    <row r="13596" spans="5:5">
      <c r="E13596" s="51"/>
    </row>
    <row r="13597" spans="5:5">
      <c r="E13597" s="51"/>
    </row>
    <row r="13598" spans="5:5">
      <c r="E13598" s="51"/>
    </row>
    <row r="13599" spans="5:5">
      <c r="E13599" s="51"/>
    </row>
    <row r="13600" spans="5:5">
      <c r="E13600" s="51"/>
    </row>
    <row r="13601" spans="5:5">
      <c r="E13601" s="51"/>
    </row>
    <row r="13602" spans="5:5">
      <c r="E13602" s="51"/>
    </row>
    <row r="13603" spans="5:5">
      <c r="E13603" s="51"/>
    </row>
    <row r="13604" spans="5:5">
      <c r="E13604" s="51"/>
    </row>
    <row r="13605" spans="5:5">
      <c r="E13605" s="51"/>
    </row>
    <row r="13606" spans="5:5">
      <c r="E13606" s="51"/>
    </row>
    <row r="13607" spans="5:5">
      <c r="E13607" s="51"/>
    </row>
    <row r="13608" spans="5:5">
      <c r="E13608" s="51"/>
    </row>
    <row r="13609" spans="5:5">
      <c r="E13609" s="51"/>
    </row>
    <row r="13610" spans="5:5">
      <c r="E13610" s="51"/>
    </row>
    <row r="13611" spans="5:5">
      <c r="E13611" s="51"/>
    </row>
    <row r="13612" spans="5:5">
      <c r="E13612" s="51"/>
    </row>
    <row r="13613" spans="5:5">
      <c r="E13613" s="51"/>
    </row>
    <row r="13614" spans="5:5">
      <c r="E13614" s="51"/>
    </row>
    <row r="13615" spans="5:5">
      <c r="E13615" s="51"/>
    </row>
    <row r="13616" spans="5:5">
      <c r="E13616" s="51"/>
    </row>
    <row r="13617" spans="5:5">
      <c r="E13617" s="51"/>
    </row>
    <row r="13618" spans="5:5">
      <c r="E13618" s="51"/>
    </row>
    <row r="13619" spans="5:5">
      <c r="E13619" s="51"/>
    </row>
    <row r="13620" spans="5:5">
      <c r="E13620" s="51"/>
    </row>
    <row r="13621" spans="5:5">
      <c r="E13621" s="51"/>
    </row>
    <row r="13622" spans="5:5">
      <c r="E13622" s="51"/>
    </row>
    <row r="13623" spans="5:5">
      <c r="E13623" s="51"/>
    </row>
    <row r="13624" spans="5:5">
      <c r="E13624" s="51"/>
    </row>
    <row r="13625" spans="5:5">
      <c r="E13625" s="51"/>
    </row>
    <row r="13626" spans="5:5">
      <c r="E13626" s="51"/>
    </row>
    <row r="13627" spans="5:5">
      <c r="E13627" s="51"/>
    </row>
    <row r="13628" spans="5:5">
      <c r="E13628" s="51"/>
    </row>
    <row r="13629" spans="5:5">
      <c r="E13629" s="51"/>
    </row>
    <row r="13630" spans="5:5">
      <c r="E13630" s="51"/>
    </row>
    <row r="13631" spans="5:5">
      <c r="E13631" s="51"/>
    </row>
    <row r="13632" spans="5:5">
      <c r="E13632" s="51"/>
    </row>
    <row r="13633" spans="5:5">
      <c r="E13633" s="51"/>
    </row>
    <row r="13634" spans="5:5">
      <c r="E13634" s="51"/>
    </row>
    <row r="13635" spans="5:5">
      <c r="E13635" s="51"/>
    </row>
    <row r="13636" spans="5:5">
      <c r="E13636" s="51"/>
    </row>
    <row r="13637" spans="5:5">
      <c r="E13637" s="51"/>
    </row>
    <row r="13638" spans="5:5">
      <c r="E13638" s="51"/>
    </row>
    <row r="13639" spans="5:5">
      <c r="E13639" s="51"/>
    </row>
    <row r="13640" spans="5:5">
      <c r="E13640" s="51"/>
    </row>
    <row r="13641" spans="5:5">
      <c r="E13641" s="51"/>
    </row>
    <row r="13642" spans="5:5">
      <c r="E13642" s="51"/>
    </row>
    <row r="13643" spans="5:5">
      <c r="E13643" s="51"/>
    </row>
    <row r="13644" spans="5:5">
      <c r="E13644" s="51"/>
    </row>
    <row r="13645" spans="5:5">
      <c r="E13645" s="51"/>
    </row>
    <row r="13646" spans="5:5">
      <c r="E13646" s="51"/>
    </row>
    <row r="13647" spans="5:5">
      <c r="E13647" s="51"/>
    </row>
    <row r="13648" spans="5:5">
      <c r="E13648" s="51"/>
    </row>
    <row r="13649" spans="5:5">
      <c r="E13649" s="51"/>
    </row>
    <row r="13650" spans="5:5">
      <c r="E13650" s="51"/>
    </row>
    <row r="13651" spans="5:5">
      <c r="E13651" s="51"/>
    </row>
    <row r="13652" spans="5:5">
      <c r="E13652" s="51"/>
    </row>
    <row r="13653" spans="5:5">
      <c r="E13653" s="51"/>
    </row>
    <row r="13654" spans="5:5">
      <c r="E13654" s="51"/>
    </row>
    <row r="13655" spans="5:5">
      <c r="E13655" s="51"/>
    </row>
    <row r="13656" spans="5:5">
      <c r="E13656" s="51"/>
    </row>
    <row r="13657" spans="5:5">
      <c r="E13657" s="51"/>
    </row>
    <row r="13658" spans="5:5">
      <c r="E13658" s="51"/>
    </row>
    <row r="13659" spans="5:5">
      <c r="E13659" s="51"/>
    </row>
    <row r="13660" spans="5:5">
      <c r="E13660" s="51"/>
    </row>
    <row r="13661" spans="5:5">
      <c r="E13661" s="51"/>
    </row>
    <row r="13662" spans="5:5">
      <c r="E13662" s="51"/>
    </row>
    <row r="13663" spans="5:5">
      <c r="E13663" s="51"/>
    </row>
    <row r="13664" spans="5:5">
      <c r="E13664" s="51"/>
    </row>
    <row r="13665" spans="5:5">
      <c r="E13665" s="51"/>
    </row>
    <row r="13666" spans="5:5">
      <c r="E13666" s="51"/>
    </row>
    <row r="13667" spans="5:5">
      <c r="E13667" s="51"/>
    </row>
    <row r="13668" spans="5:5">
      <c r="E13668" s="51"/>
    </row>
    <row r="13669" spans="5:5">
      <c r="E13669" s="51"/>
    </row>
    <row r="13670" spans="5:5">
      <c r="E13670" s="51"/>
    </row>
    <row r="13671" spans="5:5">
      <c r="E13671" s="51"/>
    </row>
    <row r="13672" spans="5:5">
      <c r="E13672" s="51"/>
    </row>
    <row r="13673" spans="5:5">
      <c r="E13673" s="51"/>
    </row>
    <row r="13674" spans="5:5">
      <c r="E13674" s="51"/>
    </row>
    <row r="13675" spans="5:5">
      <c r="E13675" s="51"/>
    </row>
    <row r="13676" spans="5:5">
      <c r="E13676" s="51"/>
    </row>
    <row r="13677" spans="5:5">
      <c r="E13677" s="51"/>
    </row>
    <row r="13678" spans="5:5">
      <c r="E13678" s="51"/>
    </row>
    <row r="13679" spans="5:5">
      <c r="E13679" s="51"/>
    </row>
    <row r="13680" spans="5:5">
      <c r="E13680" s="51"/>
    </row>
    <row r="13681" spans="5:5">
      <c r="E13681" s="51"/>
    </row>
    <row r="13682" spans="5:5">
      <c r="E13682" s="51"/>
    </row>
    <row r="13683" spans="5:5">
      <c r="E13683" s="51"/>
    </row>
    <row r="13684" spans="5:5">
      <c r="E13684" s="51"/>
    </row>
    <row r="13685" spans="5:5">
      <c r="E13685" s="51"/>
    </row>
    <row r="13686" spans="5:5">
      <c r="E13686" s="51"/>
    </row>
    <row r="13687" spans="5:5">
      <c r="E13687" s="51"/>
    </row>
    <row r="13688" spans="5:5">
      <c r="E13688" s="51"/>
    </row>
    <row r="13689" spans="5:5">
      <c r="E13689" s="51"/>
    </row>
    <row r="13690" spans="5:5">
      <c r="E13690" s="51"/>
    </row>
    <row r="13691" spans="5:5">
      <c r="E13691" s="51"/>
    </row>
    <row r="13692" spans="5:5">
      <c r="E13692" s="51"/>
    </row>
    <row r="13693" spans="5:5">
      <c r="E13693" s="51"/>
    </row>
    <row r="13694" spans="5:5">
      <c r="E13694" s="51"/>
    </row>
    <row r="13695" spans="5:5">
      <c r="E13695" s="51"/>
    </row>
    <row r="13696" spans="5:5">
      <c r="E13696" s="51"/>
    </row>
    <row r="13697" spans="5:5">
      <c r="E13697" s="51"/>
    </row>
    <row r="13698" spans="5:5">
      <c r="E13698" s="51"/>
    </row>
    <row r="13699" spans="5:5">
      <c r="E13699" s="51"/>
    </row>
    <row r="13700" spans="5:5">
      <c r="E13700" s="51"/>
    </row>
    <row r="13701" spans="5:5">
      <c r="E13701" s="51"/>
    </row>
    <row r="13702" spans="5:5">
      <c r="E13702" s="51"/>
    </row>
    <row r="13703" spans="5:5">
      <c r="E13703" s="51"/>
    </row>
    <row r="13704" spans="5:5">
      <c r="E13704" s="51"/>
    </row>
    <row r="13705" spans="5:5">
      <c r="E13705" s="51"/>
    </row>
    <row r="13706" spans="5:5">
      <c r="E13706" s="51"/>
    </row>
    <row r="13707" spans="5:5">
      <c r="E13707" s="51"/>
    </row>
    <row r="13708" spans="5:5">
      <c r="E13708" s="51"/>
    </row>
    <row r="13709" spans="5:5">
      <c r="E13709" s="51"/>
    </row>
    <row r="13710" spans="5:5">
      <c r="E13710" s="51"/>
    </row>
    <row r="13711" spans="5:5">
      <c r="E13711" s="51"/>
    </row>
    <row r="13712" spans="5:5">
      <c r="E13712" s="51"/>
    </row>
    <row r="13713" spans="5:5">
      <c r="E13713" s="51"/>
    </row>
    <row r="13714" spans="5:5">
      <c r="E13714" s="51"/>
    </row>
    <row r="13715" spans="5:5">
      <c r="E13715" s="51"/>
    </row>
    <row r="13716" spans="5:5">
      <c r="E13716" s="51"/>
    </row>
    <row r="13717" spans="5:5">
      <c r="E13717" s="51"/>
    </row>
    <row r="13718" spans="5:5">
      <c r="E13718" s="51"/>
    </row>
    <row r="13719" spans="5:5">
      <c r="E13719" s="51"/>
    </row>
    <row r="13720" spans="5:5">
      <c r="E13720" s="51"/>
    </row>
    <row r="13721" spans="5:5">
      <c r="E13721" s="51"/>
    </row>
    <row r="13722" spans="5:5">
      <c r="E13722" s="51"/>
    </row>
    <row r="13723" spans="5:5">
      <c r="E13723" s="51"/>
    </row>
    <row r="13724" spans="5:5">
      <c r="E13724" s="51"/>
    </row>
    <row r="13725" spans="5:5">
      <c r="E13725" s="51"/>
    </row>
    <row r="13726" spans="5:5">
      <c r="E13726" s="51"/>
    </row>
    <row r="13727" spans="5:5">
      <c r="E13727" s="51"/>
    </row>
    <row r="13728" spans="5:5">
      <c r="E13728" s="51"/>
    </row>
    <row r="13729" spans="5:5">
      <c r="E13729" s="51"/>
    </row>
    <row r="13730" spans="5:5">
      <c r="E13730" s="51"/>
    </row>
    <row r="13731" spans="5:5">
      <c r="E13731" s="51"/>
    </row>
    <row r="13732" spans="5:5">
      <c r="E13732" s="51"/>
    </row>
    <row r="13733" spans="5:5">
      <c r="E13733" s="51"/>
    </row>
    <row r="13734" spans="5:5">
      <c r="E13734" s="51"/>
    </row>
    <row r="13735" spans="5:5">
      <c r="E13735" s="51"/>
    </row>
    <row r="13736" spans="5:5">
      <c r="E13736" s="51"/>
    </row>
    <row r="13737" spans="5:5">
      <c r="E13737" s="51"/>
    </row>
    <row r="13738" spans="5:5">
      <c r="E13738" s="51"/>
    </row>
    <row r="13739" spans="5:5">
      <c r="E13739" s="51"/>
    </row>
    <row r="13740" spans="5:5">
      <c r="E13740" s="51"/>
    </row>
    <row r="13741" spans="5:5">
      <c r="E13741" s="51"/>
    </row>
    <row r="13742" spans="5:5">
      <c r="E13742" s="51"/>
    </row>
    <row r="13743" spans="5:5">
      <c r="E13743" s="51"/>
    </row>
    <row r="13744" spans="5:5">
      <c r="E13744" s="51"/>
    </row>
    <row r="13745" spans="5:5">
      <c r="E13745" s="51"/>
    </row>
    <row r="13746" spans="5:5">
      <c r="E13746" s="51"/>
    </row>
    <row r="13747" spans="5:5">
      <c r="E13747" s="51"/>
    </row>
    <row r="13748" spans="5:5">
      <c r="E13748" s="51"/>
    </row>
    <row r="13749" spans="5:5">
      <c r="E13749" s="51"/>
    </row>
    <row r="13750" spans="5:5">
      <c r="E13750" s="51"/>
    </row>
    <row r="13751" spans="5:5">
      <c r="E13751" s="51"/>
    </row>
    <row r="13752" spans="5:5">
      <c r="E13752" s="51"/>
    </row>
    <row r="13753" spans="5:5">
      <c r="E13753" s="51"/>
    </row>
    <row r="13754" spans="5:5">
      <c r="E13754" s="51"/>
    </row>
    <row r="13755" spans="5:5">
      <c r="E13755" s="51"/>
    </row>
    <row r="13756" spans="5:5">
      <c r="E13756" s="51"/>
    </row>
    <row r="13757" spans="5:5">
      <c r="E13757" s="51"/>
    </row>
    <row r="13758" spans="5:5">
      <c r="E13758" s="51"/>
    </row>
    <row r="13759" spans="5:5">
      <c r="E13759" s="51"/>
    </row>
    <row r="13760" spans="5:5">
      <c r="E13760" s="51"/>
    </row>
    <row r="13761" spans="5:5">
      <c r="E13761" s="51"/>
    </row>
    <row r="13762" spans="5:5">
      <c r="E13762" s="51"/>
    </row>
    <row r="13763" spans="5:5">
      <c r="E13763" s="51"/>
    </row>
    <row r="13764" spans="5:5">
      <c r="E13764" s="51"/>
    </row>
    <row r="13765" spans="5:5">
      <c r="E13765" s="51"/>
    </row>
    <row r="13766" spans="5:5">
      <c r="E13766" s="51"/>
    </row>
    <row r="13767" spans="5:5">
      <c r="E13767" s="51"/>
    </row>
    <row r="13768" spans="5:5">
      <c r="E13768" s="51"/>
    </row>
    <row r="13769" spans="5:5">
      <c r="E13769" s="51"/>
    </row>
    <row r="13770" spans="5:5">
      <c r="E13770" s="51"/>
    </row>
    <row r="13771" spans="5:5">
      <c r="E13771" s="51"/>
    </row>
    <row r="13772" spans="5:5">
      <c r="E13772" s="51"/>
    </row>
    <row r="13773" spans="5:5">
      <c r="E13773" s="51"/>
    </row>
    <row r="13774" spans="5:5">
      <c r="E13774" s="51"/>
    </row>
    <row r="13775" spans="5:5">
      <c r="E13775" s="51"/>
    </row>
    <row r="13776" spans="5:5">
      <c r="E13776" s="51"/>
    </row>
    <row r="13777" spans="5:5">
      <c r="E13777" s="51"/>
    </row>
    <row r="13778" spans="5:5">
      <c r="E13778" s="51"/>
    </row>
    <row r="13779" spans="5:5">
      <c r="E13779" s="51"/>
    </row>
    <row r="13780" spans="5:5">
      <c r="E13780" s="51"/>
    </row>
    <row r="13781" spans="5:5">
      <c r="E13781" s="51"/>
    </row>
    <row r="13782" spans="5:5">
      <c r="E13782" s="51"/>
    </row>
    <row r="13783" spans="5:5">
      <c r="E13783" s="51"/>
    </row>
    <row r="13784" spans="5:5">
      <c r="E13784" s="51"/>
    </row>
    <row r="13785" spans="5:5">
      <c r="E13785" s="51"/>
    </row>
    <row r="13786" spans="5:5">
      <c r="E13786" s="51"/>
    </row>
    <row r="13787" spans="5:5">
      <c r="E13787" s="51"/>
    </row>
    <row r="13788" spans="5:5">
      <c r="E13788" s="51"/>
    </row>
    <row r="13789" spans="5:5">
      <c r="E13789" s="51"/>
    </row>
    <row r="13790" spans="5:5">
      <c r="E13790" s="51"/>
    </row>
    <row r="13791" spans="5:5">
      <c r="E13791" s="51"/>
    </row>
    <row r="13792" spans="5:5">
      <c r="E13792" s="51"/>
    </row>
    <row r="13793" spans="5:5">
      <c r="E13793" s="51"/>
    </row>
    <row r="13794" spans="5:5">
      <c r="E13794" s="51"/>
    </row>
    <row r="13795" spans="5:5">
      <c r="E13795" s="51"/>
    </row>
    <row r="13796" spans="5:5">
      <c r="E13796" s="51"/>
    </row>
    <row r="13797" spans="5:5">
      <c r="E13797" s="51"/>
    </row>
    <row r="13798" spans="5:5">
      <c r="E13798" s="51"/>
    </row>
    <row r="13799" spans="5:5">
      <c r="E13799" s="51"/>
    </row>
    <row r="13800" spans="5:5">
      <c r="E13800" s="51"/>
    </row>
    <row r="13801" spans="5:5">
      <c r="E13801" s="51"/>
    </row>
    <row r="13802" spans="5:5">
      <c r="E13802" s="51"/>
    </row>
    <row r="13803" spans="5:5">
      <c r="E13803" s="51"/>
    </row>
    <row r="13804" spans="5:5">
      <c r="E13804" s="51"/>
    </row>
    <row r="13805" spans="5:5">
      <c r="E13805" s="51"/>
    </row>
    <row r="13806" spans="5:5">
      <c r="E13806" s="51"/>
    </row>
    <row r="13807" spans="5:5">
      <c r="E13807" s="51"/>
    </row>
    <row r="13808" spans="5:5">
      <c r="E13808" s="51"/>
    </row>
    <row r="13809" spans="5:5">
      <c r="E13809" s="51"/>
    </row>
    <row r="13810" spans="5:5">
      <c r="E13810" s="51"/>
    </row>
    <row r="13811" spans="5:5">
      <c r="E13811" s="51"/>
    </row>
    <row r="13812" spans="5:5">
      <c r="E13812" s="51"/>
    </row>
    <row r="13813" spans="5:5">
      <c r="E13813" s="51"/>
    </row>
    <row r="13814" spans="5:5">
      <c r="E13814" s="51"/>
    </row>
    <row r="13815" spans="5:5">
      <c r="E13815" s="51"/>
    </row>
    <row r="13816" spans="5:5">
      <c r="E13816" s="51"/>
    </row>
    <row r="13817" spans="5:5">
      <c r="E13817" s="51"/>
    </row>
    <row r="13818" spans="5:5">
      <c r="E13818" s="51"/>
    </row>
    <row r="13819" spans="5:5">
      <c r="E13819" s="51"/>
    </row>
    <row r="13820" spans="5:5">
      <c r="E13820" s="51"/>
    </row>
    <row r="13821" spans="5:5">
      <c r="E13821" s="51"/>
    </row>
    <row r="13822" spans="5:5">
      <c r="E13822" s="51"/>
    </row>
    <row r="13823" spans="5:5">
      <c r="E13823" s="51"/>
    </row>
    <row r="13824" spans="5:5">
      <c r="E13824" s="51"/>
    </row>
    <row r="13825" spans="5:5">
      <c r="E13825" s="51"/>
    </row>
    <row r="13826" spans="5:5">
      <c r="E13826" s="51"/>
    </row>
    <row r="13827" spans="5:5">
      <c r="E13827" s="51"/>
    </row>
    <row r="13828" spans="5:5">
      <c r="E13828" s="51"/>
    </row>
    <row r="13829" spans="5:5">
      <c r="E13829" s="51"/>
    </row>
    <row r="13830" spans="5:5">
      <c r="E13830" s="51"/>
    </row>
    <row r="13831" spans="5:5">
      <c r="E13831" s="51"/>
    </row>
    <row r="13832" spans="5:5">
      <c r="E13832" s="51"/>
    </row>
    <row r="13833" spans="5:5">
      <c r="E13833" s="51"/>
    </row>
    <row r="13834" spans="5:5">
      <c r="E13834" s="51"/>
    </row>
    <row r="13835" spans="5:5">
      <c r="E13835" s="51"/>
    </row>
    <row r="13836" spans="5:5">
      <c r="E13836" s="51"/>
    </row>
    <row r="13837" spans="5:5">
      <c r="E13837" s="51"/>
    </row>
    <row r="13838" spans="5:5">
      <c r="E13838" s="51"/>
    </row>
    <row r="13839" spans="5:5">
      <c r="E13839" s="51"/>
    </row>
    <row r="13840" spans="5:5">
      <c r="E13840" s="51"/>
    </row>
    <row r="13841" spans="5:5">
      <c r="E13841" s="51"/>
    </row>
    <row r="13842" spans="5:5">
      <c r="E13842" s="51"/>
    </row>
    <row r="13843" spans="5:5">
      <c r="E13843" s="51"/>
    </row>
    <row r="13844" spans="5:5">
      <c r="E13844" s="51"/>
    </row>
    <row r="13845" spans="5:5">
      <c r="E13845" s="51"/>
    </row>
    <row r="13846" spans="5:5">
      <c r="E13846" s="51"/>
    </row>
    <row r="13847" spans="5:5">
      <c r="E13847" s="51"/>
    </row>
    <row r="13848" spans="5:5">
      <c r="E13848" s="51"/>
    </row>
    <row r="13849" spans="5:5">
      <c r="E13849" s="51"/>
    </row>
    <row r="13850" spans="5:5">
      <c r="E13850" s="51"/>
    </row>
    <row r="13851" spans="5:5">
      <c r="E13851" s="51"/>
    </row>
    <row r="13852" spans="5:5">
      <c r="E13852" s="51"/>
    </row>
    <row r="13853" spans="5:5">
      <c r="E13853" s="51"/>
    </row>
    <row r="13854" spans="5:5">
      <c r="E13854" s="51"/>
    </row>
    <row r="13855" spans="5:5">
      <c r="E13855" s="51"/>
    </row>
    <row r="13856" spans="5:5">
      <c r="E13856" s="51"/>
    </row>
    <row r="13857" spans="5:5">
      <c r="E13857" s="51"/>
    </row>
    <row r="13858" spans="5:5">
      <c r="E13858" s="51"/>
    </row>
    <row r="13859" spans="5:5">
      <c r="E13859" s="51"/>
    </row>
    <row r="13860" spans="5:5">
      <c r="E13860" s="51"/>
    </row>
    <row r="13861" spans="5:5">
      <c r="E13861" s="51"/>
    </row>
    <row r="13862" spans="5:5">
      <c r="E13862" s="51"/>
    </row>
    <row r="13863" spans="5:5">
      <c r="E13863" s="51"/>
    </row>
    <row r="13864" spans="5:5">
      <c r="E13864" s="51"/>
    </row>
    <row r="13865" spans="5:5">
      <c r="E13865" s="51"/>
    </row>
    <row r="13866" spans="5:5">
      <c r="E13866" s="51"/>
    </row>
    <row r="13867" spans="5:5">
      <c r="E13867" s="51"/>
    </row>
    <row r="13868" spans="5:5">
      <c r="E13868" s="51"/>
    </row>
    <row r="13869" spans="5:5">
      <c r="E13869" s="51"/>
    </row>
    <row r="13870" spans="5:5">
      <c r="E13870" s="51"/>
    </row>
    <row r="13871" spans="5:5">
      <c r="E13871" s="51"/>
    </row>
    <row r="13872" spans="5:5">
      <c r="E13872" s="51"/>
    </row>
    <row r="13873" spans="5:5">
      <c r="E13873" s="51"/>
    </row>
    <row r="13874" spans="5:5">
      <c r="E13874" s="51"/>
    </row>
    <row r="13875" spans="5:5">
      <c r="E13875" s="51"/>
    </row>
    <row r="13876" spans="5:5">
      <c r="E13876" s="51"/>
    </row>
    <row r="13877" spans="5:5">
      <c r="E13877" s="51"/>
    </row>
    <row r="13878" spans="5:5">
      <c r="E13878" s="51"/>
    </row>
    <row r="13879" spans="5:5">
      <c r="E13879" s="51"/>
    </row>
    <row r="13880" spans="5:5">
      <c r="E13880" s="51"/>
    </row>
    <row r="13881" spans="5:5">
      <c r="E13881" s="51"/>
    </row>
    <row r="13882" spans="5:5">
      <c r="E13882" s="51"/>
    </row>
    <row r="13883" spans="5:5">
      <c r="E13883" s="51"/>
    </row>
    <row r="13884" spans="5:5">
      <c r="E13884" s="51"/>
    </row>
    <row r="13885" spans="5:5">
      <c r="E13885" s="51"/>
    </row>
    <row r="13886" spans="5:5">
      <c r="E13886" s="51"/>
    </row>
    <row r="13887" spans="5:5">
      <c r="E13887" s="51"/>
    </row>
    <row r="13888" spans="5:5">
      <c r="E13888" s="51"/>
    </row>
    <row r="13889" spans="5:5">
      <c r="E13889" s="51"/>
    </row>
    <row r="13890" spans="5:5">
      <c r="E13890" s="51"/>
    </row>
    <row r="13891" spans="5:5">
      <c r="E13891" s="51"/>
    </row>
    <row r="13892" spans="5:5">
      <c r="E13892" s="51"/>
    </row>
    <row r="13893" spans="5:5">
      <c r="E13893" s="51"/>
    </row>
    <row r="13894" spans="5:5">
      <c r="E13894" s="51"/>
    </row>
    <row r="13895" spans="5:5">
      <c r="E13895" s="51"/>
    </row>
    <row r="13896" spans="5:5">
      <c r="E13896" s="51"/>
    </row>
    <row r="13897" spans="5:5">
      <c r="E13897" s="51"/>
    </row>
    <row r="13898" spans="5:5">
      <c r="E13898" s="51"/>
    </row>
    <row r="13899" spans="5:5">
      <c r="E13899" s="51"/>
    </row>
    <row r="13900" spans="5:5">
      <c r="E13900" s="51"/>
    </row>
    <row r="13901" spans="5:5">
      <c r="E13901" s="51"/>
    </row>
    <row r="13902" spans="5:5">
      <c r="E13902" s="51"/>
    </row>
    <row r="13903" spans="5:5">
      <c r="E13903" s="51"/>
    </row>
    <row r="13904" spans="5:5">
      <c r="E13904" s="51"/>
    </row>
    <row r="13905" spans="5:5">
      <c r="E13905" s="51"/>
    </row>
    <row r="13906" spans="5:5">
      <c r="E13906" s="51"/>
    </row>
    <row r="13907" spans="5:5">
      <c r="E13907" s="51"/>
    </row>
    <row r="13908" spans="5:5">
      <c r="E13908" s="51"/>
    </row>
    <row r="13909" spans="5:5">
      <c r="E13909" s="51"/>
    </row>
    <row r="13910" spans="5:5">
      <c r="E13910" s="51"/>
    </row>
    <row r="13911" spans="5:5">
      <c r="E13911" s="51"/>
    </row>
    <row r="13912" spans="5:5">
      <c r="E13912" s="51"/>
    </row>
    <row r="13913" spans="5:5">
      <c r="E13913" s="51"/>
    </row>
    <row r="13914" spans="5:5">
      <c r="E13914" s="51"/>
    </row>
    <row r="13915" spans="5:5">
      <c r="E13915" s="51"/>
    </row>
    <row r="13916" spans="5:5">
      <c r="E13916" s="51"/>
    </row>
    <row r="13917" spans="5:5">
      <c r="E13917" s="51"/>
    </row>
    <row r="13918" spans="5:5">
      <c r="E13918" s="51"/>
    </row>
    <row r="13919" spans="5:5">
      <c r="E13919" s="51"/>
    </row>
    <row r="13920" spans="5:5">
      <c r="E13920" s="51"/>
    </row>
    <row r="13921" spans="5:5">
      <c r="E13921" s="51"/>
    </row>
    <row r="13922" spans="5:5">
      <c r="E13922" s="51"/>
    </row>
    <row r="13923" spans="5:5">
      <c r="E13923" s="51"/>
    </row>
    <row r="13924" spans="5:5">
      <c r="E13924" s="51"/>
    </row>
    <row r="13925" spans="5:5">
      <c r="E13925" s="51"/>
    </row>
    <row r="13926" spans="5:5">
      <c r="E13926" s="51"/>
    </row>
    <row r="13927" spans="5:5">
      <c r="E13927" s="51"/>
    </row>
    <row r="13928" spans="5:5">
      <c r="E13928" s="51"/>
    </row>
    <row r="13929" spans="5:5">
      <c r="E13929" s="51"/>
    </row>
    <row r="13930" spans="5:5">
      <c r="E13930" s="51"/>
    </row>
    <row r="13931" spans="5:5">
      <c r="E13931" s="51"/>
    </row>
    <row r="13932" spans="5:5">
      <c r="E13932" s="51"/>
    </row>
    <row r="13933" spans="5:5">
      <c r="E13933" s="51"/>
    </row>
    <row r="13934" spans="5:5">
      <c r="E13934" s="51"/>
    </row>
    <row r="13935" spans="5:5">
      <c r="E13935" s="51"/>
    </row>
    <row r="13936" spans="5:5">
      <c r="E13936" s="51"/>
    </row>
    <row r="13937" spans="5:5">
      <c r="E13937" s="51"/>
    </row>
    <row r="13938" spans="5:5">
      <c r="E13938" s="51"/>
    </row>
    <row r="13939" spans="5:5">
      <c r="E13939" s="51"/>
    </row>
    <row r="13940" spans="5:5">
      <c r="E13940" s="51"/>
    </row>
    <row r="13941" spans="5:5">
      <c r="E13941" s="51"/>
    </row>
    <row r="13942" spans="5:5">
      <c r="E13942" s="51"/>
    </row>
    <row r="13943" spans="5:5">
      <c r="E13943" s="51"/>
    </row>
    <row r="13944" spans="5:5">
      <c r="E13944" s="51"/>
    </row>
    <row r="13945" spans="5:5">
      <c r="E13945" s="51"/>
    </row>
    <row r="13946" spans="5:5">
      <c r="E13946" s="51"/>
    </row>
    <row r="13947" spans="5:5">
      <c r="E13947" s="51"/>
    </row>
    <row r="13948" spans="5:5">
      <c r="E13948" s="51"/>
    </row>
    <row r="13949" spans="5:5">
      <c r="E13949" s="51"/>
    </row>
    <row r="13950" spans="5:5">
      <c r="E13950" s="51"/>
    </row>
    <row r="13951" spans="5:5">
      <c r="E13951" s="51"/>
    </row>
    <row r="13952" spans="5:5">
      <c r="E13952" s="51"/>
    </row>
    <row r="13953" spans="5:5">
      <c r="E13953" s="51"/>
    </row>
    <row r="13954" spans="5:5">
      <c r="E13954" s="51"/>
    </row>
    <row r="13955" spans="5:5">
      <c r="E13955" s="51"/>
    </row>
    <row r="13956" spans="5:5">
      <c r="E13956" s="51"/>
    </row>
    <row r="13957" spans="5:5">
      <c r="E13957" s="51"/>
    </row>
    <row r="13958" spans="5:5">
      <c r="E13958" s="51"/>
    </row>
    <row r="13959" spans="5:5">
      <c r="E13959" s="51"/>
    </row>
    <row r="13960" spans="5:5">
      <c r="E13960" s="51"/>
    </row>
    <row r="13961" spans="5:5">
      <c r="E13961" s="51"/>
    </row>
    <row r="13962" spans="5:5">
      <c r="E13962" s="51"/>
    </row>
    <row r="13963" spans="5:5">
      <c r="E13963" s="51"/>
    </row>
    <row r="13964" spans="5:5">
      <c r="E13964" s="51"/>
    </row>
    <row r="13965" spans="5:5">
      <c r="E13965" s="51"/>
    </row>
    <row r="13966" spans="5:5">
      <c r="E13966" s="51"/>
    </row>
    <row r="13967" spans="5:5">
      <c r="E13967" s="51"/>
    </row>
    <row r="13968" spans="5:5">
      <c r="E13968" s="51"/>
    </row>
    <row r="13969" spans="5:5">
      <c r="E13969" s="51"/>
    </row>
    <row r="13970" spans="5:5">
      <c r="E13970" s="51"/>
    </row>
    <row r="13971" spans="5:5">
      <c r="E13971" s="51"/>
    </row>
    <row r="13972" spans="5:5">
      <c r="E13972" s="51"/>
    </row>
    <row r="13973" spans="5:5">
      <c r="E13973" s="51"/>
    </row>
    <row r="13974" spans="5:5">
      <c r="E13974" s="51"/>
    </row>
    <row r="13975" spans="5:5">
      <c r="E13975" s="51"/>
    </row>
    <row r="13976" spans="5:5">
      <c r="E13976" s="51"/>
    </row>
    <row r="13977" spans="5:5">
      <c r="E13977" s="51"/>
    </row>
    <row r="13978" spans="5:5">
      <c r="E13978" s="51"/>
    </row>
    <row r="13979" spans="5:5">
      <c r="E13979" s="51"/>
    </row>
    <row r="13980" spans="5:5">
      <c r="E13980" s="51"/>
    </row>
    <row r="13981" spans="5:5">
      <c r="E13981" s="51"/>
    </row>
    <row r="13982" spans="5:5">
      <c r="E13982" s="51"/>
    </row>
    <row r="13983" spans="5:5">
      <c r="E13983" s="51"/>
    </row>
    <row r="13984" spans="5:5">
      <c r="E13984" s="51"/>
    </row>
    <row r="13985" spans="5:5">
      <c r="E13985" s="51"/>
    </row>
    <row r="13986" spans="5:5">
      <c r="E13986" s="51"/>
    </row>
    <row r="13987" spans="5:5">
      <c r="E13987" s="51"/>
    </row>
    <row r="13988" spans="5:5">
      <c r="E13988" s="51"/>
    </row>
    <row r="13989" spans="5:5">
      <c r="E13989" s="51"/>
    </row>
    <row r="13990" spans="5:5">
      <c r="E13990" s="51"/>
    </row>
    <row r="13991" spans="5:5">
      <c r="E13991" s="51"/>
    </row>
    <row r="13992" spans="5:5">
      <c r="E13992" s="51"/>
    </row>
    <row r="13993" spans="5:5">
      <c r="E13993" s="51"/>
    </row>
    <row r="13994" spans="5:5">
      <c r="E13994" s="51"/>
    </row>
    <row r="13995" spans="5:5">
      <c r="E13995" s="51"/>
    </row>
    <row r="13996" spans="5:5">
      <c r="E13996" s="51"/>
    </row>
    <row r="13997" spans="5:5">
      <c r="E13997" s="51"/>
    </row>
    <row r="13998" spans="5:5">
      <c r="E13998" s="51"/>
    </row>
    <row r="13999" spans="5:5">
      <c r="E13999" s="51"/>
    </row>
    <row r="14000" spans="5:5">
      <c r="E14000" s="51"/>
    </row>
    <row r="14001" spans="5:5">
      <c r="E14001" s="51"/>
    </row>
    <row r="14002" spans="5:5">
      <c r="E14002" s="51"/>
    </row>
    <row r="14003" spans="5:5">
      <c r="E14003" s="51"/>
    </row>
    <row r="14004" spans="5:5">
      <c r="E14004" s="51"/>
    </row>
    <row r="14005" spans="5:5">
      <c r="E14005" s="51"/>
    </row>
    <row r="14006" spans="5:5">
      <c r="E14006" s="51"/>
    </row>
    <row r="14007" spans="5:5">
      <c r="E14007" s="51"/>
    </row>
    <row r="14008" spans="5:5">
      <c r="E14008" s="51"/>
    </row>
    <row r="14009" spans="5:5">
      <c r="E14009" s="51"/>
    </row>
    <row r="14010" spans="5:5">
      <c r="E14010" s="51"/>
    </row>
    <row r="14011" spans="5:5">
      <c r="E14011" s="51"/>
    </row>
    <row r="14012" spans="5:5">
      <c r="E14012" s="51"/>
    </row>
    <row r="14013" spans="5:5">
      <c r="E14013" s="51"/>
    </row>
    <row r="14014" spans="5:5">
      <c r="E14014" s="51"/>
    </row>
    <row r="14015" spans="5:5">
      <c r="E14015" s="51"/>
    </row>
    <row r="14016" spans="5:5">
      <c r="E14016" s="51"/>
    </row>
    <row r="14017" spans="5:5">
      <c r="E14017" s="51"/>
    </row>
    <row r="14018" spans="5:5">
      <c r="E14018" s="51"/>
    </row>
    <row r="14019" spans="5:5">
      <c r="E14019" s="51"/>
    </row>
    <row r="14020" spans="5:5">
      <c r="E14020" s="51"/>
    </row>
    <row r="14021" spans="5:5">
      <c r="E14021" s="51"/>
    </row>
    <row r="14022" spans="5:5">
      <c r="E14022" s="51"/>
    </row>
    <row r="14023" spans="5:5">
      <c r="E14023" s="51"/>
    </row>
    <row r="14024" spans="5:5">
      <c r="E14024" s="51"/>
    </row>
    <row r="14025" spans="5:5">
      <c r="E14025" s="51"/>
    </row>
    <row r="14026" spans="5:5">
      <c r="E14026" s="51"/>
    </row>
    <row r="14027" spans="5:5">
      <c r="E14027" s="51"/>
    </row>
    <row r="14028" spans="5:5">
      <c r="E14028" s="51"/>
    </row>
    <row r="14029" spans="5:5">
      <c r="E14029" s="51"/>
    </row>
    <row r="14030" spans="5:5">
      <c r="E14030" s="51"/>
    </row>
    <row r="14031" spans="5:5">
      <c r="E14031" s="51"/>
    </row>
    <row r="14032" spans="5:5">
      <c r="E14032" s="51"/>
    </row>
    <row r="14033" spans="5:5">
      <c r="E14033" s="51"/>
    </row>
    <row r="14034" spans="5:5">
      <c r="E14034" s="51"/>
    </row>
    <row r="14035" spans="5:5">
      <c r="E14035" s="51"/>
    </row>
    <row r="14036" spans="5:5">
      <c r="E14036" s="51"/>
    </row>
    <row r="14037" spans="5:5">
      <c r="E14037" s="51"/>
    </row>
    <row r="14038" spans="5:5">
      <c r="E14038" s="51"/>
    </row>
    <row r="14039" spans="5:5">
      <c r="E14039" s="51"/>
    </row>
    <row r="14040" spans="5:5">
      <c r="E14040" s="51"/>
    </row>
    <row r="14041" spans="5:5">
      <c r="E14041" s="51"/>
    </row>
    <row r="14042" spans="5:5">
      <c r="E14042" s="51"/>
    </row>
    <row r="14043" spans="5:5">
      <c r="E14043" s="51"/>
    </row>
    <row r="14044" spans="5:5">
      <c r="E14044" s="51"/>
    </row>
    <row r="14045" spans="5:5">
      <c r="E14045" s="51"/>
    </row>
    <row r="14046" spans="5:5">
      <c r="E14046" s="51"/>
    </row>
    <row r="14047" spans="5:5">
      <c r="E14047" s="51"/>
    </row>
    <row r="14048" spans="5:5">
      <c r="E14048" s="51"/>
    </row>
    <row r="14049" spans="5:5">
      <c r="E14049" s="51"/>
    </row>
    <row r="14050" spans="5:5">
      <c r="E14050" s="51"/>
    </row>
    <row r="14051" spans="5:5">
      <c r="E14051" s="51"/>
    </row>
    <row r="14052" spans="5:5">
      <c r="E14052" s="51"/>
    </row>
    <row r="14053" spans="5:5">
      <c r="E14053" s="51"/>
    </row>
    <row r="14054" spans="5:5">
      <c r="E14054" s="51"/>
    </row>
    <row r="14055" spans="5:5">
      <c r="E14055" s="51"/>
    </row>
    <row r="14056" spans="5:5">
      <c r="E14056" s="51"/>
    </row>
    <row r="14057" spans="5:5">
      <c r="E14057" s="51"/>
    </row>
    <row r="14058" spans="5:5">
      <c r="E14058" s="51"/>
    </row>
    <row r="14059" spans="5:5">
      <c r="E14059" s="51"/>
    </row>
    <row r="14060" spans="5:5">
      <c r="E14060" s="51"/>
    </row>
    <row r="14061" spans="5:5">
      <c r="E14061" s="51"/>
    </row>
    <row r="14062" spans="5:5">
      <c r="E14062" s="51"/>
    </row>
    <row r="14063" spans="5:5">
      <c r="E14063" s="51"/>
    </row>
    <row r="14064" spans="5:5">
      <c r="E14064" s="51"/>
    </row>
    <row r="14065" spans="5:5">
      <c r="E14065" s="51"/>
    </row>
    <row r="14066" spans="5:5">
      <c r="E14066" s="51"/>
    </row>
    <row r="14067" spans="5:5">
      <c r="E14067" s="51"/>
    </row>
    <row r="14068" spans="5:5">
      <c r="E14068" s="51"/>
    </row>
    <row r="14069" spans="5:5">
      <c r="E14069" s="51"/>
    </row>
    <row r="14070" spans="5:5">
      <c r="E14070" s="51"/>
    </row>
    <row r="14071" spans="5:5">
      <c r="E14071" s="51"/>
    </row>
    <row r="14072" spans="5:5">
      <c r="E14072" s="51"/>
    </row>
    <row r="14073" spans="5:5">
      <c r="E14073" s="51"/>
    </row>
    <row r="14074" spans="5:5">
      <c r="E14074" s="51"/>
    </row>
    <row r="14075" spans="5:5">
      <c r="E14075" s="51"/>
    </row>
    <row r="14076" spans="5:5">
      <c r="E14076" s="51"/>
    </row>
    <row r="14077" spans="5:5">
      <c r="E14077" s="51"/>
    </row>
    <row r="14078" spans="5:5">
      <c r="E14078" s="51"/>
    </row>
    <row r="14079" spans="5:5">
      <c r="E14079" s="51"/>
    </row>
    <row r="14080" spans="5:5">
      <c r="E14080" s="51"/>
    </row>
    <row r="14081" spans="5:5">
      <c r="E14081" s="51"/>
    </row>
    <row r="14082" spans="5:5">
      <c r="E14082" s="51"/>
    </row>
    <row r="14083" spans="5:5">
      <c r="E14083" s="51"/>
    </row>
    <row r="14084" spans="5:5">
      <c r="E14084" s="51"/>
    </row>
    <row r="14085" spans="5:5">
      <c r="E14085" s="51"/>
    </row>
    <row r="14086" spans="5:5">
      <c r="E14086" s="51"/>
    </row>
    <row r="14087" spans="5:5">
      <c r="E14087" s="51"/>
    </row>
    <row r="14088" spans="5:5">
      <c r="E14088" s="51"/>
    </row>
    <row r="14089" spans="5:5">
      <c r="E14089" s="51"/>
    </row>
    <row r="14090" spans="5:5">
      <c r="E14090" s="51"/>
    </row>
    <row r="14091" spans="5:5">
      <c r="E14091" s="51"/>
    </row>
    <row r="14092" spans="5:5">
      <c r="E14092" s="51"/>
    </row>
    <row r="14093" spans="5:5">
      <c r="E14093" s="51"/>
    </row>
    <row r="14094" spans="5:5">
      <c r="E14094" s="51"/>
    </row>
    <row r="14095" spans="5:5">
      <c r="E14095" s="51"/>
    </row>
    <row r="14096" spans="5:5">
      <c r="E14096" s="51"/>
    </row>
    <row r="14097" spans="5:5">
      <c r="E14097" s="51"/>
    </row>
    <row r="14098" spans="5:5">
      <c r="E14098" s="51"/>
    </row>
    <row r="14099" spans="5:5">
      <c r="E14099" s="51"/>
    </row>
    <row r="14100" spans="5:5">
      <c r="E14100" s="51"/>
    </row>
    <row r="14101" spans="5:5">
      <c r="E14101" s="51"/>
    </row>
    <row r="14102" spans="5:5">
      <c r="E14102" s="51"/>
    </row>
    <row r="14103" spans="5:5">
      <c r="E14103" s="51"/>
    </row>
    <row r="14104" spans="5:5">
      <c r="E14104" s="51"/>
    </row>
    <row r="14105" spans="5:5">
      <c r="E14105" s="51"/>
    </row>
    <row r="14106" spans="5:5">
      <c r="E14106" s="51"/>
    </row>
    <row r="14107" spans="5:5">
      <c r="E14107" s="51"/>
    </row>
    <row r="14108" spans="5:5">
      <c r="E14108" s="51"/>
    </row>
    <row r="14109" spans="5:5">
      <c r="E14109" s="51"/>
    </row>
    <row r="14110" spans="5:5">
      <c r="E14110" s="51"/>
    </row>
    <row r="14111" spans="5:5">
      <c r="E14111" s="51"/>
    </row>
    <row r="14112" spans="5:5">
      <c r="E14112" s="51"/>
    </row>
    <row r="14113" spans="5:5">
      <c r="E14113" s="51"/>
    </row>
    <row r="14114" spans="5:5">
      <c r="E14114" s="51"/>
    </row>
    <row r="14115" spans="5:5">
      <c r="E14115" s="51"/>
    </row>
    <row r="14116" spans="5:5">
      <c r="E14116" s="51"/>
    </row>
    <row r="14117" spans="5:5">
      <c r="E14117" s="51"/>
    </row>
    <row r="14118" spans="5:5">
      <c r="E14118" s="51"/>
    </row>
    <row r="14119" spans="5:5">
      <c r="E14119" s="51"/>
    </row>
    <row r="14120" spans="5:5">
      <c r="E14120" s="51"/>
    </row>
    <row r="14121" spans="5:5">
      <c r="E14121" s="51"/>
    </row>
    <row r="14122" spans="5:5">
      <c r="E14122" s="51"/>
    </row>
    <row r="14123" spans="5:5">
      <c r="E14123" s="51"/>
    </row>
    <row r="14124" spans="5:5">
      <c r="E14124" s="51"/>
    </row>
    <row r="14125" spans="5:5">
      <c r="E14125" s="51"/>
    </row>
    <row r="14126" spans="5:5">
      <c r="E14126" s="51"/>
    </row>
    <row r="14127" spans="5:5">
      <c r="E14127" s="51"/>
    </row>
    <row r="14128" spans="5:5">
      <c r="E14128" s="51"/>
    </row>
    <row r="14129" spans="5:5">
      <c r="E14129" s="51"/>
    </row>
    <row r="14130" spans="5:5">
      <c r="E14130" s="51"/>
    </row>
    <row r="14131" spans="5:5">
      <c r="E14131" s="51"/>
    </row>
    <row r="14132" spans="5:5">
      <c r="E14132" s="51"/>
    </row>
    <row r="14133" spans="5:5">
      <c r="E14133" s="51"/>
    </row>
    <row r="14134" spans="5:5">
      <c r="E14134" s="51"/>
    </row>
    <row r="14135" spans="5:5">
      <c r="E14135" s="51"/>
    </row>
    <row r="14136" spans="5:5">
      <c r="E14136" s="51"/>
    </row>
    <row r="14137" spans="5:5">
      <c r="E14137" s="51"/>
    </row>
    <row r="14138" spans="5:5">
      <c r="E14138" s="51"/>
    </row>
    <row r="14139" spans="5:5">
      <c r="E14139" s="51"/>
    </row>
    <row r="14140" spans="5:5">
      <c r="E14140" s="51"/>
    </row>
    <row r="14141" spans="5:5">
      <c r="E14141" s="51"/>
    </row>
    <row r="14142" spans="5:5">
      <c r="E14142" s="51"/>
    </row>
    <row r="14143" spans="5:5">
      <c r="E14143" s="51"/>
    </row>
    <row r="14144" spans="5:5">
      <c r="E14144" s="51"/>
    </row>
    <row r="14145" spans="5:5">
      <c r="E14145" s="51"/>
    </row>
    <row r="14146" spans="5:5">
      <c r="E14146" s="51"/>
    </row>
    <row r="14147" spans="5:5">
      <c r="E14147" s="51"/>
    </row>
    <row r="14148" spans="5:5">
      <c r="E14148" s="51"/>
    </row>
    <row r="14149" spans="5:5">
      <c r="E14149" s="51"/>
    </row>
    <row r="14150" spans="5:5">
      <c r="E14150" s="51"/>
    </row>
    <row r="14151" spans="5:5">
      <c r="E14151" s="51"/>
    </row>
    <row r="14152" spans="5:5">
      <c r="E14152" s="51"/>
    </row>
    <row r="14153" spans="5:5">
      <c r="E14153" s="51"/>
    </row>
    <row r="14154" spans="5:5">
      <c r="E14154" s="51"/>
    </row>
    <row r="14155" spans="5:5">
      <c r="E14155" s="51"/>
    </row>
    <row r="14156" spans="5:5">
      <c r="E14156" s="51"/>
    </row>
    <row r="14157" spans="5:5">
      <c r="E14157" s="51"/>
    </row>
    <row r="14158" spans="5:5">
      <c r="E14158" s="51"/>
    </row>
    <row r="14159" spans="5:5">
      <c r="E14159" s="51"/>
    </row>
    <row r="14160" spans="5:5">
      <c r="E14160" s="51"/>
    </row>
    <row r="14161" spans="5:5">
      <c r="E14161" s="51"/>
    </row>
    <row r="14162" spans="5:5">
      <c r="E14162" s="51"/>
    </row>
    <row r="14163" spans="5:5">
      <c r="E14163" s="51"/>
    </row>
    <row r="14164" spans="5:5">
      <c r="E14164" s="51"/>
    </row>
    <row r="14165" spans="5:5">
      <c r="E14165" s="51"/>
    </row>
    <row r="14166" spans="5:5">
      <c r="E14166" s="51"/>
    </row>
    <row r="14167" spans="5:5">
      <c r="E14167" s="51"/>
    </row>
    <row r="14168" spans="5:5">
      <c r="E14168" s="51"/>
    </row>
    <row r="14169" spans="5:5">
      <c r="E14169" s="51"/>
    </row>
    <row r="14170" spans="5:5">
      <c r="E14170" s="51"/>
    </row>
    <row r="14171" spans="5:5">
      <c r="E14171" s="51"/>
    </row>
    <row r="14172" spans="5:5">
      <c r="E14172" s="51"/>
    </row>
    <row r="14173" spans="5:5">
      <c r="E14173" s="51"/>
    </row>
    <row r="14174" spans="5:5">
      <c r="E14174" s="51"/>
    </row>
    <row r="14175" spans="5:5">
      <c r="E14175" s="51"/>
    </row>
    <row r="14176" spans="5:5">
      <c r="E14176" s="51"/>
    </row>
    <row r="14177" spans="5:5">
      <c r="E14177" s="51"/>
    </row>
    <row r="14178" spans="5:5">
      <c r="E14178" s="51"/>
    </row>
    <row r="14179" spans="5:5">
      <c r="E14179" s="51"/>
    </row>
    <row r="14180" spans="5:5">
      <c r="E14180" s="51"/>
    </row>
    <row r="14181" spans="5:5">
      <c r="E14181" s="51"/>
    </row>
    <row r="14182" spans="5:5">
      <c r="E14182" s="51"/>
    </row>
    <row r="14183" spans="5:5">
      <c r="E14183" s="51"/>
    </row>
    <row r="14184" spans="5:5">
      <c r="E14184" s="51"/>
    </row>
    <row r="14185" spans="5:5">
      <c r="E14185" s="51"/>
    </row>
    <row r="14186" spans="5:5">
      <c r="E14186" s="51"/>
    </row>
    <row r="14187" spans="5:5">
      <c r="E14187" s="51"/>
    </row>
    <row r="14188" spans="5:5">
      <c r="E14188" s="51"/>
    </row>
    <row r="14189" spans="5:5">
      <c r="E14189" s="51"/>
    </row>
    <row r="14190" spans="5:5">
      <c r="E14190" s="51"/>
    </row>
    <row r="14191" spans="5:5">
      <c r="E14191" s="51"/>
    </row>
    <row r="14192" spans="5:5">
      <c r="E14192" s="51"/>
    </row>
    <row r="14193" spans="5:5">
      <c r="E14193" s="51"/>
    </row>
    <row r="14194" spans="5:5">
      <c r="E14194" s="51"/>
    </row>
    <row r="14195" spans="5:5">
      <c r="E14195" s="51"/>
    </row>
    <row r="14196" spans="5:5">
      <c r="E14196" s="51"/>
    </row>
    <row r="14197" spans="5:5">
      <c r="E14197" s="51"/>
    </row>
    <row r="14198" spans="5:5">
      <c r="E14198" s="51"/>
    </row>
    <row r="14199" spans="5:5">
      <c r="E14199" s="51"/>
    </row>
    <row r="14200" spans="5:5">
      <c r="E14200" s="51"/>
    </row>
    <row r="14201" spans="5:5">
      <c r="E14201" s="51"/>
    </row>
    <row r="14202" spans="5:5">
      <c r="E14202" s="51"/>
    </row>
    <row r="14203" spans="5:5">
      <c r="E14203" s="51"/>
    </row>
    <row r="14204" spans="5:5">
      <c r="E14204" s="51"/>
    </row>
    <row r="14205" spans="5:5">
      <c r="E14205" s="51"/>
    </row>
    <row r="14206" spans="5:5">
      <c r="E14206" s="51"/>
    </row>
    <row r="14207" spans="5:5">
      <c r="E14207" s="51"/>
    </row>
    <row r="14208" spans="5:5">
      <c r="E14208" s="51"/>
    </row>
    <row r="14209" spans="5:5">
      <c r="E14209" s="51"/>
    </row>
    <row r="14210" spans="5:5">
      <c r="E14210" s="51"/>
    </row>
    <row r="14211" spans="5:5">
      <c r="E14211" s="51"/>
    </row>
    <row r="14212" spans="5:5">
      <c r="E14212" s="51"/>
    </row>
    <row r="14213" spans="5:5">
      <c r="E14213" s="51"/>
    </row>
    <row r="14214" spans="5:5">
      <c r="E14214" s="51"/>
    </row>
    <row r="14215" spans="5:5">
      <c r="E14215" s="51"/>
    </row>
    <row r="14216" spans="5:5">
      <c r="E14216" s="51"/>
    </row>
    <row r="14217" spans="5:5">
      <c r="E14217" s="51"/>
    </row>
    <row r="14218" spans="5:5">
      <c r="E14218" s="51"/>
    </row>
    <row r="14219" spans="5:5">
      <c r="E14219" s="51"/>
    </row>
    <row r="14220" spans="5:5">
      <c r="E14220" s="51"/>
    </row>
    <row r="14221" spans="5:5">
      <c r="E14221" s="51"/>
    </row>
    <row r="14222" spans="5:5">
      <c r="E14222" s="51"/>
    </row>
    <row r="14223" spans="5:5">
      <c r="E14223" s="51"/>
    </row>
    <row r="14224" spans="5:5">
      <c r="E14224" s="51"/>
    </row>
    <row r="14225" spans="5:5">
      <c r="E14225" s="51"/>
    </row>
    <row r="14226" spans="5:5">
      <c r="E14226" s="51"/>
    </row>
    <row r="14227" spans="5:5">
      <c r="E14227" s="51"/>
    </row>
    <row r="14228" spans="5:5">
      <c r="E14228" s="51"/>
    </row>
    <row r="14229" spans="5:5">
      <c r="E14229" s="51"/>
    </row>
    <row r="14230" spans="5:5">
      <c r="E14230" s="51"/>
    </row>
    <row r="14231" spans="5:5">
      <c r="E14231" s="51"/>
    </row>
    <row r="14232" spans="5:5">
      <c r="E14232" s="51"/>
    </row>
    <row r="14233" spans="5:5">
      <c r="E14233" s="51"/>
    </row>
    <row r="14234" spans="5:5">
      <c r="E14234" s="51"/>
    </row>
    <row r="14235" spans="5:5">
      <c r="E14235" s="51"/>
    </row>
    <row r="14236" spans="5:5">
      <c r="E14236" s="51"/>
    </row>
    <row r="14237" spans="5:5">
      <c r="E14237" s="51"/>
    </row>
    <row r="14238" spans="5:5">
      <c r="E14238" s="51"/>
    </row>
    <row r="14239" spans="5:5">
      <c r="E14239" s="51"/>
    </row>
    <row r="14240" spans="5:5">
      <c r="E14240" s="51"/>
    </row>
    <row r="14241" spans="5:5">
      <c r="E14241" s="51"/>
    </row>
    <row r="14242" spans="5:5">
      <c r="E14242" s="51"/>
    </row>
    <row r="14243" spans="5:5">
      <c r="E14243" s="51"/>
    </row>
    <row r="14244" spans="5:5">
      <c r="E14244" s="51"/>
    </row>
    <row r="14245" spans="5:5">
      <c r="E14245" s="51"/>
    </row>
    <row r="14246" spans="5:5">
      <c r="E14246" s="51"/>
    </row>
    <row r="14247" spans="5:5">
      <c r="E14247" s="51"/>
    </row>
    <row r="14248" spans="5:5">
      <c r="E14248" s="51"/>
    </row>
    <row r="14249" spans="5:5">
      <c r="E14249" s="51"/>
    </row>
    <row r="14250" spans="5:5">
      <c r="E14250" s="51"/>
    </row>
    <row r="14251" spans="5:5">
      <c r="E14251" s="51"/>
    </row>
    <row r="14252" spans="5:5">
      <c r="E14252" s="51"/>
    </row>
    <row r="14253" spans="5:5">
      <c r="E14253" s="51"/>
    </row>
    <row r="14254" spans="5:5">
      <c r="E14254" s="51"/>
    </row>
    <row r="14255" spans="5:5">
      <c r="E14255" s="51"/>
    </row>
    <row r="14256" spans="5:5">
      <c r="E14256" s="51"/>
    </row>
    <row r="14257" spans="5:5">
      <c r="E14257" s="51"/>
    </row>
    <row r="14258" spans="5:5">
      <c r="E14258" s="51"/>
    </row>
    <row r="14259" spans="5:5">
      <c r="E14259" s="51"/>
    </row>
    <row r="14260" spans="5:5">
      <c r="E14260" s="51"/>
    </row>
    <row r="14261" spans="5:5">
      <c r="E14261" s="51"/>
    </row>
    <row r="14262" spans="5:5">
      <c r="E14262" s="51"/>
    </row>
    <row r="14263" spans="5:5">
      <c r="E14263" s="51"/>
    </row>
    <row r="14264" spans="5:5">
      <c r="E14264" s="51"/>
    </row>
    <row r="14265" spans="5:5">
      <c r="E14265" s="51"/>
    </row>
    <row r="14266" spans="5:5">
      <c r="E14266" s="51"/>
    </row>
    <row r="14267" spans="5:5">
      <c r="E14267" s="51"/>
    </row>
    <row r="14268" spans="5:5">
      <c r="E14268" s="51"/>
    </row>
    <row r="14269" spans="5:5">
      <c r="E14269" s="51"/>
    </row>
    <row r="14270" spans="5:5">
      <c r="E14270" s="51"/>
    </row>
    <row r="14271" spans="5:5">
      <c r="E14271" s="51"/>
    </row>
    <row r="14272" spans="5:5">
      <c r="E14272" s="51"/>
    </row>
    <row r="14273" spans="5:5">
      <c r="E14273" s="51"/>
    </row>
    <row r="14274" spans="5:5">
      <c r="E14274" s="51"/>
    </row>
    <row r="14275" spans="5:5">
      <c r="E14275" s="51"/>
    </row>
    <row r="14276" spans="5:5">
      <c r="E14276" s="51"/>
    </row>
    <row r="14277" spans="5:5">
      <c r="E14277" s="51"/>
    </row>
    <row r="14278" spans="5:5">
      <c r="E14278" s="51"/>
    </row>
    <row r="14279" spans="5:5">
      <c r="E14279" s="51"/>
    </row>
    <row r="14280" spans="5:5">
      <c r="E14280" s="51"/>
    </row>
    <row r="14281" spans="5:5">
      <c r="E14281" s="51"/>
    </row>
    <row r="14282" spans="5:5">
      <c r="E14282" s="51"/>
    </row>
    <row r="14283" spans="5:5">
      <c r="E14283" s="51"/>
    </row>
    <row r="14284" spans="5:5">
      <c r="E14284" s="51"/>
    </row>
    <row r="14285" spans="5:5">
      <c r="E14285" s="51"/>
    </row>
    <row r="14286" spans="5:5">
      <c r="E14286" s="51"/>
    </row>
    <row r="14287" spans="5:5">
      <c r="E14287" s="51"/>
    </row>
    <row r="14288" spans="5:5">
      <c r="E14288" s="51"/>
    </row>
    <row r="14289" spans="5:5">
      <c r="E14289" s="51"/>
    </row>
    <row r="14290" spans="5:5">
      <c r="E14290" s="51"/>
    </row>
    <row r="14291" spans="5:5">
      <c r="E14291" s="51"/>
    </row>
    <row r="14292" spans="5:5">
      <c r="E14292" s="51"/>
    </row>
    <row r="14293" spans="5:5">
      <c r="E14293" s="51"/>
    </row>
    <row r="14294" spans="5:5">
      <c r="E14294" s="51"/>
    </row>
    <row r="14295" spans="5:5">
      <c r="E14295" s="51"/>
    </row>
    <row r="14296" spans="5:5">
      <c r="E14296" s="51"/>
    </row>
    <row r="14297" spans="5:5">
      <c r="E14297" s="51"/>
    </row>
    <row r="14298" spans="5:5">
      <c r="E14298" s="51"/>
    </row>
    <row r="14299" spans="5:5">
      <c r="E14299" s="51"/>
    </row>
    <row r="14300" spans="5:5">
      <c r="E14300" s="51"/>
    </row>
    <row r="14301" spans="5:5">
      <c r="E14301" s="51"/>
    </row>
    <row r="14302" spans="5:5">
      <c r="E14302" s="51"/>
    </row>
    <row r="14303" spans="5:5">
      <c r="E14303" s="51"/>
    </row>
    <row r="14304" spans="5:5">
      <c r="E14304" s="51"/>
    </row>
    <row r="14305" spans="5:5">
      <c r="E14305" s="51"/>
    </row>
    <row r="14306" spans="5:5">
      <c r="E14306" s="51"/>
    </row>
    <row r="14307" spans="5:5">
      <c r="E14307" s="51"/>
    </row>
    <row r="14308" spans="5:5">
      <c r="E14308" s="51"/>
    </row>
    <row r="14309" spans="5:5">
      <c r="E14309" s="51"/>
    </row>
    <row r="14310" spans="5:5">
      <c r="E14310" s="51"/>
    </row>
    <row r="14311" spans="5:5">
      <c r="E14311" s="51"/>
    </row>
    <row r="14312" spans="5:5">
      <c r="E14312" s="51"/>
    </row>
    <row r="14313" spans="5:5">
      <c r="E14313" s="51"/>
    </row>
    <row r="14314" spans="5:5">
      <c r="E14314" s="51"/>
    </row>
    <row r="14315" spans="5:5">
      <c r="E14315" s="51"/>
    </row>
    <row r="14316" spans="5:5">
      <c r="E14316" s="51"/>
    </row>
    <row r="14317" spans="5:5">
      <c r="E14317" s="51"/>
    </row>
    <row r="14318" spans="5:5">
      <c r="E14318" s="51"/>
    </row>
    <row r="14319" spans="5:5">
      <c r="E14319" s="51"/>
    </row>
    <row r="14320" spans="5:5">
      <c r="E14320" s="51"/>
    </row>
    <row r="14321" spans="5:5">
      <c r="E14321" s="51"/>
    </row>
    <row r="14322" spans="5:5">
      <c r="E14322" s="51"/>
    </row>
    <row r="14323" spans="5:5">
      <c r="E14323" s="51"/>
    </row>
    <row r="14324" spans="5:5">
      <c r="E14324" s="51"/>
    </row>
    <row r="14325" spans="5:5">
      <c r="E14325" s="51"/>
    </row>
    <row r="14326" spans="5:5">
      <c r="E14326" s="51"/>
    </row>
    <row r="14327" spans="5:5">
      <c r="E14327" s="51"/>
    </row>
    <row r="14328" spans="5:5">
      <c r="E14328" s="51"/>
    </row>
    <row r="14329" spans="5:5">
      <c r="E14329" s="51"/>
    </row>
    <row r="14330" spans="5:5">
      <c r="E14330" s="51"/>
    </row>
    <row r="14331" spans="5:5">
      <c r="E14331" s="51"/>
    </row>
    <row r="14332" spans="5:5">
      <c r="E14332" s="51"/>
    </row>
    <row r="14333" spans="5:5">
      <c r="E14333" s="51"/>
    </row>
    <row r="14334" spans="5:5">
      <c r="E14334" s="51"/>
    </row>
    <row r="14335" spans="5:5">
      <c r="E14335" s="51"/>
    </row>
    <row r="14336" spans="5:5">
      <c r="E14336" s="51"/>
    </row>
    <row r="14337" spans="5:5">
      <c r="E14337" s="51"/>
    </row>
    <row r="14338" spans="5:5">
      <c r="E14338" s="51"/>
    </row>
    <row r="14339" spans="5:5">
      <c r="E14339" s="51"/>
    </row>
    <row r="14340" spans="5:5">
      <c r="E14340" s="51"/>
    </row>
    <row r="14341" spans="5:5">
      <c r="E14341" s="51"/>
    </row>
    <row r="14342" spans="5:5">
      <c r="E14342" s="51"/>
    </row>
    <row r="14343" spans="5:5">
      <c r="E14343" s="51"/>
    </row>
    <row r="14344" spans="5:5">
      <c r="E14344" s="51"/>
    </row>
    <row r="14345" spans="5:5">
      <c r="E14345" s="51"/>
    </row>
    <row r="14346" spans="5:5">
      <c r="E14346" s="51"/>
    </row>
    <row r="14347" spans="5:5">
      <c r="E14347" s="51"/>
    </row>
    <row r="14348" spans="5:5">
      <c r="E14348" s="51"/>
    </row>
    <row r="14349" spans="5:5">
      <c r="E14349" s="51"/>
    </row>
    <row r="14350" spans="5:5">
      <c r="E14350" s="51"/>
    </row>
    <row r="14351" spans="5:5">
      <c r="E14351" s="51"/>
    </row>
    <row r="14352" spans="5:5">
      <c r="E14352" s="51"/>
    </row>
    <row r="14353" spans="5:5">
      <c r="E14353" s="51"/>
    </row>
    <row r="14354" spans="5:5">
      <c r="E14354" s="51"/>
    </row>
    <row r="14355" spans="5:5">
      <c r="E14355" s="51"/>
    </row>
    <row r="14356" spans="5:5">
      <c r="E14356" s="51"/>
    </row>
    <row r="14357" spans="5:5">
      <c r="E14357" s="51"/>
    </row>
    <row r="14358" spans="5:5">
      <c r="E14358" s="51"/>
    </row>
    <row r="14359" spans="5:5">
      <c r="E14359" s="51"/>
    </row>
    <row r="14360" spans="5:5">
      <c r="E14360" s="51"/>
    </row>
    <row r="14361" spans="5:5">
      <c r="E14361" s="51"/>
    </row>
    <row r="14362" spans="5:5">
      <c r="E14362" s="51"/>
    </row>
    <row r="14363" spans="5:5">
      <c r="E14363" s="51"/>
    </row>
    <row r="14364" spans="5:5">
      <c r="E14364" s="51"/>
    </row>
    <row r="14365" spans="5:5">
      <c r="E14365" s="51"/>
    </row>
    <row r="14366" spans="5:5">
      <c r="E14366" s="51"/>
    </row>
    <row r="14367" spans="5:5">
      <c r="E14367" s="51"/>
    </row>
    <row r="14368" spans="5:5">
      <c r="E14368" s="51"/>
    </row>
    <row r="14369" spans="5:5">
      <c r="E14369" s="51"/>
    </row>
    <row r="14370" spans="5:5">
      <c r="E14370" s="51"/>
    </row>
    <row r="14371" spans="5:5">
      <c r="E14371" s="51"/>
    </row>
    <row r="14372" spans="5:5">
      <c r="E14372" s="51"/>
    </row>
    <row r="14373" spans="5:5">
      <c r="E14373" s="51"/>
    </row>
    <row r="14374" spans="5:5">
      <c r="E14374" s="51"/>
    </row>
    <row r="14375" spans="5:5">
      <c r="E14375" s="51"/>
    </row>
    <row r="14376" spans="5:5">
      <c r="E14376" s="51"/>
    </row>
    <row r="14377" spans="5:5">
      <c r="E14377" s="51"/>
    </row>
    <row r="14378" spans="5:5">
      <c r="E14378" s="51"/>
    </row>
    <row r="14379" spans="5:5">
      <c r="E14379" s="51"/>
    </row>
    <row r="14380" spans="5:5">
      <c r="E14380" s="51"/>
    </row>
    <row r="14381" spans="5:5">
      <c r="E14381" s="51"/>
    </row>
    <row r="14382" spans="5:5">
      <c r="E14382" s="51"/>
    </row>
    <row r="14383" spans="5:5">
      <c r="E14383" s="51"/>
    </row>
    <row r="14384" spans="5:5">
      <c r="E14384" s="51"/>
    </row>
    <row r="14385" spans="5:5">
      <c r="E14385" s="51"/>
    </row>
    <row r="14386" spans="5:5">
      <c r="E14386" s="51"/>
    </row>
    <row r="14387" spans="5:5">
      <c r="E14387" s="51"/>
    </row>
    <row r="14388" spans="5:5">
      <c r="E14388" s="51"/>
    </row>
    <row r="14389" spans="5:5">
      <c r="E14389" s="51"/>
    </row>
    <row r="14390" spans="5:5">
      <c r="E14390" s="51"/>
    </row>
    <row r="14391" spans="5:5">
      <c r="E14391" s="51"/>
    </row>
    <row r="14392" spans="5:5">
      <c r="E14392" s="51"/>
    </row>
    <row r="14393" spans="5:5">
      <c r="E14393" s="51"/>
    </row>
    <row r="14394" spans="5:5">
      <c r="E14394" s="51"/>
    </row>
    <row r="14395" spans="5:5">
      <c r="E14395" s="51"/>
    </row>
    <row r="14396" spans="5:5">
      <c r="E14396" s="51"/>
    </row>
    <row r="14397" spans="5:5">
      <c r="E14397" s="51"/>
    </row>
    <row r="14398" spans="5:5">
      <c r="E14398" s="51"/>
    </row>
    <row r="14399" spans="5:5">
      <c r="E14399" s="51"/>
    </row>
    <row r="14400" spans="5:5">
      <c r="E14400" s="51"/>
    </row>
    <row r="14401" spans="5:5">
      <c r="E14401" s="51"/>
    </row>
    <row r="14402" spans="5:5">
      <c r="E14402" s="51"/>
    </row>
    <row r="14403" spans="5:5">
      <c r="E14403" s="51"/>
    </row>
    <row r="14404" spans="5:5">
      <c r="E14404" s="51"/>
    </row>
    <row r="14405" spans="5:5">
      <c r="E14405" s="51"/>
    </row>
    <row r="14406" spans="5:5">
      <c r="E14406" s="51"/>
    </row>
    <row r="14407" spans="5:5">
      <c r="E14407" s="51"/>
    </row>
    <row r="14408" spans="5:5">
      <c r="E14408" s="51"/>
    </row>
    <row r="14409" spans="5:5">
      <c r="E14409" s="51"/>
    </row>
    <row r="14410" spans="5:5">
      <c r="E14410" s="51"/>
    </row>
    <row r="14411" spans="5:5">
      <c r="E14411" s="51"/>
    </row>
    <row r="14412" spans="5:5">
      <c r="E14412" s="51"/>
    </row>
    <row r="14413" spans="5:5">
      <c r="E14413" s="51"/>
    </row>
    <row r="14414" spans="5:5">
      <c r="E14414" s="51"/>
    </row>
    <row r="14415" spans="5:5">
      <c r="E14415" s="51"/>
    </row>
    <row r="14416" spans="5:5">
      <c r="E14416" s="51"/>
    </row>
    <row r="14417" spans="5:5">
      <c r="E14417" s="51"/>
    </row>
    <row r="14418" spans="5:5">
      <c r="E14418" s="51"/>
    </row>
    <row r="14419" spans="5:5">
      <c r="E14419" s="51"/>
    </row>
    <row r="14420" spans="5:5">
      <c r="E14420" s="51"/>
    </row>
    <row r="14421" spans="5:5">
      <c r="E14421" s="51"/>
    </row>
    <row r="14422" spans="5:5">
      <c r="E14422" s="51"/>
    </row>
    <row r="14423" spans="5:5">
      <c r="E14423" s="51"/>
    </row>
    <row r="14424" spans="5:5">
      <c r="E14424" s="51"/>
    </row>
    <row r="14425" spans="5:5">
      <c r="E14425" s="51"/>
    </row>
    <row r="14426" spans="5:5">
      <c r="E14426" s="51"/>
    </row>
    <row r="14427" spans="5:5">
      <c r="E14427" s="51"/>
    </row>
    <row r="14428" spans="5:5">
      <c r="E14428" s="51"/>
    </row>
    <row r="14429" spans="5:5">
      <c r="E14429" s="51"/>
    </row>
    <row r="14430" spans="5:5">
      <c r="E14430" s="51"/>
    </row>
    <row r="14431" spans="5:5">
      <c r="E14431" s="51"/>
    </row>
    <row r="14432" spans="5:5">
      <c r="E14432" s="51"/>
    </row>
    <row r="14433" spans="5:5">
      <c r="E14433" s="51"/>
    </row>
    <row r="14434" spans="5:5">
      <c r="E14434" s="51"/>
    </row>
    <row r="14435" spans="5:5">
      <c r="E14435" s="51"/>
    </row>
    <row r="14436" spans="5:5">
      <c r="E14436" s="51"/>
    </row>
    <row r="14437" spans="5:5">
      <c r="E14437" s="51"/>
    </row>
    <row r="14438" spans="5:5">
      <c r="E14438" s="51"/>
    </row>
    <row r="14439" spans="5:5">
      <c r="E14439" s="51"/>
    </row>
    <row r="14440" spans="5:5">
      <c r="E14440" s="51"/>
    </row>
    <row r="14441" spans="5:5">
      <c r="E14441" s="51"/>
    </row>
    <row r="14442" spans="5:5">
      <c r="E14442" s="51"/>
    </row>
    <row r="14443" spans="5:5">
      <c r="E14443" s="51"/>
    </row>
    <row r="14444" spans="5:5">
      <c r="E14444" s="51"/>
    </row>
    <row r="14445" spans="5:5">
      <c r="E14445" s="51"/>
    </row>
    <row r="14446" spans="5:5">
      <c r="E14446" s="51"/>
    </row>
    <row r="14447" spans="5:5">
      <c r="E14447" s="51"/>
    </row>
    <row r="14448" spans="5:5">
      <c r="E14448" s="51"/>
    </row>
    <row r="14449" spans="5:5">
      <c r="E14449" s="51"/>
    </row>
    <row r="14450" spans="5:5">
      <c r="E14450" s="51"/>
    </row>
    <row r="14451" spans="5:5">
      <c r="E14451" s="51"/>
    </row>
    <row r="14452" spans="5:5">
      <c r="E14452" s="51"/>
    </row>
    <row r="14453" spans="5:5">
      <c r="E14453" s="51"/>
    </row>
    <row r="14454" spans="5:5">
      <c r="E14454" s="51"/>
    </row>
    <row r="14455" spans="5:5">
      <c r="E14455" s="51"/>
    </row>
    <row r="14456" spans="5:5">
      <c r="E14456" s="51"/>
    </row>
    <row r="14457" spans="5:5">
      <c r="E14457" s="51"/>
    </row>
    <row r="14458" spans="5:5">
      <c r="E14458" s="51"/>
    </row>
    <row r="14459" spans="5:5">
      <c r="E14459" s="51"/>
    </row>
    <row r="14460" spans="5:5">
      <c r="E14460" s="51"/>
    </row>
    <row r="14461" spans="5:5">
      <c r="E14461" s="51"/>
    </row>
    <row r="14462" spans="5:5">
      <c r="E14462" s="51"/>
    </row>
    <row r="14463" spans="5:5">
      <c r="E14463" s="51"/>
    </row>
    <row r="14464" spans="5:5">
      <c r="E14464" s="51"/>
    </row>
    <row r="14465" spans="5:5">
      <c r="E14465" s="51"/>
    </row>
    <row r="14466" spans="5:5">
      <c r="E14466" s="51"/>
    </row>
    <row r="14467" spans="5:5">
      <c r="E14467" s="51"/>
    </row>
    <row r="14468" spans="5:5">
      <c r="E14468" s="51"/>
    </row>
    <row r="14469" spans="5:5">
      <c r="E14469" s="51"/>
    </row>
    <row r="14470" spans="5:5">
      <c r="E14470" s="51"/>
    </row>
    <row r="14471" spans="5:5">
      <c r="E14471" s="51"/>
    </row>
    <row r="14472" spans="5:5">
      <c r="E14472" s="51"/>
    </row>
    <row r="14473" spans="5:5">
      <c r="E14473" s="51"/>
    </row>
    <row r="14474" spans="5:5">
      <c r="E14474" s="51"/>
    </row>
    <row r="14475" spans="5:5">
      <c r="E14475" s="51"/>
    </row>
    <row r="14476" spans="5:5">
      <c r="E14476" s="51"/>
    </row>
    <row r="14477" spans="5:5">
      <c r="E14477" s="51"/>
    </row>
    <row r="14478" spans="5:5">
      <c r="E14478" s="51"/>
    </row>
    <row r="14479" spans="5:5">
      <c r="E14479" s="51"/>
    </row>
    <row r="14480" spans="5:5">
      <c r="E14480" s="51"/>
    </row>
    <row r="14481" spans="5:5">
      <c r="E14481" s="51"/>
    </row>
    <row r="14482" spans="5:5">
      <c r="E14482" s="51"/>
    </row>
    <row r="14483" spans="5:5">
      <c r="E14483" s="51"/>
    </row>
    <row r="14484" spans="5:5">
      <c r="E14484" s="51"/>
    </row>
    <row r="14485" spans="5:5">
      <c r="E14485" s="51"/>
    </row>
    <row r="14486" spans="5:5">
      <c r="E14486" s="51"/>
    </row>
    <row r="14487" spans="5:5">
      <c r="E14487" s="51"/>
    </row>
    <row r="14488" spans="5:5">
      <c r="E14488" s="51"/>
    </row>
    <row r="14489" spans="5:5">
      <c r="E14489" s="51"/>
    </row>
    <row r="14490" spans="5:5">
      <c r="E14490" s="51"/>
    </row>
    <row r="14491" spans="5:5">
      <c r="E14491" s="51"/>
    </row>
    <row r="14492" spans="5:5">
      <c r="E14492" s="51"/>
    </row>
    <row r="14493" spans="5:5">
      <c r="E14493" s="51"/>
    </row>
    <row r="14494" spans="5:5">
      <c r="E14494" s="51"/>
    </row>
    <row r="14495" spans="5:5">
      <c r="E14495" s="51"/>
    </row>
    <row r="14496" spans="5:5">
      <c r="E14496" s="51"/>
    </row>
    <row r="14497" spans="5:5">
      <c r="E14497" s="51"/>
    </row>
    <row r="14498" spans="5:5">
      <c r="E14498" s="51"/>
    </row>
    <row r="14499" spans="5:5">
      <c r="E14499" s="51"/>
    </row>
    <row r="14500" spans="5:5">
      <c r="E14500" s="51"/>
    </row>
    <row r="14501" spans="5:5">
      <c r="E14501" s="51"/>
    </row>
    <row r="14502" spans="5:5">
      <c r="E14502" s="51"/>
    </row>
    <row r="14503" spans="5:5">
      <c r="E14503" s="51"/>
    </row>
    <row r="14504" spans="5:5">
      <c r="E14504" s="51"/>
    </row>
    <row r="14505" spans="5:5">
      <c r="E14505" s="51"/>
    </row>
    <row r="14506" spans="5:5">
      <c r="E14506" s="51"/>
    </row>
    <row r="14507" spans="5:5">
      <c r="E14507" s="51"/>
    </row>
    <row r="14508" spans="5:5">
      <c r="E14508" s="51"/>
    </row>
    <row r="14509" spans="5:5">
      <c r="E14509" s="51"/>
    </row>
    <row r="14510" spans="5:5">
      <c r="E14510" s="51"/>
    </row>
    <row r="14511" spans="5:5">
      <c r="E14511" s="51"/>
    </row>
    <row r="14512" spans="5:5">
      <c r="E14512" s="51"/>
    </row>
    <row r="14513" spans="5:5">
      <c r="E14513" s="51"/>
    </row>
    <row r="14514" spans="5:5">
      <c r="E14514" s="51"/>
    </row>
    <row r="14515" spans="5:5">
      <c r="E14515" s="51"/>
    </row>
    <row r="14516" spans="5:5">
      <c r="E14516" s="51"/>
    </row>
    <row r="14517" spans="5:5">
      <c r="E14517" s="51"/>
    </row>
    <row r="14518" spans="5:5">
      <c r="E14518" s="51"/>
    </row>
    <row r="14519" spans="5:5">
      <c r="E14519" s="51"/>
    </row>
    <row r="14520" spans="5:5">
      <c r="E14520" s="51"/>
    </row>
    <row r="14521" spans="5:5">
      <c r="E14521" s="51"/>
    </row>
    <row r="14522" spans="5:5">
      <c r="E14522" s="51"/>
    </row>
    <row r="14523" spans="5:5">
      <c r="E14523" s="51"/>
    </row>
    <row r="14524" spans="5:5">
      <c r="E14524" s="51"/>
    </row>
    <row r="14525" spans="5:5">
      <c r="E14525" s="51"/>
    </row>
    <row r="14526" spans="5:5">
      <c r="E14526" s="51"/>
    </row>
    <row r="14527" spans="5:5">
      <c r="E14527" s="51"/>
    </row>
    <row r="14528" spans="5:5">
      <c r="E14528" s="51"/>
    </row>
    <row r="14529" spans="5:5">
      <c r="E14529" s="51"/>
    </row>
    <row r="14530" spans="5:5">
      <c r="E14530" s="51"/>
    </row>
    <row r="14531" spans="5:5">
      <c r="E14531" s="51"/>
    </row>
    <row r="14532" spans="5:5">
      <c r="E14532" s="51"/>
    </row>
    <row r="14533" spans="5:5">
      <c r="E14533" s="51"/>
    </row>
    <row r="14534" spans="5:5">
      <c r="E14534" s="51"/>
    </row>
    <row r="14535" spans="5:5">
      <c r="E14535" s="51"/>
    </row>
    <row r="14536" spans="5:5">
      <c r="E14536" s="51"/>
    </row>
    <row r="14537" spans="5:5">
      <c r="E14537" s="51"/>
    </row>
    <row r="14538" spans="5:5">
      <c r="E14538" s="51"/>
    </row>
    <row r="14539" spans="5:5">
      <c r="E14539" s="51"/>
    </row>
    <row r="14540" spans="5:5">
      <c r="E14540" s="51"/>
    </row>
    <row r="14541" spans="5:5">
      <c r="E14541" s="51"/>
    </row>
    <row r="14542" spans="5:5">
      <c r="E14542" s="51"/>
    </row>
    <row r="14543" spans="5:5">
      <c r="E14543" s="51"/>
    </row>
    <row r="14544" spans="5:5">
      <c r="E14544" s="51"/>
    </row>
    <row r="14545" spans="5:5">
      <c r="E14545" s="51"/>
    </row>
    <row r="14546" spans="5:5">
      <c r="E14546" s="51"/>
    </row>
    <row r="14547" spans="5:5">
      <c r="E14547" s="51"/>
    </row>
    <row r="14548" spans="5:5">
      <c r="E14548" s="51"/>
    </row>
    <row r="14549" spans="5:5">
      <c r="E14549" s="51"/>
    </row>
    <row r="14550" spans="5:5">
      <c r="E14550" s="51"/>
    </row>
    <row r="14551" spans="5:5">
      <c r="E14551" s="51"/>
    </row>
    <row r="14552" spans="5:5">
      <c r="E14552" s="51"/>
    </row>
    <row r="14553" spans="5:5">
      <c r="E14553" s="51"/>
    </row>
    <row r="14554" spans="5:5">
      <c r="E14554" s="51"/>
    </row>
    <row r="14555" spans="5:5">
      <c r="E14555" s="51"/>
    </row>
    <row r="14556" spans="5:5">
      <c r="E14556" s="51"/>
    </row>
    <row r="14557" spans="5:5">
      <c r="E14557" s="51"/>
    </row>
    <row r="14558" spans="5:5">
      <c r="E14558" s="51"/>
    </row>
    <row r="14559" spans="5:5">
      <c r="E14559" s="51"/>
    </row>
    <row r="14560" spans="5:5">
      <c r="E14560" s="51"/>
    </row>
    <row r="14561" spans="5:5">
      <c r="E14561" s="51"/>
    </row>
    <row r="14562" spans="5:5">
      <c r="E14562" s="51"/>
    </row>
    <row r="14563" spans="5:5">
      <c r="E14563" s="51"/>
    </row>
    <row r="14564" spans="5:5">
      <c r="E14564" s="51"/>
    </row>
    <row r="14565" spans="5:5">
      <c r="E14565" s="51"/>
    </row>
    <row r="14566" spans="5:5">
      <c r="E14566" s="51"/>
    </row>
    <row r="14567" spans="5:5">
      <c r="E14567" s="51"/>
    </row>
    <row r="14568" spans="5:5">
      <c r="E14568" s="51"/>
    </row>
    <row r="14569" spans="5:5">
      <c r="E14569" s="51"/>
    </row>
    <row r="14570" spans="5:5">
      <c r="E14570" s="51"/>
    </row>
    <row r="14571" spans="5:5">
      <c r="E14571" s="51"/>
    </row>
    <row r="14572" spans="5:5">
      <c r="E14572" s="51"/>
    </row>
    <row r="14573" spans="5:5">
      <c r="E14573" s="51"/>
    </row>
    <row r="14574" spans="5:5">
      <c r="E14574" s="51"/>
    </row>
    <row r="14575" spans="5:5">
      <c r="E14575" s="51"/>
    </row>
    <row r="14576" spans="5:5">
      <c r="E14576" s="51"/>
    </row>
    <row r="14577" spans="5:5">
      <c r="E14577" s="51"/>
    </row>
    <row r="14578" spans="5:5">
      <c r="E14578" s="51"/>
    </row>
    <row r="14579" spans="5:5">
      <c r="E14579" s="51"/>
    </row>
    <row r="14580" spans="5:5">
      <c r="E14580" s="51"/>
    </row>
    <row r="14581" spans="5:5">
      <c r="E14581" s="51"/>
    </row>
    <row r="14582" spans="5:5">
      <c r="E14582" s="51"/>
    </row>
    <row r="14583" spans="5:5">
      <c r="E14583" s="51"/>
    </row>
    <row r="14584" spans="5:5">
      <c r="E14584" s="51"/>
    </row>
    <row r="14585" spans="5:5">
      <c r="E14585" s="51"/>
    </row>
    <row r="14586" spans="5:5">
      <c r="E14586" s="51"/>
    </row>
    <row r="14587" spans="5:5">
      <c r="E14587" s="51"/>
    </row>
    <row r="14588" spans="5:5">
      <c r="E14588" s="51"/>
    </row>
    <row r="14589" spans="5:5">
      <c r="E14589" s="51"/>
    </row>
    <row r="14590" spans="5:5">
      <c r="E14590" s="51"/>
    </row>
    <row r="14591" spans="5:5">
      <c r="E14591" s="51"/>
    </row>
    <row r="14592" spans="5:5">
      <c r="E14592" s="51"/>
    </row>
    <row r="14593" spans="5:5">
      <c r="E14593" s="51"/>
    </row>
    <row r="14594" spans="5:5">
      <c r="E14594" s="51"/>
    </row>
    <row r="14595" spans="5:5">
      <c r="E14595" s="51"/>
    </row>
    <row r="14596" spans="5:5">
      <c r="E14596" s="51"/>
    </row>
    <row r="14597" spans="5:5">
      <c r="E14597" s="51"/>
    </row>
    <row r="14598" spans="5:5">
      <c r="E14598" s="51"/>
    </row>
    <row r="14599" spans="5:5">
      <c r="E14599" s="51"/>
    </row>
    <row r="14600" spans="5:5">
      <c r="E14600" s="51"/>
    </row>
    <row r="14601" spans="5:5">
      <c r="E14601" s="51"/>
    </row>
    <row r="14602" spans="5:5">
      <c r="E14602" s="51"/>
    </row>
    <row r="14603" spans="5:5">
      <c r="E14603" s="51"/>
    </row>
    <row r="14604" spans="5:5">
      <c r="E14604" s="51"/>
    </row>
    <row r="14605" spans="5:5">
      <c r="E14605" s="51"/>
    </row>
    <row r="14606" spans="5:5">
      <c r="E14606" s="51"/>
    </row>
    <row r="14607" spans="5:5">
      <c r="E14607" s="51"/>
    </row>
    <row r="14608" spans="5:5">
      <c r="E14608" s="51"/>
    </row>
    <row r="14609" spans="5:5">
      <c r="E14609" s="51"/>
    </row>
    <row r="14610" spans="5:5">
      <c r="E14610" s="51"/>
    </row>
    <row r="14611" spans="5:5">
      <c r="E14611" s="51"/>
    </row>
    <row r="14612" spans="5:5">
      <c r="E14612" s="51"/>
    </row>
    <row r="14613" spans="5:5">
      <c r="E14613" s="51"/>
    </row>
    <row r="14614" spans="5:5">
      <c r="E14614" s="51"/>
    </row>
    <row r="14615" spans="5:5">
      <c r="E14615" s="51"/>
    </row>
    <row r="14616" spans="5:5">
      <c r="E14616" s="51"/>
    </row>
    <row r="14617" spans="5:5">
      <c r="E14617" s="51"/>
    </row>
    <row r="14618" spans="5:5">
      <c r="E14618" s="51"/>
    </row>
    <row r="14619" spans="5:5">
      <c r="E14619" s="51"/>
    </row>
    <row r="14620" spans="5:5">
      <c r="E14620" s="51"/>
    </row>
    <row r="14621" spans="5:5">
      <c r="E14621" s="51"/>
    </row>
    <row r="14622" spans="5:5">
      <c r="E14622" s="51"/>
    </row>
    <row r="14623" spans="5:5">
      <c r="E14623" s="51"/>
    </row>
    <row r="14624" spans="5:5">
      <c r="E14624" s="51"/>
    </row>
    <row r="14625" spans="5:5">
      <c r="E14625" s="51"/>
    </row>
    <row r="14626" spans="5:5">
      <c r="E14626" s="51"/>
    </row>
    <row r="14627" spans="5:5">
      <c r="E14627" s="51"/>
    </row>
    <row r="14628" spans="5:5">
      <c r="E14628" s="51"/>
    </row>
    <row r="14629" spans="5:5">
      <c r="E14629" s="51"/>
    </row>
    <row r="14630" spans="5:5">
      <c r="E14630" s="51"/>
    </row>
    <row r="14631" spans="5:5">
      <c r="E14631" s="51"/>
    </row>
    <row r="14632" spans="5:5">
      <c r="E14632" s="51"/>
    </row>
    <row r="14633" spans="5:5">
      <c r="E14633" s="51"/>
    </row>
    <row r="14634" spans="5:5">
      <c r="E14634" s="51"/>
    </row>
    <row r="14635" spans="5:5">
      <c r="E14635" s="51"/>
    </row>
    <row r="14636" spans="5:5">
      <c r="E14636" s="51"/>
    </row>
    <row r="14637" spans="5:5">
      <c r="E14637" s="51"/>
    </row>
    <row r="14638" spans="5:5">
      <c r="E14638" s="51"/>
    </row>
    <row r="14639" spans="5:5">
      <c r="E14639" s="51"/>
    </row>
    <row r="14640" spans="5:5">
      <c r="E14640" s="51"/>
    </row>
    <row r="14641" spans="5:5">
      <c r="E14641" s="51"/>
    </row>
    <row r="14642" spans="5:5">
      <c r="E14642" s="51"/>
    </row>
    <row r="14643" spans="5:5">
      <c r="E14643" s="51"/>
    </row>
    <row r="14644" spans="5:5">
      <c r="E14644" s="51"/>
    </row>
    <row r="14645" spans="5:5">
      <c r="E14645" s="51"/>
    </row>
    <row r="14646" spans="5:5">
      <c r="E14646" s="51"/>
    </row>
    <row r="14647" spans="5:5">
      <c r="E14647" s="51"/>
    </row>
    <row r="14648" spans="5:5">
      <c r="E14648" s="51"/>
    </row>
    <row r="14649" spans="5:5">
      <c r="E14649" s="51"/>
    </row>
    <row r="14650" spans="5:5">
      <c r="E14650" s="51"/>
    </row>
    <row r="14651" spans="5:5">
      <c r="E14651" s="51"/>
    </row>
    <row r="14652" spans="5:5">
      <c r="E14652" s="51"/>
    </row>
    <row r="14653" spans="5:5">
      <c r="E14653" s="51"/>
    </row>
    <row r="14654" spans="5:5">
      <c r="E14654" s="51"/>
    </row>
    <row r="14655" spans="5:5">
      <c r="E14655" s="51"/>
    </row>
    <row r="14656" spans="5:5">
      <c r="E14656" s="51"/>
    </row>
    <row r="14657" spans="5:5">
      <c r="E14657" s="51"/>
    </row>
    <row r="14658" spans="5:5">
      <c r="E14658" s="51"/>
    </row>
    <row r="14659" spans="5:5">
      <c r="E14659" s="51"/>
    </row>
    <row r="14660" spans="5:5">
      <c r="E14660" s="51"/>
    </row>
    <row r="14661" spans="5:5">
      <c r="E14661" s="51"/>
    </row>
    <row r="14662" spans="5:5">
      <c r="E14662" s="51"/>
    </row>
    <row r="14663" spans="5:5">
      <c r="E14663" s="51"/>
    </row>
    <row r="14664" spans="5:5">
      <c r="E14664" s="51"/>
    </row>
    <row r="14665" spans="5:5">
      <c r="E14665" s="51"/>
    </row>
    <row r="14666" spans="5:5">
      <c r="E14666" s="51"/>
    </row>
    <row r="14667" spans="5:5">
      <c r="E14667" s="51"/>
    </row>
    <row r="14668" spans="5:5">
      <c r="E14668" s="51"/>
    </row>
    <row r="14669" spans="5:5">
      <c r="E14669" s="51"/>
    </row>
    <row r="14670" spans="5:5">
      <c r="E14670" s="51"/>
    </row>
    <row r="14671" spans="5:5">
      <c r="E14671" s="51"/>
    </row>
    <row r="14672" spans="5:5">
      <c r="E14672" s="51"/>
    </row>
    <row r="14673" spans="5:5">
      <c r="E14673" s="51"/>
    </row>
    <row r="14674" spans="5:5">
      <c r="E14674" s="51"/>
    </row>
    <row r="14675" spans="5:5">
      <c r="E14675" s="51"/>
    </row>
    <row r="14676" spans="5:5">
      <c r="E14676" s="51"/>
    </row>
    <row r="14677" spans="5:5">
      <c r="E14677" s="51"/>
    </row>
    <row r="14678" spans="5:5">
      <c r="E14678" s="51"/>
    </row>
    <row r="14679" spans="5:5">
      <c r="E14679" s="51"/>
    </row>
    <row r="14680" spans="5:5">
      <c r="E14680" s="51"/>
    </row>
    <row r="14681" spans="5:5">
      <c r="E14681" s="51"/>
    </row>
    <row r="14682" spans="5:5">
      <c r="E14682" s="51"/>
    </row>
    <row r="14683" spans="5:5">
      <c r="E14683" s="51"/>
    </row>
    <row r="14684" spans="5:5">
      <c r="E14684" s="51"/>
    </row>
    <row r="14685" spans="5:5">
      <c r="E14685" s="51"/>
    </row>
    <row r="14686" spans="5:5">
      <c r="E14686" s="51"/>
    </row>
    <row r="14687" spans="5:5">
      <c r="E14687" s="51"/>
    </row>
    <row r="14688" spans="5:5">
      <c r="E14688" s="51"/>
    </row>
    <row r="14689" spans="5:5">
      <c r="E14689" s="51"/>
    </row>
    <row r="14690" spans="5:5">
      <c r="E14690" s="51"/>
    </row>
    <row r="14691" spans="5:5">
      <c r="E14691" s="51"/>
    </row>
    <row r="14692" spans="5:5">
      <c r="E14692" s="51"/>
    </row>
    <row r="14693" spans="5:5">
      <c r="E14693" s="51"/>
    </row>
    <row r="14694" spans="5:5">
      <c r="E14694" s="51"/>
    </row>
    <row r="14695" spans="5:5">
      <c r="E14695" s="51"/>
    </row>
    <row r="14696" spans="5:5">
      <c r="E14696" s="51"/>
    </row>
    <row r="14697" spans="5:5">
      <c r="E14697" s="51"/>
    </row>
    <row r="14698" spans="5:5">
      <c r="E14698" s="51"/>
    </row>
    <row r="14699" spans="5:5">
      <c r="E14699" s="51"/>
    </row>
    <row r="14700" spans="5:5">
      <c r="E14700" s="51"/>
    </row>
    <row r="14701" spans="5:5">
      <c r="E14701" s="51"/>
    </row>
    <row r="14702" spans="5:5">
      <c r="E14702" s="51"/>
    </row>
    <row r="14703" spans="5:5">
      <c r="E14703" s="51"/>
    </row>
    <row r="14704" spans="5:5">
      <c r="E14704" s="51"/>
    </row>
    <row r="14705" spans="5:5">
      <c r="E14705" s="51"/>
    </row>
    <row r="14706" spans="5:5">
      <c r="E14706" s="51"/>
    </row>
    <row r="14707" spans="5:5">
      <c r="E14707" s="51"/>
    </row>
    <row r="14708" spans="5:5">
      <c r="E14708" s="51"/>
    </row>
    <row r="14709" spans="5:5">
      <c r="E14709" s="51"/>
    </row>
    <row r="14710" spans="5:5">
      <c r="E14710" s="51"/>
    </row>
    <row r="14711" spans="5:5">
      <c r="E14711" s="51"/>
    </row>
    <row r="14712" spans="5:5">
      <c r="E14712" s="51"/>
    </row>
    <row r="14713" spans="5:5">
      <c r="E14713" s="51"/>
    </row>
    <row r="14714" spans="5:5">
      <c r="E14714" s="51"/>
    </row>
    <row r="14715" spans="5:5">
      <c r="E14715" s="51"/>
    </row>
    <row r="14716" spans="5:5">
      <c r="E14716" s="51"/>
    </row>
    <row r="14717" spans="5:5">
      <c r="E14717" s="51"/>
    </row>
    <row r="14718" spans="5:5">
      <c r="E14718" s="51"/>
    </row>
    <row r="14719" spans="5:5">
      <c r="E14719" s="51"/>
    </row>
    <row r="14720" spans="5:5">
      <c r="E14720" s="51"/>
    </row>
    <row r="14721" spans="5:5">
      <c r="E14721" s="51"/>
    </row>
    <row r="14722" spans="5:5">
      <c r="E14722" s="51"/>
    </row>
    <row r="14723" spans="5:5">
      <c r="E14723" s="51"/>
    </row>
    <row r="14724" spans="5:5">
      <c r="E14724" s="51"/>
    </row>
    <row r="14725" spans="5:5">
      <c r="E14725" s="51"/>
    </row>
    <row r="14726" spans="5:5">
      <c r="E14726" s="51"/>
    </row>
    <row r="14727" spans="5:5">
      <c r="E14727" s="51"/>
    </row>
    <row r="14728" spans="5:5">
      <c r="E14728" s="51"/>
    </row>
    <row r="14729" spans="5:5">
      <c r="E14729" s="51"/>
    </row>
    <row r="14730" spans="5:5">
      <c r="E14730" s="51"/>
    </row>
    <row r="14731" spans="5:5">
      <c r="E14731" s="51"/>
    </row>
    <row r="14732" spans="5:5">
      <c r="E14732" s="51"/>
    </row>
    <row r="14733" spans="5:5">
      <c r="E14733" s="51"/>
    </row>
    <row r="14734" spans="5:5">
      <c r="E14734" s="51"/>
    </row>
    <row r="14735" spans="5:5">
      <c r="E14735" s="51"/>
    </row>
    <row r="14736" spans="5:5">
      <c r="E14736" s="51"/>
    </row>
    <row r="14737" spans="5:5">
      <c r="E14737" s="51"/>
    </row>
    <row r="14738" spans="5:5">
      <c r="E14738" s="51"/>
    </row>
    <row r="14739" spans="5:5">
      <c r="E14739" s="51"/>
    </row>
    <row r="14740" spans="5:5">
      <c r="E14740" s="51"/>
    </row>
    <row r="14741" spans="5:5">
      <c r="E14741" s="51"/>
    </row>
    <row r="14742" spans="5:5">
      <c r="E14742" s="51"/>
    </row>
    <row r="14743" spans="5:5">
      <c r="E14743" s="51"/>
    </row>
    <row r="14744" spans="5:5">
      <c r="E14744" s="51"/>
    </row>
    <row r="14745" spans="5:5">
      <c r="E14745" s="51"/>
    </row>
    <row r="14746" spans="5:5">
      <c r="E14746" s="51"/>
    </row>
    <row r="14747" spans="5:5">
      <c r="E14747" s="51"/>
    </row>
    <row r="14748" spans="5:5">
      <c r="E14748" s="51"/>
    </row>
    <row r="14749" spans="5:5">
      <c r="E14749" s="51"/>
    </row>
    <row r="14750" spans="5:5">
      <c r="E14750" s="51"/>
    </row>
    <row r="14751" spans="5:5">
      <c r="E14751" s="51"/>
    </row>
    <row r="14752" spans="5:5">
      <c r="E14752" s="51"/>
    </row>
    <row r="14753" spans="5:5">
      <c r="E14753" s="51"/>
    </row>
    <row r="14754" spans="5:5">
      <c r="E14754" s="51"/>
    </row>
    <row r="14755" spans="5:5">
      <c r="E14755" s="51"/>
    </row>
    <row r="14756" spans="5:5">
      <c r="E14756" s="51"/>
    </row>
    <row r="14757" spans="5:5">
      <c r="E14757" s="51"/>
    </row>
    <row r="14758" spans="5:5">
      <c r="E14758" s="51"/>
    </row>
    <row r="14759" spans="5:5">
      <c r="E14759" s="51"/>
    </row>
    <row r="14760" spans="5:5">
      <c r="E14760" s="51"/>
    </row>
    <row r="14761" spans="5:5">
      <c r="E14761" s="51"/>
    </row>
    <row r="14762" spans="5:5">
      <c r="E14762" s="51"/>
    </row>
    <row r="14763" spans="5:5">
      <c r="E14763" s="51"/>
    </row>
    <row r="14764" spans="5:5">
      <c r="E14764" s="51"/>
    </row>
    <row r="14765" spans="5:5">
      <c r="E14765" s="51"/>
    </row>
    <row r="14766" spans="5:5">
      <c r="E14766" s="51"/>
    </row>
    <row r="14767" spans="5:5">
      <c r="E14767" s="51"/>
    </row>
    <row r="14768" spans="5:5">
      <c r="E14768" s="51"/>
    </row>
    <row r="14769" spans="5:5">
      <c r="E14769" s="51"/>
    </row>
    <row r="14770" spans="5:5">
      <c r="E14770" s="51"/>
    </row>
    <row r="14771" spans="5:5">
      <c r="E14771" s="51"/>
    </row>
    <row r="14772" spans="5:5">
      <c r="E14772" s="51"/>
    </row>
    <row r="14773" spans="5:5">
      <c r="E14773" s="51"/>
    </row>
    <row r="14774" spans="5:5">
      <c r="E14774" s="51"/>
    </row>
    <row r="14775" spans="5:5">
      <c r="E14775" s="51"/>
    </row>
    <row r="14776" spans="5:5">
      <c r="E14776" s="51"/>
    </row>
    <row r="14777" spans="5:5">
      <c r="E14777" s="51"/>
    </row>
    <row r="14778" spans="5:5">
      <c r="E14778" s="51"/>
    </row>
    <row r="14779" spans="5:5">
      <c r="E14779" s="51"/>
    </row>
    <row r="14780" spans="5:5">
      <c r="E14780" s="51"/>
    </row>
    <row r="14781" spans="5:5">
      <c r="E14781" s="51"/>
    </row>
    <row r="14782" spans="5:5">
      <c r="E14782" s="51"/>
    </row>
    <row r="14783" spans="5:5">
      <c r="E14783" s="51"/>
    </row>
    <row r="14784" spans="5:5">
      <c r="E14784" s="51"/>
    </row>
    <row r="14785" spans="5:5">
      <c r="E14785" s="51"/>
    </row>
    <row r="14786" spans="5:5">
      <c r="E14786" s="51"/>
    </row>
    <row r="14787" spans="5:5">
      <c r="E14787" s="51"/>
    </row>
    <row r="14788" spans="5:5">
      <c r="E14788" s="51"/>
    </row>
    <row r="14789" spans="5:5">
      <c r="E14789" s="51"/>
    </row>
    <row r="14790" spans="5:5">
      <c r="E14790" s="51"/>
    </row>
    <row r="14791" spans="5:5">
      <c r="E14791" s="51"/>
    </row>
    <row r="14792" spans="5:5">
      <c r="E14792" s="51"/>
    </row>
    <row r="14793" spans="5:5">
      <c r="E14793" s="51"/>
    </row>
    <row r="14794" spans="5:5">
      <c r="E14794" s="51"/>
    </row>
    <row r="14795" spans="5:5">
      <c r="E14795" s="51"/>
    </row>
    <row r="14796" spans="5:5">
      <c r="E14796" s="51"/>
    </row>
    <row r="14797" spans="5:5">
      <c r="E14797" s="51"/>
    </row>
    <row r="14798" spans="5:5">
      <c r="E14798" s="51"/>
    </row>
    <row r="14799" spans="5:5">
      <c r="E14799" s="51"/>
    </row>
    <row r="14800" spans="5:5">
      <c r="E14800" s="51"/>
    </row>
    <row r="14801" spans="5:5">
      <c r="E14801" s="51"/>
    </row>
    <row r="14802" spans="5:5">
      <c r="E14802" s="51"/>
    </row>
    <row r="14803" spans="5:5">
      <c r="E14803" s="51"/>
    </row>
    <row r="14804" spans="5:5">
      <c r="E14804" s="51"/>
    </row>
    <row r="14805" spans="5:5">
      <c r="E14805" s="51"/>
    </row>
    <row r="14806" spans="5:5">
      <c r="E14806" s="51"/>
    </row>
    <row r="14807" spans="5:5">
      <c r="E14807" s="51"/>
    </row>
    <row r="14808" spans="5:5">
      <c r="E14808" s="51"/>
    </row>
    <row r="14809" spans="5:5">
      <c r="E14809" s="51"/>
    </row>
    <row r="14810" spans="5:5">
      <c r="E14810" s="51"/>
    </row>
    <row r="14811" spans="5:5">
      <c r="E14811" s="51"/>
    </row>
    <row r="14812" spans="5:5">
      <c r="E14812" s="51"/>
    </row>
    <row r="14813" spans="5:5">
      <c r="E14813" s="51"/>
    </row>
    <row r="14814" spans="5:5">
      <c r="E14814" s="51"/>
    </row>
    <row r="14815" spans="5:5">
      <c r="E14815" s="51"/>
    </row>
    <row r="14816" spans="5:5">
      <c r="E14816" s="51"/>
    </row>
    <row r="14817" spans="5:5">
      <c r="E14817" s="51"/>
    </row>
    <row r="14818" spans="5:5">
      <c r="E14818" s="51"/>
    </row>
    <row r="14819" spans="5:5">
      <c r="E14819" s="51"/>
    </row>
    <row r="14820" spans="5:5">
      <c r="E14820" s="51"/>
    </row>
    <row r="14821" spans="5:5">
      <c r="E14821" s="51"/>
    </row>
    <row r="14822" spans="5:5">
      <c r="E14822" s="51"/>
    </row>
    <row r="14823" spans="5:5">
      <c r="E14823" s="51"/>
    </row>
    <row r="14824" spans="5:5">
      <c r="E14824" s="51"/>
    </row>
    <row r="14825" spans="5:5">
      <c r="E14825" s="51"/>
    </row>
    <row r="14826" spans="5:5">
      <c r="E14826" s="51"/>
    </row>
    <row r="14827" spans="5:5">
      <c r="E14827" s="51"/>
    </row>
    <row r="14828" spans="5:5">
      <c r="E14828" s="51"/>
    </row>
    <row r="14829" spans="5:5">
      <c r="E14829" s="51"/>
    </row>
    <row r="14830" spans="5:5">
      <c r="E14830" s="51"/>
    </row>
    <row r="14831" spans="5:5">
      <c r="E14831" s="51"/>
    </row>
    <row r="14832" spans="5:5">
      <c r="E14832" s="51"/>
    </row>
    <row r="14833" spans="5:5">
      <c r="E14833" s="51"/>
    </row>
    <row r="14834" spans="5:5">
      <c r="E14834" s="51"/>
    </row>
    <row r="14835" spans="5:5">
      <c r="E14835" s="51"/>
    </row>
    <row r="14836" spans="5:5">
      <c r="E14836" s="51"/>
    </row>
    <row r="14837" spans="5:5">
      <c r="E14837" s="51"/>
    </row>
    <row r="14838" spans="5:5">
      <c r="E14838" s="51"/>
    </row>
    <row r="14839" spans="5:5">
      <c r="E14839" s="51"/>
    </row>
    <row r="14840" spans="5:5">
      <c r="E14840" s="51"/>
    </row>
    <row r="14841" spans="5:5">
      <c r="E14841" s="51"/>
    </row>
    <row r="14842" spans="5:5">
      <c r="E14842" s="51"/>
    </row>
    <row r="14843" spans="5:5">
      <c r="E14843" s="51"/>
    </row>
    <row r="14844" spans="5:5">
      <c r="E14844" s="51"/>
    </row>
    <row r="14845" spans="5:5">
      <c r="E14845" s="51"/>
    </row>
    <row r="14846" spans="5:5">
      <c r="E14846" s="51"/>
    </row>
    <row r="14847" spans="5:5">
      <c r="E14847" s="51"/>
    </row>
    <row r="14848" spans="5:5">
      <c r="E14848" s="51"/>
    </row>
    <row r="14849" spans="5:5">
      <c r="E14849" s="51"/>
    </row>
    <row r="14850" spans="5:5">
      <c r="E14850" s="51"/>
    </row>
    <row r="14851" spans="5:5">
      <c r="E14851" s="51"/>
    </row>
    <row r="14852" spans="5:5">
      <c r="E14852" s="51"/>
    </row>
    <row r="14853" spans="5:5">
      <c r="E14853" s="51"/>
    </row>
    <row r="14854" spans="5:5">
      <c r="E14854" s="51"/>
    </row>
    <row r="14855" spans="5:5">
      <c r="E14855" s="51"/>
    </row>
    <row r="14856" spans="5:5">
      <c r="E14856" s="51"/>
    </row>
    <row r="14857" spans="5:5">
      <c r="E14857" s="51"/>
    </row>
    <row r="14858" spans="5:5">
      <c r="E14858" s="51"/>
    </row>
    <row r="14859" spans="5:5">
      <c r="E14859" s="51"/>
    </row>
    <row r="14860" spans="5:5">
      <c r="E14860" s="51"/>
    </row>
    <row r="14861" spans="5:5">
      <c r="E14861" s="51"/>
    </row>
    <row r="14862" spans="5:5">
      <c r="E14862" s="51"/>
    </row>
    <row r="14863" spans="5:5">
      <c r="E14863" s="51"/>
    </row>
    <row r="14864" spans="5:5">
      <c r="E14864" s="51"/>
    </row>
    <row r="14865" spans="5:5">
      <c r="E14865" s="51"/>
    </row>
    <row r="14866" spans="5:5">
      <c r="E14866" s="51"/>
    </row>
    <row r="14867" spans="5:5">
      <c r="E14867" s="51"/>
    </row>
    <row r="14868" spans="5:5">
      <c r="E14868" s="51"/>
    </row>
    <row r="14869" spans="5:5">
      <c r="E14869" s="51"/>
    </row>
    <row r="14870" spans="5:5">
      <c r="E14870" s="51"/>
    </row>
    <row r="14871" spans="5:5">
      <c r="E14871" s="51"/>
    </row>
    <row r="14872" spans="5:5">
      <c r="E14872" s="51"/>
    </row>
    <row r="14873" spans="5:5">
      <c r="E14873" s="51"/>
    </row>
    <row r="14874" spans="5:5">
      <c r="E14874" s="51"/>
    </row>
    <row r="14875" spans="5:5">
      <c r="E14875" s="51"/>
    </row>
    <row r="14876" spans="5:5">
      <c r="E14876" s="51"/>
    </row>
    <row r="14877" spans="5:5">
      <c r="E14877" s="51"/>
    </row>
    <row r="14878" spans="5:5">
      <c r="E14878" s="51"/>
    </row>
    <row r="14879" spans="5:5">
      <c r="E14879" s="51"/>
    </row>
    <row r="14880" spans="5:5">
      <c r="E14880" s="51"/>
    </row>
    <row r="14881" spans="5:5">
      <c r="E14881" s="51"/>
    </row>
    <row r="14882" spans="5:5">
      <c r="E14882" s="51"/>
    </row>
    <row r="14883" spans="5:5">
      <c r="E14883" s="51"/>
    </row>
    <row r="14884" spans="5:5">
      <c r="E14884" s="51"/>
    </row>
    <row r="14885" spans="5:5">
      <c r="E14885" s="51"/>
    </row>
    <row r="14886" spans="5:5">
      <c r="E14886" s="51"/>
    </row>
    <row r="14887" spans="5:5">
      <c r="E14887" s="51"/>
    </row>
    <row r="14888" spans="5:5">
      <c r="E14888" s="51"/>
    </row>
    <row r="14889" spans="5:5">
      <c r="E14889" s="51"/>
    </row>
    <row r="14890" spans="5:5">
      <c r="E14890" s="51"/>
    </row>
    <row r="14891" spans="5:5">
      <c r="E14891" s="51"/>
    </row>
    <row r="14892" spans="5:5">
      <c r="E14892" s="51"/>
    </row>
    <row r="14893" spans="5:5">
      <c r="E14893" s="51"/>
    </row>
    <row r="14894" spans="5:5">
      <c r="E14894" s="51"/>
    </row>
    <row r="14895" spans="5:5">
      <c r="E14895" s="51"/>
    </row>
    <row r="14896" spans="5:5">
      <c r="E14896" s="51"/>
    </row>
    <row r="14897" spans="5:5">
      <c r="E14897" s="51"/>
    </row>
    <row r="14898" spans="5:5">
      <c r="E14898" s="51"/>
    </row>
    <row r="14899" spans="5:5">
      <c r="E14899" s="51"/>
    </row>
    <row r="14900" spans="5:5">
      <c r="E14900" s="51"/>
    </row>
    <row r="14901" spans="5:5">
      <c r="E14901" s="51"/>
    </row>
    <row r="14902" spans="5:5">
      <c r="E14902" s="51"/>
    </row>
    <row r="14903" spans="5:5">
      <c r="E14903" s="51"/>
    </row>
    <row r="14904" spans="5:5">
      <c r="E14904" s="51"/>
    </row>
    <row r="14905" spans="5:5">
      <c r="E14905" s="51"/>
    </row>
    <row r="14906" spans="5:5">
      <c r="E14906" s="51"/>
    </row>
    <row r="14907" spans="5:5">
      <c r="E14907" s="51"/>
    </row>
    <row r="14908" spans="5:5">
      <c r="E14908" s="51"/>
    </row>
    <row r="14909" spans="5:5">
      <c r="E14909" s="51"/>
    </row>
    <row r="14910" spans="5:5">
      <c r="E14910" s="51"/>
    </row>
    <row r="14911" spans="5:5">
      <c r="E14911" s="51"/>
    </row>
    <row r="14912" spans="5:5">
      <c r="E14912" s="51"/>
    </row>
    <row r="14913" spans="5:5">
      <c r="E14913" s="51"/>
    </row>
    <row r="14914" spans="5:5">
      <c r="E14914" s="51"/>
    </row>
    <row r="14915" spans="5:5">
      <c r="E14915" s="51"/>
    </row>
    <row r="14916" spans="5:5">
      <c r="E14916" s="51"/>
    </row>
    <row r="14917" spans="5:5">
      <c r="E14917" s="51"/>
    </row>
    <row r="14918" spans="5:5">
      <c r="E14918" s="51"/>
    </row>
    <row r="14919" spans="5:5">
      <c r="E14919" s="51"/>
    </row>
    <row r="14920" spans="5:5">
      <c r="E14920" s="51"/>
    </row>
    <row r="14921" spans="5:5">
      <c r="E14921" s="51"/>
    </row>
    <row r="14922" spans="5:5">
      <c r="E14922" s="51"/>
    </row>
    <row r="14923" spans="5:5">
      <c r="E14923" s="51"/>
    </row>
    <row r="14924" spans="5:5">
      <c r="E14924" s="51"/>
    </row>
    <row r="14925" spans="5:5">
      <c r="E14925" s="51"/>
    </row>
    <row r="14926" spans="5:5">
      <c r="E14926" s="51"/>
    </row>
    <row r="14927" spans="5:5">
      <c r="E14927" s="51"/>
    </row>
    <row r="14928" spans="5:5">
      <c r="E14928" s="51"/>
    </row>
    <row r="14929" spans="5:5">
      <c r="E14929" s="51"/>
    </row>
    <row r="14930" spans="5:5">
      <c r="E14930" s="51"/>
    </row>
    <row r="14931" spans="5:5">
      <c r="E14931" s="51"/>
    </row>
    <row r="14932" spans="5:5">
      <c r="E14932" s="51"/>
    </row>
    <row r="14933" spans="5:5">
      <c r="E14933" s="51"/>
    </row>
    <row r="14934" spans="5:5">
      <c r="E14934" s="51"/>
    </row>
    <row r="14935" spans="5:5">
      <c r="E14935" s="51"/>
    </row>
    <row r="14936" spans="5:5">
      <c r="E14936" s="51"/>
    </row>
    <row r="14937" spans="5:5">
      <c r="E14937" s="51"/>
    </row>
    <row r="14938" spans="5:5">
      <c r="E14938" s="51"/>
    </row>
    <row r="14939" spans="5:5">
      <c r="E14939" s="51"/>
    </row>
    <row r="14940" spans="5:5">
      <c r="E14940" s="51"/>
    </row>
    <row r="14941" spans="5:5">
      <c r="E14941" s="51"/>
    </row>
    <row r="14942" spans="5:5">
      <c r="E14942" s="51"/>
    </row>
    <row r="14943" spans="5:5">
      <c r="E14943" s="51"/>
    </row>
    <row r="14944" spans="5:5">
      <c r="E14944" s="51"/>
    </row>
    <row r="14945" spans="5:5">
      <c r="E14945" s="51"/>
    </row>
    <row r="14946" spans="5:5">
      <c r="E14946" s="51"/>
    </row>
    <row r="14947" spans="5:5">
      <c r="E14947" s="51"/>
    </row>
    <row r="14948" spans="5:5">
      <c r="E14948" s="51"/>
    </row>
    <row r="14949" spans="5:5">
      <c r="E14949" s="51"/>
    </row>
    <row r="14950" spans="5:5">
      <c r="E14950" s="51"/>
    </row>
    <row r="14951" spans="5:5">
      <c r="E14951" s="51"/>
    </row>
    <row r="14952" spans="5:5">
      <c r="E14952" s="51"/>
    </row>
    <row r="14953" spans="5:5">
      <c r="E14953" s="51"/>
    </row>
    <row r="14954" spans="5:5">
      <c r="E14954" s="51"/>
    </row>
    <row r="14955" spans="5:5">
      <c r="E14955" s="51"/>
    </row>
    <row r="14956" spans="5:5">
      <c r="E14956" s="51"/>
    </row>
    <row r="14957" spans="5:5">
      <c r="E14957" s="51"/>
    </row>
    <row r="14958" spans="5:5">
      <c r="E14958" s="51"/>
    </row>
    <row r="14959" spans="5:5">
      <c r="E14959" s="51"/>
    </row>
    <row r="14960" spans="5:5">
      <c r="E14960" s="51"/>
    </row>
    <row r="14961" spans="5:5">
      <c r="E14961" s="51"/>
    </row>
    <row r="14962" spans="5:5">
      <c r="E14962" s="51"/>
    </row>
    <row r="14963" spans="5:5">
      <c r="E14963" s="51"/>
    </row>
    <row r="14964" spans="5:5">
      <c r="E14964" s="51"/>
    </row>
    <row r="14965" spans="5:5">
      <c r="E14965" s="51"/>
    </row>
    <row r="14966" spans="5:5">
      <c r="E14966" s="51"/>
    </row>
    <row r="14967" spans="5:5">
      <c r="E14967" s="51"/>
    </row>
    <row r="14968" spans="5:5">
      <c r="E14968" s="51"/>
    </row>
    <row r="14969" spans="5:5">
      <c r="E14969" s="51"/>
    </row>
    <row r="14970" spans="5:5">
      <c r="E14970" s="51"/>
    </row>
    <row r="14971" spans="5:5">
      <c r="E14971" s="51"/>
    </row>
    <row r="14972" spans="5:5">
      <c r="E14972" s="51"/>
    </row>
    <row r="14973" spans="5:5">
      <c r="E14973" s="51"/>
    </row>
    <row r="14974" spans="5:5">
      <c r="E14974" s="51"/>
    </row>
    <row r="14975" spans="5:5">
      <c r="E14975" s="51"/>
    </row>
    <row r="14976" spans="5:5">
      <c r="E14976" s="51"/>
    </row>
    <row r="14977" spans="5:5">
      <c r="E14977" s="51"/>
    </row>
    <row r="14978" spans="5:5">
      <c r="E14978" s="51"/>
    </row>
    <row r="14979" spans="5:5">
      <c r="E14979" s="51"/>
    </row>
    <row r="14980" spans="5:5">
      <c r="E14980" s="51"/>
    </row>
    <row r="14981" spans="5:5">
      <c r="E14981" s="51"/>
    </row>
    <row r="14982" spans="5:5">
      <c r="E14982" s="51"/>
    </row>
    <row r="14983" spans="5:5">
      <c r="E14983" s="51"/>
    </row>
    <row r="14984" spans="5:5">
      <c r="E14984" s="51"/>
    </row>
    <row r="14985" spans="5:5">
      <c r="E14985" s="51"/>
    </row>
    <row r="14986" spans="5:5">
      <c r="E14986" s="51"/>
    </row>
    <row r="14987" spans="5:5">
      <c r="E14987" s="51"/>
    </row>
    <row r="14988" spans="5:5">
      <c r="E14988" s="51"/>
    </row>
    <row r="14989" spans="5:5">
      <c r="E14989" s="51"/>
    </row>
    <row r="14990" spans="5:5">
      <c r="E14990" s="51"/>
    </row>
    <row r="14991" spans="5:5">
      <c r="E14991" s="51"/>
    </row>
    <row r="14992" spans="5:5">
      <c r="E14992" s="51"/>
    </row>
    <row r="14993" spans="5:5">
      <c r="E14993" s="51"/>
    </row>
    <row r="14994" spans="5:5">
      <c r="E14994" s="51"/>
    </row>
    <row r="14995" spans="5:5">
      <c r="E14995" s="51"/>
    </row>
    <row r="14996" spans="5:5">
      <c r="E14996" s="51"/>
    </row>
    <row r="14997" spans="5:5">
      <c r="E14997" s="51"/>
    </row>
    <row r="14998" spans="5:5">
      <c r="E14998" s="51"/>
    </row>
    <row r="14999" spans="5:5">
      <c r="E14999" s="51"/>
    </row>
    <row r="15000" spans="5:5">
      <c r="E15000" s="51"/>
    </row>
    <row r="15001" spans="5:5">
      <c r="E15001" s="51"/>
    </row>
    <row r="15002" spans="5:5">
      <c r="E15002" s="51"/>
    </row>
    <row r="15003" spans="5:5">
      <c r="E15003" s="51"/>
    </row>
    <row r="15004" spans="5:5">
      <c r="E15004" s="51"/>
    </row>
    <row r="15005" spans="5:5">
      <c r="E15005" s="51"/>
    </row>
    <row r="15006" spans="5:5">
      <c r="E15006" s="51"/>
    </row>
    <row r="15007" spans="5:5">
      <c r="E15007" s="51"/>
    </row>
    <row r="15008" spans="5:5">
      <c r="E15008" s="51"/>
    </row>
    <row r="15009" spans="5:5">
      <c r="E15009" s="51"/>
    </row>
    <row r="15010" spans="5:5">
      <c r="E15010" s="51"/>
    </row>
    <row r="15011" spans="5:5">
      <c r="E15011" s="51"/>
    </row>
    <row r="15012" spans="5:5">
      <c r="E15012" s="51"/>
    </row>
    <row r="15013" spans="5:5">
      <c r="E15013" s="51"/>
    </row>
    <row r="15014" spans="5:5">
      <c r="E15014" s="51"/>
    </row>
    <row r="15015" spans="5:5">
      <c r="E15015" s="51"/>
    </row>
    <row r="15016" spans="5:5">
      <c r="E15016" s="51"/>
    </row>
    <row r="15017" spans="5:5">
      <c r="E15017" s="51"/>
    </row>
    <row r="15018" spans="5:5">
      <c r="E15018" s="51"/>
    </row>
    <row r="15019" spans="5:5">
      <c r="E15019" s="51"/>
    </row>
    <row r="15020" spans="5:5">
      <c r="E15020" s="51"/>
    </row>
    <row r="15021" spans="5:5">
      <c r="E15021" s="51"/>
    </row>
    <row r="15022" spans="5:5">
      <c r="E15022" s="51"/>
    </row>
    <row r="15023" spans="5:5">
      <c r="E15023" s="51"/>
    </row>
    <row r="15024" spans="5:5">
      <c r="E15024" s="51"/>
    </row>
    <row r="15025" spans="5:5">
      <c r="E15025" s="51"/>
    </row>
    <row r="15026" spans="5:5">
      <c r="E15026" s="51"/>
    </row>
    <row r="15027" spans="5:5">
      <c r="E15027" s="51"/>
    </row>
    <row r="15028" spans="5:5">
      <c r="E15028" s="51"/>
    </row>
    <row r="15029" spans="5:5">
      <c r="E15029" s="51"/>
    </row>
    <row r="15030" spans="5:5">
      <c r="E15030" s="51"/>
    </row>
    <row r="15031" spans="5:5">
      <c r="E15031" s="51"/>
    </row>
    <row r="15032" spans="5:5">
      <c r="E15032" s="51"/>
    </row>
    <row r="15033" spans="5:5">
      <c r="E15033" s="51"/>
    </row>
    <row r="15034" spans="5:5">
      <c r="E15034" s="51"/>
    </row>
    <row r="15035" spans="5:5">
      <c r="E15035" s="51"/>
    </row>
    <row r="15036" spans="5:5">
      <c r="E15036" s="51"/>
    </row>
    <row r="15037" spans="5:5">
      <c r="E15037" s="51"/>
    </row>
    <row r="15038" spans="5:5">
      <c r="E15038" s="51"/>
    </row>
    <row r="15039" spans="5:5">
      <c r="E15039" s="51"/>
    </row>
    <row r="15040" spans="5:5">
      <c r="E15040" s="51"/>
    </row>
    <row r="15041" spans="5:5">
      <c r="E15041" s="51"/>
    </row>
    <row r="15042" spans="5:5">
      <c r="E15042" s="51"/>
    </row>
    <row r="15043" spans="5:5">
      <c r="E15043" s="51"/>
    </row>
    <row r="15044" spans="5:5">
      <c r="E15044" s="51"/>
    </row>
    <row r="15045" spans="5:5">
      <c r="E15045" s="51"/>
    </row>
    <row r="15046" spans="5:5">
      <c r="E15046" s="51"/>
    </row>
    <row r="15047" spans="5:5">
      <c r="E15047" s="51"/>
    </row>
    <row r="15048" spans="5:5">
      <c r="E15048" s="51"/>
    </row>
    <row r="15049" spans="5:5">
      <c r="E15049" s="51"/>
    </row>
    <row r="15050" spans="5:5">
      <c r="E15050" s="51"/>
    </row>
    <row r="15051" spans="5:5">
      <c r="E15051" s="51"/>
    </row>
    <row r="15052" spans="5:5">
      <c r="E15052" s="51"/>
    </row>
    <row r="15053" spans="5:5">
      <c r="E15053" s="51"/>
    </row>
    <row r="15054" spans="5:5">
      <c r="E15054" s="51"/>
    </row>
    <row r="15055" spans="5:5">
      <c r="E15055" s="51"/>
    </row>
    <row r="15056" spans="5:5">
      <c r="E15056" s="51"/>
    </row>
    <row r="15057" spans="5:5">
      <c r="E15057" s="51"/>
    </row>
    <row r="15058" spans="5:5">
      <c r="E15058" s="51"/>
    </row>
    <row r="15059" spans="5:5">
      <c r="E15059" s="51"/>
    </row>
    <row r="15060" spans="5:5">
      <c r="E15060" s="51"/>
    </row>
    <row r="15061" spans="5:5">
      <c r="E15061" s="51"/>
    </row>
    <row r="15062" spans="5:5">
      <c r="E15062" s="51"/>
    </row>
    <row r="15063" spans="5:5">
      <c r="E15063" s="51"/>
    </row>
    <row r="15064" spans="5:5">
      <c r="E15064" s="51"/>
    </row>
    <row r="15065" spans="5:5">
      <c r="E15065" s="51"/>
    </row>
    <row r="15066" spans="5:5">
      <c r="E15066" s="51"/>
    </row>
    <row r="15067" spans="5:5">
      <c r="E15067" s="51"/>
    </row>
    <row r="15068" spans="5:5">
      <c r="E15068" s="51"/>
    </row>
    <row r="15069" spans="5:5">
      <c r="E15069" s="51"/>
    </row>
    <row r="15070" spans="5:5">
      <c r="E15070" s="51"/>
    </row>
    <row r="15071" spans="5:5">
      <c r="E15071" s="51"/>
    </row>
    <row r="15072" spans="5:5">
      <c r="E15072" s="51"/>
    </row>
    <row r="15073" spans="5:5">
      <c r="E15073" s="51"/>
    </row>
    <row r="15074" spans="5:5">
      <c r="E15074" s="51"/>
    </row>
    <row r="15075" spans="5:5">
      <c r="E15075" s="51"/>
    </row>
    <row r="15076" spans="5:5">
      <c r="E15076" s="51"/>
    </row>
    <row r="15077" spans="5:5">
      <c r="E15077" s="51"/>
    </row>
    <row r="15078" spans="5:5">
      <c r="E15078" s="51"/>
    </row>
    <row r="15079" spans="5:5">
      <c r="E15079" s="51"/>
    </row>
    <row r="15080" spans="5:5">
      <c r="E15080" s="51"/>
    </row>
    <row r="15081" spans="5:5">
      <c r="E15081" s="51"/>
    </row>
    <row r="15082" spans="5:5">
      <c r="E15082" s="51"/>
    </row>
    <row r="15083" spans="5:5">
      <c r="E15083" s="51"/>
    </row>
    <row r="15084" spans="5:5">
      <c r="E15084" s="51"/>
    </row>
    <row r="15085" spans="5:5">
      <c r="E15085" s="51"/>
    </row>
    <row r="15086" spans="5:5">
      <c r="E15086" s="51"/>
    </row>
    <row r="15087" spans="5:5">
      <c r="E15087" s="51"/>
    </row>
    <row r="15088" spans="5:5">
      <c r="E15088" s="51"/>
    </row>
    <row r="15089" spans="5:5">
      <c r="E15089" s="51"/>
    </row>
    <row r="15090" spans="5:5">
      <c r="E15090" s="51"/>
    </row>
    <row r="15091" spans="5:5">
      <c r="E15091" s="51"/>
    </row>
    <row r="15092" spans="5:5">
      <c r="E15092" s="51"/>
    </row>
    <row r="15093" spans="5:5">
      <c r="E15093" s="51"/>
    </row>
    <row r="15094" spans="5:5">
      <c r="E15094" s="51"/>
    </row>
    <row r="15095" spans="5:5">
      <c r="E15095" s="51"/>
    </row>
    <row r="15096" spans="5:5">
      <c r="E15096" s="51"/>
    </row>
    <row r="15097" spans="5:5">
      <c r="E15097" s="51"/>
    </row>
    <row r="15098" spans="5:5">
      <c r="E15098" s="51"/>
    </row>
    <row r="15099" spans="5:5">
      <c r="E15099" s="51"/>
    </row>
    <row r="15100" spans="5:5">
      <c r="E15100" s="51"/>
    </row>
    <row r="15101" spans="5:5">
      <c r="E15101" s="51"/>
    </row>
    <row r="15102" spans="5:5">
      <c r="E15102" s="51"/>
    </row>
    <row r="15103" spans="5:5">
      <c r="E15103" s="51"/>
    </row>
    <row r="15104" spans="5:5">
      <c r="E15104" s="51"/>
    </row>
    <row r="15105" spans="5:5">
      <c r="E15105" s="51"/>
    </row>
    <row r="15106" spans="5:5">
      <c r="E15106" s="51"/>
    </row>
    <row r="15107" spans="5:5">
      <c r="E15107" s="51"/>
    </row>
    <row r="15108" spans="5:5">
      <c r="E15108" s="51"/>
    </row>
    <row r="15109" spans="5:5">
      <c r="E15109" s="51"/>
    </row>
    <row r="15110" spans="5:5">
      <c r="E15110" s="51"/>
    </row>
    <row r="15111" spans="5:5">
      <c r="E15111" s="51"/>
    </row>
    <row r="15112" spans="5:5">
      <c r="E15112" s="51"/>
    </row>
    <row r="15113" spans="5:5">
      <c r="E15113" s="51"/>
    </row>
    <row r="15114" spans="5:5">
      <c r="E15114" s="51"/>
    </row>
    <row r="15115" spans="5:5">
      <c r="E15115" s="51"/>
    </row>
    <row r="15116" spans="5:5">
      <c r="E15116" s="51"/>
    </row>
    <row r="15117" spans="5:5">
      <c r="E15117" s="51"/>
    </row>
    <row r="15118" spans="5:5">
      <c r="E15118" s="51"/>
    </row>
    <row r="15119" spans="5:5">
      <c r="E15119" s="51"/>
    </row>
    <row r="15120" spans="5:5">
      <c r="E15120" s="51"/>
    </row>
    <row r="15121" spans="5:5">
      <c r="E15121" s="51"/>
    </row>
    <row r="15122" spans="5:5">
      <c r="E15122" s="51"/>
    </row>
    <row r="15123" spans="5:5">
      <c r="E15123" s="51"/>
    </row>
    <row r="15124" spans="5:5">
      <c r="E15124" s="51"/>
    </row>
    <row r="15125" spans="5:5">
      <c r="E15125" s="51"/>
    </row>
    <row r="15126" spans="5:5">
      <c r="E15126" s="51"/>
    </row>
    <row r="15127" spans="5:5">
      <c r="E15127" s="51"/>
    </row>
    <row r="15128" spans="5:5">
      <c r="E15128" s="51"/>
    </row>
    <row r="15129" spans="5:5">
      <c r="E15129" s="51"/>
    </row>
    <row r="15130" spans="5:5">
      <c r="E15130" s="51"/>
    </row>
    <row r="15131" spans="5:5">
      <c r="E15131" s="51"/>
    </row>
    <row r="15132" spans="5:5">
      <c r="E15132" s="51"/>
    </row>
    <row r="15133" spans="5:5">
      <c r="E15133" s="51"/>
    </row>
    <row r="15134" spans="5:5">
      <c r="E15134" s="51"/>
    </row>
    <row r="15135" spans="5:5">
      <c r="E15135" s="51"/>
    </row>
    <row r="15136" spans="5:5">
      <c r="E15136" s="51"/>
    </row>
    <row r="15137" spans="5:5">
      <c r="E15137" s="51"/>
    </row>
    <row r="15138" spans="5:5">
      <c r="E15138" s="51"/>
    </row>
    <row r="15139" spans="5:5">
      <c r="E15139" s="51"/>
    </row>
    <row r="15140" spans="5:5">
      <c r="E15140" s="51"/>
    </row>
    <row r="15141" spans="5:5">
      <c r="E15141" s="51"/>
    </row>
    <row r="15142" spans="5:5">
      <c r="E15142" s="51"/>
    </row>
    <row r="15143" spans="5:5">
      <c r="E15143" s="51"/>
    </row>
    <row r="15144" spans="5:5">
      <c r="E15144" s="51"/>
    </row>
    <row r="15145" spans="5:5">
      <c r="E15145" s="51"/>
    </row>
    <row r="15146" spans="5:5">
      <c r="E15146" s="51"/>
    </row>
    <row r="15147" spans="5:5">
      <c r="E15147" s="51"/>
    </row>
    <row r="15148" spans="5:5">
      <c r="E15148" s="51"/>
    </row>
    <row r="15149" spans="5:5">
      <c r="E15149" s="51"/>
    </row>
    <row r="15150" spans="5:5">
      <c r="E15150" s="51"/>
    </row>
    <row r="15151" spans="5:5">
      <c r="E15151" s="51"/>
    </row>
    <row r="15152" spans="5:5">
      <c r="E15152" s="51"/>
    </row>
    <row r="15153" spans="5:5">
      <c r="E15153" s="51"/>
    </row>
    <row r="15154" spans="5:5">
      <c r="E15154" s="51"/>
    </row>
    <row r="15155" spans="5:5">
      <c r="E15155" s="51"/>
    </row>
    <row r="15156" spans="5:5">
      <c r="E15156" s="51"/>
    </row>
    <row r="15157" spans="5:5">
      <c r="E15157" s="51"/>
    </row>
    <row r="15158" spans="5:5">
      <c r="E15158" s="51"/>
    </row>
    <row r="15159" spans="5:5">
      <c r="E15159" s="51"/>
    </row>
    <row r="15160" spans="5:5">
      <c r="E15160" s="51"/>
    </row>
    <row r="15161" spans="5:5">
      <c r="E15161" s="51"/>
    </row>
    <row r="15162" spans="5:5">
      <c r="E15162" s="51"/>
    </row>
    <row r="15163" spans="5:5">
      <c r="E15163" s="51"/>
    </row>
    <row r="15164" spans="5:5">
      <c r="E15164" s="51"/>
    </row>
    <row r="15165" spans="5:5">
      <c r="E15165" s="51"/>
    </row>
    <row r="15166" spans="5:5">
      <c r="E15166" s="51"/>
    </row>
    <row r="15167" spans="5:5">
      <c r="E15167" s="51"/>
    </row>
    <row r="15168" spans="5:5">
      <c r="E15168" s="51"/>
    </row>
    <row r="15169" spans="5:5">
      <c r="E15169" s="51"/>
    </row>
    <row r="15170" spans="5:5">
      <c r="E15170" s="51"/>
    </row>
    <row r="15171" spans="5:5">
      <c r="E15171" s="51"/>
    </row>
    <row r="15172" spans="5:5">
      <c r="E15172" s="51"/>
    </row>
    <row r="15173" spans="5:5">
      <c r="E15173" s="51"/>
    </row>
    <row r="15174" spans="5:5">
      <c r="E15174" s="51"/>
    </row>
    <row r="15175" spans="5:5">
      <c r="E15175" s="51"/>
    </row>
    <row r="15176" spans="5:5">
      <c r="E15176" s="51"/>
    </row>
    <row r="15177" spans="5:5">
      <c r="E15177" s="51"/>
    </row>
    <row r="15178" spans="5:5">
      <c r="E15178" s="51"/>
    </row>
    <row r="15179" spans="5:5">
      <c r="E15179" s="51"/>
    </row>
    <row r="15180" spans="5:5">
      <c r="E15180" s="51"/>
    </row>
    <row r="15181" spans="5:5">
      <c r="E15181" s="51"/>
    </row>
    <row r="15182" spans="5:5">
      <c r="E15182" s="51"/>
    </row>
    <row r="15183" spans="5:5">
      <c r="E15183" s="51"/>
    </row>
    <row r="15184" spans="5:5">
      <c r="E15184" s="51"/>
    </row>
    <row r="15185" spans="5:5">
      <c r="E15185" s="51"/>
    </row>
    <row r="15186" spans="5:5">
      <c r="E15186" s="51"/>
    </row>
    <row r="15187" spans="5:5">
      <c r="E15187" s="51"/>
    </row>
    <row r="15188" spans="5:5">
      <c r="E15188" s="51"/>
    </row>
    <row r="15189" spans="5:5">
      <c r="E15189" s="51"/>
    </row>
    <row r="15190" spans="5:5">
      <c r="E15190" s="51"/>
    </row>
    <row r="15191" spans="5:5">
      <c r="E15191" s="51"/>
    </row>
    <row r="15192" spans="5:5">
      <c r="E15192" s="51"/>
    </row>
    <row r="15193" spans="5:5">
      <c r="E15193" s="51"/>
    </row>
    <row r="15194" spans="5:5">
      <c r="E15194" s="51"/>
    </row>
    <row r="15195" spans="5:5">
      <c r="E15195" s="51"/>
    </row>
    <row r="15196" spans="5:5">
      <c r="E15196" s="51"/>
    </row>
    <row r="15197" spans="5:5">
      <c r="E15197" s="51"/>
    </row>
    <row r="15198" spans="5:5">
      <c r="E15198" s="51"/>
    </row>
    <row r="15199" spans="5:5">
      <c r="E15199" s="51"/>
    </row>
    <row r="15200" spans="5:5">
      <c r="E15200" s="51"/>
    </row>
    <row r="15201" spans="5:5">
      <c r="E15201" s="51"/>
    </row>
    <row r="15202" spans="5:5">
      <c r="E15202" s="51"/>
    </row>
    <row r="15203" spans="5:5">
      <c r="E15203" s="51"/>
    </row>
    <row r="15204" spans="5:5">
      <c r="E15204" s="51"/>
    </row>
    <row r="15205" spans="5:5">
      <c r="E15205" s="51"/>
    </row>
    <row r="15206" spans="5:5">
      <c r="E15206" s="51"/>
    </row>
    <row r="15207" spans="5:5">
      <c r="E15207" s="51"/>
    </row>
    <row r="15208" spans="5:5">
      <c r="E15208" s="51"/>
    </row>
    <row r="15209" spans="5:5">
      <c r="E15209" s="51"/>
    </row>
    <row r="15210" spans="5:5">
      <c r="E15210" s="51"/>
    </row>
    <row r="15211" spans="5:5">
      <c r="E15211" s="51"/>
    </row>
    <row r="15212" spans="5:5">
      <c r="E15212" s="51"/>
    </row>
    <row r="15213" spans="5:5">
      <c r="E15213" s="51"/>
    </row>
    <row r="15214" spans="5:5">
      <c r="E15214" s="51"/>
    </row>
    <row r="15215" spans="5:5">
      <c r="E15215" s="51"/>
    </row>
    <row r="15216" spans="5:5">
      <c r="E15216" s="51"/>
    </row>
    <row r="15217" spans="5:5">
      <c r="E15217" s="51"/>
    </row>
    <row r="15218" spans="5:5">
      <c r="E15218" s="51"/>
    </row>
    <row r="15219" spans="5:5">
      <c r="E15219" s="51"/>
    </row>
    <row r="15220" spans="5:5">
      <c r="E15220" s="51"/>
    </row>
    <row r="15221" spans="5:5">
      <c r="E15221" s="51"/>
    </row>
    <row r="15222" spans="5:5">
      <c r="E15222" s="51"/>
    </row>
    <row r="15223" spans="5:5">
      <c r="E15223" s="51"/>
    </row>
    <row r="15224" spans="5:5">
      <c r="E15224" s="51"/>
    </row>
    <row r="15225" spans="5:5">
      <c r="E15225" s="51"/>
    </row>
    <row r="15226" spans="5:5">
      <c r="E15226" s="51"/>
    </row>
    <row r="15227" spans="5:5">
      <c r="E15227" s="51"/>
    </row>
    <row r="15228" spans="5:5">
      <c r="E15228" s="51"/>
    </row>
    <row r="15229" spans="5:5">
      <c r="E15229" s="51"/>
    </row>
    <row r="15230" spans="5:5">
      <c r="E15230" s="51"/>
    </row>
    <row r="15231" spans="5:5">
      <c r="E15231" s="51"/>
    </row>
    <row r="15232" spans="5:5">
      <c r="E15232" s="51"/>
    </row>
    <row r="15233" spans="5:5">
      <c r="E15233" s="51"/>
    </row>
    <row r="15234" spans="5:5">
      <c r="E15234" s="51"/>
    </row>
    <row r="15235" spans="5:5">
      <c r="E15235" s="51"/>
    </row>
    <row r="15236" spans="5:5">
      <c r="E15236" s="51"/>
    </row>
    <row r="15237" spans="5:5">
      <c r="E15237" s="51"/>
    </row>
    <row r="15238" spans="5:5">
      <c r="E15238" s="51"/>
    </row>
    <row r="15239" spans="5:5">
      <c r="E15239" s="51"/>
    </row>
    <row r="15240" spans="5:5">
      <c r="E15240" s="51"/>
    </row>
    <row r="15241" spans="5:5">
      <c r="E15241" s="51"/>
    </row>
    <row r="15242" spans="5:5">
      <c r="E15242" s="51"/>
    </row>
    <row r="15243" spans="5:5">
      <c r="E15243" s="51"/>
    </row>
    <row r="15244" spans="5:5">
      <c r="E15244" s="51"/>
    </row>
    <row r="15245" spans="5:5">
      <c r="E15245" s="51"/>
    </row>
    <row r="15246" spans="5:5">
      <c r="E15246" s="51"/>
    </row>
    <row r="15247" spans="5:5">
      <c r="E15247" s="51"/>
    </row>
    <row r="15248" spans="5:5">
      <c r="E15248" s="51"/>
    </row>
    <row r="15249" spans="5:5">
      <c r="E15249" s="51"/>
    </row>
    <row r="15250" spans="5:5">
      <c r="E15250" s="51"/>
    </row>
    <row r="15251" spans="5:5">
      <c r="E15251" s="51"/>
    </row>
    <row r="15252" spans="5:5">
      <c r="E15252" s="51"/>
    </row>
    <row r="15253" spans="5:5">
      <c r="E15253" s="51"/>
    </row>
    <row r="15254" spans="5:5">
      <c r="E15254" s="51"/>
    </row>
    <row r="15255" spans="5:5">
      <c r="E15255" s="51"/>
    </row>
    <row r="15256" spans="5:5">
      <c r="E15256" s="51"/>
    </row>
    <row r="15257" spans="5:5">
      <c r="E15257" s="51"/>
    </row>
    <row r="15258" spans="5:5">
      <c r="E15258" s="51"/>
    </row>
    <row r="15259" spans="5:5">
      <c r="E15259" s="51"/>
    </row>
    <row r="15260" spans="5:5">
      <c r="E15260" s="51"/>
    </row>
    <row r="15261" spans="5:5">
      <c r="E15261" s="51"/>
    </row>
    <row r="15262" spans="5:5">
      <c r="E15262" s="51"/>
    </row>
    <row r="15263" spans="5:5">
      <c r="E15263" s="51"/>
    </row>
    <row r="15264" spans="5:5">
      <c r="E15264" s="51"/>
    </row>
    <row r="15265" spans="5:5">
      <c r="E15265" s="51"/>
    </row>
    <row r="15266" spans="5:5">
      <c r="E15266" s="51"/>
    </row>
    <row r="15267" spans="5:5">
      <c r="E15267" s="51"/>
    </row>
    <row r="15268" spans="5:5">
      <c r="E15268" s="51"/>
    </row>
    <row r="15269" spans="5:5">
      <c r="E15269" s="51"/>
    </row>
    <row r="15270" spans="5:5">
      <c r="E15270" s="51"/>
    </row>
    <row r="15271" spans="5:5">
      <c r="E15271" s="51"/>
    </row>
    <row r="15272" spans="5:5">
      <c r="E15272" s="51"/>
    </row>
    <row r="15273" spans="5:5">
      <c r="E15273" s="51"/>
    </row>
    <row r="15274" spans="5:5">
      <c r="E15274" s="51"/>
    </row>
    <row r="15275" spans="5:5">
      <c r="E15275" s="51"/>
    </row>
    <row r="15276" spans="5:5">
      <c r="E15276" s="51"/>
    </row>
    <row r="15277" spans="5:5">
      <c r="E15277" s="51"/>
    </row>
    <row r="15278" spans="5:5">
      <c r="E15278" s="51"/>
    </row>
    <row r="15279" spans="5:5">
      <c r="E15279" s="51"/>
    </row>
    <row r="15280" spans="5:5">
      <c r="E15280" s="51"/>
    </row>
    <row r="15281" spans="5:5">
      <c r="E15281" s="51"/>
    </row>
    <row r="15282" spans="5:5">
      <c r="E15282" s="51"/>
    </row>
    <row r="15283" spans="5:5">
      <c r="E15283" s="51"/>
    </row>
    <row r="15284" spans="5:5">
      <c r="E15284" s="51"/>
    </row>
    <row r="15285" spans="5:5">
      <c r="E15285" s="51"/>
    </row>
    <row r="15286" spans="5:5">
      <c r="E15286" s="51"/>
    </row>
    <row r="15287" spans="5:5">
      <c r="E15287" s="51"/>
    </row>
    <row r="15288" spans="5:5">
      <c r="E15288" s="51"/>
    </row>
    <row r="15289" spans="5:5">
      <c r="E15289" s="51"/>
    </row>
    <row r="15290" spans="5:5">
      <c r="E15290" s="51"/>
    </row>
    <row r="15291" spans="5:5">
      <c r="E15291" s="51"/>
    </row>
    <row r="15292" spans="5:5">
      <c r="E15292" s="51"/>
    </row>
    <row r="15293" spans="5:5">
      <c r="E15293" s="51"/>
    </row>
    <row r="15294" spans="5:5">
      <c r="E15294" s="51"/>
    </row>
    <row r="15295" spans="5:5">
      <c r="E15295" s="51"/>
    </row>
    <row r="15296" spans="5:5">
      <c r="E15296" s="51"/>
    </row>
    <row r="15297" spans="5:5">
      <c r="E15297" s="51"/>
    </row>
    <row r="15298" spans="5:5">
      <c r="E15298" s="51"/>
    </row>
    <row r="15299" spans="5:5">
      <c r="E15299" s="51"/>
    </row>
    <row r="15300" spans="5:5">
      <c r="E15300" s="51"/>
    </row>
    <row r="15301" spans="5:5">
      <c r="E15301" s="51"/>
    </row>
    <row r="15302" spans="5:5">
      <c r="E15302" s="51"/>
    </row>
    <row r="15303" spans="5:5">
      <c r="E15303" s="51"/>
    </row>
    <row r="15304" spans="5:5">
      <c r="E15304" s="51"/>
    </row>
    <row r="15305" spans="5:5">
      <c r="E15305" s="51"/>
    </row>
    <row r="15306" spans="5:5">
      <c r="E15306" s="51"/>
    </row>
    <row r="15307" spans="5:5">
      <c r="E15307" s="51"/>
    </row>
    <row r="15308" spans="5:5">
      <c r="E15308" s="51"/>
    </row>
    <row r="15309" spans="5:5">
      <c r="E15309" s="51"/>
    </row>
    <row r="15310" spans="5:5">
      <c r="E15310" s="51"/>
    </row>
    <row r="15311" spans="5:5">
      <c r="E15311" s="51"/>
    </row>
    <row r="15312" spans="5:5">
      <c r="E15312" s="51"/>
    </row>
    <row r="15313" spans="5:5">
      <c r="E15313" s="51"/>
    </row>
    <row r="15314" spans="5:5">
      <c r="E15314" s="51"/>
    </row>
    <row r="15315" spans="5:5">
      <c r="E15315" s="51"/>
    </row>
    <row r="15316" spans="5:5">
      <c r="E15316" s="51"/>
    </row>
    <row r="15317" spans="5:5">
      <c r="E15317" s="51"/>
    </row>
    <row r="15318" spans="5:5">
      <c r="E15318" s="51"/>
    </row>
    <row r="15319" spans="5:5">
      <c r="E15319" s="51"/>
    </row>
    <row r="15320" spans="5:5">
      <c r="E15320" s="51"/>
    </row>
    <row r="15321" spans="5:5">
      <c r="E15321" s="51"/>
    </row>
    <row r="15322" spans="5:5">
      <c r="E15322" s="51"/>
    </row>
    <row r="15323" spans="5:5">
      <c r="E15323" s="51"/>
    </row>
    <row r="15324" spans="5:5">
      <c r="E15324" s="51"/>
    </row>
    <row r="15325" spans="5:5">
      <c r="E15325" s="51"/>
    </row>
    <row r="15326" spans="5:5">
      <c r="E15326" s="51"/>
    </row>
    <row r="15327" spans="5:5">
      <c r="E15327" s="51"/>
    </row>
    <row r="15328" spans="5:5">
      <c r="E15328" s="51"/>
    </row>
    <row r="15329" spans="5:5">
      <c r="E15329" s="51"/>
    </row>
    <row r="15330" spans="5:5">
      <c r="E15330" s="51"/>
    </row>
    <row r="15331" spans="5:5">
      <c r="E15331" s="51"/>
    </row>
    <row r="15332" spans="5:5">
      <c r="E15332" s="51"/>
    </row>
    <row r="15333" spans="5:5">
      <c r="E15333" s="51"/>
    </row>
    <row r="15334" spans="5:5">
      <c r="E15334" s="51"/>
    </row>
    <row r="15335" spans="5:5">
      <c r="E15335" s="51"/>
    </row>
    <row r="15336" spans="5:5">
      <c r="E15336" s="51"/>
    </row>
    <row r="15337" spans="5:5">
      <c r="E15337" s="51"/>
    </row>
    <row r="15338" spans="5:5">
      <c r="E15338" s="51"/>
    </row>
    <row r="15339" spans="5:5">
      <c r="E15339" s="51"/>
    </row>
    <row r="15340" spans="5:5">
      <c r="E15340" s="51"/>
    </row>
    <row r="15341" spans="5:5">
      <c r="E15341" s="51"/>
    </row>
    <row r="15342" spans="5:5">
      <c r="E15342" s="51"/>
    </row>
    <row r="15343" spans="5:5">
      <c r="E15343" s="51"/>
    </row>
    <row r="15344" spans="5:5">
      <c r="E15344" s="51"/>
    </row>
    <row r="15345" spans="5:5">
      <c r="E15345" s="51"/>
    </row>
    <row r="15346" spans="5:5">
      <c r="E15346" s="51"/>
    </row>
    <row r="15347" spans="5:5">
      <c r="E15347" s="51"/>
    </row>
    <row r="15348" spans="5:5">
      <c r="E15348" s="51"/>
    </row>
    <row r="15349" spans="5:5">
      <c r="E15349" s="51"/>
    </row>
    <row r="15350" spans="5:5">
      <c r="E15350" s="51"/>
    </row>
    <row r="15351" spans="5:5">
      <c r="E15351" s="51"/>
    </row>
    <row r="15352" spans="5:5">
      <c r="E15352" s="51"/>
    </row>
    <row r="15353" spans="5:5">
      <c r="E15353" s="51"/>
    </row>
    <row r="15354" spans="5:5">
      <c r="E15354" s="51"/>
    </row>
    <row r="15355" spans="5:5">
      <c r="E15355" s="51"/>
    </row>
    <row r="15356" spans="5:5">
      <c r="E15356" s="51"/>
    </row>
    <row r="15357" spans="5:5">
      <c r="E15357" s="51"/>
    </row>
    <row r="15358" spans="5:5">
      <c r="E15358" s="51"/>
    </row>
    <row r="15359" spans="5:5">
      <c r="E15359" s="51"/>
    </row>
    <row r="15360" spans="5:5">
      <c r="E15360" s="51"/>
    </row>
    <row r="15361" spans="5:5">
      <c r="E15361" s="51"/>
    </row>
    <row r="15362" spans="5:5">
      <c r="E15362" s="51"/>
    </row>
    <row r="15363" spans="5:5">
      <c r="E15363" s="51"/>
    </row>
    <row r="15364" spans="5:5">
      <c r="E15364" s="51"/>
    </row>
    <row r="15365" spans="5:5">
      <c r="E15365" s="51"/>
    </row>
    <row r="15366" spans="5:5">
      <c r="E15366" s="51"/>
    </row>
    <row r="15367" spans="5:5">
      <c r="E15367" s="51"/>
    </row>
    <row r="15368" spans="5:5">
      <c r="E15368" s="51"/>
    </row>
    <row r="15369" spans="5:5">
      <c r="E15369" s="51"/>
    </row>
    <row r="15370" spans="5:5">
      <c r="E15370" s="51"/>
    </row>
    <row r="15371" spans="5:5">
      <c r="E15371" s="51"/>
    </row>
    <row r="15372" spans="5:5">
      <c r="E15372" s="51"/>
    </row>
    <row r="15373" spans="5:5">
      <c r="E15373" s="51"/>
    </row>
    <row r="15374" spans="5:5">
      <c r="E15374" s="51"/>
    </row>
    <row r="15375" spans="5:5">
      <c r="E15375" s="51"/>
    </row>
    <row r="15376" spans="5:5">
      <c r="E15376" s="51"/>
    </row>
    <row r="15377" spans="5:5">
      <c r="E15377" s="51"/>
    </row>
    <row r="15378" spans="5:5">
      <c r="E15378" s="51"/>
    </row>
    <row r="15379" spans="5:5">
      <c r="E15379" s="51"/>
    </row>
    <row r="15380" spans="5:5">
      <c r="E15380" s="51"/>
    </row>
    <row r="15381" spans="5:5">
      <c r="E15381" s="51"/>
    </row>
    <row r="15382" spans="5:5">
      <c r="E15382" s="51"/>
    </row>
    <row r="15383" spans="5:5">
      <c r="E15383" s="51"/>
    </row>
    <row r="15384" spans="5:5">
      <c r="E15384" s="51"/>
    </row>
    <row r="15385" spans="5:5">
      <c r="E15385" s="51"/>
    </row>
    <row r="15386" spans="5:5">
      <c r="E15386" s="51"/>
    </row>
    <row r="15387" spans="5:5">
      <c r="E15387" s="51"/>
    </row>
    <row r="15388" spans="5:5">
      <c r="E15388" s="51"/>
    </row>
    <row r="15389" spans="5:5">
      <c r="E15389" s="51"/>
    </row>
    <row r="15390" spans="5:5">
      <c r="E15390" s="51"/>
    </row>
    <row r="15391" spans="5:5">
      <c r="E15391" s="51"/>
    </row>
    <row r="15392" spans="5:5">
      <c r="E15392" s="51"/>
    </row>
    <row r="15393" spans="5:5">
      <c r="E15393" s="51"/>
    </row>
    <row r="15394" spans="5:5">
      <c r="E15394" s="51"/>
    </row>
    <row r="15395" spans="5:5">
      <c r="E15395" s="51"/>
    </row>
    <row r="15396" spans="5:5">
      <c r="E15396" s="51"/>
    </row>
    <row r="15397" spans="5:5">
      <c r="E15397" s="51"/>
    </row>
    <row r="15398" spans="5:5">
      <c r="E15398" s="51"/>
    </row>
    <row r="15399" spans="5:5">
      <c r="E15399" s="51"/>
    </row>
    <row r="15400" spans="5:5">
      <c r="E15400" s="51"/>
    </row>
    <row r="15401" spans="5:5">
      <c r="E15401" s="51"/>
    </row>
    <row r="15402" spans="5:5">
      <c r="E15402" s="51"/>
    </row>
    <row r="15403" spans="5:5">
      <c r="E15403" s="51"/>
    </row>
    <row r="15404" spans="5:5">
      <c r="E15404" s="51"/>
    </row>
    <row r="15405" spans="5:5">
      <c r="E15405" s="51"/>
    </row>
    <row r="15406" spans="5:5">
      <c r="E15406" s="51"/>
    </row>
    <row r="15407" spans="5:5">
      <c r="E15407" s="51"/>
    </row>
    <row r="15408" spans="5:5">
      <c r="E15408" s="51"/>
    </row>
    <row r="15409" spans="5:5">
      <c r="E15409" s="51"/>
    </row>
    <row r="15410" spans="5:5">
      <c r="E15410" s="51"/>
    </row>
    <row r="15411" spans="5:5">
      <c r="E15411" s="51"/>
    </row>
    <row r="15412" spans="5:5">
      <c r="E15412" s="51"/>
    </row>
    <row r="15413" spans="5:5">
      <c r="E15413" s="51"/>
    </row>
    <row r="15414" spans="5:5">
      <c r="E15414" s="51"/>
    </row>
    <row r="15415" spans="5:5">
      <c r="E15415" s="51"/>
    </row>
    <row r="15416" spans="5:5">
      <c r="E15416" s="51"/>
    </row>
    <row r="15417" spans="5:5">
      <c r="E15417" s="51"/>
    </row>
    <row r="15418" spans="5:5">
      <c r="E15418" s="51"/>
    </row>
    <row r="15419" spans="5:5">
      <c r="E15419" s="51"/>
    </row>
    <row r="15420" spans="5:5">
      <c r="E15420" s="51"/>
    </row>
    <row r="15421" spans="5:5">
      <c r="E15421" s="51"/>
    </row>
    <row r="15422" spans="5:5">
      <c r="E15422" s="51"/>
    </row>
    <row r="15423" spans="5:5">
      <c r="E15423" s="51"/>
    </row>
    <row r="15424" spans="5:5">
      <c r="E15424" s="51"/>
    </row>
    <row r="15425" spans="5:5">
      <c r="E15425" s="51"/>
    </row>
    <row r="15426" spans="5:5">
      <c r="E15426" s="51"/>
    </row>
    <row r="15427" spans="5:5">
      <c r="E15427" s="51"/>
    </row>
    <row r="15428" spans="5:5">
      <c r="E15428" s="51"/>
    </row>
    <row r="15429" spans="5:5">
      <c r="E15429" s="51"/>
    </row>
    <row r="15430" spans="5:5">
      <c r="E15430" s="51"/>
    </row>
    <row r="15431" spans="5:5">
      <c r="E15431" s="51"/>
    </row>
    <row r="15432" spans="5:5">
      <c r="E15432" s="51"/>
    </row>
    <row r="15433" spans="5:5">
      <c r="E15433" s="51"/>
    </row>
    <row r="15434" spans="5:5">
      <c r="E15434" s="51"/>
    </row>
    <row r="15435" spans="5:5">
      <c r="E15435" s="51"/>
    </row>
    <row r="15436" spans="5:5">
      <c r="E15436" s="51"/>
    </row>
    <row r="15437" spans="5:5">
      <c r="E15437" s="51"/>
    </row>
    <row r="15438" spans="5:5">
      <c r="E15438" s="51"/>
    </row>
    <row r="15439" spans="5:5">
      <c r="E15439" s="51"/>
    </row>
    <row r="15440" spans="5:5">
      <c r="E15440" s="51"/>
    </row>
    <row r="15441" spans="5:5">
      <c r="E15441" s="51"/>
    </row>
    <row r="15442" spans="5:5">
      <c r="E15442" s="51"/>
    </row>
    <row r="15443" spans="5:5">
      <c r="E15443" s="51"/>
    </row>
    <row r="15444" spans="5:5">
      <c r="E15444" s="51"/>
    </row>
    <row r="15445" spans="5:5">
      <c r="E15445" s="51"/>
    </row>
    <row r="15446" spans="5:5">
      <c r="E15446" s="51"/>
    </row>
    <row r="15447" spans="5:5">
      <c r="E15447" s="51"/>
    </row>
    <row r="15448" spans="5:5">
      <c r="E15448" s="51"/>
    </row>
    <row r="15449" spans="5:5">
      <c r="E15449" s="51"/>
    </row>
    <row r="15450" spans="5:5">
      <c r="E15450" s="51"/>
    </row>
    <row r="15451" spans="5:5">
      <c r="E15451" s="51"/>
    </row>
    <row r="15452" spans="5:5">
      <c r="E15452" s="51"/>
    </row>
    <row r="15453" spans="5:5">
      <c r="E15453" s="51"/>
    </row>
    <row r="15454" spans="5:5">
      <c r="E15454" s="51"/>
    </row>
    <row r="15455" spans="5:5">
      <c r="E15455" s="51"/>
    </row>
    <row r="15456" spans="5:5">
      <c r="E15456" s="51"/>
    </row>
    <row r="15457" spans="5:5">
      <c r="E15457" s="51"/>
    </row>
    <row r="15458" spans="5:5">
      <c r="E15458" s="51"/>
    </row>
    <row r="15459" spans="5:5">
      <c r="E15459" s="51"/>
    </row>
    <row r="15460" spans="5:5">
      <c r="E15460" s="51"/>
    </row>
    <row r="15461" spans="5:5">
      <c r="E15461" s="51"/>
    </row>
    <row r="15462" spans="5:5">
      <c r="E15462" s="51"/>
    </row>
    <row r="15463" spans="5:5">
      <c r="E15463" s="51"/>
    </row>
    <row r="15464" spans="5:5">
      <c r="E15464" s="51"/>
    </row>
    <row r="15465" spans="5:5">
      <c r="E15465" s="51"/>
    </row>
    <row r="15466" spans="5:5">
      <c r="E15466" s="51"/>
    </row>
    <row r="15467" spans="5:5">
      <c r="E15467" s="51"/>
    </row>
    <row r="15468" spans="5:5">
      <c r="E15468" s="51"/>
    </row>
    <row r="15469" spans="5:5">
      <c r="E15469" s="51"/>
    </row>
    <row r="15470" spans="5:5">
      <c r="E15470" s="51"/>
    </row>
    <row r="15471" spans="5:5">
      <c r="E15471" s="51"/>
    </row>
    <row r="15472" spans="5:5">
      <c r="E15472" s="51"/>
    </row>
    <row r="15473" spans="5:5">
      <c r="E15473" s="51"/>
    </row>
    <row r="15474" spans="5:5">
      <c r="E15474" s="51"/>
    </row>
    <row r="15475" spans="5:5">
      <c r="E15475" s="51"/>
    </row>
    <row r="15476" spans="5:5">
      <c r="E15476" s="51"/>
    </row>
    <row r="15477" spans="5:5">
      <c r="E15477" s="51"/>
    </row>
    <row r="15478" spans="5:5">
      <c r="E15478" s="51"/>
    </row>
    <row r="15479" spans="5:5">
      <c r="E15479" s="51"/>
    </row>
    <row r="15480" spans="5:5">
      <c r="E15480" s="51"/>
    </row>
    <row r="15481" spans="5:5">
      <c r="E15481" s="51"/>
    </row>
    <row r="15482" spans="5:5">
      <c r="E15482" s="51"/>
    </row>
    <row r="15483" spans="5:5">
      <c r="E15483" s="51"/>
    </row>
    <row r="15484" spans="5:5">
      <c r="E15484" s="51"/>
    </row>
    <row r="15485" spans="5:5">
      <c r="E15485" s="51"/>
    </row>
    <row r="15486" spans="5:5">
      <c r="E15486" s="51"/>
    </row>
    <row r="15487" spans="5:5">
      <c r="E15487" s="51"/>
    </row>
    <row r="15488" spans="5:5">
      <c r="E15488" s="51"/>
    </row>
    <row r="15489" spans="5:5">
      <c r="E15489" s="51"/>
    </row>
    <row r="15490" spans="5:5">
      <c r="E15490" s="51"/>
    </row>
    <row r="15491" spans="5:5">
      <c r="E15491" s="51"/>
    </row>
    <row r="15492" spans="5:5">
      <c r="E15492" s="51"/>
    </row>
    <row r="15493" spans="5:5">
      <c r="E15493" s="51"/>
    </row>
    <row r="15494" spans="5:5">
      <c r="E15494" s="51"/>
    </row>
    <row r="15495" spans="5:5">
      <c r="E15495" s="51"/>
    </row>
    <row r="15496" spans="5:5">
      <c r="E15496" s="51"/>
    </row>
    <row r="15497" spans="5:5">
      <c r="E15497" s="51"/>
    </row>
    <row r="15498" spans="5:5">
      <c r="E15498" s="51"/>
    </row>
    <row r="15499" spans="5:5">
      <c r="E15499" s="51"/>
    </row>
    <row r="15500" spans="5:5">
      <c r="E15500" s="51"/>
    </row>
    <row r="15501" spans="5:5">
      <c r="E15501" s="51"/>
    </row>
    <row r="15502" spans="5:5">
      <c r="E15502" s="51"/>
    </row>
    <row r="15503" spans="5:5">
      <c r="E15503" s="51"/>
    </row>
    <row r="15504" spans="5:5">
      <c r="E15504" s="51"/>
    </row>
    <row r="15505" spans="5:5">
      <c r="E15505" s="51"/>
    </row>
    <row r="15506" spans="5:5">
      <c r="E15506" s="51"/>
    </row>
    <row r="15507" spans="5:5">
      <c r="E15507" s="51"/>
    </row>
    <row r="15508" spans="5:5">
      <c r="E15508" s="51"/>
    </row>
    <row r="15509" spans="5:5">
      <c r="E15509" s="51"/>
    </row>
    <row r="15510" spans="5:5">
      <c r="E15510" s="51"/>
    </row>
    <row r="15511" spans="5:5">
      <c r="E15511" s="51"/>
    </row>
    <row r="15512" spans="5:5">
      <c r="E15512" s="51"/>
    </row>
    <row r="15513" spans="5:5">
      <c r="E15513" s="51"/>
    </row>
    <row r="15514" spans="5:5">
      <c r="E15514" s="51"/>
    </row>
    <row r="15515" spans="5:5">
      <c r="E15515" s="51"/>
    </row>
    <row r="15516" spans="5:5">
      <c r="E15516" s="51"/>
    </row>
    <row r="15517" spans="5:5">
      <c r="E15517" s="51"/>
    </row>
    <row r="15518" spans="5:5">
      <c r="E15518" s="51"/>
    </row>
    <row r="15519" spans="5:5">
      <c r="E15519" s="51"/>
    </row>
    <row r="15520" spans="5:5">
      <c r="E15520" s="51"/>
    </row>
    <row r="15521" spans="5:5">
      <c r="E15521" s="51"/>
    </row>
    <row r="15522" spans="5:5">
      <c r="E15522" s="51"/>
    </row>
    <row r="15523" spans="5:5">
      <c r="E15523" s="51"/>
    </row>
    <row r="15524" spans="5:5">
      <c r="E15524" s="51"/>
    </row>
    <row r="15525" spans="5:5">
      <c r="E15525" s="51"/>
    </row>
    <row r="15526" spans="5:5">
      <c r="E15526" s="51"/>
    </row>
    <row r="15527" spans="5:5">
      <c r="E15527" s="51"/>
    </row>
    <row r="15528" spans="5:5">
      <c r="E15528" s="51"/>
    </row>
    <row r="15529" spans="5:5">
      <c r="E15529" s="51"/>
    </row>
    <row r="15530" spans="5:5">
      <c r="E15530" s="51"/>
    </row>
    <row r="15531" spans="5:5">
      <c r="E15531" s="51"/>
    </row>
    <row r="15532" spans="5:5">
      <c r="E15532" s="51"/>
    </row>
    <row r="15533" spans="5:5">
      <c r="E15533" s="51"/>
    </row>
    <row r="15534" spans="5:5">
      <c r="E15534" s="51"/>
    </row>
    <row r="15535" spans="5:5">
      <c r="E15535" s="51"/>
    </row>
    <row r="15536" spans="5:5">
      <c r="E15536" s="51"/>
    </row>
    <row r="15537" spans="5:5">
      <c r="E15537" s="51"/>
    </row>
    <row r="15538" spans="5:5">
      <c r="E15538" s="51"/>
    </row>
    <row r="15539" spans="5:5">
      <c r="E15539" s="51"/>
    </row>
    <row r="15540" spans="5:5">
      <c r="E15540" s="51"/>
    </row>
    <row r="15541" spans="5:5">
      <c r="E15541" s="51"/>
    </row>
    <row r="15542" spans="5:5">
      <c r="E15542" s="51"/>
    </row>
    <row r="15543" spans="5:5">
      <c r="E15543" s="51"/>
    </row>
    <row r="15544" spans="5:5">
      <c r="E15544" s="51"/>
    </row>
    <row r="15545" spans="5:5">
      <c r="E15545" s="51"/>
    </row>
    <row r="15546" spans="5:5">
      <c r="E15546" s="51"/>
    </row>
    <row r="15547" spans="5:5">
      <c r="E15547" s="51"/>
    </row>
    <row r="15548" spans="5:5">
      <c r="E15548" s="51"/>
    </row>
    <row r="15549" spans="5:5">
      <c r="E15549" s="51"/>
    </row>
    <row r="15550" spans="5:5">
      <c r="E15550" s="51"/>
    </row>
    <row r="15551" spans="5:5">
      <c r="E15551" s="51"/>
    </row>
    <row r="15552" spans="5:5">
      <c r="E15552" s="51"/>
    </row>
    <row r="15553" spans="5:5">
      <c r="E15553" s="51"/>
    </row>
    <row r="15554" spans="5:5">
      <c r="E15554" s="51"/>
    </row>
    <row r="15555" spans="5:5">
      <c r="E15555" s="51"/>
    </row>
    <row r="15556" spans="5:5">
      <c r="E15556" s="51"/>
    </row>
    <row r="15557" spans="5:5">
      <c r="E15557" s="51"/>
    </row>
    <row r="15558" spans="5:5">
      <c r="E15558" s="51"/>
    </row>
    <row r="15559" spans="5:5">
      <c r="E15559" s="51"/>
    </row>
    <row r="15560" spans="5:5">
      <c r="E15560" s="51"/>
    </row>
    <row r="15561" spans="5:5">
      <c r="E15561" s="51"/>
    </row>
    <row r="15562" spans="5:5">
      <c r="E15562" s="51"/>
    </row>
    <row r="15563" spans="5:5">
      <c r="E15563" s="51"/>
    </row>
    <row r="15564" spans="5:5">
      <c r="E15564" s="51"/>
    </row>
    <row r="15565" spans="5:5">
      <c r="E15565" s="51"/>
    </row>
    <row r="15566" spans="5:5">
      <c r="E15566" s="51"/>
    </row>
    <row r="15567" spans="5:5">
      <c r="E15567" s="51"/>
    </row>
    <row r="15568" spans="5:5">
      <c r="E15568" s="51"/>
    </row>
    <row r="15569" spans="5:5">
      <c r="E15569" s="51"/>
    </row>
    <row r="15570" spans="5:5">
      <c r="E15570" s="51"/>
    </row>
    <row r="15571" spans="5:5">
      <c r="E15571" s="51"/>
    </row>
    <row r="15572" spans="5:5">
      <c r="E15572" s="51"/>
    </row>
    <row r="15573" spans="5:5">
      <c r="E15573" s="51"/>
    </row>
    <row r="15574" spans="5:5">
      <c r="E15574" s="51"/>
    </row>
    <row r="15575" spans="5:5">
      <c r="E15575" s="51"/>
    </row>
    <row r="15576" spans="5:5">
      <c r="E15576" s="51"/>
    </row>
    <row r="15577" spans="5:5">
      <c r="E15577" s="51"/>
    </row>
    <row r="15578" spans="5:5">
      <c r="E15578" s="51"/>
    </row>
    <row r="15579" spans="5:5">
      <c r="E15579" s="51"/>
    </row>
    <row r="15580" spans="5:5">
      <c r="E15580" s="51"/>
    </row>
    <row r="15581" spans="5:5">
      <c r="E15581" s="51"/>
    </row>
    <row r="15582" spans="5:5">
      <c r="E15582" s="51"/>
    </row>
    <row r="15583" spans="5:5">
      <c r="E15583" s="51"/>
    </row>
    <row r="15584" spans="5:5">
      <c r="E15584" s="51"/>
    </row>
    <row r="15585" spans="5:5">
      <c r="E15585" s="51"/>
    </row>
    <row r="15586" spans="5:5">
      <c r="E15586" s="51"/>
    </row>
    <row r="15587" spans="5:5">
      <c r="E15587" s="51"/>
    </row>
    <row r="15588" spans="5:5">
      <c r="E15588" s="51"/>
    </row>
    <row r="15589" spans="5:5">
      <c r="E15589" s="51"/>
    </row>
    <row r="15590" spans="5:5">
      <c r="E15590" s="51"/>
    </row>
    <row r="15591" spans="5:5">
      <c r="E15591" s="51"/>
    </row>
    <row r="15592" spans="5:5">
      <c r="E15592" s="51"/>
    </row>
    <row r="15593" spans="5:5">
      <c r="E15593" s="51"/>
    </row>
    <row r="15594" spans="5:5">
      <c r="E15594" s="51"/>
    </row>
    <row r="15595" spans="5:5">
      <c r="E15595" s="51"/>
    </row>
    <row r="15596" spans="5:5">
      <c r="E15596" s="51"/>
    </row>
    <row r="15597" spans="5:5">
      <c r="E15597" s="51"/>
    </row>
    <row r="15598" spans="5:5">
      <c r="E15598" s="51"/>
    </row>
    <row r="15599" spans="5:5">
      <c r="E15599" s="51"/>
    </row>
    <row r="15600" spans="5:5">
      <c r="E15600" s="51"/>
    </row>
    <row r="15601" spans="5:5">
      <c r="E15601" s="51"/>
    </row>
    <row r="15602" spans="5:5">
      <c r="E15602" s="51"/>
    </row>
    <row r="15603" spans="5:5">
      <c r="E15603" s="51"/>
    </row>
    <row r="15604" spans="5:5">
      <c r="E15604" s="51"/>
    </row>
    <row r="15605" spans="5:5">
      <c r="E15605" s="51"/>
    </row>
    <row r="15606" spans="5:5">
      <c r="E15606" s="51"/>
    </row>
    <row r="15607" spans="5:5">
      <c r="E15607" s="51"/>
    </row>
    <row r="15608" spans="5:5">
      <c r="E15608" s="51"/>
    </row>
    <row r="15609" spans="5:5">
      <c r="E15609" s="51"/>
    </row>
    <row r="15610" spans="5:5">
      <c r="E15610" s="51"/>
    </row>
    <row r="15611" spans="5:5">
      <c r="E15611" s="51"/>
    </row>
    <row r="15612" spans="5:5">
      <c r="E15612" s="51"/>
    </row>
    <row r="15613" spans="5:5">
      <c r="E15613" s="51"/>
    </row>
    <row r="15614" spans="5:5">
      <c r="E15614" s="51"/>
    </row>
    <row r="15615" spans="5:5">
      <c r="E15615" s="51"/>
    </row>
    <row r="15616" spans="5:5">
      <c r="E15616" s="51"/>
    </row>
    <row r="15617" spans="5:5">
      <c r="E15617" s="51"/>
    </row>
    <row r="15618" spans="5:5">
      <c r="E15618" s="51"/>
    </row>
    <row r="15619" spans="5:5">
      <c r="E15619" s="51"/>
    </row>
    <row r="15620" spans="5:5">
      <c r="E15620" s="51"/>
    </row>
    <row r="15621" spans="5:5">
      <c r="E15621" s="51"/>
    </row>
    <row r="15622" spans="5:5">
      <c r="E15622" s="51"/>
    </row>
    <row r="15623" spans="5:5">
      <c r="E15623" s="51"/>
    </row>
    <row r="15624" spans="5:5">
      <c r="E15624" s="51"/>
    </row>
    <row r="15625" spans="5:5">
      <c r="E15625" s="51"/>
    </row>
    <row r="15626" spans="5:5">
      <c r="E15626" s="51"/>
    </row>
    <row r="15627" spans="5:5">
      <c r="E15627" s="51"/>
    </row>
    <row r="15628" spans="5:5">
      <c r="E15628" s="51"/>
    </row>
    <row r="15629" spans="5:5">
      <c r="E15629" s="51"/>
    </row>
    <row r="15630" spans="5:5">
      <c r="E15630" s="51"/>
    </row>
    <row r="15631" spans="5:5">
      <c r="E15631" s="51"/>
    </row>
    <row r="15632" spans="5:5">
      <c r="E15632" s="51"/>
    </row>
    <row r="15633" spans="5:5">
      <c r="E15633" s="51"/>
    </row>
    <row r="15634" spans="5:5">
      <c r="E15634" s="51"/>
    </row>
    <row r="15635" spans="5:5">
      <c r="E15635" s="51"/>
    </row>
    <row r="15636" spans="5:5">
      <c r="E15636" s="51"/>
    </row>
    <row r="15637" spans="5:5">
      <c r="E15637" s="51"/>
    </row>
    <row r="15638" spans="5:5">
      <c r="E15638" s="51"/>
    </row>
    <row r="15639" spans="5:5">
      <c r="E15639" s="51"/>
    </row>
    <row r="15640" spans="5:5">
      <c r="E15640" s="51"/>
    </row>
    <row r="15641" spans="5:5">
      <c r="E15641" s="51"/>
    </row>
    <row r="15642" spans="5:5">
      <c r="E15642" s="51"/>
    </row>
    <row r="15643" spans="5:5">
      <c r="E15643" s="51"/>
    </row>
    <row r="15644" spans="5:5">
      <c r="E15644" s="51"/>
    </row>
    <row r="15645" spans="5:5">
      <c r="E15645" s="51"/>
    </row>
    <row r="15646" spans="5:5">
      <c r="E15646" s="51"/>
    </row>
    <row r="15647" spans="5:5">
      <c r="E15647" s="51"/>
    </row>
    <row r="15648" spans="5:5">
      <c r="E15648" s="51"/>
    </row>
    <row r="15649" spans="5:5">
      <c r="E15649" s="51"/>
    </row>
    <row r="15650" spans="5:5">
      <c r="E15650" s="51"/>
    </row>
    <row r="15651" spans="5:5">
      <c r="E15651" s="51"/>
    </row>
    <row r="15652" spans="5:5">
      <c r="E15652" s="51"/>
    </row>
    <row r="15653" spans="5:5">
      <c r="E15653" s="51"/>
    </row>
    <row r="15654" spans="5:5">
      <c r="E15654" s="51"/>
    </row>
    <row r="15655" spans="5:5">
      <c r="E15655" s="51"/>
    </row>
    <row r="15656" spans="5:5">
      <c r="E15656" s="51"/>
    </row>
    <row r="15657" spans="5:5">
      <c r="E15657" s="51"/>
    </row>
    <row r="15658" spans="5:5">
      <c r="E15658" s="51"/>
    </row>
    <row r="15659" spans="5:5">
      <c r="E15659" s="51"/>
    </row>
    <row r="15660" spans="5:5">
      <c r="E15660" s="51"/>
    </row>
    <row r="15661" spans="5:5">
      <c r="E15661" s="51"/>
    </row>
    <row r="15662" spans="5:5">
      <c r="E15662" s="51"/>
    </row>
    <row r="15663" spans="5:5">
      <c r="E15663" s="51"/>
    </row>
    <row r="15664" spans="5:5">
      <c r="E15664" s="51"/>
    </row>
    <row r="15665" spans="5:5">
      <c r="E15665" s="51"/>
    </row>
    <row r="15666" spans="5:5">
      <c r="E15666" s="51"/>
    </row>
    <row r="15667" spans="5:5">
      <c r="E15667" s="51"/>
    </row>
    <row r="15668" spans="5:5">
      <c r="E15668" s="51"/>
    </row>
    <row r="15669" spans="5:5">
      <c r="E15669" s="51"/>
    </row>
    <row r="15670" spans="5:5">
      <c r="E15670" s="51"/>
    </row>
    <row r="15671" spans="5:5">
      <c r="E15671" s="51"/>
    </row>
    <row r="15672" spans="5:5">
      <c r="E15672" s="51"/>
    </row>
    <row r="15673" spans="5:5">
      <c r="E15673" s="51"/>
    </row>
    <row r="15674" spans="5:5">
      <c r="E15674" s="51"/>
    </row>
    <row r="15675" spans="5:5">
      <c r="E15675" s="51"/>
    </row>
    <row r="15676" spans="5:5">
      <c r="E15676" s="51"/>
    </row>
    <row r="15677" spans="5:5">
      <c r="E15677" s="51"/>
    </row>
    <row r="15678" spans="5:5">
      <c r="E15678" s="51"/>
    </row>
    <row r="15679" spans="5:5">
      <c r="E15679" s="51"/>
    </row>
    <row r="15680" spans="5:5">
      <c r="E15680" s="51"/>
    </row>
    <row r="15681" spans="5:5">
      <c r="E15681" s="51"/>
    </row>
    <row r="15682" spans="5:5">
      <c r="E15682" s="51"/>
    </row>
    <row r="15683" spans="5:5">
      <c r="E15683" s="51"/>
    </row>
    <row r="15684" spans="5:5">
      <c r="E15684" s="51"/>
    </row>
    <row r="15685" spans="5:5">
      <c r="E15685" s="51"/>
    </row>
    <row r="15686" spans="5:5">
      <c r="E15686" s="51"/>
    </row>
    <row r="15687" spans="5:5">
      <c r="E15687" s="51"/>
    </row>
    <row r="15688" spans="5:5">
      <c r="E15688" s="51"/>
    </row>
    <row r="15689" spans="5:5">
      <c r="E15689" s="51"/>
    </row>
    <row r="15690" spans="5:5">
      <c r="E15690" s="51"/>
    </row>
    <row r="15691" spans="5:5">
      <c r="E15691" s="51"/>
    </row>
    <row r="15692" spans="5:5">
      <c r="E15692" s="51"/>
    </row>
    <row r="15693" spans="5:5">
      <c r="E15693" s="51"/>
    </row>
    <row r="15694" spans="5:5">
      <c r="E15694" s="51"/>
    </row>
    <row r="15695" spans="5:5">
      <c r="E15695" s="51"/>
    </row>
    <row r="15696" spans="5:5">
      <c r="E15696" s="51"/>
    </row>
    <row r="15697" spans="5:5">
      <c r="E15697" s="51"/>
    </row>
    <row r="15698" spans="5:5">
      <c r="E15698" s="51"/>
    </row>
    <row r="15699" spans="5:5">
      <c r="E15699" s="51"/>
    </row>
    <row r="15700" spans="5:5">
      <c r="E15700" s="51"/>
    </row>
    <row r="15701" spans="5:5">
      <c r="E15701" s="51"/>
    </row>
    <row r="15702" spans="5:5">
      <c r="E15702" s="51"/>
    </row>
    <row r="15703" spans="5:5">
      <c r="E15703" s="51"/>
    </row>
    <row r="15704" spans="5:5">
      <c r="E15704" s="51"/>
    </row>
    <row r="15705" spans="5:5">
      <c r="E15705" s="51"/>
    </row>
    <row r="15706" spans="5:5">
      <c r="E15706" s="51"/>
    </row>
    <row r="15707" spans="5:5">
      <c r="E15707" s="51"/>
    </row>
    <row r="15708" spans="5:5">
      <c r="E15708" s="51"/>
    </row>
    <row r="15709" spans="5:5">
      <c r="E15709" s="51"/>
    </row>
    <row r="15710" spans="5:5">
      <c r="E15710" s="51"/>
    </row>
    <row r="15711" spans="5:5">
      <c r="E15711" s="51"/>
    </row>
    <row r="15712" spans="5:5">
      <c r="E15712" s="51"/>
    </row>
    <row r="15713" spans="5:5">
      <c r="E15713" s="51"/>
    </row>
    <row r="15714" spans="5:5">
      <c r="E15714" s="51"/>
    </row>
    <row r="15715" spans="5:5">
      <c r="E15715" s="51"/>
    </row>
    <row r="15716" spans="5:5">
      <c r="E15716" s="51"/>
    </row>
    <row r="15717" spans="5:5">
      <c r="E15717" s="51"/>
    </row>
    <row r="15718" spans="5:5">
      <c r="E15718" s="51"/>
    </row>
    <row r="15719" spans="5:5">
      <c r="E15719" s="51"/>
    </row>
    <row r="15720" spans="5:5">
      <c r="E15720" s="51"/>
    </row>
    <row r="15721" spans="5:5">
      <c r="E15721" s="51"/>
    </row>
    <row r="15722" spans="5:5">
      <c r="E15722" s="51"/>
    </row>
    <row r="15723" spans="5:5">
      <c r="E15723" s="51"/>
    </row>
    <row r="15724" spans="5:5">
      <c r="E15724" s="51"/>
    </row>
    <row r="15725" spans="5:5">
      <c r="E15725" s="51"/>
    </row>
    <row r="15726" spans="5:5">
      <c r="E15726" s="51"/>
    </row>
    <row r="15727" spans="5:5">
      <c r="E15727" s="51"/>
    </row>
    <row r="15728" spans="5:5">
      <c r="E15728" s="51"/>
    </row>
    <row r="15729" spans="5:5">
      <c r="E15729" s="51"/>
    </row>
    <row r="15730" spans="5:5">
      <c r="E15730" s="51"/>
    </row>
    <row r="15731" spans="5:5">
      <c r="E15731" s="51"/>
    </row>
    <row r="15732" spans="5:5">
      <c r="E15732" s="51"/>
    </row>
    <row r="15733" spans="5:5">
      <c r="E15733" s="51"/>
    </row>
    <row r="15734" spans="5:5">
      <c r="E15734" s="51"/>
    </row>
    <row r="15735" spans="5:5">
      <c r="E15735" s="51"/>
    </row>
    <row r="15736" spans="5:5">
      <c r="E15736" s="51"/>
    </row>
    <row r="15737" spans="5:5">
      <c r="E15737" s="51"/>
    </row>
    <row r="15738" spans="5:5">
      <c r="E15738" s="51"/>
    </row>
    <row r="15739" spans="5:5">
      <c r="E15739" s="51"/>
    </row>
    <row r="15740" spans="5:5">
      <c r="E15740" s="51"/>
    </row>
    <row r="15741" spans="5:5">
      <c r="E15741" s="51"/>
    </row>
    <row r="15742" spans="5:5">
      <c r="E15742" s="51"/>
    </row>
    <row r="15743" spans="5:5">
      <c r="E15743" s="51"/>
    </row>
    <row r="15744" spans="5:5">
      <c r="E15744" s="51"/>
    </row>
    <row r="15745" spans="5:5">
      <c r="E15745" s="51"/>
    </row>
    <row r="15746" spans="5:5">
      <c r="E15746" s="51"/>
    </row>
    <row r="15747" spans="5:5">
      <c r="E15747" s="51"/>
    </row>
    <row r="15748" spans="5:5">
      <c r="E15748" s="51"/>
    </row>
    <row r="15749" spans="5:5">
      <c r="E15749" s="51"/>
    </row>
    <row r="15750" spans="5:5">
      <c r="E15750" s="51"/>
    </row>
    <row r="15751" spans="5:5">
      <c r="E15751" s="51"/>
    </row>
    <row r="15752" spans="5:5">
      <c r="E15752" s="51"/>
    </row>
    <row r="15753" spans="5:5">
      <c r="E15753" s="51"/>
    </row>
    <row r="15754" spans="5:5">
      <c r="E15754" s="51"/>
    </row>
    <row r="15755" spans="5:5">
      <c r="E15755" s="51"/>
    </row>
    <row r="15756" spans="5:5">
      <c r="E15756" s="51"/>
    </row>
    <row r="15757" spans="5:5">
      <c r="E15757" s="51"/>
    </row>
    <row r="15758" spans="5:5">
      <c r="E15758" s="51"/>
    </row>
    <row r="15759" spans="5:5">
      <c r="E15759" s="51"/>
    </row>
    <row r="15760" spans="5:5">
      <c r="E15760" s="51"/>
    </row>
    <row r="15761" spans="5:5">
      <c r="E15761" s="51"/>
    </row>
    <row r="15762" spans="5:5">
      <c r="E15762" s="51"/>
    </row>
    <row r="15763" spans="5:5">
      <c r="E15763" s="51"/>
    </row>
    <row r="15764" spans="5:5">
      <c r="E15764" s="51"/>
    </row>
    <row r="15765" spans="5:5">
      <c r="E15765" s="51"/>
    </row>
    <row r="15766" spans="5:5">
      <c r="E15766" s="51"/>
    </row>
    <row r="15767" spans="5:5">
      <c r="E15767" s="51"/>
    </row>
    <row r="15768" spans="5:5">
      <c r="E15768" s="51"/>
    </row>
    <row r="15769" spans="5:5">
      <c r="E15769" s="51"/>
    </row>
    <row r="15770" spans="5:5">
      <c r="E15770" s="51"/>
    </row>
    <row r="15771" spans="5:5">
      <c r="E15771" s="51"/>
    </row>
    <row r="15772" spans="5:5">
      <c r="E15772" s="51"/>
    </row>
    <row r="15773" spans="5:5">
      <c r="E15773" s="51"/>
    </row>
    <row r="15774" spans="5:5">
      <c r="E15774" s="51"/>
    </row>
    <row r="15775" spans="5:5">
      <c r="E15775" s="51"/>
    </row>
    <row r="15776" spans="5:5">
      <c r="E15776" s="51"/>
    </row>
    <row r="15777" spans="5:5">
      <c r="E15777" s="51"/>
    </row>
    <row r="15778" spans="5:5">
      <c r="E15778" s="51"/>
    </row>
    <row r="15779" spans="5:5">
      <c r="E15779" s="51"/>
    </row>
    <row r="15780" spans="5:5">
      <c r="E15780" s="51"/>
    </row>
    <row r="15781" spans="5:5">
      <c r="E15781" s="51"/>
    </row>
    <row r="15782" spans="5:5">
      <c r="E15782" s="51"/>
    </row>
    <row r="15783" spans="5:5">
      <c r="E15783" s="51"/>
    </row>
    <row r="15784" spans="5:5">
      <c r="E15784" s="51"/>
    </row>
    <row r="15785" spans="5:5">
      <c r="E15785" s="51"/>
    </row>
    <row r="15786" spans="5:5">
      <c r="E15786" s="51"/>
    </row>
    <row r="15787" spans="5:5">
      <c r="E15787" s="51"/>
    </row>
    <row r="15788" spans="5:5">
      <c r="E15788" s="51"/>
    </row>
    <row r="15789" spans="5:5">
      <c r="E15789" s="51"/>
    </row>
    <row r="15790" spans="5:5">
      <c r="E15790" s="51"/>
    </row>
    <row r="15791" spans="5:5">
      <c r="E15791" s="51"/>
    </row>
    <row r="15792" spans="5:5">
      <c r="E15792" s="51"/>
    </row>
    <row r="15793" spans="5:5">
      <c r="E15793" s="51"/>
    </row>
    <row r="15794" spans="5:5">
      <c r="E15794" s="51"/>
    </row>
    <row r="15795" spans="5:5">
      <c r="E15795" s="51"/>
    </row>
    <row r="15796" spans="5:5">
      <c r="E15796" s="51"/>
    </row>
    <row r="15797" spans="5:5">
      <c r="E15797" s="51"/>
    </row>
    <row r="15798" spans="5:5">
      <c r="E15798" s="51"/>
    </row>
    <row r="15799" spans="5:5">
      <c r="E15799" s="51"/>
    </row>
    <row r="15800" spans="5:5">
      <c r="E15800" s="51"/>
    </row>
    <row r="15801" spans="5:5">
      <c r="E15801" s="51"/>
    </row>
    <row r="15802" spans="5:5">
      <c r="E15802" s="51"/>
    </row>
    <row r="15803" spans="5:5">
      <c r="E15803" s="51"/>
    </row>
    <row r="15804" spans="5:5">
      <c r="E15804" s="51"/>
    </row>
    <row r="15805" spans="5:5">
      <c r="E15805" s="51"/>
    </row>
    <row r="15806" spans="5:5">
      <c r="E15806" s="51"/>
    </row>
    <row r="15807" spans="5:5">
      <c r="E15807" s="51"/>
    </row>
    <row r="15808" spans="5:5">
      <c r="E15808" s="51"/>
    </row>
    <row r="15809" spans="5:5">
      <c r="E15809" s="51"/>
    </row>
    <row r="15810" spans="5:5">
      <c r="E15810" s="51"/>
    </row>
    <row r="15811" spans="5:5">
      <c r="E15811" s="51"/>
    </row>
    <row r="15812" spans="5:5">
      <c r="E15812" s="51"/>
    </row>
    <row r="15813" spans="5:5">
      <c r="E15813" s="51"/>
    </row>
    <row r="15814" spans="5:5">
      <c r="E15814" s="51"/>
    </row>
    <row r="15815" spans="5:5">
      <c r="E15815" s="51"/>
    </row>
    <row r="15816" spans="5:5">
      <c r="E15816" s="51"/>
    </row>
    <row r="15817" spans="5:5">
      <c r="E15817" s="51"/>
    </row>
    <row r="15818" spans="5:5">
      <c r="E15818" s="51"/>
    </row>
    <row r="15819" spans="5:5">
      <c r="E15819" s="51"/>
    </row>
    <row r="15820" spans="5:5">
      <c r="E15820" s="51"/>
    </row>
    <row r="15821" spans="5:5">
      <c r="E15821" s="51"/>
    </row>
    <row r="15822" spans="5:5">
      <c r="E15822" s="51"/>
    </row>
    <row r="15823" spans="5:5">
      <c r="E15823" s="51"/>
    </row>
    <row r="15824" spans="5:5">
      <c r="E15824" s="51"/>
    </row>
    <row r="15825" spans="5:5">
      <c r="E15825" s="51"/>
    </row>
    <row r="15826" spans="5:5">
      <c r="E15826" s="51"/>
    </row>
    <row r="15827" spans="5:5">
      <c r="E15827" s="51"/>
    </row>
    <row r="15828" spans="5:5">
      <c r="E15828" s="51"/>
    </row>
    <row r="15829" spans="5:5">
      <c r="E15829" s="51"/>
    </row>
    <row r="15830" spans="5:5">
      <c r="E15830" s="51"/>
    </row>
    <row r="15831" spans="5:5">
      <c r="E15831" s="51"/>
    </row>
    <row r="15832" spans="5:5">
      <c r="E15832" s="51"/>
    </row>
    <row r="15833" spans="5:5">
      <c r="E15833" s="51"/>
    </row>
    <row r="15834" spans="5:5">
      <c r="E15834" s="51"/>
    </row>
    <row r="15835" spans="5:5">
      <c r="E15835" s="51"/>
    </row>
    <row r="15836" spans="5:5">
      <c r="E15836" s="51"/>
    </row>
    <row r="15837" spans="5:5">
      <c r="E15837" s="51"/>
    </row>
    <row r="15838" spans="5:5">
      <c r="E15838" s="51"/>
    </row>
    <row r="15839" spans="5:5">
      <c r="E15839" s="51"/>
    </row>
    <row r="15840" spans="5:5">
      <c r="E15840" s="51"/>
    </row>
    <row r="15841" spans="5:5">
      <c r="E15841" s="51"/>
    </row>
    <row r="15842" spans="5:5">
      <c r="E15842" s="51"/>
    </row>
    <row r="15843" spans="5:5">
      <c r="E15843" s="51"/>
    </row>
    <row r="15844" spans="5:5">
      <c r="E15844" s="51"/>
    </row>
    <row r="15845" spans="5:5">
      <c r="E15845" s="51"/>
    </row>
    <row r="15846" spans="5:5">
      <c r="E15846" s="51"/>
    </row>
    <row r="15847" spans="5:5">
      <c r="E15847" s="51"/>
    </row>
    <row r="15848" spans="5:5">
      <c r="E15848" s="51"/>
    </row>
    <row r="15849" spans="5:5">
      <c r="E15849" s="51"/>
    </row>
    <row r="15850" spans="5:5">
      <c r="E15850" s="51"/>
    </row>
    <row r="15851" spans="5:5">
      <c r="E15851" s="51"/>
    </row>
    <row r="15852" spans="5:5">
      <c r="E15852" s="51"/>
    </row>
    <row r="15853" spans="5:5">
      <c r="E15853" s="51"/>
    </row>
    <row r="15854" spans="5:5">
      <c r="E15854" s="51"/>
    </row>
    <row r="15855" spans="5:5">
      <c r="E15855" s="51"/>
    </row>
    <row r="15856" spans="5:5">
      <c r="E15856" s="51"/>
    </row>
    <row r="15857" spans="5:5">
      <c r="E15857" s="51"/>
    </row>
    <row r="15858" spans="5:5">
      <c r="E15858" s="51"/>
    </row>
    <row r="15859" spans="5:5">
      <c r="E15859" s="51"/>
    </row>
    <row r="15860" spans="5:5">
      <c r="E15860" s="51"/>
    </row>
    <row r="15861" spans="5:5">
      <c r="E15861" s="51"/>
    </row>
    <row r="15862" spans="5:5">
      <c r="E15862" s="51"/>
    </row>
    <row r="15863" spans="5:5">
      <c r="E15863" s="51"/>
    </row>
    <row r="15864" spans="5:5">
      <c r="E15864" s="51"/>
    </row>
    <row r="15865" spans="5:5">
      <c r="E15865" s="51"/>
    </row>
    <row r="15866" spans="5:5">
      <c r="E15866" s="51"/>
    </row>
    <row r="15867" spans="5:5">
      <c r="E15867" s="51"/>
    </row>
    <row r="15868" spans="5:5">
      <c r="E15868" s="51"/>
    </row>
    <row r="15869" spans="5:5">
      <c r="E15869" s="51"/>
    </row>
    <row r="15870" spans="5:5">
      <c r="E15870" s="51"/>
    </row>
    <row r="15871" spans="5:5">
      <c r="E15871" s="51"/>
    </row>
    <row r="15872" spans="5:5">
      <c r="E15872" s="51"/>
    </row>
    <row r="15873" spans="5:5">
      <c r="E15873" s="51"/>
    </row>
    <row r="15874" spans="5:5">
      <c r="E15874" s="51"/>
    </row>
    <row r="15875" spans="5:5">
      <c r="E15875" s="51"/>
    </row>
    <row r="15876" spans="5:5">
      <c r="E15876" s="51"/>
    </row>
    <row r="15877" spans="5:5">
      <c r="E15877" s="51"/>
    </row>
    <row r="15878" spans="5:5">
      <c r="E15878" s="51"/>
    </row>
    <row r="15879" spans="5:5">
      <c r="E15879" s="51"/>
    </row>
    <row r="15880" spans="5:5">
      <c r="E15880" s="51"/>
    </row>
    <row r="15881" spans="5:5">
      <c r="E15881" s="51"/>
    </row>
    <row r="15882" spans="5:5">
      <c r="E15882" s="51"/>
    </row>
    <row r="15883" spans="5:5">
      <c r="E15883" s="51"/>
    </row>
    <row r="15884" spans="5:5">
      <c r="E15884" s="51"/>
    </row>
    <row r="15885" spans="5:5">
      <c r="E15885" s="51"/>
    </row>
    <row r="15886" spans="5:5">
      <c r="E15886" s="51"/>
    </row>
    <row r="15887" spans="5:5">
      <c r="E15887" s="51"/>
    </row>
    <row r="15888" spans="5:5">
      <c r="E15888" s="51"/>
    </row>
    <row r="15889" spans="5:5">
      <c r="E15889" s="51"/>
    </row>
    <row r="15890" spans="5:5">
      <c r="E15890" s="51"/>
    </row>
    <row r="15891" spans="5:5">
      <c r="E15891" s="51"/>
    </row>
    <row r="15892" spans="5:5">
      <c r="E15892" s="51"/>
    </row>
    <row r="15893" spans="5:5">
      <c r="E15893" s="51"/>
    </row>
    <row r="15894" spans="5:5">
      <c r="E15894" s="51"/>
    </row>
    <row r="15895" spans="5:5">
      <c r="E15895" s="51"/>
    </row>
    <row r="15896" spans="5:5">
      <c r="E15896" s="51"/>
    </row>
    <row r="15897" spans="5:5">
      <c r="E15897" s="51"/>
    </row>
    <row r="15898" spans="5:5">
      <c r="E15898" s="51"/>
    </row>
    <row r="15899" spans="5:5">
      <c r="E15899" s="51"/>
    </row>
    <row r="15900" spans="5:5">
      <c r="E15900" s="51"/>
    </row>
    <row r="15901" spans="5:5">
      <c r="E15901" s="51"/>
    </row>
    <row r="15902" spans="5:5">
      <c r="E15902" s="51"/>
    </row>
    <row r="15903" spans="5:5">
      <c r="E15903" s="51"/>
    </row>
    <row r="15904" spans="5:5">
      <c r="E15904" s="51"/>
    </row>
    <row r="15905" spans="5:5">
      <c r="E15905" s="51"/>
    </row>
    <row r="15906" spans="5:5">
      <c r="E15906" s="51"/>
    </row>
    <row r="15907" spans="5:5">
      <c r="E15907" s="51"/>
    </row>
    <row r="15908" spans="5:5">
      <c r="E15908" s="51"/>
    </row>
    <row r="15909" spans="5:5">
      <c r="E15909" s="51"/>
    </row>
    <row r="15910" spans="5:5">
      <c r="E15910" s="51"/>
    </row>
    <row r="15911" spans="5:5">
      <c r="E15911" s="51"/>
    </row>
    <row r="15912" spans="5:5">
      <c r="E15912" s="51"/>
    </row>
    <row r="15913" spans="5:5">
      <c r="E15913" s="51"/>
    </row>
    <row r="15914" spans="5:5">
      <c r="E15914" s="51"/>
    </row>
    <row r="15915" spans="5:5">
      <c r="E15915" s="51"/>
    </row>
    <row r="15916" spans="5:5">
      <c r="E15916" s="51"/>
    </row>
    <row r="15917" spans="5:5">
      <c r="E15917" s="51"/>
    </row>
    <row r="15918" spans="5:5">
      <c r="E15918" s="51"/>
    </row>
    <row r="15919" spans="5:5">
      <c r="E15919" s="51"/>
    </row>
    <row r="15920" spans="5:5">
      <c r="E15920" s="51"/>
    </row>
    <row r="15921" spans="5:5">
      <c r="E15921" s="51"/>
    </row>
    <row r="15922" spans="5:5">
      <c r="E15922" s="51"/>
    </row>
    <row r="15923" spans="5:5">
      <c r="E15923" s="51"/>
    </row>
    <row r="15924" spans="5:5">
      <c r="E15924" s="51"/>
    </row>
    <row r="15925" spans="5:5">
      <c r="E15925" s="51"/>
    </row>
    <row r="15926" spans="5:5">
      <c r="E15926" s="51"/>
    </row>
    <row r="15927" spans="5:5">
      <c r="E15927" s="51"/>
    </row>
    <row r="15928" spans="5:5">
      <c r="E15928" s="51"/>
    </row>
    <row r="15929" spans="5:5">
      <c r="E15929" s="51"/>
    </row>
    <row r="15930" spans="5:5">
      <c r="E15930" s="51"/>
    </row>
    <row r="15931" spans="5:5">
      <c r="E15931" s="51"/>
    </row>
    <row r="15932" spans="5:5">
      <c r="E15932" s="51"/>
    </row>
    <row r="15933" spans="5:5">
      <c r="E15933" s="51"/>
    </row>
    <row r="15934" spans="5:5">
      <c r="E15934" s="51"/>
    </row>
    <row r="15935" spans="5:5">
      <c r="E15935" s="51"/>
    </row>
    <row r="15936" spans="5:5">
      <c r="E15936" s="51"/>
    </row>
    <row r="15937" spans="5:5">
      <c r="E15937" s="51"/>
    </row>
    <row r="15938" spans="5:5">
      <c r="E15938" s="51"/>
    </row>
    <row r="15939" spans="5:5">
      <c r="E15939" s="51"/>
    </row>
    <row r="15940" spans="5:5">
      <c r="E15940" s="51"/>
    </row>
    <row r="15941" spans="5:5">
      <c r="E15941" s="51"/>
    </row>
    <row r="15942" spans="5:5">
      <c r="E15942" s="51"/>
    </row>
    <row r="15943" spans="5:5">
      <c r="E15943" s="51"/>
    </row>
    <row r="15944" spans="5:5">
      <c r="E15944" s="51"/>
    </row>
    <row r="15945" spans="5:5">
      <c r="E15945" s="51"/>
    </row>
    <row r="15946" spans="5:5">
      <c r="E15946" s="51"/>
    </row>
    <row r="15947" spans="5:5">
      <c r="E15947" s="51"/>
    </row>
    <row r="15948" spans="5:5">
      <c r="E15948" s="51"/>
    </row>
    <row r="15949" spans="5:5">
      <c r="E15949" s="51"/>
    </row>
    <row r="15950" spans="5:5">
      <c r="E15950" s="51"/>
    </row>
    <row r="15951" spans="5:5">
      <c r="E15951" s="51"/>
    </row>
    <row r="15952" spans="5:5">
      <c r="E15952" s="51"/>
    </row>
    <row r="15953" spans="5:5">
      <c r="E15953" s="51"/>
    </row>
    <row r="15954" spans="5:5">
      <c r="E15954" s="51"/>
    </row>
    <row r="15955" spans="5:5">
      <c r="E15955" s="51"/>
    </row>
    <row r="15956" spans="5:5">
      <c r="E15956" s="51"/>
    </row>
    <row r="15957" spans="5:5">
      <c r="E15957" s="51"/>
    </row>
    <row r="15958" spans="5:5">
      <c r="E15958" s="51"/>
    </row>
    <row r="15959" spans="5:5">
      <c r="E15959" s="51"/>
    </row>
    <row r="15960" spans="5:5">
      <c r="E15960" s="51"/>
    </row>
    <row r="15961" spans="5:5">
      <c r="E15961" s="51"/>
    </row>
    <row r="15962" spans="5:5">
      <c r="E15962" s="51"/>
    </row>
    <row r="15963" spans="5:5">
      <c r="E15963" s="51"/>
    </row>
    <row r="15964" spans="5:5">
      <c r="E15964" s="51"/>
    </row>
    <row r="15965" spans="5:5">
      <c r="E15965" s="51"/>
    </row>
    <row r="15966" spans="5:5">
      <c r="E15966" s="51"/>
    </row>
    <row r="15967" spans="5:5">
      <c r="E15967" s="51"/>
    </row>
    <row r="15968" spans="5:5">
      <c r="E15968" s="51"/>
    </row>
    <row r="15969" spans="5:5">
      <c r="E15969" s="51"/>
    </row>
    <row r="15970" spans="5:5">
      <c r="E15970" s="51"/>
    </row>
    <row r="15971" spans="5:5">
      <c r="E15971" s="51"/>
    </row>
    <row r="15972" spans="5:5">
      <c r="E15972" s="51"/>
    </row>
    <row r="15973" spans="5:5">
      <c r="E15973" s="51"/>
    </row>
    <row r="15974" spans="5:5">
      <c r="E15974" s="51"/>
    </row>
    <row r="15975" spans="5:5">
      <c r="E15975" s="51"/>
    </row>
    <row r="15976" spans="5:5">
      <c r="E15976" s="51"/>
    </row>
    <row r="15977" spans="5:5">
      <c r="E15977" s="51"/>
    </row>
    <row r="15978" spans="5:5">
      <c r="E15978" s="51"/>
    </row>
    <row r="15979" spans="5:5">
      <c r="E15979" s="51"/>
    </row>
    <row r="15980" spans="5:5">
      <c r="E15980" s="51"/>
    </row>
    <row r="15981" spans="5:5">
      <c r="E15981" s="51"/>
    </row>
    <row r="15982" spans="5:5">
      <c r="E15982" s="51"/>
    </row>
    <row r="15983" spans="5:5">
      <c r="E15983" s="51"/>
    </row>
    <row r="15984" spans="5:5">
      <c r="E15984" s="51"/>
    </row>
    <row r="15985" spans="5:5">
      <c r="E15985" s="51"/>
    </row>
    <row r="15986" spans="5:5">
      <c r="E15986" s="51"/>
    </row>
    <row r="15987" spans="5:5">
      <c r="E15987" s="51"/>
    </row>
    <row r="15988" spans="5:5">
      <c r="E15988" s="51"/>
    </row>
    <row r="15989" spans="5:5">
      <c r="E15989" s="51"/>
    </row>
    <row r="15990" spans="5:5">
      <c r="E15990" s="51"/>
    </row>
    <row r="15991" spans="5:5">
      <c r="E15991" s="51"/>
    </row>
    <row r="15992" spans="5:5">
      <c r="E15992" s="51"/>
    </row>
    <row r="15993" spans="5:5">
      <c r="E15993" s="51"/>
    </row>
    <row r="15994" spans="5:5">
      <c r="E15994" s="51"/>
    </row>
    <row r="15995" spans="5:5">
      <c r="E15995" s="51"/>
    </row>
    <row r="15996" spans="5:5">
      <c r="E15996" s="51"/>
    </row>
    <row r="15997" spans="5:5">
      <c r="E15997" s="51"/>
    </row>
    <row r="15998" spans="5:5">
      <c r="E15998" s="51"/>
    </row>
    <row r="15999" spans="5:5">
      <c r="E15999" s="51"/>
    </row>
    <row r="16000" spans="5:5">
      <c r="E16000" s="51"/>
    </row>
    <row r="16001" spans="5:5">
      <c r="E16001" s="51"/>
    </row>
    <row r="16002" spans="5:5">
      <c r="E16002" s="51"/>
    </row>
    <row r="16003" spans="5:5">
      <c r="E16003" s="51"/>
    </row>
    <row r="16004" spans="5:5">
      <c r="E16004" s="51"/>
    </row>
    <row r="16005" spans="5:5">
      <c r="E16005" s="51"/>
    </row>
    <row r="16006" spans="5:5">
      <c r="E16006" s="51"/>
    </row>
    <row r="16007" spans="5:5">
      <c r="E16007" s="51"/>
    </row>
    <row r="16008" spans="5:5">
      <c r="E16008" s="51"/>
    </row>
    <row r="16009" spans="5:5">
      <c r="E16009" s="51"/>
    </row>
    <row r="16010" spans="5:5">
      <c r="E16010" s="51"/>
    </row>
    <row r="16011" spans="5:5">
      <c r="E16011" s="51"/>
    </row>
    <row r="16012" spans="5:5">
      <c r="E16012" s="51"/>
    </row>
    <row r="16013" spans="5:5">
      <c r="E16013" s="51"/>
    </row>
    <row r="16014" spans="5:5">
      <c r="E16014" s="51"/>
    </row>
    <row r="16015" spans="5:5">
      <c r="E16015" s="51"/>
    </row>
    <row r="16016" spans="5:5">
      <c r="E16016" s="51"/>
    </row>
    <row r="16017" spans="5:5">
      <c r="E16017" s="51"/>
    </row>
    <row r="16018" spans="5:5">
      <c r="E16018" s="51"/>
    </row>
    <row r="16019" spans="5:5">
      <c r="E16019" s="51"/>
    </row>
    <row r="16020" spans="5:5">
      <c r="E16020" s="51"/>
    </row>
    <row r="16021" spans="5:5">
      <c r="E16021" s="51"/>
    </row>
    <row r="16022" spans="5:5">
      <c r="E16022" s="51"/>
    </row>
    <row r="16023" spans="5:5">
      <c r="E16023" s="51"/>
    </row>
    <row r="16024" spans="5:5">
      <c r="E16024" s="51"/>
    </row>
    <row r="16025" spans="5:5">
      <c r="E16025" s="51"/>
    </row>
    <row r="16026" spans="5:5">
      <c r="E16026" s="51"/>
    </row>
    <row r="16027" spans="5:5">
      <c r="E16027" s="51"/>
    </row>
    <row r="16028" spans="5:5">
      <c r="E16028" s="51"/>
    </row>
    <row r="16029" spans="5:5">
      <c r="E16029" s="51"/>
    </row>
    <row r="16030" spans="5:5">
      <c r="E16030" s="51"/>
    </row>
    <row r="16031" spans="5:5">
      <c r="E16031" s="51"/>
    </row>
    <row r="16032" spans="5:5">
      <c r="E16032" s="51"/>
    </row>
    <row r="16033" spans="5:5">
      <c r="E16033" s="51"/>
    </row>
    <row r="16034" spans="5:5">
      <c r="E16034" s="51"/>
    </row>
    <row r="16035" spans="5:5">
      <c r="E16035" s="51"/>
    </row>
    <row r="16036" spans="5:5">
      <c r="E16036" s="51"/>
    </row>
    <row r="16037" spans="5:5">
      <c r="E16037" s="51"/>
    </row>
    <row r="16038" spans="5:5">
      <c r="E16038" s="51"/>
    </row>
    <row r="16039" spans="5:5">
      <c r="E16039" s="51"/>
    </row>
    <row r="16040" spans="5:5">
      <c r="E16040" s="51"/>
    </row>
    <row r="16041" spans="5:5">
      <c r="E16041" s="51"/>
    </row>
    <row r="16042" spans="5:5">
      <c r="E16042" s="51"/>
    </row>
    <row r="16043" spans="5:5">
      <c r="E16043" s="51"/>
    </row>
    <row r="16044" spans="5:5">
      <c r="E16044" s="51"/>
    </row>
    <row r="16045" spans="5:5">
      <c r="E16045" s="51"/>
    </row>
    <row r="16046" spans="5:5">
      <c r="E16046" s="51"/>
    </row>
    <row r="16047" spans="5:5">
      <c r="E16047" s="51"/>
    </row>
    <row r="16048" spans="5:5">
      <c r="E16048" s="51"/>
    </row>
    <row r="16049" spans="5:5">
      <c r="E16049" s="51"/>
    </row>
    <row r="16050" spans="5:5">
      <c r="E16050" s="51"/>
    </row>
    <row r="16051" spans="5:5">
      <c r="E16051" s="51"/>
    </row>
    <row r="16052" spans="5:5">
      <c r="E16052" s="51"/>
    </row>
    <row r="16053" spans="5:5">
      <c r="E16053" s="51"/>
    </row>
    <row r="16054" spans="5:5">
      <c r="E16054" s="51"/>
    </row>
    <row r="16055" spans="5:5">
      <c r="E16055" s="51"/>
    </row>
    <row r="16056" spans="5:5">
      <c r="E16056" s="51"/>
    </row>
    <row r="16057" spans="5:5">
      <c r="E16057" s="51"/>
    </row>
    <row r="16058" spans="5:5">
      <c r="E16058" s="51"/>
    </row>
    <row r="16059" spans="5:5">
      <c r="E16059" s="51"/>
    </row>
    <row r="16060" spans="5:5">
      <c r="E16060" s="51"/>
    </row>
    <row r="16061" spans="5:5">
      <c r="E16061" s="51"/>
    </row>
    <row r="16062" spans="5:5">
      <c r="E16062" s="51"/>
    </row>
    <row r="16063" spans="5:5">
      <c r="E16063" s="51"/>
    </row>
    <row r="16064" spans="5:5">
      <c r="E16064" s="51"/>
    </row>
    <row r="16065" spans="5:5">
      <c r="E16065" s="51"/>
    </row>
    <row r="16066" spans="5:5">
      <c r="E16066" s="51"/>
    </row>
    <row r="16067" spans="5:5">
      <c r="E16067" s="51"/>
    </row>
    <row r="16068" spans="5:5">
      <c r="E16068" s="51"/>
    </row>
    <row r="16069" spans="5:5">
      <c r="E16069" s="51"/>
    </row>
    <row r="16070" spans="5:5">
      <c r="E16070" s="51"/>
    </row>
    <row r="16071" spans="5:5">
      <c r="E16071" s="51"/>
    </row>
    <row r="16072" spans="5:5">
      <c r="E16072" s="51"/>
    </row>
    <row r="16073" spans="5:5">
      <c r="E16073" s="51"/>
    </row>
    <row r="16074" spans="5:5">
      <c r="E16074" s="51"/>
    </row>
    <row r="16075" spans="5:5">
      <c r="E16075" s="51"/>
    </row>
    <row r="16076" spans="5:5">
      <c r="E16076" s="51"/>
    </row>
    <row r="16077" spans="5:5">
      <c r="E16077" s="51"/>
    </row>
    <row r="16078" spans="5:5">
      <c r="E16078" s="51"/>
    </row>
    <row r="16079" spans="5:5">
      <c r="E16079" s="51"/>
    </row>
    <row r="16080" spans="5:5">
      <c r="E16080" s="51"/>
    </row>
    <row r="16081" spans="5:5">
      <c r="E16081" s="51"/>
    </row>
    <row r="16082" spans="5:5">
      <c r="E16082" s="51"/>
    </row>
    <row r="16083" spans="5:5">
      <c r="E16083" s="51"/>
    </row>
    <row r="16084" spans="5:5">
      <c r="E16084" s="51"/>
    </row>
    <row r="16085" spans="5:5">
      <c r="E16085" s="51"/>
    </row>
    <row r="16086" spans="5:5">
      <c r="E16086" s="51"/>
    </row>
    <row r="16087" spans="5:5">
      <c r="E16087" s="51"/>
    </row>
    <row r="16088" spans="5:5">
      <c r="E16088" s="51"/>
    </row>
    <row r="16089" spans="5:5">
      <c r="E16089" s="51"/>
    </row>
    <row r="16090" spans="5:5">
      <c r="E16090" s="51"/>
    </row>
    <row r="16091" spans="5:5">
      <c r="E16091" s="51"/>
    </row>
    <row r="16092" spans="5:5">
      <c r="E16092" s="51"/>
    </row>
    <row r="16093" spans="5:5">
      <c r="E16093" s="51"/>
    </row>
    <row r="16094" spans="5:5">
      <c r="E16094" s="51"/>
    </row>
    <row r="16095" spans="5:5">
      <c r="E16095" s="51"/>
    </row>
    <row r="16096" spans="5:5">
      <c r="E16096" s="51"/>
    </row>
    <row r="16097" spans="5:5">
      <c r="E16097" s="51"/>
    </row>
    <row r="16098" spans="5:5">
      <c r="E16098" s="51"/>
    </row>
    <row r="16099" spans="5:5">
      <c r="E16099" s="51"/>
    </row>
    <row r="16100" spans="5:5">
      <c r="E16100" s="51"/>
    </row>
    <row r="16101" spans="5:5">
      <c r="E16101" s="51"/>
    </row>
    <row r="16102" spans="5:5">
      <c r="E16102" s="51"/>
    </row>
    <row r="16103" spans="5:5">
      <c r="E16103" s="51"/>
    </row>
    <row r="16104" spans="5:5">
      <c r="E16104" s="51"/>
    </row>
    <row r="16105" spans="5:5">
      <c r="E16105" s="51"/>
    </row>
    <row r="16106" spans="5:5">
      <c r="E16106" s="51"/>
    </row>
    <row r="16107" spans="5:5">
      <c r="E16107" s="51"/>
    </row>
    <row r="16108" spans="5:5">
      <c r="E16108" s="51"/>
    </row>
    <row r="16109" spans="5:5">
      <c r="E16109" s="51"/>
    </row>
    <row r="16110" spans="5:5">
      <c r="E16110" s="51"/>
    </row>
    <row r="16111" spans="5:5">
      <c r="E16111" s="51"/>
    </row>
    <row r="16112" spans="5:5">
      <c r="E16112" s="51"/>
    </row>
    <row r="16113" spans="5:5">
      <c r="E16113" s="51"/>
    </row>
    <row r="16114" spans="5:5">
      <c r="E16114" s="51"/>
    </row>
    <row r="16115" spans="5:5">
      <c r="E16115" s="51"/>
    </row>
    <row r="16116" spans="5:5">
      <c r="E16116" s="51"/>
    </row>
    <row r="16117" spans="5:5">
      <c r="E16117" s="51"/>
    </row>
    <row r="16118" spans="5:5">
      <c r="E16118" s="51"/>
    </row>
    <row r="16119" spans="5:5">
      <c r="E16119" s="51"/>
    </row>
    <row r="16120" spans="5:5">
      <c r="E16120" s="51"/>
    </row>
    <row r="16121" spans="5:5">
      <c r="E16121" s="51"/>
    </row>
    <row r="16122" spans="5:5">
      <c r="E16122" s="51"/>
    </row>
    <row r="16123" spans="5:5">
      <c r="E16123" s="51"/>
    </row>
    <row r="16124" spans="5:5">
      <c r="E16124" s="51"/>
    </row>
    <row r="16125" spans="5:5">
      <c r="E16125" s="51"/>
    </row>
    <row r="16126" spans="5:5">
      <c r="E16126" s="51"/>
    </row>
    <row r="16127" spans="5:5">
      <c r="E16127" s="51"/>
    </row>
    <row r="16128" spans="5:5">
      <c r="E16128" s="51"/>
    </row>
    <row r="16129" spans="5:5">
      <c r="E16129" s="51"/>
    </row>
    <row r="16130" spans="5:5">
      <c r="E16130" s="51"/>
    </row>
    <row r="16131" spans="5:5">
      <c r="E16131" s="51"/>
    </row>
    <row r="16132" spans="5:5">
      <c r="E16132" s="51"/>
    </row>
    <row r="16133" spans="5:5">
      <c r="E16133" s="51"/>
    </row>
    <row r="16134" spans="5:5">
      <c r="E16134" s="51"/>
    </row>
    <row r="16135" spans="5:5">
      <c r="E16135" s="51"/>
    </row>
    <row r="16136" spans="5:5">
      <c r="E16136" s="51"/>
    </row>
    <row r="16137" spans="5:5">
      <c r="E16137" s="51"/>
    </row>
    <row r="16138" spans="5:5">
      <c r="E16138" s="51"/>
    </row>
    <row r="16139" spans="5:5">
      <c r="E16139" s="51"/>
    </row>
    <row r="16140" spans="5:5">
      <c r="E16140" s="51"/>
    </row>
    <row r="16141" spans="5:5">
      <c r="E16141" s="51"/>
    </row>
    <row r="16142" spans="5:5">
      <c r="E16142" s="51"/>
    </row>
    <row r="16143" spans="5:5">
      <c r="E16143" s="51"/>
    </row>
    <row r="16144" spans="5:5">
      <c r="E16144" s="51"/>
    </row>
    <row r="16145" spans="5:5">
      <c r="E16145" s="51"/>
    </row>
    <row r="16146" spans="5:5">
      <c r="E16146" s="51"/>
    </row>
    <row r="16147" spans="5:5">
      <c r="E16147" s="51"/>
    </row>
    <row r="16148" spans="5:5">
      <c r="E16148" s="51"/>
    </row>
    <row r="16149" spans="5:5">
      <c r="E16149" s="51"/>
    </row>
    <row r="16150" spans="5:5">
      <c r="E16150" s="51"/>
    </row>
    <row r="16151" spans="5:5">
      <c r="E16151" s="51"/>
    </row>
    <row r="16152" spans="5:5">
      <c r="E16152" s="51"/>
    </row>
    <row r="16153" spans="5:5">
      <c r="E16153" s="51"/>
    </row>
    <row r="16154" spans="5:5">
      <c r="E16154" s="51"/>
    </row>
    <row r="16155" spans="5:5">
      <c r="E16155" s="51"/>
    </row>
    <row r="16156" spans="5:5">
      <c r="E16156" s="51"/>
    </row>
    <row r="16157" spans="5:5">
      <c r="E16157" s="51"/>
    </row>
    <row r="16158" spans="5:5">
      <c r="E16158" s="51"/>
    </row>
    <row r="16159" spans="5:5">
      <c r="E16159" s="51"/>
    </row>
    <row r="16160" spans="5:5">
      <c r="E16160" s="51"/>
    </row>
    <row r="16161" spans="5:5">
      <c r="E16161" s="51"/>
    </row>
    <row r="16162" spans="5:5">
      <c r="E16162" s="51"/>
    </row>
    <row r="16163" spans="5:5">
      <c r="E16163" s="51"/>
    </row>
    <row r="16164" spans="5:5">
      <c r="E16164" s="51"/>
    </row>
    <row r="16165" spans="5:5">
      <c r="E16165" s="51"/>
    </row>
    <row r="16166" spans="5:5">
      <c r="E16166" s="51"/>
    </row>
    <row r="16167" spans="5:5">
      <c r="E16167" s="51"/>
    </row>
    <row r="16168" spans="5:5">
      <c r="E16168" s="51"/>
    </row>
    <row r="16169" spans="5:5">
      <c r="E16169" s="51"/>
    </row>
    <row r="16170" spans="5:5">
      <c r="E16170" s="51"/>
    </row>
    <row r="16171" spans="5:5">
      <c r="E16171" s="51"/>
    </row>
    <row r="16172" spans="5:5">
      <c r="E16172" s="51"/>
    </row>
    <row r="16173" spans="5:5">
      <c r="E16173" s="51"/>
    </row>
    <row r="16174" spans="5:5">
      <c r="E16174" s="51"/>
    </row>
    <row r="16175" spans="5:5">
      <c r="E16175" s="51"/>
    </row>
    <row r="16176" spans="5:5">
      <c r="E16176" s="51"/>
    </row>
    <row r="16177" spans="5:5">
      <c r="E16177" s="51"/>
    </row>
    <row r="16178" spans="5:5">
      <c r="E16178" s="51"/>
    </row>
    <row r="16179" spans="5:5">
      <c r="E16179" s="51"/>
    </row>
    <row r="16180" spans="5:5">
      <c r="E16180" s="51"/>
    </row>
    <row r="16181" spans="5:5">
      <c r="E16181" s="51"/>
    </row>
    <row r="16182" spans="5:5">
      <c r="E16182" s="51"/>
    </row>
    <row r="16183" spans="5:5">
      <c r="E16183" s="51"/>
    </row>
    <row r="16184" spans="5:5">
      <c r="E16184" s="51"/>
    </row>
    <row r="16185" spans="5:5">
      <c r="E16185" s="51"/>
    </row>
    <row r="16186" spans="5:5">
      <c r="E16186" s="51"/>
    </row>
    <row r="16187" spans="5:5">
      <c r="E16187" s="51"/>
    </row>
    <row r="16188" spans="5:5">
      <c r="E16188" s="51"/>
    </row>
    <row r="16189" spans="5:5">
      <c r="E16189" s="51"/>
    </row>
    <row r="16190" spans="5:5">
      <c r="E16190" s="51"/>
    </row>
    <row r="16191" spans="5:5">
      <c r="E16191" s="51"/>
    </row>
    <row r="16192" spans="5:5">
      <c r="E16192" s="51"/>
    </row>
    <row r="16193" spans="5:5">
      <c r="E16193" s="51"/>
    </row>
    <row r="16194" spans="5:5">
      <c r="E16194" s="51"/>
    </row>
    <row r="16195" spans="5:5">
      <c r="E16195" s="51"/>
    </row>
    <row r="16196" spans="5:5">
      <c r="E16196" s="51"/>
    </row>
    <row r="16197" spans="5:5">
      <c r="E16197" s="51"/>
    </row>
    <row r="16198" spans="5:5">
      <c r="E16198" s="51"/>
    </row>
    <row r="16199" spans="5:5">
      <c r="E16199" s="51"/>
    </row>
    <row r="16200" spans="5:5">
      <c r="E16200" s="51"/>
    </row>
    <row r="16201" spans="5:5">
      <c r="E16201" s="51"/>
    </row>
    <row r="16202" spans="5:5">
      <c r="E16202" s="51"/>
    </row>
    <row r="16203" spans="5:5">
      <c r="E16203" s="51"/>
    </row>
    <row r="16204" spans="5:5">
      <c r="E16204" s="51"/>
    </row>
    <row r="16205" spans="5:5">
      <c r="E16205" s="51"/>
    </row>
    <row r="16206" spans="5:5">
      <c r="E16206" s="51"/>
    </row>
    <row r="16207" spans="5:5">
      <c r="E16207" s="51"/>
    </row>
    <row r="16208" spans="5:5">
      <c r="E16208" s="51"/>
    </row>
    <row r="16209" spans="5:5">
      <c r="E16209" s="51"/>
    </row>
    <row r="16210" spans="5:5">
      <c r="E16210" s="51"/>
    </row>
    <row r="16211" spans="5:5">
      <c r="E16211" s="51"/>
    </row>
    <row r="16212" spans="5:5">
      <c r="E16212" s="51"/>
    </row>
    <row r="16213" spans="5:5">
      <c r="E16213" s="51"/>
    </row>
    <row r="16214" spans="5:5">
      <c r="E16214" s="51"/>
    </row>
    <row r="16215" spans="5:5">
      <c r="E16215" s="51"/>
    </row>
    <row r="16216" spans="5:5">
      <c r="E16216" s="51"/>
    </row>
    <row r="16217" spans="5:5">
      <c r="E16217" s="51"/>
    </row>
    <row r="16218" spans="5:5">
      <c r="E16218" s="51"/>
    </row>
    <row r="16219" spans="5:5">
      <c r="E16219" s="51"/>
    </row>
    <row r="16220" spans="5:5">
      <c r="E16220" s="51"/>
    </row>
    <row r="16221" spans="5:5">
      <c r="E16221" s="51"/>
    </row>
    <row r="16222" spans="5:5">
      <c r="E16222" s="51"/>
    </row>
    <row r="16223" spans="5:5">
      <c r="E16223" s="51"/>
    </row>
    <row r="16224" spans="5:5">
      <c r="E16224" s="51"/>
    </row>
    <row r="16225" spans="5:5">
      <c r="E16225" s="51"/>
    </row>
    <row r="16226" spans="5:5">
      <c r="E16226" s="51"/>
    </row>
    <row r="16227" spans="5:5">
      <c r="E16227" s="51"/>
    </row>
    <row r="16228" spans="5:5">
      <c r="E16228" s="51"/>
    </row>
    <row r="16229" spans="5:5">
      <c r="E16229" s="51"/>
    </row>
    <row r="16230" spans="5:5">
      <c r="E16230" s="51"/>
    </row>
    <row r="16231" spans="5:5">
      <c r="E16231" s="51"/>
    </row>
    <row r="16232" spans="5:5">
      <c r="E16232" s="51"/>
    </row>
    <row r="16233" spans="5:5">
      <c r="E16233" s="51"/>
    </row>
    <row r="16234" spans="5:5">
      <c r="E16234" s="51"/>
    </row>
    <row r="16235" spans="5:5">
      <c r="E16235" s="51"/>
    </row>
    <row r="16236" spans="5:5">
      <c r="E16236" s="51"/>
    </row>
    <row r="16237" spans="5:5">
      <c r="E16237" s="51"/>
    </row>
    <row r="16238" spans="5:5">
      <c r="E16238" s="51"/>
    </row>
    <row r="16239" spans="5:5">
      <c r="E16239" s="51"/>
    </row>
    <row r="16240" spans="5:5">
      <c r="E16240" s="51"/>
    </row>
    <row r="16241" spans="5:5">
      <c r="E16241" s="51"/>
    </row>
    <row r="16242" spans="5:5">
      <c r="E16242" s="51"/>
    </row>
    <row r="16243" spans="5:5">
      <c r="E16243" s="51"/>
    </row>
    <row r="16244" spans="5:5">
      <c r="E16244" s="51"/>
    </row>
    <row r="16245" spans="5:5">
      <c r="E16245" s="51"/>
    </row>
    <row r="16246" spans="5:5">
      <c r="E16246" s="51"/>
    </row>
    <row r="16247" spans="5:5">
      <c r="E16247" s="51"/>
    </row>
    <row r="16248" spans="5:5">
      <c r="E16248" s="51"/>
    </row>
    <row r="16249" spans="5:5">
      <c r="E16249" s="51"/>
    </row>
    <row r="16250" spans="5:5">
      <c r="E16250" s="51"/>
    </row>
    <row r="16251" spans="5:5">
      <c r="E16251" s="51"/>
    </row>
    <row r="16252" spans="5:5">
      <c r="E16252" s="51"/>
    </row>
    <row r="16253" spans="5:5">
      <c r="E16253" s="51"/>
    </row>
    <row r="16254" spans="5:5">
      <c r="E16254" s="51"/>
    </row>
    <row r="16255" spans="5:5">
      <c r="E16255" s="51"/>
    </row>
    <row r="16256" spans="5:5">
      <c r="E16256" s="51"/>
    </row>
    <row r="16257" spans="5:5">
      <c r="E16257" s="51"/>
    </row>
    <row r="16258" spans="5:5">
      <c r="E16258" s="51"/>
    </row>
    <row r="16259" spans="5:5">
      <c r="E16259" s="51"/>
    </row>
    <row r="16260" spans="5:5">
      <c r="E16260" s="51"/>
    </row>
    <row r="16261" spans="5:5">
      <c r="E16261" s="51"/>
    </row>
    <row r="16262" spans="5:5">
      <c r="E16262" s="51"/>
    </row>
    <row r="16263" spans="5:5">
      <c r="E16263" s="51"/>
    </row>
    <row r="16264" spans="5:5">
      <c r="E16264" s="51"/>
    </row>
    <row r="16265" spans="5:5">
      <c r="E16265" s="51"/>
    </row>
    <row r="16266" spans="5:5">
      <c r="E16266" s="51"/>
    </row>
    <row r="16267" spans="5:5">
      <c r="E16267" s="51"/>
    </row>
    <row r="16268" spans="5:5">
      <c r="E16268" s="51"/>
    </row>
    <row r="16269" spans="5:5">
      <c r="E16269" s="51"/>
    </row>
    <row r="16270" spans="5:5">
      <c r="E16270" s="51"/>
    </row>
    <row r="16271" spans="5:5">
      <c r="E16271" s="51"/>
    </row>
    <row r="16272" spans="5:5">
      <c r="E16272" s="51"/>
    </row>
    <row r="16273" spans="5:5">
      <c r="E16273" s="51"/>
    </row>
    <row r="16274" spans="5:5">
      <c r="E16274" s="51"/>
    </row>
    <row r="16275" spans="5:5">
      <c r="E16275" s="51"/>
    </row>
    <row r="16276" spans="5:5">
      <c r="E16276" s="51"/>
    </row>
    <row r="16277" spans="5:5">
      <c r="E16277" s="51"/>
    </row>
    <row r="16278" spans="5:5">
      <c r="E16278" s="51"/>
    </row>
    <row r="16279" spans="5:5">
      <c r="E16279" s="51"/>
    </row>
    <row r="16280" spans="5:5">
      <c r="E16280" s="51"/>
    </row>
    <row r="16281" spans="5:5">
      <c r="E16281" s="51"/>
    </row>
    <row r="16282" spans="5:5">
      <c r="E16282" s="51"/>
    </row>
    <row r="16283" spans="5:5">
      <c r="E16283" s="51"/>
    </row>
    <row r="16284" spans="5:5">
      <c r="E16284" s="51"/>
    </row>
    <row r="16285" spans="5:5">
      <c r="E16285" s="51"/>
    </row>
    <row r="16286" spans="5:5">
      <c r="E16286" s="51"/>
    </row>
    <row r="16287" spans="5:5">
      <c r="E16287" s="51"/>
    </row>
    <row r="16288" spans="5:5">
      <c r="E16288" s="51"/>
    </row>
    <row r="16289" spans="5:5">
      <c r="E16289" s="51"/>
    </row>
    <row r="16290" spans="5:5">
      <c r="E16290" s="51"/>
    </row>
    <row r="16291" spans="5:5">
      <c r="E16291" s="51"/>
    </row>
    <row r="16292" spans="5:5">
      <c r="E16292" s="51"/>
    </row>
    <row r="16293" spans="5:5">
      <c r="E16293" s="51"/>
    </row>
    <row r="16294" spans="5:5">
      <c r="E16294" s="51"/>
    </row>
    <row r="16295" spans="5:5">
      <c r="E16295" s="51"/>
    </row>
    <row r="16296" spans="5:5">
      <c r="E16296" s="51"/>
    </row>
    <row r="16297" spans="5:5">
      <c r="E16297" s="51"/>
    </row>
    <row r="16298" spans="5:5">
      <c r="E16298" s="51"/>
    </row>
    <row r="16299" spans="5:5">
      <c r="E16299" s="51"/>
    </row>
    <row r="16300" spans="5:5">
      <c r="E16300" s="51"/>
    </row>
    <row r="16301" spans="5:5">
      <c r="E16301" s="51"/>
    </row>
    <row r="16302" spans="5:5">
      <c r="E16302" s="51"/>
    </row>
    <row r="16303" spans="5:5">
      <c r="E16303" s="51"/>
    </row>
    <row r="16304" spans="5:5">
      <c r="E16304" s="51"/>
    </row>
    <row r="16305" spans="5:5">
      <c r="E16305" s="51"/>
    </row>
    <row r="16306" spans="5:5">
      <c r="E16306" s="51"/>
    </row>
    <row r="16307" spans="5:5">
      <c r="E16307" s="51"/>
    </row>
    <row r="16308" spans="5:5">
      <c r="E16308" s="51"/>
    </row>
    <row r="16309" spans="5:5">
      <c r="E16309" s="51"/>
    </row>
    <row r="16310" spans="5:5">
      <c r="E16310" s="51"/>
    </row>
    <row r="16311" spans="5:5">
      <c r="E16311" s="51"/>
    </row>
    <row r="16312" spans="5:5">
      <c r="E16312" s="51"/>
    </row>
    <row r="16313" spans="5:5">
      <c r="E16313" s="51"/>
    </row>
    <row r="16314" spans="5:5">
      <c r="E16314" s="51"/>
    </row>
    <row r="16315" spans="5:5">
      <c r="E16315" s="51"/>
    </row>
    <row r="16316" spans="5:5">
      <c r="E16316" s="51"/>
    </row>
    <row r="16317" spans="5:5">
      <c r="E16317" s="51"/>
    </row>
    <row r="16318" spans="5:5">
      <c r="E16318" s="51"/>
    </row>
    <row r="16319" spans="5:5">
      <c r="E16319" s="51"/>
    </row>
    <row r="16320" spans="5:5">
      <c r="E16320" s="51"/>
    </row>
    <row r="16321" spans="5:5">
      <c r="E16321" s="51"/>
    </row>
    <row r="16322" spans="5:5">
      <c r="E16322" s="51"/>
    </row>
    <row r="16323" spans="5:5">
      <c r="E16323" s="51"/>
    </row>
    <row r="16324" spans="5:5">
      <c r="E16324" s="51"/>
    </row>
    <row r="16325" spans="5:5">
      <c r="E16325" s="51"/>
    </row>
    <row r="16326" spans="5:5">
      <c r="E16326" s="51"/>
    </row>
    <row r="16327" spans="5:5">
      <c r="E16327" s="51"/>
    </row>
    <row r="16328" spans="5:5">
      <c r="E16328" s="51"/>
    </row>
    <row r="16329" spans="5:5">
      <c r="E16329" s="51"/>
    </row>
    <row r="16330" spans="5:5">
      <c r="E16330" s="51"/>
    </row>
    <row r="16331" spans="5:5">
      <c r="E16331" s="51"/>
    </row>
    <row r="16332" spans="5:5">
      <c r="E16332" s="51"/>
    </row>
    <row r="16333" spans="5:5">
      <c r="E16333" s="51"/>
    </row>
    <row r="16334" spans="5:5">
      <c r="E16334" s="51"/>
    </row>
    <row r="16335" spans="5:5">
      <c r="E16335" s="51"/>
    </row>
    <row r="16336" spans="5:5">
      <c r="E16336" s="51"/>
    </row>
    <row r="16337" spans="5:5">
      <c r="E16337" s="51"/>
    </row>
    <row r="16338" spans="5:5">
      <c r="E16338" s="51"/>
    </row>
    <row r="16339" spans="5:5">
      <c r="E16339" s="51"/>
    </row>
    <row r="16340" spans="5:5">
      <c r="E16340" s="51"/>
    </row>
    <row r="16341" spans="5:5">
      <c r="E16341" s="51"/>
    </row>
    <row r="16342" spans="5:5">
      <c r="E16342" s="51"/>
    </row>
    <row r="16343" spans="5:5">
      <c r="E16343" s="51"/>
    </row>
    <row r="16344" spans="5:5">
      <c r="E16344" s="51"/>
    </row>
    <row r="16345" spans="5:5">
      <c r="E16345" s="51"/>
    </row>
    <row r="16346" spans="5:5">
      <c r="E16346" s="51"/>
    </row>
    <row r="16347" spans="5:5">
      <c r="E16347" s="51"/>
    </row>
    <row r="16348" spans="5:5">
      <c r="E16348" s="51"/>
    </row>
    <row r="16349" spans="5:5">
      <c r="E16349" s="51"/>
    </row>
    <row r="16350" spans="5:5">
      <c r="E16350" s="51"/>
    </row>
    <row r="16351" spans="5:5">
      <c r="E16351" s="51"/>
    </row>
    <row r="16352" spans="5:5">
      <c r="E16352" s="51"/>
    </row>
    <row r="16353" spans="5:5">
      <c r="E16353" s="51"/>
    </row>
    <row r="16354" spans="5:5">
      <c r="E16354" s="51"/>
    </row>
    <row r="16355" spans="5:5">
      <c r="E16355" s="51"/>
    </row>
    <row r="16356" spans="5:5">
      <c r="E16356" s="51"/>
    </row>
    <row r="16357" spans="5:5">
      <c r="E16357" s="51"/>
    </row>
    <row r="16358" spans="5:5">
      <c r="E16358" s="51"/>
    </row>
    <row r="16359" spans="5:5">
      <c r="E16359" s="51"/>
    </row>
    <row r="16360" spans="5:5">
      <c r="E16360" s="51"/>
    </row>
    <row r="16361" spans="5:5">
      <c r="E16361" s="51"/>
    </row>
    <row r="16362" spans="5:5">
      <c r="E16362" s="51"/>
    </row>
    <row r="16363" spans="5:5">
      <c r="E16363" s="51"/>
    </row>
    <row r="16364" spans="5:5">
      <c r="E16364" s="51"/>
    </row>
    <row r="16365" spans="5:5">
      <c r="E16365" s="51"/>
    </row>
    <row r="16366" spans="5:5">
      <c r="E16366" s="51"/>
    </row>
    <row r="16367" spans="5:5">
      <c r="E16367" s="51"/>
    </row>
    <row r="16368" spans="5:5">
      <c r="E16368" s="51"/>
    </row>
    <row r="16369" spans="5:5">
      <c r="E16369" s="51"/>
    </row>
    <row r="16370" spans="5:5">
      <c r="E16370" s="51"/>
    </row>
    <row r="16371" spans="5:5">
      <c r="E16371" s="51"/>
    </row>
    <row r="16372" spans="5:5">
      <c r="E16372" s="51"/>
    </row>
    <row r="16373" spans="5:5">
      <c r="E16373" s="51"/>
    </row>
    <row r="16374" spans="5:5">
      <c r="E16374" s="51"/>
    </row>
    <row r="16375" spans="5:5">
      <c r="E16375" s="51"/>
    </row>
    <row r="16376" spans="5:5">
      <c r="E16376" s="51"/>
    </row>
    <row r="16377" spans="5:5">
      <c r="E16377" s="51"/>
    </row>
    <row r="16378" spans="5:5">
      <c r="E16378" s="51"/>
    </row>
    <row r="16379" spans="5:5">
      <c r="E16379" s="51"/>
    </row>
    <row r="16380" spans="5:5">
      <c r="E16380" s="51"/>
    </row>
    <row r="16381" spans="5:5">
      <c r="E16381" s="51"/>
    </row>
    <row r="16382" spans="5:5">
      <c r="E16382" s="51"/>
    </row>
    <row r="16383" spans="5:5">
      <c r="E16383" s="51"/>
    </row>
    <row r="16384" spans="5:5">
      <c r="E16384" s="51"/>
    </row>
    <row r="16385" spans="5:5">
      <c r="E16385" s="51"/>
    </row>
    <row r="16386" spans="5:5">
      <c r="E16386" s="51"/>
    </row>
    <row r="16387" spans="5:5">
      <c r="E16387" s="51"/>
    </row>
    <row r="16388" spans="5:5">
      <c r="E16388" s="51"/>
    </row>
    <row r="16389" spans="5:5">
      <c r="E16389" s="51"/>
    </row>
    <row r="16390" spans="5:5">
      <c r="E16390" s="51"/>
    </row>
    <row r="16391" spans="5:5">
      <c r="E16391" s="51"/>
    </row>
    <row r="16392" spans="5:5">
      <c r="E16392" s="51"/>
    </row>
    <row r="16393" spans="5:5">
      <c r="E16393" s="51"/>
    </row>
    <row r="16394" spans="5:5">
      <c r="E16394" s="51"/>
    </row>
    <row r="16395" spans="5:5">
      <c r="E16395" s="51"/>
    </row>
    <row r="16396" spans="5:5">
      <c r="E16396" s="51"/>
    </row>
    <row r="16397" spans="5:5">
      <c r="E16397" s="51"/>
    </row>
    <row r="16398" spans="5:5">
      <c r="E16398" s="51"/>
    </row>
    <row r="16399" spans="5:5">
      <c r="E16399" s="51"/>
    </row>
    <row r="16400" spans="5:5">
      <c r="E16400" s="51"/>
    </row>
    <row r="16401" spans="5:5">
      <c r="E16401" s="51"/>
    </row>
    <row r="16402" spans="5:5">
      <c r="E16402" s="51"/>
    </row>
    <row r="16403" spans="5:5">
      <c r="E16403" s="51"/>
    </row>
    <row r="16404" spans="5:5">
      <c r="E16404" s="51"/>
    </row>
    <row r="16405" spans="5:5">
      <c r="E16405" s="51"/>
    </row>
    <row r="16406" spans="5:5">
      <c r="E16406" s="51"/>
    </row>
    <row r="16407" spans="5:5">
      <c r="E16407" s="51"/>
    </row>
    <row r="16408" spans="5:5">
      <c r="E16408" s="51"/>
    </row>
    <row r="16409" spans="5:5">
      <c r="E16409" s="51"/>
    </row>
    <row r="16410" spans="5:5">
      <c r="E16410" s="51"/>
    </row>
    <row r="16411" spans="5:5">
      <c r="E16411" s="51"/>
    </row>
    <row r="16412" spans="5:5">
      <c r="E16412" s="51"/>
    </row>
    <row r="16413" spans="5:5">
      <c r="E16413" s="51"/>
    </row>
    <row r="16414" spans="5:5">
      <c r="E16414" s="51"/>
    </row>
    <row r="16415" spans="5:5">
      <c r="E16415" s="51"/>
    </row>
    <row r="16416" spans="5:5">
      <c r="E16416" s="51"/>
    </row>
    <row r="16417" spans="5:5">
      <c r="E16417" s="51"/>
    </row>
    <row r="16418" spans="5:5">
      <c r="E16418" s="51"/>
    </row>
    <row r="16419" spans="5:5">
      <c r="E16419" s="51"/>
    </row>
    <row r="16420" spans="5:5">
      <c r="E16420" s="51"/>
    </row>
    <row r="16421" spans="5:5">
      <c r="E16421" s="51"/>
    </row>
    <row r="16422" spans="5:5">
      <c r="E16422" s="51"/>
    </row>
    <row r="16423" spans="5:5">
      <c r="E16423" s="51"/>
    </row>
    <row r="16424" spans="5:5">
      <c r="E16424" s="51"/>
    </row>
    <row r="16425" spans="5:5">
      <c r="E16425" s="51"/>
    </row>
    <row r="16426" spans="5:5">
      <c r="E16426" s="51"/>
    </row>
    <row r="16427" spans="5:5">
      <c r="E16427" s="51"/>
    </row>
    <row r="16428" spans="5:5">
      <c r="E16428" s="51"/>
    </row>
    <row r="16429" spans="5:5">
      <c r="E16429" s="51"/>
    </row>
    <row r="16430" spans="5:5">
      <c r="E16430" s="51"/>
    </row>
    <row r="16431" spans="5:5">
      <c r="E16431" s="51"/>
    </row>
    <row r="16432" spans="5:5">
      <c r="E16432" s="51"/>
    </row>
    <row r="16433" spans="5:5">
      <c r="E16433" s="51"/>
    </row>
    <row r="16434" spans="5:5">
      <c r="E16434" s="51"/>
    </row>
    <row r="16435" spans="5:5">
      <c r="E16435" s="51"/>
    </row>
    <row r="16436" spans="5:5">
      <c r="E16436" s="51"/>
    </row>
    <row r="16437" spans="5:5">
      <c r="E16437" s="51"/>
    </row>
    <row r="16438" spans="5:5">
      <c r="E16438" s="51"/>
    </row>
    <row r="16439" spans="5:5">
      <c r="E16439" s="51"/>
    </row>
    <row r="16440" spans="5:5">
      <c r="E16440" s="51"/>
    </row>
    <row r="16441" spans="5:5">
      <c r="E16441" s="51"/>
    </row>
    <row r="16442" spans="5:5">
      <c r="E16442" s="51"/>
    </row>
    <row r="16443" spans="5:5">
      <c r="E16443" s="51"/>
    </row>
    <row r="16444" spans="5:5">
      <c r="E16444" s="51"/>
    </row>
    <row r="16445" spans="5:5">
      <c r="E16445" s="51"/>
    </row>
    <row r="16446" spans="5:5">
      <c r="E16446" s="51"/>
    </row>
    <row r="16447" spans="5:5">
      <c r="E16447" s="51"/>
    </row>
    <row r="16448" spans="5:5">
      <c r="E16448" s="51"/>
    </row>
    <row r="16449" spans="5:5">
      <c r="E16449" s="51"/>
    </row>
    <row r="16450" spans="5:5">
      <c r="E16450" s="51"/>
    </row>
    <row r="16451" spans="5:5">
      <c r="E16451" s="51"/>
    </row>
    <row r="16452" spans="5:5">
      <c r="E16452" s="51"/>
    </row>
    <row r="16453" spans="5:5">
      <c r="E16453" s="51"/>
    </row>
    <row r="16454" spans="5:5">
      <c r="E16454" s="51"/>
    </row>
    <row r="16455" spans="5:5">
      <c r="E16455" s="51"/>
    </row>
    <row r="16456" spans="5:5">
      <c r="E16456" s="51"/>
    </row>
    <row r="16457" spans="5:5">
      <c r="E16457" s="51"/>
    </row>
    <row r="16458" spans="5:5">
      <c r="E16458" s="51"/>
    </row>
    <row r="16459" spans="5:5">
      <c r="E16459" s="51"/>
    </row>
    <row r="16460" spans="5:5">
      <c r="E16460" s="51"/>
    </row>
    <row r="16461" spans="5:5">
      <c r="E16461" s="51"/>
    </row>
    <row r="16462" spans="5:5">
      <c r="E16462" s="51"/>
    </row>
    <row r="16463" spans="5:5">
      <c r="E16463" s="51"/>
    </row>
    <row r="16464" spans="5:5">
      <c r="E16464" s="51"/>
    </row>
    <row r="16465" spans="5:5">
      <c r="E16465" s="51"/>
    </row>
    <row r="16466" spans="5:5">
      <c r="E16466" s="51"/>
    </row>
    <row r="16467" spans="5:5">
      <c r="E16467" s="51"/>
    </row>
    <row r="16468" spans="5:5">
      <c r="E16468" s="51"/>
    </row>
    <row r="16469" spans="5:5">
      <c r="E16469" s="51"/>
    </row>
    <row r="16470" spans="5:5">
      <c r="E16470" s="51"/>
    </row>
    <row r="16471" spans="5:5">
      <c r="E16471" s="51"/>
    </row>
    <row r="16472" spans="5:5">
      <c r="E16472" s="51"/>
    </row>
    <row r="16473" spans="5:5">
      <c r="E16473" s="51"/>
    </row>
    <row r="16474" spans="5:5">
      <c r="E16474" s="51"/>
    </row>
    <row r="16475" spans="5:5">
      <c r="E16475" s="51"/>
    </row>
    <row r="16476" spans="5:5">
      <c r="E16476" s="51"/>
    </row>
    <row r="16477" spans="5:5">
      <c r="E16477" s="51"/>
    </row>
    <row r="16478" spans="5:5">
      <c r="E16478" s="51"/>
    </row>
    <row r="16479" spans="5:5">
      <c r="E16479" s="51"/>
    </row>
    <row r="16480" spans="5:5">
      <c r="E16480" s="51"/>
    </row>
    <row r="16481" spans="5:5">
      <c r="E16481" s="51"/>
    </row>
    <row r="16482" spans="5:5">
      <c r="E16482" s="51"/>
    </row>
    <row r="16483" spans="5:5">
      <c r="E16483" s="51"/>
    </row>
    <row r="16484" spans="5:5">
      <c r="E16484" s="51"/>
    </row>
    <row r="16485" spans="5:5">
      <c r="E16485" s="51"/>
    </row>
    <row r="16486" spans="5:5">
      <c r="E16486" s="51"/>
    </row>
    <row r="16487" spans="5:5">
      <c r="E16487" s="51"/>
    </row>
    <row r="16488" spans="5:5">
      <c r="E16488" s="51"/>
    </row>
    <row r="16489" spans="5:5">
      <c r="E16489" s="51"/>
    </row>
    <row r="16490" spans="5:5">
      <c r="E16490" s="51"/>
    </row>
    <row r="16491" spans="5:5">
      <c r="E16491" s="51"/>
    </row>
    <row r="16492" spans="5:5">
      <c r="E16492" s="51"/>
    </row>
    <row r="16493" spans="5:5">
      <c r="E16493" s="51"/>
    </row>
    <row r="16494" spans="5:5">
      <c r="E16494" s="51"/>
    </row>
    <row r="16495" spans="5:5">
      <c r="E16495" s="51"/>
    </row>
    <row r="16496" spans="5:5">
      <c r="E16496" s="51"/>
    </row>
    <row r="16497" spans="5:5">
      <c r="E16497" s="51"/>
    </row>
    <row r="16498" spans="5:5">
      <c r="E16498" s="51"/>
    </row>
    <row r="16499" spans="5:5">
      <c r="E16499" s="51"/>
    </row>
    <row r="16500" spans="5:5">
      <c r="E16500" s="51"/>
    </row>
    <row r="16501" spans="5:5">
      <c r="E16501" s="51"/>
    </row>
    <row r="16502" spans="5:5">
      <c r="E16502" s="51"/>
    </row>
    <row r="16503" spans="5:5">
      <c r="E16503" s="51"/>
    </row>
    <row r="16504" spans="5:5">
      <c r="E16504" s="51"/>
    </row>
    <row r="16505" spans="5:5">
      <c r="E16505" s="51"/>
    </row>
    <row r="16506" spans="5:5">
      <c r="E16506" s="51"/>
    </row>
    <row r="16507" spans="5:5">
      <c r="E16507" s="51"/>
    </row>
    <row r="16508" spans="5:5">
      <c r="E16508" s="51"/>
    </row>
    <row r="16509" spans="5:5">
      <c r="E16509" s="51"/>
    </row>
    <row r="16510" spans="5:5">
      <c r="E16510" s="51"/>
    </row>
    <row r="16511" spans="5:5">
      <c r="E16511" s="51"/>
    </row>
    <row r="16512" spans="5:5">
      <c r="E16512" s="51"/>
    </row>
    <row r="16513" spans="5:5">
      <c r="E16513" s="51"/>
    </row>
    <row r="16514" spans="5:5">
      <c r="E16514" s="51"/>
    </row>
    <row r="16515" spans="5:5">
      <c r="E16515" s="51"/>
    </row>
    <row r="16516" spans="5:5">
      <c r="E16516" s="51"/>
    </row>
    <row r="16517" spans="5:5">
      <c r="E16517" s="51"/>
    </row>
    <row r="16518" spans="5:5">
      <c r="E16518" s="51"/>
    </row>
    <row r="16519" spans="5:5">
      <c r="E16519" s="51"/>
    </row>
    <row r="16520" spans="5:5">
      <c r="E16520" s="51"/>
    </row>
    <row r="16521" spans="5:5">
      <c r="E16521" s="51"/>
    </row>
    <row r="16522" spans="5:5">
      <c r="E16522" s="51"/>
    </row>
    <row r="16523" spans="5:5">
      <c r="E16523" s="51"/>
    </row>
    <row r="16524" spans="5:5">
      <c r="E16524" s="51"/>
    </row>
    <row r="16525" spans="5:5">
      <c r="E16525" s="51"/>
    </row>
    <row r="16526" spans="5:5">
      <c r="E16526" s="51"/>
    </row>
    <row r="16527" spans="5:5">
      <c r="E16527" s="51"/>
    </row>
    <row r="16528" spans="5:5">
      <c r="E16528" s="51"/>
    </row>
    <row r="16529" spans="5:5">
      <c r="E16529" s="51"/>
    </row>
    <row r="16530" spans="5:5">
      <c r="E16530" s="51"/>
    </row>
    <row r="16531" spans="5:5">
      <c r="E16531" s="51"/>
    </row>
    <row r="16532" spans="5:5">
      <c r="E16532" s="51"/>
    </row>
    <row r="16533" spans="5:5">
      <c r="E16533" s="51"/>
    </row>
    <row r="16534" spans="5:5">
      <c r="E16534" s="51"/>
    </row>
    <row r="16535" spans="5:5">
      <c r="E16535" s="51"/>
    </row>
    <row r="16536" spans="5:5">
      <c r="E16536" s="51"/>
    </row>
    <row r="16537" spans="5:5">
      <c r="E16537" s="51"/>
    </row>
    <row r="16538" spans="5:5">
      <c r="E16538" s="51"/>
    </row>
    <row r="16539" spans="5:5">
      <c r="E16539" s="51"/>
    </row>
    <row r="16540" spans="5:5">
      <c r="E16540" s="51"/>
    </row>
    <row r="16541" spans="5:5">
      <c r="E16541" s="51"/>
    </row>
    <row r="16542" spans="5:5">
      <c r="E16542" s="51"/>
    </row>
    <row r="16543" spans="5:5">
      <c r="E16543" s="51"/>
    </row>
    <row r="16544" spans="5:5">
      <c r="E16544" s="51"/>
    </row>
    <row r="16545" spans="5:5">
      <c r="E16545" s="51"/>
    </row>
    <row r="16546" spans="5:5">
      <c r="E16546" s="51"/>
    </row>
    <row r="16547" spans="5:5">
      <c r="E16547" s="51"/>
    </row>
    <row r="16548" spans="5:5">
      <c r="E16548" s="51"/>
    </row>
    <row r="16549" spans="5:5">
      <c r="E16549" s="51"/>
    </row>
    <row r="16550" spans="5:5">
      <c r="E16550" s="51"/>
    </row>
    <row r="16551" spans="5:5">
      <c r="E16551" s="51"/>
    </row>
    <row r="16552" spans="5:5">
      <c r="E16552" s="51"/>
    </row>
    <row r="16553" spans="5:5">
      <c r="E16553" s="51"/>
    </row>
    <row r="16554" spans="5:5">
      <c r="E16554" s="51"/>
    </row>
    <row r="16555" spans="5:5">
      <c r="E16555" s="51"/>
    </row>
    <row r="16556" spans="5:5">
      <c r="E16556" s="51"/>
    </row>
    <row r="16557" spans="5:5">
      <c r="E16557" s="51"/>
    </row>
    <row r="16558" spans="5:5">
      <c r="E16558" s="51"/>
    </row>
    <row r="16559" spans="5:5">
      <c r="E16559" s="51"/>
    </row>
    <row r="16560" spans="5:5">
      <c r="E16560" s="51"/>
    </row>
    <row r="16561" spans="5:5">
      <c r="E16561" s="51"/>
    </row>
    <row r="16562" spans="5:5">
      <c r="E16562" s="51"/>
    </row>
    <row r="16563" spans="5:5">
      <c r="E16563" s="51"/>
    </row>
    <row r="16564" spans="5:5">
      <c r="E16564" s="51"/>
    </row>
    <row r="16565" spans="5:5">
      <c r="E16565" s="51"/>
    </row>
    <row r="16566" spans="5:5">
      <c r="E16566" s="51"/>
    </row>
    <row r="16567" spans="5:5">
      <c r="E16567" s="51"/>
    </row>
    <row r="16568" spans="5:5">
      <c r="E16568" s="51"/>
    </row>
    <row r="16569" spans="5:5">
      <c r="E16569" s="51"/>
    </row>
    <row r="16570" spans="5:5">
      <c r="E16570" s="51"/>
    </row>
    <row r="16571" spans="5:5">
      <c r="E16571" s="51"/>
    </row>
    <row r="16572" spans="5:5">
      <c r="E16572" s="51"/>
    </row>
    <row r="16573" spans="5:5">
      <c r="E16573" s="51"/>
    </row>
    <row r="16574" spans="5:5">
      <c r="E16574" s="51"/>
    </row>
    <row r="16575" spans="5:5">
      <c r="E16575" s="51"/>
    </row>
    <row r="16576" spans="5:5">
      <c r="E16576" s="51"/>
    </row>
    <row r="16577" spans="5:5">
      <c r="E16577" s="51"/>
    </row>
    <row r="16578" spans="5:5">
      <c r="E16578" s="51"/>
    </row>
    <row r="16579" spans="5:5">
      <c r="E16579" s="51"/>
    </row>
    <row r="16580" spans="5:5">
      <c r="E16580" s="51"/>
    </row>
    <row r="16581" spans="5:5">
      <c r="E16581" s="51"/>
    </row>
    <row r="16582" spans="5:5">
      <c r="E16582" s="51"/>
    </row>
    <row r="16583" spans="5:5">
      <c r="E16583" s="51"/>
    </row>
    <row r="16584" spans="5:5">
      <c r="E16584" s="51"/>
    </row>
    <row r="16585" spans="5:5">
      <c r="E16585" s="51"/>
    </row>
    <row r="16586" spans="5:5">
      <c r="E16586" s="51"/>
    </row>
    <row r="16587" spans="5:5">
      <c r="E16587" s="51"/>
    </row>
    <row r="16588" spans="5:5">
      <c r="E16588" s="51"/>
    </row>
    <row r="16589" spans="5:5">
      <c r="E16589" s="51"/>
    </row>
    <row r="16590" spans="5:5">
      <c r="E16590" s="51"/>
    </row>
    <row r="16591" spans="5:5">
      <c r="E16591" s="51"/>
    </row>
    <row r="16592" spans="5:5">
      <c r="E16592" s="51"/>
    </row>
    <row r="16593" spans="5:5">
      <c r="E16593" s="51"/>
    </row>
    <row r="16594" spans="5:5">
      <c r="E16594" s="51"/>
    </row>
    <row r="16595" spans="5:5">
      <c r="E16595" s="51"/>
    </row>
    <row r="16596" spans="5:5">
      <c r="E16596" s="51"/>
    </row>
    <row r="16597" spans="5:5">
      <c r="E16597" s="51"/>
    </row>
    <row r="16598" spans="5:5">
      <c r="E16598" s="51"/>
    </row>
    <row r="16599" spans="5:5">
      <c r="E16599" s="51"/>
    </row>
    <row r="16600" spans="5:5">
      <c r="E16600" s="51"/>
    </row>
    <row r="16601" spans="5:5">
      <c r="E16601" s="51"/>
    </row>
    <row r="16602" spans="5:5">
      <c r="E16602" s="51"/>
    </row>
    <row r="16603" spans="5:5">
      <c r="E16603" s="51"/>
    </row>
    <row r="16604" spans="5:5">
      <c r="E16604" s="51"/>
    </row>
    <row r="16605" spans="5:5">
      <c r="E16605" s="51"/>
    </row>
    <row r="16606" spans="5:5">
      <c r="E16606" s="51"/>
    </row>
    <row r="16607" spans="5:5">
      <c r="E16607" s="51"/>
    </row>
    <row r="16608" spans="5:5">
      <c r="E16608" s="51"/>
    </row>
    <row r="16609" spans="5:5">
      <c r="E16609" s="51"/>
    </row>
    <row r="16610" spans="5:5">
      <c r="E16610" s="51"/>
    </row>
    <row r="16611" spans="5:5">
      <c r="E16611" s="51"/>
    </row>
    <row r="16612" spans="5:5">
      <c r="E16612" s="51"/>
    </row>
    <row r="16613" spans="5:5">
      <c r="E16613" s="51"/>
    </row>
    <row r="16614" spans="5:5">
      <c r="E16614" s="51"/>
    </row>
    <row r="16615" spans="5:5">
      <c r="E16615" s="51"/>
    </row>
    <row r="16616" spans="5:5">
      <c r="E16616" s="51"/>
    </row>
    <row r="16617" spans="5:5">
      <c r="E16617" s="51"/>
    </row>
    <row r="16618" spans="5:5">
      <c r="E16618" s="51"/>
    </row>
    <row r="16619" spans="5:5">
      <c r="E16619" s="51"/>
    </row>
    <row r="16620" spans="5:5">
      <c r="E16620" s="51"/>
    </row>
    <row r="16621" spans="5:5">
      <c r="E16621" s="51"/>
    </row>
    <row r="16622" spans="5:5">
      <c r="E16622" s="51"/>
    </row>
    <row r="16623" spans="5:5">
      <c r="E16623" s="51"/>
    </row>
    <row r="16624" spans="5:5">
      <c r="E16624" s="51"/>
    </row>
    <row r="16625" spans="5:5">
      <c r="E16625" s="51"/>
    </row>
    <row r="16626" spans="5:5">
      <c r="E16626" s="51"/>
    </row>
    <row r="16627" spans="5:5">
      <c r="E16627" s="51"/>
    </row>
    <row r="16628" spans="5:5">
      <c r="E16628" s="51"/>
    </row>
    <row r="16629" spans="5:5">
      <c r="E16629" s="51"/>
    </row>
    <row r="16630" spans="5:5">
      <c r="E16630" s="51"/>
    </row>
    <row r="16631" spans="5:5">
      <c r="E16631" s="51"/>
    </row>
    <row r="16632" spans="5:5">
      <c r="E16632" s="51"/>
    </row>
    <row r="16633" spans="5:5">
      <c r="E16633" s="51"/>
    </row>
    <row r="16634" spans="5:5">
      <c r="E16634" s="51"/>
    </row>
    <row r="16635" spans="5:5">
      <c r="E16635" s="51"/>
    </row>
    <row r="16636" spans="5:5">
      <c r="E16636" s="51"/>
    </row>
    <row r="16637" spans="5:5">
      <c r="E16637" s="51"/>
    </row>
    <row r="16638" spans="5:5">
      <c r="E16638" s="51"/>
    </row>
    <row r="16639" spans="5:5">
      <c r="E16639" s="51"/>
    </row>
    <row r="16640" spans="5:5">
      <c r="E16640" s="51"/>
    </row>
    <row r="16641" spans="5:5">
      <c r="E16641" s="51"/>
    </row>
    <row r="16642" spans="5:5">
      <c r="E16642" s="51"/>
    </row>
    <row r="16643" spans="5:5">
      <c r="E16643" s="51"/>
    </row>
    <row r="16644" spans="5:5">
      <c r="E16644" s="51"/>
    </row>
    <row r="16645" spans="5:5">
      <c r="E16645" s="51"/>
    </row>
    <row r="16646" spans="5:5">
      <c r="E16646" s="51"/>
    </row>
    <row r="16647" spans="5:5">
      <c r="E16647" s="51"/>
    </row>
    <row r="16648" spans="5:5">
      <c r="E16648" s="51"/>
    </row>
    <row r="16649" spans="5:5">
      <c r="E16649" s="51"/>
    </row>
    <row r="16650" spans="5:5">
      <c r="E16650" s="51"/>
    </row>
    <row r="16651" spans="5:5">
      <c r="E16651" s="51"/>
    </row>
    <row r="16652" spans="5:5">
      <c r="E16652" s="51"/>
    </row>
    <row r="16653" spans="5:5">
      <c r="E16653" s="51"/>
    </row>
    <row r="16654" spans="5:5">
      <c r="E16654" s="51"/>
    </row>
    <row r="16655" spans="5:5">
      <c r="E16655" s="51"/>
    </row>
    <row r="16656" spans="5:5">
      <c r="E16656" s="51"/>
    </row>
    <row r="16657" spans="5:5">
      <c r="E16657" s="51"/>
    </row>
    <row r="16658" spans="5:5">
      <c r="E16658" s="51"/>
    </row>
    <row r="16659" spans="5:5">
      <c r="E16659" s="51"/>
    </row>
    <row r="16660" spans="5:5">
      <c r="E16660" s="51"/>
    </row>
    <row r="16661" spans="5:5">
      <c r="E16661" s="51"/>
    </row>
    <row r="16662" spans="5:5">
      <c r="E16662" s="51"/>
    </row>
    <row r="16663" spans="5:5">
      <c r="E16663" s="51"/>
    </row>
    <row r="16664" spans="5:5">
      <c r="E16664" s="51"/>
    </row>
    <row r="16665" spans="5:5">
      <c r="E16665" s="51"/>
    </row>
    <row r="16666" spans="5:5">
      <c r="E16666" s="51"/>
    </row>
    <row r="16667" spans="5:5">
      <c r="E16667" s="51"/>
    </row>
    <row r="16668" spans="5:5">
      <c r="E16668" s="51"/>
    </row>
    <row r="16669" spans="5:5">
      <c r="E16669" s="51"/>
    </row>
    <row r="16670" spans="5:5">
      <c r="E16670" s="51"/>
    </row>
    <row r="16671" spans="5:5">
      <c r="E16671" s="51"/>
    </row>
    <row r="16672" spans="5:5">
      <c r="E16672" s="51"/>
    </row>
    <row r="16673" spans="5:5">
      <c r="E16673" s="51"/>
    </row>
    <row r="16674" spans="5:5">
      <c r="E16674" s="51"/>
    </row>
    <row r="16675" spans="5:5">
      <c r="E16675" s="51"/>
    </row>
    <row r="16676" spans="5:5">
      <c r="E16676" s="51"/>
    </row>
    <row r="16677" spans="5:5">
      <c r="E16677" s="51"/>
    </row>
    <row r="16678" spans="5:5">
      <c r="E16678" s="51"/>
    </row>
    <row r="16679" spans="5:5">
      <c r="E16679" s="51"/>
    </row>
    <row r="16680" spans="5:5">
      <c r="E16680" s="51"/>
    </row>
    <row r="16681" spans="5:5">
      <c r="E16681" s="51"/>
    </row>
    <row r="16682" spans="5:5">
      <c r="E16682" s="51"/>
    </row>
    <row r="16683" spans="5:5">
      <c r="E16683" s="51"/>
    </row>
    <row r="16684" spans="5:5">
      <c r="E16684" s="51"/>
    </row>
    <row r="16685" spans="5:5">
      <c r="E16685" s="51"/>
    </row>
    <row r="16686" spans="5:5">
      <c r="E16686" s="51"/>
    </row>
    <row r="16687" spans="5:5">
      <c r="E16687" s="51"/>
    </row>
    <row r="16688" spans="5:5">
      <c r="E16688" s="51"/>
    </row>
    <row r="16689" spans="5:5">
      <c r="E16689" s="51"/>
    </row>
    <row r="16690" spans="5:5">
      <c r="E16690" s="51"/>
    </row>
    <row r="16691" spans="5:5">
      <c r="E16691" s="51"/>
    </row>
    <row r="16692" spans="5:5">
      <c r="E16692" s="51"/>
    </row>
    <row r="16693" spans="5:5">
      <c r="E16693" s="51"/>
    </row>
    <row r="16694" spans="5:5">
      <c r="E16694" s="51"/>
    </row>
    <row r="16695" spans="5:5">
      <c r="E16695" s="51"/>
    </row>
    <row r="16696" spans="5:5">
      <c r="E16696" s="51"/>
    </row>
    <row r="16697" spans="5:5">
      <c r="E16697" s="51"/>
    </row>
    <row r="16698" spans="5:5">
      <c r="E16698" s="51"/>
    </row>
    <row r="16699" spans="5:5">
      <c r="E16699" s="51"/>
    </row>
    <row r="16700" spans="5:5">
      <c r="E16700" s="51"/>
    </row>
    <row r="16701" spans="5:5">
      <c r="E16701" s="51"/>
    </row>
    <row r="16702" spans="5:5">
      <c r="E16702" s="51"/>
    </row>
    <row r="16703" spans="5:5">
      <c r="E16703" s="51"/>
    </row>
    <row r="16704" spans="5:5">
      <c r="E16704" s="51"/>
    </row>
    <row r="16705" spans="5:5">
      <c r="E16705" s="51"/>
    </row>
    <row r="16706" spans="5:5">
      <c r="E16706" s="51"/>
    </row>
    <row r="16707" spans="5:5">
      <c r="E16707" s="51"/>
    </row>
    <row r="16708" spans="5:5">
      <c r="E16708" s="51"/>
    </row>
    <row r="16709" spans="5:5">
      <c r="E16709" s="51"/>
    </row>
    <row r="16710" spans="5:5">
      <c r="E16710" s="51"/>
    </row>
    <row r="16711" spans="5:5">
      <c r="E16711" s="51"/>
    </row>
    <row r="16712" spans="5:5">
      <c r="E16712" s="51"/>
    </row>
    <row r="16713" spans="5:5">
      <c r="E16713" s="51"/>
    </row>
    <row r="16714" spans="5:5">
      <c r="E16714" s="51"/>
    </row>
    <row r="16715" spans="5:5">
      <c r="E16715" s="51"/>
    </row>
    <row r="16716" spans="5:5">
      <c r="E16716" s="51"/>
    </row>
    <row r="16717" spans="5:5">
      <c r="E16717" s="51"/>
    </row>
    <row r="16718" spans="5:5">
      <c r="E16718" s="51"/>
    </row>
    <row r="16719" spans="5:5">
      <c r="E16719" s="51"/>
    </row>
    <row r="16720" spans="5:5">
      <c r="E16720" s="51"/>
    </row>
    <row r="16721" spans="5:5">
      <c r="E16721" s="51"/>
    </row>
    <row r="16722" spans="5:5">
      <c r="E16722" s="51"/>
    </row>
    <row r="16723" spans="5:5">
      <c r="E16723" s="51"/>
    </row>
    <row r="16724" spans="5:5">
      <c r="E16724" s="51"/>
    </row>
    <row r="16725" spans="5:5">
      <c r="E16725" s="51"/>
    </row>
    <row r="16726" spans="5:5">
      <c r="E16726" s="51"/>
    </row>
    <row r="16727" spans="5:5">
      <c r="E16727" s="51"/>
    </row>
    <row r="16728" spans="5:5">
      <c r="E16728" s="51"/>
    </row>
    <row r="16729" spans="5:5">
      <c r="E16729" s="51"/>
    </row>
    <row r="16730" spans="5:5">
      <c r="E16730" s="51"/>
    </row>
    <row r="16731" spans="5:5">
      <c r="E16731" s="51"/>
    </row>
    <row r="16732" spans="5:5">
      <c r="E16732" s="51"/>
    </row>
    <row r="16733" spans="5:5">
      <c r="E16733" s="51"/>
    </row>
    <row r="16734" spans="5:5">
      <c r="E16734" s="51"/>
    </row>
    <row r="16735" spans="5:5">
      <c r="E16735" s="51"/>
    </row>
    <row r="16736" spans="5:5">
      <c r="E16736" s="51"/>
    </row>
    <row r="16737" spans="5:5">
      <c r="E16737" s="51"/>
    </row>
    <row r="16738" spans="5:5">
      <c r="E16738" s="51"/>
    </row>
    <row r="16739" spans="5:5">
      <c r="E16739" s="51"/>
    </row>
    <row r="16740" spans="5:5">
      <c r="E16740" s="51"/>
    </row>
    <row r="16741" spans="5:5">
      <c r="E16741" s="51"/>
    </row>
    <row r="16742" spans="5:5">
      <c r="E16742" s="51"/>
    </row>
    <row r="16743" spans="5:5">
      <c r="E16743" s="51"/>
    </row>
    <row r="16744" spans="5:5">
      <c r="E16744" s="51"/>
    </row>
    <row r="16745" spans="5:5">
      <c r="E16745" s="51"/>
    </row>
    <row r="16746" spans="5:5">
      <c r="E16746" s="51"/>
    </row>
    <row r="16747" spans="5:5">
      <c r="E16747" s="51"/>
    </row>
    <row r="16748" spans="5:5">
      <c r="E16748" s="51"/>
    </row>
    <row r="16749" spans="5:5">
      <c r="E16749" s="51"/>
    </row>
    <row r="16750" spans="5:5">
      <c r="E16750" s="51"/>
    </row>
    <row r="16751" spans="5:5">
      <c r="E16751" s="51"/>
    </row>
    <row r="16752" spans="5:5">
      <c r="E16752" s="51"/>
    </row>
    <row r="16753" spans="5:5">
      <c r="E16753" s="51"/>
    </row>
    <row r="16754" spans="5:5">
      <c r="E16754" s="51"/>
    </row>
    <row r="16755" spans="5:5">
      <c r="E16755" s="51"/>
    </row>
    <row r="16756" spans="5:5">
      <c r="E16756" s="51"/>
    </row>
    <row r="16757" spans="5:5">
      <c r="E16757" s="51"/>
    </row>
    <row r="16758" spans="5:5">
      <c r="E16758" s="51"/>
    </row>
    <row r="16759" spans="5:5">
      <c r="E16759" s="51"/>
    </row>
    <row r="16760" spans="5:5">
      <c r="E16760" s="51"/>
    </row>
    <row r="16761" spans="5:5">
      <c r="E16761" s="51"/>
    </row>
    <row r="16762" spans="5:5">
      <c r="E16762" s="51"/>
    </row>
    <row r="16763" spans="5:5">
      <c r="E16763" s="51"/>
    </row>
    <row r="16764" spans="5:5">
      <c r="E16764" s="51"/>
    </row>
    <row r="16765" spans="5:5">
      <c r="E16765" s="51"/>
    </row>
    <row r="16766" spans="5:5">
      <c r="E16766" s="51"/>
    </row>
    <row r="16767" spans="5:5">
      <c r="E16767" s="51"/>
    </row>
    <row r="16768" spans="5:5">
      <c r="E16768" s="51"/>
    </row>
    <row r="16769" spans="5:5">
      <c r="E16769" s="51"/>
    </row>
    <row r="16770" spans="5:5">
      <c r="E16770" s="51"/>
    </row>
    <row r="16771" spans="5:5">
      <c r="E16771" s="51"/>
    </row>
    <row r="16772" spans="5:5">
      <c r="E16772" s="51"/>
    </row>
    <row r="16773" spans="5:5">
      <c r="E16773" s="51"/>
    </row>
    <row r="16774" spans="5:5">
      <c r="E16774" s="51"/>
    </row>
    <row r="16775" spans="5:5">
      <c r="E16775" s="51"/>
    </row>
    <row r="16776" spans="5:5">
      <c r="E16776" s="51"/>
    </row>
    <row r="16777" spans="5:5">
      <c r="E16777" s="51"/>
    </row>
    <row r="16778" spans="5:5">
      <c r="E16778" s="51"/>
    </row>
    <row r="16779" spans="5:5">
      <c r="E16779" s="51"/>
    </row>
    <row r="16780" spans="5:5">
      <c r="E16780" s="51"/>
    </row>
    <row r="16781" spans="5:5">
      <c r="E16781" s="51"/>
    </row>
    <row r="16782" spans="5:5">
      <c r="E16782" s="51"/>
    </row>
    <row r="16783" spans="5:5">
      <c r="E16783" s="51"/>
    </row>
    <row r="16784" spans="5:5">
      <c r="E16784" s="51"/>
    </row>
    <row r="16785" spans="5:5">
      <c r="E16785" s="51"/>
    </row>
    <row r="16786" spans="5:5">
      <c r="E16786" s="51"/>
    </row>
    <row r="16787" spans="5:5">
      <c r="E16787" s="51"/>
    </row>
    <row r="16788" spans="5:5">
      <c r="E16788" s="51"/>
    </row>
    <row r="16789" spans="5:5">
      <c r="E16789" s="51"/>
    </row>
    <row r="16790" spans="5:5">
      <c r="E16790" s="51"/>
    </row>
    <row r="16791" spans="5:5">
      <c r="E16791" s="51"/>
    </row>
    <row r="16792" spans="5:5">
      <c r="E16792" s="51"/>
    </row>
    <row r="16793" spans="5:5">
      <c r="E16793" s="51"/>
    </row>
    <row r="16794" spans="5:5">
      <c r="E16794" s="51"/>
    </row>
    <row r="16795" spans="5:5">
      <c r="E16795" s="51"/>
    </row>
    <row r="16796" spans="5:5">
      <c r="E16796" s="51"/>
    </row>
    <row r="16797" spans="5:5">
      <c r="E16797" s="51"/>
    </row>
    <row r="16798" spans="5:5">
      <c r="E16798" s="51"/>
    </row>
    <row r="16799" spans="5:5">
      <c r="E16799" s="51"/>
    </row>
    <row r="16800" spans="5:5">
      <c r="E16800" s="51"/>
    </row>
    <row r="16801" spans="5:5">
      <c r="E16801" s="51"/>
    </row>
    <row r="16802" spans="5:5">
      <c r="E16802" s="51"/>
    </row>
    <row r="16803" spans="5:5">
      <c r="E16803" s="51"/>
    </row>
    <row r="16804" spans="5:5">
      <c r="E16804" s="51"/>
    </row>
    <row r="16805" spans="5:5">
      <c r="E16805" s="51"/>
    </row>
    <row r="16806" spans="5:5">
      <c r="E16806" s="51"/>
    </row>
    <row r="16807" spans="5:5">
      <c r="E16807" s="51"/>
    </row>
    <row r="16808" spans="5:5">
      <c r="E16808" s="51"/>
    </row>
    <row r="16809" spans="5:5">
      <c r="E16809" s="51"/>
    </row>
    <row r="16810" spans="5:5">
      <c r="E16810" s="51"/>
    </row>
    <row r="16811" spans="5:5">
      <c r="E16811" s="51"/>
    </row>
    <row r="16812" spans="5:5">
      <c r="E16812" s="51"/>
    </row>
    <row r="16813" spans="5:5">
      <c r="E16813" s="51"/>
    </row>
    <row r="16814" spans="5:5">
      <c r="E16814" s="51"/>
    </row>
    <row r="16815" spans="5:5">
      <c r="E16815" s="51"/>
    </row>
    <row r="16816" spans="5:5">
      <c r="E16816" s="51"/>
    </row>
    <row r="16817" spans="5:5">
      <c r="E16817" s="51"/>
    </row>
    <row r="16818" spans="5:5">
      <c r="E16818" s="51"/>
    </row>
    <row r="16819" spans="5:5">
      <c r="E16819" s="51"/>
    </row>
    <row r="16820" spans="5:5">
      <c r="E16820" s="51"/>
    </row>
    <row r="16821" spans="5:5">
      <c r="E16821" s="51"/>
    </row>
    <row r="16822" spans="5:5">
      <c r="E16822" s="51"/>
    </row>
    <row r="16823" spans="5:5">
      <c r="E16823" s="51"/>
    </row>
    <row r="16824" spans="5:5">
      <c r="E16824" s="51"/>
    </row>
    <row r="16825" spans="5:5">
      <c r="E16825" s="51"/>
    </row>
    <row r="16826" spans="5:5">
      <c r="E16826" s="51"/>
    </row>
    <row r="16827" spans="5:5">
      <c r="E16827" s="51"/>
    </row>
    <row r="16828" spans="5:5">
      <c r="E16828" s="51"/>
    </row>
    <row r="16829" spans="5:5">
      <c r="E16829" s="51"/>
    </row>
    <row r="16830" spans="5:5">
      <c r="E16830" s="51"/>
    </row>
    <row r="16831" spans="5:5">
      <c r="E16831" s="51"/>
    </row>
    <row r="16832" spans="5:5">
      <c r="E16832" s="51"/>
    </row>
    <row r="16833" spans="5:5">
      <c r="E16833" s="51"/>
    </row>
    <row r="16834" spans="5:5">
      <c r="E16834" s="51"/>
    </row>
    <row r="16835" spans="5:5">
      <c r="E16835" s="51"/>
    </row>
    <row r="16836" spans="5:5">
      <c r="E16836" s="51"/>
    </row>
    <row r="16837" spans="5:5">
      <c r="E16837" s="51"/>
    </row>
    <row r="16838" spans="5:5">
      <c r="E16838" s="51"/>
    </row>
    <row r="16839" spans="5:5">
      <c r="E16839" s="51"/>
    </row>
    <row r="16840" spans="5:5">
      <c r="E16840" s="51"/>
    </row>
    <row r="16841" spans="5:5">
      <c r="E16841" s="51"/>
    </row>
    <row r="16842" spans="5:5">
      <c r="E16842" s="51"/>
    </row>
    <row r="16843" spans="5:5">
      <c r="E16843" s="51"/>
    </row>
    <row r="16844" spans="5:5">
      <c r="E16844" s="51"/>
    </row>
    <row r="16845" spans="5:5">
      <c r="E16845" s="51"/>
    </row>
    <row r="16846" spans="5:5">
      <c r="E16846" s="51"/>
    </row>
    <row r="16847" spans="5:5">
      <c r="E16847" s="51"/>
    </row>
    <row r="16848" spans="5:5">
      <c r="E16848" s="51"/>
    </row>
    <row r="16849" spans="5:5">
      <c r="E16849" s="51"/>
    </row>
    <row r="16850" spans="5:5">
      <c r="E16850" s="51"/>
    </row>
    <row r="16851" spans="5:5">
      <c r="E16851" s="51"/>
    </row>
    <row r="16852" spans="5:5">
      <c r="E16852" s="51"/>
    </row>
    <row r="16853" spans="5:5">
      <c r="E16853" s="51"/>
    </row>
    <row r="16854" spans="5:5">
      <c r="E16854" s="51"/>
    </row>
    <row r="16855" spans="5:5">
      <c r="E16855" s="51"/>
    </row>
    <row r="16856" spans="5:5">
      <c r="E16856" s="51"/>
    </row>
    <row r="16857" spans="5:5">
      <c r="E16857" s="51"/>
    </row>
    <row r="16858" spans="5:5">
      <c r="E16858" s="51"/>
    </row>
    <row r="16859" spans="5:5">
      <c r="E16859" s="51"/>
    </row>
    <row r="16860" spans="5:5">
      <c r="E16860" s="51"/>
    </row>
    <row r="16861" spans="5:5">
      <c r="E16861" s="51"/>
    </row>
    <row r="16862" spans="5:5">
      <c r="E16862" s="51"/>
    </row>
    <row r="16863" spans="5:5">
      <c r="E16863" s="51"/>
    </row>
    <row r="16864" spans="5:5">
      <c r="E16864" s="51"/>
    </row>
    <row r="16865" spans="5:5">
      <c r="E16865" s="51"/>
    </row>
    <row r="16866" spans="5:5">
      <c r="E16866" s="51"/>
    </row>
    <row r="16867" spans="5:5">
      <c r="E16867" s="51"/>
    </row>
    <row r="16868" spans="5:5">
      <c r="E16868" s="51"/>
    </row>
    <row r="16869" spans="5:5">
      <c r="E16869" s="51"/>
    </row>
    <row r="16870" spans="5:5">
      <c r="E16870" s="51"/>
    </row>
    <row r="16871" spans="5:5">
      <c r="E16871" s="51"/>
    </row>
    <row r="16872" spans="5:5">
      <c r="E16872" s="51"/>
    </row>
    <row r="16873" spans="5:5">
      <c r="E16873" s="51"/>
    </row>
    <row r="16874" spans="5:5">
      <c r="E16874" s="51"/>
    </row>
    <row r="16875" spans="5:5">
      <c r="E16875" s="51"/>
    </row>
    <row r="16876" spans="5:5">
      <c r="E16876" s="51"/>
    </row>
    <row r="16877" spans="5:5">
      <c r="E16877" s="51"/>
    </row>
    <row r="16878" spans="5:5">
      <c r="E16878" s="51"/>
    </row>
    <row r="16879" spans="5:5">
      <c r="E16879" s="51"/>
    </row>
    <row r="16880" spans="5:5">
      <c r="E16880" s="51"/>
    </row>
    <row r="16881" spans="5:5">
      <c r="E16881" s="51"/>
    </row>
    <row r="16882" spans="5:5">
      <c r="E16882" s="51"/>
    </row>
    <row r="16883" spans="5:5">
      <c r="E16883" s="51"/>
    </row>
    <row r="16884" spans="5:5">
      <c r="E16884" s="51"/>
    </row>
    <row r="16885" spans="5:5">
      <c r="E16885" s="51"/>
    </row>
    <row r="16886" spans="5:5">
      <c r="E16886" s="51"/>
    </row>
    <row r="16887" spans="5:5">
      <c r="E16887" s="51"/>
    </row>
    <row r="16888" spans="5:5">
      <c r="E16888" s="51"/>
    </row>
    <row r="16889" spans="5:5">
      <c r="E16889" s="51"/>
    </row>
    <row r="16890" spans="5:5">
      <c r="E16890" s="51"/>
    </row>
    <row r="16891" spans="5:5">
      <c r="E16891" s="51"/>
    </row>
    <row r="16892" spans="5:5">
      <c r="E16892" s="51"/>
    </row>
    <row r="16893" spans="5:5">
      <c r="E16893" s="51"/>
    </row>
    <row r="16894" spans="5:5">
      <c r="E16894" s="51"/>
    </row>
    <row r="16895" spans="5:5">
      <c r="E16895" s="51"/>
    </row>
    <row r="16896" spans="5:5">
      <c r="E16896" s="51"/>
    </row>
    <row r="16897" spans="5:5">
      <c r="E16897" s="51"/>
    </row>
    <row r="16898" spans="5:5">
      <c r="E16898" s="51"/>
    </row>
    <row r="16899" spans="5:5">
      <c r="E16899" s="51"/>
    </row>
    <row r="16900" spans="5:5">
      <c r="E16900" s="51"/>
    </row>
    <row r="16901" spans="5:5">
      <c r="E16901" s="51"/>
    </row>
    <row r="16902" spans="5:5">
      <c r="E16902" s="51"/>
    </row>
    <row r="16903" spans="5:5">
      <c r="E16903" s="51"/>
    </row>
    <row r="16904" spans="5:5">
      <c r="E16904" s="51"/>
    </row>
    <row r="16905" spans="5:5">
      <c r="E16905" s="51"/>
    </row>
    <row r="16906" spans="5:5">
      <c r="E16906" s="51"/>
    </row>
    <row r="16907" spans="5:5">
      <c r="E16907" s="51"/>
    </row>
    <row r="16908" spans="5:5">
      <c r="E16908" s="51"/>
    </row>
    <row r="16909" spans="5:5">
      <c r="E16909" s="51"/>
    </row>
    <row r="16910" spans="5:5">
      <c r="E16910" s="51"/>
    </row>
    <row r="16911" spans="5:5">
      <c r="E16911" s="51"/>
    </row>
    <row r="16912" spans="5:5">
      <c r="E16912" s="51"/>
    </row>
    <row r="16913" spans="5:5">
      <c r="E16913" s="51"/>
    </row>
    <row r="16914" spans="5:5">
      <c r="E16914" s="51"/>
    </row>
    <row r="16915" spans="5:5">
      <c r="E16915" s="51"/>
    </row>
    <row r="16916" spans="5:5">
      <c r="E16916" s="51"/>
    </row>
    <row r="16917" spans="5:5">
      <c r="E16917" s="51"/>
    </row>
    <row r="16918" spans="5:5">
      <c r="E16918" s="51"/>
    </row>
    <row r="16919" spans="5:5">
      <c r="E16919" s="51"/>
    </row>
    <row r="16920" spans="5:5">
      <c r="E16920" s="51"/>
    </row>
    <row r="16921" spans="5:5">
      <c r="E16921" s="51"/>
    </row>
    <row r="16922" spans="5:5">
      <c r="E16922" s="51"/>
    </row>
    <row r="16923" spans="5:5">
      <c r="E16923" s="51"/>
    </row>
    <row r="16924" spans="5:5">
      <c r="E16924" s="51"/>
    </row>
    <row r="16925" spans="5:5">
      <c r="E16925" s="51"/>
    </row>
    <row r="16926" spans="5:5">
      <c r="E16926" s="51"/>
    </row>
    <row r="16927" spans="5:5">
      <c r="E16927" s="51"/>
    </row>
    <row r="16928" spans="5:5">
      <c r="E16928" s="51"/>
    </row>
    <row r="16929" spans="5:5">
      <c r="E16929" s="51"/>
    </row>
    <row r="16930" spans="5:5">
      <c r="E16930" s="51"/>
    </row>
    <row r="16931" spans="5:5">
      <c r="E16931" s="51"/>
    </row>
    <row r="16932" spans="5:5">
      <c r="E16932" s="51"/>
    </row>
    <row r="16933" spans="5:5">
      <c r="E16933" s="51"/>
    </row>
    <row r="16934" spans="5:5">
      <c r="E16934" s="51"/>
    </row>
    <row r="16935" spans="5:5">
      <c r="E16935" s="51"/>
    </row>
    <row r="16936" spans="5:5">
      <c r="E16936" s="51"/>
    </row>
    <row r="16937" spans="5:5">
      <c r="E16937" s="51"/>
    </row>
    <row r="16938" spans="5:5">
      <c r="E16938" s="51"/>
    </row>
    <row r="16939" spans="5:5">
      <c r="E16939" s="51"/>
    </row>
    <row r="16940" spans="5:5">
      <c r="E16940" s="51"/>
    </row>
    <row r="16941" spans="5:5">
      <c r="E16941" s="51"/>
    </row>
    <row r="16942" spans="5:5">
      <c r="E16942" s="51"/>
    </row>
    <row r="16943" spans="5:5">
      <c r="E16943" s="51"/>
    </row>
    <row r="16944" spans="5:5">
      <c r="E16944" s="51"/>
    </row>
    <row r="16945" spans="5:5">
      <c r="E16945" s="51"/>
    </row>
    <row r="16946" spans="5:5">
      <c r="E16946" s="51"/>
    </row>
    <row r="16947" spans="5:5">
      <c r="E16947" s="51"/>
    </row>
    <row r="16948" spans="5:5">
      <c r="E16948" s="51"/>
    </row>
    <row r="16949" spans="5:5">
      <c r="E16949" s="51"/>
    </row>
    <row r="16950" spans="5:5">
      <c r="E16950" s="51"/>
    </row>
    <row r="16951" spans="5:5">
      <c r="E16951" s="51"/>
    </row>
    <row r="16952" spans="5:5">
      <c r="E16952" s="51"/>
    </row>
    <row r="16953" spans="5:5">
      <c r="E16953" s="51"/>
    </row>
    <row r="16954" spans="5:5">
      <c r="E16954" s="51"/>
    </row>
    <row r="16955" spans="5:5">
      <c r="E16955" s="51"/>
    </row>
    <row r="16956" spans="5:5">
      <c r="E16956" s="51"/>
    </row>
    <row r="16957" spans="5:5">
      <c r="E16957" s="51"/>
    </row>
    <row r="16958" spans="5:5">
      <c r="E16958" s="51"/>
    </row>
    <row r="16959" spans="5:5">
      <c r="E16959" s="51"/>
    </row>
    <row r="16960" spans="5:5">
      <c r="E16960" s="51"/>
    </row>
    <row r="16961" spans="5:5">
      <c r="E16961" s="51"/>
    </row>
    <row r="16962" spans="5:5">
      <c r="E16962" s="51"/>
    </row>
    <row r="16963" spans="5:5">
      <c r="E16963" s="51"/>
    </row>
    <row r="16964" spans="5:5">
      <c r="E16964" s="51"/>
    </row>
    <row r="16965" spans="5:5">
      <c r="E16965" s="51"/>
    </row>
    <row r="16966" spans="5:5">
      <c r="E16966" s="51"/>
    </row>
    <row r="16967" spans="5:5">
      <c r="E16967" s="51"/>
    </row>
    <row r="16968" spans="5:5">
      <c r="E16968" s="51"/>
    </row>
    <row r="16969" spans="5:5">
      <c r="E16969" s="51"/>
    </row>
    <row r="16970" spans="5:5">
      <c r="E16970" s="51"/>
    </row>
    <row r="16971" spans="5:5">
      <c r="E16971" s="51"/>
    </row>
    <row r="16972" spans="5:5">
      <c r="E16972" s="51"/>
    </row>
    <row r="16973" spans="5:5">
      <c r="E16973" s="51"/>
    </row>
    <row r="16974" spans="5:5">
      <c r="E16974" s="51"/>
    </row>
    <row r="16975" spans="5:5">
      <c r="E16975" s="51"/>
    </row>
    <row r="16976" spans="5:5">
      <c r="E16976" s="51"/>
    </row>
    <row r="16977" spans="5:5">
      <c r="E16977" s="51"/>
    </row>
    <row r="16978" spans="5:5">
      <c r="E16978" s="51"/>
    </row>
    <row r="16979" spans="5:5">
      <c r="E16979" s="51"/>
    </row>
    <row r="16980" spans="5:5">
      <c r="E16980" s="51"/>
    </row>
    <row r="16981" spans="5:5">
      <c r="E16981" s="51"/>
    </row>
    <row r="16982" spans="5:5">
      <c r="E16982" s="51"/>
    </row>
    <row r="16983" spans="5:5">
      <c r="E16983" s="51"/>
    </row>
    <row r="16984" spans="5:5">
      <c r="E16984" s="51"/>
    </row>
    <row r="16985" spans="5:5">
      <c r="E16985" s="51"/>
    </row>
    <row r="16986" spans="5:5">
      <c r="E16986" s="51"/>
    </row>
    <row r="16987" spans="5:5">
      <c r="E16987" s="51"/>
    </row>
    <row r="16988" spans="5:5">
      <c r="E16988" s="51"/>
    </row>
    <row r="16989" spans="5:5">
      <c r="E16989" s="51"/>
    </row>
    <row r="16990" spans="5:5">
      <c r="E16990" s="51"/>
    </row>
    <row r="16991" spans="5:5">
      <c r="E16991" s="51"/>
    </row>
    <row r="16992" spans="5:5">
      <c r="E16992" s="51"/>
    </row>
    <row r="16993" spans="5:5">
      <c r="E16993" s="51"/>
    </row>
    <row r="16994" spans="5:5">
      <c r="E16994" s="51"/>
    </row>
    <row r="16995" spans="5:5">
      <c r="E16995" s="51"/>
    </row>
    <row r="16996" spans="5:5">
      <c r="E16996" s="51"/>
    </row>
    <row r="16997" spans="5:5">
      <c r="E16997" s="51"/>
    </row>
    <row r="16998" spans="5:5">
      <c r="E16998" s="51"/>
    </row>
    <row r="16999" spans="5:5">
      <c r="E16999" s="51"/>
    </row>
    <row r="17000" spans="5:5">
      <c r="E17000" s="51"/>
    </row>
    <row r="17001" spans="5:5">
      <c r="E17001" s="51"/>
    </row>
    <row r="17002" spans="5:5">
      <c r="E17002" s="51"/>
    </row>
    <row r="17003" spans="5:5">
      <c r="E17003" s="51"/>
    </row>
    <row r="17004" spans="5:5">
      <c r="E17004" s="51"/>
    </row>
    <row r="17005" spans="5:5">
      <c r="E17005" s="51"/>
    </row>
    <row r="17006" spans="5:5">
      <c r="E17006" s="51"/>
    </row>
    <row r="17007" spans="5:5">
      <c r="E17007" s="51"/>
    </row>
    <row r="17008" spans="5:5">
      <c r="E17008" s="51"/>
    </row>
    <row r="17009" spans="5:5">
      <c r="E17009" s="51"/>
    </row>
    <row r="17010" spans="5:5">
      <c r="E17010" s="51"/>
    </row>
    <row r="17011" spans="5:5">
      <c r="E17011" s="51"/>
    </row>
    <row r="17012" spans="5:5">
      <c r="E17012" s="51"/>
    </row>
    <row r="17013" spans="5:5">
      <c r="E17013" s="51"/>
    </row>
    <row r="17014" spans="5:5">
      <c r="E17014" s="51"/>
    </row>
    <row r="17015" spans="5:5">
      <c r="E17015" s="51"/>
    </row>
    <row r="17016" spans="5:5">
      <c r="E17016" s="51"/>
    </row>
    <row r="17017" spans="5:5">
      <c r="E17017" s="51"/>
    </row>
    <row r="17018" spans="5:5">
      <c r="E17018" s="51"/>
    </row>
    <row r="17019" spans="5:5">
      <c r="E17019" s="51"/>
    </row>
    <row r="17020" spans="5:5">
      <c r="E17020" s="51"/>
    </row>
    <row r="17021" spans="5:5">
      <c r="E17021" s="51"/>
    </row>
    <row r="17022" spans="5:5">
      <c r="E17022" s="51"/>
    </row>
    <row r="17023" spans="5:5">
      <c r="E17023" s="51"/>
    </row>
    <row r="17024" spans="5:5">
      <c r="E17024" s="51"/>
    </row>
    <row r="17025" spans="5:5">
      <c r="E17025" s="51"/>
    </row>
    <row r="17026" spans="5:5">
      <c r="E17026" s="51"/>
    </row>
    <row r="17027" spans="5:5">
      <c r="E17027" s="51"/>
    </row>
    <row r="17028" spans="5:5">
      <c r="E17028" s="51"/>
    </row>
    <row r="17029" spans="5:5">
      <c r="E17029" s="51"/>
    </row>
    <row r="17030" spans="5:5">
      <c r="E17030" s="51"/>
    </row>
    <row r="17031" spans="5:5">
      <c r="E17031" s="51"/>
    </row>
    <row r="17032" spans="5:5">
      <c r="E17032" s="51"/>
    </row>
    <row r="17033" spans="5:5">
      <c r="E17033" s="51"/>
    </row>
    <row r="17034" spans="5:5">
      <c r="E17034" s="51"/>
    </row>
    <row r="17035" spans="5:5">
      <c r="E17035" s="51"/>
    </row>
    <row r="17036" spans="5:5">
      <c r="E17036" s="51"/>
    </row>
    <row r="17037" spans="5:5">
      <c r="E17037" s="51"/>
    </row>
    <row r="17038" spans="5:5">
      <c r="E17038" s="51"/>
    </row>
    <row r="17039" spans="5:5">
      <c r="E17039" s="51"/>
    </row>
    <row r="17040" spans="5:5">
      <c r="E17040" s="51"/>
    </row>
    <row r="17041" spans="5:5">
      <c r="E17041" s="51"/>
    </row>
    <row r="17042" spans="5:5">
      <c r="E17042" s="51"/>
    </row>
    <row r="17043" spans="5:5">
      <c r="E17043" s="51"/>
    </row>
    <row r="17044" spans="5:5">
      <c r="E17044" s="51"/>
    </row>
    <row r="17045" spans="5:5">
      <c r="E17045" s="51"/>
    </row>
    <row r="17046" spans="5:5">
      <c r="E17046" s="51"/>
    </row>
    <row r="17047" spans="5:5">
      <c r="E17047" s="51"/>
    </row>
    <row r="17048" spans="5:5">
      <c r="E17048" s="51"/>
    </row>
    <row r="17049" spans="5:5">
      <c r="E17049" s="51"/>
    </row>
    <row r="17050" spans="5:5">
      <c r="E17050" s="51"/>
    </row>
    <row r="17051" spans="5:5">
      <c r="E17051" s="51"/>
    </row>
    <row r="17052" spans="5:5">
      <c r="E17052" s="51"/>
    </row>
    <row r="17053" spans="5:5">
      <c r="E17053" s="51"/>
    </row>
    <row r="17054" spans="5:5">
      <c r="E17054" s="51"/>
    </row>
    <row r="17055" spans="5:5">
      <c r="E17055" s="51"/>
    </row>
    <row r="17056" spans="5:5">
      <c r="E17056" s="51"/>
    </row>
    <row r="17057" spans="5:5">
      <c r="E17057" s="51"/>
    </row>
    <row r="17058" spans="5:5">
      <c r="E17058" s="51"/>
    </row>
    <row r="17059" spans="5:5">
      <c r="E17059" s="51"/>
    </row>
    <row r="17060" spans="5:5">
      <c r="E17060" s="51"/>
    </row>
    <row r="17061" spans="5:5">
      <c r="E17061" s="51"/>
    </row>
    <row r="17062" spans="5:5">
      <c r="E17062" s="51"/>
    </row>
    <row r="17063" spans="5:5">
      <c r="E17063" s="51"/>
    </row>
    <row r="17064" spans="5:5">
      <c r="E17064" s="51"/>
    </row>
    <row r="17065" spans="5:5">
      <c r="E17065" s="51"/>
    </row>
    <row r="17066" spans="5:5">
      <c r="E17066" s="51"/>
    </row>
    <row r="17067" spans="5:5">
      <c r="E17067" s="51"/>
    </row>
    <row r="17068" spans="5:5">
      <c r="E17068" s="51"/>
    </row>
    <row r="17069" spans="5:5">
      <c r="E17069" s="51"/>
    </row>
    <row r="17070" spans="5:5">
      <c r="E17070" s="51"/>
    </row>
    <row r="17071" spans="5:5">
      <c r="E17071" s="51"/>
    </row>
    <row r="17072" spans="5:5">
      <c r="E17072" s="51"/>
    </row>
    <row r="17073" spans="5:5">
      <c r="E17073" s="51"/>
    </row>
    <row r="17074" spans="5:5">
      <c r="E17074" s="51"/>
    </row>
    <row r="17075" spans="5:5">
      <c r="E17075" s="51"/>
    </row>
    <row r="17076" spans="5:5">
      <c r="E17076" s="51"/>
    </row>
    <row r="17077" spans="5:5">
      <c r="E17077" s="51"/>
    </row>
    <row r="17078" spans="5:5">
      <c r="E17078" s="51"/>
    </row>
    <row r="17079" spans="5:5">
      <c r="E17079" s="51"/>
    </row>
    <row r="17080" spans="5:5">
      <c r="E17080" s="51"/>
    </row>
    <row r="17081" spans="5:5">
      <c r="E17081" s="51"/>
    </row>
    <row r="17082" spans="5:5">
      <c r="E17082" s="51"/>
    </row>
    <row r="17083" spans="5:5">
      <c r="E17083" s="51"/>
    </row>
    <row r="17084" spans="5:5">
      <c r="E17084" s="51"/>
    </row>
    <row r="17085" spans="5:5">
      <c r="E17085" s="51"/>
    </row>
    <row r="17086" spans="5:5">
      <c r="E17086" s="51"/>
    </row>
    <row r="17087" spans="5:5">
      <c r="E17087" s="51"/>
    </row>
    <row r="17088" spans="5:5">
      <c r="E17088" s="51"/>
    </row>
    <row r="17089" spans="5:5">
      <c r="E17089" s="51"/>
    </row>
    <row r="17090" spans="5:5">
      <c r="E17090" s="51"/>
    </row>
    <row r="17091" spans="5:5">
      <c r="E17091" s="51"/>
    </row>
    <row r="17092" spans="5:5">
      <c r="E17092" s="51"/>
    </row>
    <row r="17093" spans="5:5">
      <c r="E17093" s="51"/>
    </row>
    <row r="17094" spans="5:5">
      <c r="E17094" s="51"/>
    </row>
    <row r="17095" spans="5:5">
      <c r="E17095" s="51"/>
    </row>
    <row r="17096" spans="5:5">
      <c r="E17096" s="51"/>
    </row>
    <row r="17097" spans="5:5">
      <c r="E17097" s="51"/>
    </row>
    <row r="17098" spans="5:5">
      <c r="E17098" s="51"/>
    </row>
    <row r="17099" spans="5:5">
      <c r="E17099" s="51"/>
    </row>
    <row r="17100" spans="5:5">
      <c r="E17100" s="51"/>
    </row>
    <row r="17101" spans="5:5">
      <c r="E17101" s="51"/>
    </row>
    <row r="17102" spans="5:5">
      <c r="E17102" s="51"/>
    </row>
    <row r="17103" spans="5:5">
      <c r="E17103" s="51"/>
    </row>
    <row r="17104" spans="5:5">
      <c r="E17104" s="51"/>
    </row>
    <row r="17105" spans="5:5">
      <c r="E17105" s="51"/>
    </row>
    <row r="17106" spans="5:5">
      <c r="E17106" s="51"/>
    </row>
    <row r="17107" spans="5:5">
      <c r="E17107" s="51"/>
    </row>
    <row r="17108" spans="5:5">
      <c r="E17108" s="51"/>
    </row>
    <row r="17109" spans="5:5">
      <c r="E17109" s="51"/>
    </row>
    <row r="17110" spans="5:5">
      <c r="E17110" s="51"/>
    </row>
    <row r="17111" spans="5:5">
      <c r="E17111" s="51"/>
    </row>
    <row r="17112" spans="5:5">
      <c r="E17112" s="51"/>
    </row>
    <row r="17113" spans="5:5">
      <c r="E17113" s="51"/>
    </row>
    <row r="17114" spans="5:5">
      <c r="E17114" s="51"/>
    </row>
    <row r="17115" spans="5:5">
      <c r="E17115" s="51"/>
    </row>
    <row r="17116" spans="5:5">
      <c r="E17116" s="51"/>
    </row>
    <row r="17117" spans="5:5">
      <c r="E17117" s="51"/>
    </row>
    <row r="17118" spans="5:5">
      <c r="E17118" s="51"/>
    </row>
    <row r="17119" spans="5:5">
      <c r="E17119" s="51"/>
    </row>
    <row r="17120" spans="5:5">
      <c r="E17120" s="51"/>
    </row>
    <row r="17121" spans="5:5">
      <c r="E17121" s="51"/>
    </row>
    <row r="17122" spans="5:5">
      <c r="E17122" s="51"/>
    </row>
    <row r="17123" spans="5:5">
      <c r="E17123" s="51"/>
    </row>
    <row r="17124" spans="5:5">
      <c r="E17124" s="51"/>
    </row>
    <row r="17125" spans="5:5">
      <c r="E17125" s="51"/>
    </row>
    <row r="17126" spans="5:5">
      <c r="E17126" s="51"/>
    </row>
    <row r="17127" spans="5:5">
      <c r="E17127" s="51"/>
    </row>
    <row r="17128" spans="5:5">
      <c r="E17128" s="51"/>
    </row>
    <row r="17129" spans="5:5">
      <c r="E17129" s="51"/>
    </row>
    <row r="17130" spans="5:5">
      <c r="E17130" s="51"/>
    </row>
    <row r="17131" spans="5:5">
      <c r="E17131" s="51"/>
    </row>
    <row r="17132" spans="5:5">
      <c r="E17132" s="51"/>
    </row>
    <row r="17133" spans="5:5">
      <c r="E17133" s="51"/>
    </row>
    <row r="17134" spans="5:5">
      <c r="E17134" s="51"/>
    </row>
    <row r="17135" spans="5:5">
      <c r="E17135" s="51"/>
    </row>
    <row r="17136" spans="5:5">
      <c r="E17136" s="51"/>
    </row>
    <row r="17137" spans="5:5">
      <c r="E17137" s="51"/>
    </row>
    <row r="17138" spans="5:5">
      <c r="E17138" s="51"/>
    </row>
    <row r="17139" spans="5:5">
      <c r="E17139" s="51"/>
    </row>
    <row r="17140" spans="5:5">
      <c r="E17140" s="51"/>
    </row>
    <row r="17141" spans="5:5">
      <c r="E17141" s="51"/>
    </row>
    <row r="17142" spans="5:5">
      <c r="E17142" s="51"/>
    </row>
    <row r="17143" spans="5:5">
      <c r="E17143" s="51"/>
    </row>
    <row r="17144" spans="5:5">
      <c r="E17144" s="51"/>
    </row>
    <row r="17145" spans="5:5">
      <c r="E17145" s="51"/>
    </row>
    <row r="17146" spans="5:5">
      <c r="E17146" s="51"/>
    </row>
    <row r="17147" spans="5:5">
      <c r="E17147" s="51"/>
    </row>
    <row r="17148" spans="5:5">
      <c r="E17148" s="51"/>
    </row>
    <row r="17149" spans="5:5">
      <c r="E17149" s="51"/>
    </row>
    <row r="17150" spans="5:5">
      <c r="E17150" s="51"/>
    </row>
    <row r="17151" spans="5:5">
      <c r="E17151" s="51"/>
    </row>
    <row r="17152" spans="5:5">
      <c r="E17152" s="51"/>
    </row>
    <row r="17153" spans="5:5">
      <c r="E17153" s="51"/>
    </row>
    <row r="17154" spans="5:5">
      <c r="E17154" s="51"/>
    </row>
    <row r="17155" spans="5:5">
      <c r="E17155" s="51"/>
    </row>
    <row r="17156" spans="5:5">
      <c r="E17156" s="51"/>
    </row>
    <row r="17157" spans="5:5">
      <c r="E17157" s="51"/>
    </row>
    <row r="17158" spans="5:5">
      <c r="E17158" s="51"/>
    </row>
    <row r="17159" spans="5:5">
      <c r="E17159" s="51"/>
    </row>
    <row r="17160" spans="5:5">
      <c r="E17160" s="51"/>
    </row>
    <row r="17161" spans="5:5">
      <c r="E17161" s="51"/>
    </row>
    <row r="17162" spans="5:5">
      <c r="E17162" s="51"/>
    </row>
    <row r="17163" spans="5:5">
      <c r="E17163" s="51"/>
    </row>
    <row r="17164" spans="5:5">
      <c r="E17164" s="51"/>
    </row>
    <row r="17165" spans="5:5">
      <c r="E17165" s="51"/>
    </row>
    <row r="17166" spans="5:5">
      <c r="E17166" s="51"/>
    </row>
    <row r="17167" spans="5:5">
      <c r="E17167" s="51"/>
    </row>
    <row r="17168" spans="5:5">
      <c r="E17168" s="51"/>
    </row>
    <row r="17169" spans="5:5">
      <c r="E17169" s="51"/>
    </row>
    <row r="17170" spans="5:5">
      <c r="E17170" s="51"/>
    </row>
    <row r="17171" spans="5:5">
      <c r="E17171" s="51"/>
    </row>
    <row r="17172" spans="5:5">
      <c r="E17172" s="51"/>
    </row>
    <row r="17173" spans="5:5">
      <c r="E17173" s="51"/>
    </row>
    <row r="17174" spans="5:5">
      <c r="E17174" s="51"/>
    </row>
    <row r="17175" spans="5:5">
      <c r="E17175" s="51"/>
    </row>
    <row r="17176" spans="5:5">
      <c r="E17176" s="51"/>
    </row>
    <row r="17177" spans="5:5">
      <c r="E17177" s="51"/>
    </row>
    <row r="17178" spans="5:5">
      <c r="E17178" s="51"/>
    </row>
    <row r="17179" spans="5:5">
      <c r="E17179" s="51"/>
    </row>
    <row r="17180" spans="5:5">
      <c r="E17180" s="51"/>
    </row>
    <row r="17181" spans="5:5">
      <c r="E17181" s="51"/>
    </row>
    <row r="17182" spans="5:5">
      <c r="E17182" s="51"/>
    </row>
    <row r="17183" spans="5:5">
      <c r="E17183" s="51"/>
    </row>
    <row r="17184" spans="5:5">
      <c r="E17184" s="51"/>
    </row>
    <row r="17185" spans="5:5">
      <c r="E17185" s="51"/>
    </row>
    <row r="17186" spans="5:5">
      <c r="E17186" s="51"/>
    </row>
    <row r="17187" spans="5:5">
      <c r="E17187" s="51"/>
    </row>
    <row r="17188" spans="5:5">
      <c r="E17188" s="51"/>
    </row>
    <row r="17189" spans="5:5">
      <c r="E17189" s="51"/>
    </row>
    <row r="17190" spans="5:5">
      <c r="E17190" s="51"/>
    </row>
    <row r="17191" spans="5:5">
      <c r="E17191" s="51"/>
    </row>
    <row r="17192" spans="5:5">
      <c r="E17192" s="51"/>
    </row>
    <row r="17193" spans="5:5">
      <c r="E17193" s="51"/>
    </row>
    <row r="17194" spans="5:5">
      <c r="E17194" s="51"/>
    </row>
    <row r="17195" spans="5:5">
      <c r="E17195" s="51"/>
    </row>
    <row r="17196" spans="5:5">
      <c r="E17196" s="51"/>
    </row>
    <row r="17197" spans="5:5">
      <c r="E17197" s="51"/>
    </row>
    <row r="17198" spans="5:5">
      <c r="E17198" s="51"/>
    </row>
    <row r="17199" spans="5:5">
      <c r="E17199" s="51"/>
    </row>
    <row r="17200" spans="5:5">
      <c r="E17200" s="51"/>
    </row>
    <row r="17201" spans="5:5">
      <c r="E17201" s="51"/>
    </row>
    <row r="17202" spans="5:5">
      <c r="E17202" s="51"/>
    </row>
    <row r="17203" spans="5:5">
      <c r="E17203" s="51"/>
    </row>
    <row r="17204" spans="5:5">
      <c r="E17204" s="51"/>
    </row>
    <row r="17205" spans="5:5">
      <c r="E17205" s="51"/>
    </row>
    <row r="17206" spans="5:5">
      <c r="E17206" s="51"/>
    </row>
    <row r="17207" spans="5:5">
      <c r="E17207" s="51"/>
    </row>
    <row r="17208" spans="5:5">
      <c r="E17208" s="51"/>
    </row>
    <row r="17209" spans="5:5">
      <c r="E17209" s="51"/>
    </row>
    <row r="17210" spans="5:5">
      <c r="E17210" s="51"/>
    </row>
    <row r="17211" spans="5:5">
      <c r="E17211" s="51"/>
    </row>
    <row r="17212" spans="5:5">
      <c r="E17212" s="51"/>
    </row>
    <row r="17213" spans="5:5">
      <c r="E17213" s="51"/>
    </row>
    <row r="17214" spans="5:5">
      <c r="E17214" s="51"/>
    </row>
    <row r="17215" spans="5:5">
      <c r="E17215" s="51"/>
    </row>
    <row r="17216" spans="5:5">
      <c r="E17216" s="51"/>
    </row>
    <row r="17217" spans="5:5">
      <c r="E17217" s="51"/>
    </row>
    <row r="17218" spans="5:5">
      <c r="E17218" s="51"/>
    </row>
    <row r="17219" spans="5:5">
      <c r="E17219" s="51"/>
    </row>
    <row r="17220" spans="5:5">
      <c r="E17220" s="51"/>
    </row>
    <row r="17221" spans="5:5">
      <c r="E17221" s="51"/>
    </row>
    <row r="17222" spans="5:5">
      <c r="E17222" s="51"/>
    </row>
    <row r="17223" spans="5:5">
      <c r="E17223" s="51"/>
    </row>
    <row r="17224" spans="5:5">
      <c r="E17224" s="51"/>
    </row>
    <row r="17225" spans="5:5">
      <c r="E17225" s="51"/>
    </row>
    <row r="17226" spans="5:5">
      <c r="E17226" s="51"/>
    </row>
    <row r="17227" spans="5:5">
      <c r="E17227" s="51"/>
    </row>
    <row r="17228" spans="5:5">
      <c r="E17228" s="51"/>
    </row>
    <row r="17229" spans="5:5">
      <c r="E17229" s="51"/>
    </row>
    <row r="17230" spans="5:5">
      <c r="E17230" s="51"/>
    </row>
    <row r="17231" spans="5:5">
      <c r="E17231" s="51"/>
    </row>
    <row r="17232" spans="5:5">
      <c r="E17232" s="51"/>
    </row>
    <row r="17233" spans="5:5">
      <c r="E17233" s="51"/>
    </row>
    <row r="17234" spans="5:5">
      <c r="E17234" s="51"/>
    </row>
    <row r="17235" spans="5:5">
      <c r="E17235" s="51"/>
    </row>
    <row r="17236" spans="5:5">
      <c r="E17236" s="51"/>
    </row>
    <row r="17237" spans="5:5">
      <c r="E17237" s="51"/>
    </row>
    <row r="17238" spans="5:5">
      <c r="E17238" s="51"/>
    </row>
    <row r="17239" spans="5:5">
      <c r="E17239" s="51"/>
    </row>
    <row r="17240" spans="5:5">
      <c r="E17240" s="51"/>
    </row>
    <row r="17241" spans="5:5">
      <c r="E17241" s="51"/>
    </row>
    <row r="17242" spans="5:5">
      <c r="E17242" s="51"/>
    </row>
    <row r="17243" spans="5:5">
      <c r="E17243" s="51"/>
    </row>
    <row r="17244" spans="5:5">
      <c r="E17244" s="51"/>
    </row>
    <row r="17245" spans="5:5">
      <c r="E17245" s="51"/>
    </row>
    <row r="17246" spans="5:5">
      <c r="E17246" s="51"/>
    </row>
    <row r="17247" spans="5:5">
      <c r="E17247" s="51"/>
    </row>
    <row r="17248" spans="5:5">
      <c r="E17248" s="51"/>
    </row>
    <row r="17249" spans="5:5">
      <c r="E17249" s="51"/>
    </row>
    <row r="17250" spans="5:5">
      <c r="E17250" s="51"/>
    </row>
    <row r="17251" spans="5:5">
      <c r="E17251" s="51"/>
    </row>
    <row r="17252" spans="5:5">
      <c r="E17252" s="51"/>
    </row>
    <row r="17253" spans="5:5">
      <c r="E17253" s="51"/>
    </row>
    <row r="17254" spans="5:5">
      <c r="E17254" s="51"/>
    </row>
    <row r="17255" spans="5:5">
      <c r="E17255" s="51"/>
    </row>
    <row r="17256" spans="5:5">
      <c r="E17256" s="51"/>
    </row>
    <row r="17257" spans="5:5">
      <c r="E17257" s="51"/>
    </row>
    <row r="17258" spans="5:5">
      <c r="E17258" s="51"/>
    </row>
    <row r="17259" spans="5:5">
      <c r="E17259" s="51"/>
    </row>
    <row r="17260" spans="5:5">
      <c r="E17260" s="51"/>
    </row>
    <row r="17261" spans="5:5">
      <c r="E17261" s="51"/>
    </row>
    <row r="17262" spans="5:5">
      <c r="E17262" s="51"/>
    </row>
    <row r="17263" spans="5:5">
      <c r="E17263" s="51"/>
    </row>
    <row r="17264" spans="5:5">
      <c r="E17264" s="51"/>
    </row>
    <row r="17265" spans="5:5">
      <c r="E17265" s="51"/>
    </row>
    <row r="17266" spans="5:5">
      <c r="E17266" s="51"/>
    </row>
    <row r="17267" spans="5:5">
      <c r="E17267" s="51"/>
    </row>
    <row r="17268" spans="5:5">
      <c r="E17268" s="51"/>
    </row>
    <row r="17269" spans="5:5">
      <c r="E17269" s="51"/>
    </row>
    <row r="17270" spans="5:5">
      <c r="E17270" s="51"/>
    </row>
    <row r="17271" spans="5:5">
      <c r="E17271" s="51"/>
    </row>
    <row r="17272" spans="5:5">
      <c r="E17272" s="51"/>
    </row>
    <row r="17273" spans="5:5">
      <c r="E17273" s="51"/>
    </row>
    <row r="17274" spans="5:5">
      <c r="E17274" s="51"/>
    </row>
    <row r="17275" spans="5:5">
      <c r="E17275" s="51"/>
    </row>
    <row r="17276" spans="5:5">
      <c r="E17276" s="51"/>
    </row>
    <row r="17277" spans="5:5">
      <c r="E17277" s="51"/>
    </row>
    <row r="17278" spans="5:5">
      <c r="E17278" s="51"/>
    </row>
    <row r="17279" spans="5:5">
      <c r="E17279" s="51"/>
    </row>
    <row r="17280" spans="5:5">
      <c r="E17280" s="51"/>
    </row>
    <row r="17281" spans="5:5">
      <c r="E17281" s="51"/>
    </row>
    <row r="17282" spans="5:5">
      <c r="E17282" s="51"/>
    </row>
    <row r="17283" spans="5:5">
      <c r="E17283" s="51"/>
    </row>
    <row r="17284" spans="5:5">
      <c r="E17284" s="51"/>
    </row>
    <row r="17285" spans="5:5">
      <c r="E17285" s="51"/>
    </row>
    <row r="17286" spans="5:5">
      <c r="E17286" s="51"/>
    </row>
    <row r="17287" spans="5:5">
      <c r="E17287" s="51"/>
    </row>
    <row r="17288" spans="5:5">
      <c r="E17288" s="51"/>
    </row>
    <row r="17289" spans="5:5">
      <c r="E17289" s="51"/>
    </row>
    <row r="17290" spans="5:5">
      <c r="E17290" s="51"/>
    </row>
    <row r="17291" spans="5:5">
      <c r="E17291" s="51"/>
    </row>
    <row r="17292" spans="5:5">
      <c r="E17292" s="51"/>
    </row>
    <row r="17293" spans="5:5">
      <c r="E17293" s="51"/>
    </row>
    <row r="17294" spans="5:5">
      <c r="E17294" s="51"/>
    </row>
    <row r="17295" spans="5:5">
      <c r="E17295" s="51"/>
    </row>
    <row r="17296" spans="5:5">
      <c r="E17296" s="51"/>
    </row>
    <row r="17297" spans="5:5">
      <c r="E17297" s="51"/>
    </row>
    <row r="17298" spans="5:5">
      <c r="E17298" s="51"/>
    </row>
    <row r="17299" spans="5:5">
      <c r="E17299" s="51"/>
    </row>
    <row r="17300" spans="5:5">
      <c r="E17300" s="51"/>
    </row>
    <row r="17301" spans="5:5">
      <c r="E17301" s="51"/>
    </row>
    <row r="17302" spans="5:5">
      <c r="E17302" s="51"/>
    </row>
    <row r="17303" spans="5:5">
      <c r="E17303" s="51"/>
    </row>
    <row r="17304" spans="5:5">
      <c r="E17304" s="51"/>
    </row>
    <row r="17305" spans="5:5">
      <c r="E17305" s="51"/>
    </row>
    <row r="17306" spans="5:5">
      <c r="E17306" s="51"/>
    </row>
    <row r="17307" spans="5:5">
      <c r="E17307" s="51"/>
    </row>
    <row r="17308" spans="5:5">
      <c r="E17308" s="51"/>
    </row>
    <row r="17309" spans="5:5">
      <c r="E17309" s="51"/>
    </row>
    <row r="17310" spans="5:5">
      <c r="E17310" s="51"/>
    </row>
    <row r="17311" spans="5:5">
      <c r="E17311" s="51"/>
    </row>
    <row r="17312" spans="5:5">
      <c r="E17312" s="51"/>
    </row>
    <row r="17313" spans="5:5">
      <c r="E17313" s="51"/>
    </row>
    <row r="17314" spans="5:5">
      <c r="E17314" s="51"/>
    </row>
    <row r="17315" spans="5:5">
      <c r="E17315" s="51"/>
    </row>
    <row r="17316" spans="5:5">
      <c r="E17316" s="51"/>
    </row>
    <row r="17317" spans="5:5">
      <c r="E17317" s="51"/>
    </row>
    <row r="17318" spans="5:5">
      <c r="E17318" s="51"/>
    </row>
    <row r="17319" spans="5:5">
      <c r="E17319" s="51"/>
    </row>
    <row r="17320" spans="5:5">
      <c r="E17320" s="51"/>
    </row>
    <row r="17321" spans="5:5">
      <c r="E17321" s="51"/>
    </row>
    <row r="17322" spans="5:5">
      <c r="E17322" s="51"/>
    </row>
    <row r="17323" spans="5:5">
      <c r="E17323" s="51"/>
    </row>
    <row r="17324" spans="5:5">
      <c r="E17324" s="51"/>
    </row>
    <row r="17325" spans="5:5">
      <c r="E17325" s="51"/>
    </row>
    <row r="17326" spans="5:5">
      <c r="E17326" s="51"/>
    </row>
    <row r="17327" spans="5:5">
      <c r="E17327" s="51"/>
    </row>
    <row r="17328" spans="5:5">
      <c r="E17328" s="51"/>
    </row>
    <row r="17329" spans="5:5">
      <c r="E17329" s="51"/>
    </row>
    <row r="17330" spans="5:5">
      <c r="E17330" s="51"/>
    </row>
    <row r="17331" spans="5:5">
      <c r="E17331" s="51"/>
    </row>
    <row r="17332" spans="5:5">
      <c r="E17332" s="51"/>
    </row>
    <row r="17333" spans="5:5">
      <c r="E17333" s="51"/>
    </row>
    <row r="17334" spans="5:5">
      <c r="E17334" s="51"/>
    </row>
    <row r="17335" spans="5:5">
      <c r="E17335" s="51"/>
    </row>
    <row r="17336" spans="5:5">
      <c r="E17336" s="51"/>
    </row>
    <row r="17337" spans="5:5">
      <c r="E17337" s="51"/>
    </row>
    <row r="17338" spans="5:5">
      <c r="E17338" s="51"/>
    </row>
    <row r="17339" spans="5:5">
      <c r="E17339" s="51"/>
    </row>
    <row r="17340" spans="5:5">
      <c r="E17340" s="51"/>
    </row>
    <row r="17341" spans="5:5">
      <c r="E17341" s="51"/>
    </row>
    <row r="17342" spans="5:5">
      <c r="E17342" s="51"/>
    </row>
    <row r="17343" spans="5:5">
      <c r="E17343" s="51"/>
    </row>
    <row r="17344" spans="5:5">
      <c r="E17344" s="51"/>
    </row>
    <row r="17345" spans="5:5">
      <c r="E17345" s="51"/>
    </row>
    <row r="17346" spans="5:5">
      <c r="E17346" s="51"/>
    </row>
    <row r="17347" spans="5:5">
      <c r="E17347" s="51"/>
    </row>
    <row r="17348" spans="5:5">
      <c r="E17348" s="51"/>
    </row>
    <row r="17349" spans="5:5">
      <c r="E17349" s="51"/>
    </row>
    <row r="17350" spans="5:5">
      <c r="E17350" s="51"/>
    </row>
    <row r="17351" spans="5:5">
      <c r="E17351" s="51"/>
    </row>
    <row r="17352" spans="5:5">
      <c r="E17352" s="51"/>
    </row>
    <row r="17353" spans="5:5">
      <c r="E17353" s="51"/>
    </row>
    <row r="17354" spans="5:5">
      <c r="E17354" s="51"/>
    </row>
    <row r="17355" spans="5:5">
      <c r="E17355" s="51"/>
    </row>
    <row r="17356" spans="5:5">
      <c r="E17356" s="51"/>
    </row>
    <row r="17357" spans="5:5">
      <c r="E17357" s="51"/>
    </row>
    <row r="17358" spans="5:5">
      <c r="E17358" s="51"/>
    </row>
    <row r="17359" spans="5:5">
      <c r="E17359" s="51"/>
    </row>
    <row r="17360" spans="5:5">
      <c r="E17360" s="51"/>
    </row>
    <row r="17361" spans="5:5">
      <c r="E17361" s="51"/>
    </row>
    <row r="17362" spans="5:5">
      <c r="E17362" s="51"/>
    </row>
    <row r="17363" spans="5:5">
      <c r="E17363" s="51"/>
    </row>
    <row r="17364" spans="5:5">
      <c r="E17364" s="51"/>
    </row>
    <row r="17365" spans="5:5">
      <c r="E17365" s="51"/>
    </row>
    <row r="17366" spans="5:5">
      <c r="E17366" s="51"/>
    </row>
    <row r="17367" spans="5:5">
      <c r="E17367" s="51"/>
    </row>
    <row r="17368" spans="5:5">
      <c r="E17368" s="51"/>
    </row>
    <row r="17369" spans="5:5">
      <c r="E17369" s="51"/>
    </row>
    <row r="17370" spans="5:5">
      <c r="E17370" s="51"/>
    </row>
    <row r="17371" spans="5:5">
      <c r="E17371" s="51"/>
    </row>
    <row r="17372" spans="5:5">
      <c r="E17372" s="51"/>
    </row>
    <row r="17373" spans="5:5">
      <c r="E17373" s="51"/>
    </row>
    <row r="17374" spans="5:5">
      <c r="E17374" s="51"/>
    </row>
    <row r="17375" spans="5:5">
      <c r="E17375" s="51"/>
    </row>
    <row r="17376" spans="5:5">
      <c r="E17376" s="51"/>
    </row>
    <row r="17377" spans="5:5">
      <c r="E17377" s="51"/>
    </row>
    <row r="17378" spans="5:5">
      <c r="E17378" s="51"/>
    </row>
    <row r="17379" spans="5:5">
      <c r="E17379" s="51"/>
    </row>
    <row r="17380" spans="5:5">
      <c r="E17380" s="51"/>
    </row>
    <row r="17381" spans="5:5">
      <c r="E17381" s="51"/>
    </row>
    <row r="17382" spans="5:5">
      <c r="E17382" s="51"/>
    </row>
    <row r="17383" spans="5:5">
      <c r="E17383" s="51"/>
    </row>
    <row r="17384" spans="5:5">
      <c r="E17384" s="51"/>
    </row>
    <row r="17385" spans="5:5">
      <c r="E17385" s="51"/>
    </row>
    <row r="17386" spans="5:5">
      <c r="E17386" s="51"/>
    </row>
    <row r="17387" spans="5:5">
      <c r="E17387" s="51"/>
    </row>
    <row r="17388" spans="5:5">
      <c r="E17388" s="51"/>
    </row>
    <row r="17389" spans="5:5">
      <c r="E17389" s="51"/>
    </row>
    <row r="17390" spans="5:5">
      <c r="E17390" s="51"/>
    </row>
    <row r="17391" spans="5:5">
      <c r="E17391" s="51"/>
    </row>
    <row r="17392" spans="5:5">
      <c r="E17392" s="51"/>
    </row>
    <row r="17393" spans="5:5">
      <c r="E17393" s="51"/>
    </row>
    <row r="17394" spans="5:5">
      <c r="E17394" s="51"/>
    </row>
    <row r="17395" spans="5:5">
      <c r="E17395" s="51"/>
    </row>
    <row r="17396" spans="5:5">
      <c r="E17396" s="51"/>
    </row>
    <row r="17397" spans="5:5">
      <c r="E17397" s="51"/>
    </row>
    <row r="17398" spans="5:5">
      <c r="E17398" s="51"/>
    </row>
    <row r="17399" spans="5:5">
      <c r="E17399" s="51"/>
    </row>
    <row r="17400" spans="5:5">
      <c r="E17400" s="51"/>
    </row>
    <row r="17401" spans="5:5">
      <c r="E17401" s="51"/>
    </row>
    <row r="17402" spans="5:5">
      <c r="E17402" s="51"/>
    </row>
    <row r="17403" spans="5:5">
      <c r="E17403" s="51"/>
    </row>
    <row r="17404" spans="5:5">
      <c r="E17404" s="51"/>
    </row>
    <row r="17405" spans="5:5">
      <c r="E17405" s="51"/>
    </row>
    <row r="17406" spans="5:5">
      <c r="E17406" s="51"/>
    </row>
    <row r="17407" spans="5:5">
      <c r="E17407" s="51"/>
    </row>
    <row r="17408" spans="5:5">
      <c r="E17408" s="51"/>
    </row>
    <row r="17409" spans="5:5">
      <c r="E17409" s="51"/>
    </row>
    <row r="17410" spans="5:5">
      <c r="E17410" s="51"/>
    </row>
    <row r="17411" spans="5:5">
      <c r="E17411" s="51"/>
    </row>
    <row r="17412" spans="5:5">
      <c r="E17412" s="51"/>
    </row>
    <row r="17413" spans="5:5">
      <c r="E17413" s="51"/>
    </row>
    <row r="17414" spans="5:5">
      <c r="E17414" s="51"/>
    </row>
    <row r="17415" spans="5:5">
      <c r="E17415" s="51"/>
    </row>
    <row r="17416" spans="5:5">
      <c r="E17416" s="51"/>
    </row>
    <row r="17417" spans="5:5">
      <c r="E17417" s="51"/>
    </row>
    <row r="17418" spans="5:5">
      <c r="E17418" s="51"/>
    </row>
    <row r="17419" spans="5:5">
      <c r="E17419" s="51"/>
    </row>
    <row r="17420" spans="5:5">
      <c r="E17420" s="51"/>
    </row>
    <row r="17421" spans="5:5">
      <c r="E17421" s="51"/>
    </row>
    <row r="17422" spans="5:5">
      <c r="E17422" s="51"/>
    </row>
    <row r="17423" spans="5:5">
      <c r="E17423" s="51"/>
    </row>
    <row r="17424" spans="5:5">
      <c r="E17424" s="51"/>
    </row>
    <row r="17425" spans="5:5">
      <c r="E17425" s="51"/>
    </row>
    <row r="17426" spans="5:5">
      <c r="E17426" s="51"/>
    </row>
    <row r="17427" spans="5:5">
      <c r="E17427" s="51"/>
    </row>
    <row r="17428" spans="5:5">
      <c r="E17428" s="51"/>
    </row>
    <row r="17429" spans="5:5">
      <c r="E17429" s="51"/>
    </row>
    <row r="17430" spans="5:5">
      <c r="E17430" s="51"/>
    </row>
    <row r="17431" spans="5:5">
      <c r="E17431" s="51"/>
    </row>
    <row r="17432" spans="5:5">
      <c r="E17432" s="51"/>
    </row>
    <row r="17433" spans="5:5">
      <c r="E17433" s="51"/>
    </row>
    <row r="17434" spans="5:5">
      <c r="E17434" s="51"/>
    </row>
    <row r="17435" spans="5:5">
      <c r="E17435" s="51"/>
    </row>
    <row r="17436" spans="5:5">
      <c r="E17436" s="51"/>
    </row>
    <row r="17437" spans="5:5">
      <c r="E17437" s="51"/>
    </row>
    <row r="17438" spans="5:5">
      <c r="E17438" s="51"/>
    </row>
    <row r="17439" spans="5:5">
      <c r="E17439" s="51"/>
    </row>
    <row r="17440" spans="5:5">
      <c r="E17440" s="51"/>
    </row>
    <row r="17441" spans="5:5">
      <c r="E17441" s="51"/>
    </row>
    <row r="17442" spans="5:5">
      <c r="E17442" s="51"/>
    </row>
    <row r="17443" spans="5:5">
      <c r="E17443" s="51"/>
    </row>
    <row r="17444" spans="5:5">
      <c r="E17444" s="51"/>
    </row>
    <row r="17445" spans="5:5">
      <c r="E17445" s="51"/>
    </row>
    <row r="17446" spans="5:5">
      <c r="E17446" s="51"/>
    </row>
    <row r="17447" spans="5:5">
      <c r="E17447" s="51"/>
    </row>
    <row r="17448" spans="5:5">
      <c r="E17448" s="51"/>
    </row>
    <row r="17449" spans="5:5">
      <c r="E17449" s="51"/>
    </row>
    <row r="17450" spans="5:5">
      <c r="E17450" s="51"/>
    </row>
    <row r="17451" spans="5:5">
      <c r="E17451" s="51"/>
    </row>
    <row r="17452" spans="5:5">
      <c r="E17452" s="51"/>
    </row>
    <row r="17453" spans="5:5">
      <c r="E17453" s="51"/>
    </row>
    <row r="17454" spans="5:5">
      <c r="E17454" s="51"/>
    </row>
    <row r="17455" spans="5:5">
      <c r="E17455" s="51"/>
    </row>
    <row r="17456" spans="5:5">
      <c r="E17456" s="51"/>
    </row>
    <row r="17457" spans="5:5">
      <c r="E17457" s="51"/>
    </row>
    <row r="17458" spans="5:5">
      <c r="E17458" s="51"/>
    </row>
    <row r="17459" spans="5:5">
      <c r="E17459" s="51"/>
    </row>
    <row r="17460" spans="5:5">
      <c r="E17460" s="51"/>
    </row>
    <row r="17461" spans="5:5">
      <c r="E17461" s="51"/>
    </row>
    <row r="17462" spans="5:5">
      <c r="E17462" s="51"/>
    </row>
    <row r="17463" spans="5:5">
      <c r="E17463" s="51"/>
    </row>
    <row r="17464" spans="5:5">
      <c r="E17464" s="51"/>
    </row>
    <row r="17465" spans="5:5">
      <c r="E17465" s="51"/>
    </row>
    <row r="17466" spans="5:5">
      <c r="E17466" s="51"/>
    </row>
    <row r="17467" spans="5:5">
      <c r="E17467" s="51"/>
    </row>
    <row r="17468" spans="5:5">
      <c r="E17468" s="51"/>
    </row>
    <row r="17469" spans="5:5">
      <c r="E17469" s="51"/>
    </row>
    <row r="17470" spans="5:5">
      <c r="E17470" s="51"/>
    </row>
    <row r="17471" spans="5:5">
      <c r="E17471" s="51"/>
    </row>
    <row r="17472" spans="5:5">
      <c r="E17472" s="51"/>
    </row>
    <row r="17473" spans="5:5">
      <c r="E17473" s="51"/>
    </row>
    <row r="17474" spans="5:5">
      <c r="E17474" s="51"/>
    </row>
    <row r="17475" spans="5:5">
      <c r="E17475" s="51"/>
    </row>
    <row r="17476" spans="5:5">
      <c r="E17476" s="51"/>
    </row>
    <row r="17477" spans="5:5">
      <c r="E17477" s="51"/>
    </row>
    <row r="17478" spans="5:5">
      <c r="E17478" s="51"/>
    </row>
    <row r="17479" spans="5:5">
      <c r="E17479" s="51"/>
    </row>
    <row r="17480" spans="5:5">
      <c r="E17480" s="51"/>
    </row>
    <row r="17481" spans="5:5">
      <c r="E17481" s="51"/>
    </row>
    <row r="17482" spans="5:5">
      <c r="E17482" s="51"/>
    </row>
    <row r="17483" spans="5:5">
      <c r="E17483" s="51"/>
    </row>
    <row r="17484" spans="5:5">
      <c r="E17484" s="51"/>
    </row>
    <row r="17485" spans="5:5">
      <c r="E17485" s="51"/>
    </row>
    <row r="17486" spans="5:5">
      <c r="E17486" s="51"/>
    </row>
    <row r="17487" spans="5:5">
      <c r="E17487" s="51"/>
    </row>
    <row r="17488" spans="5:5">
      <c r="E17488" s="51"/>
    </row>
    <row r="17489" spans="5:5">
      <c r="E17489" s="51"/>
    </row>
    <row r="17490" spans="5:5">
      <c r="E17490" s="51"/>
    </row>
    <row r="17491" spans="5:5">
      <c r="E17491" s="51"/>
    </row>
    <row r="17492" spans="5:5">
      <c r="E17492" s="51"/>
    </row>
    <row r="17493" spans="5:5">
      <c r="E17493" s="51"/>
    </row>
    <row r="17494" spans="5:5">
      <c r="E17494" s="51"/>
    </row>
    <row r="17495" spans="5:5">
      <c r="E17495" s="51"/>
    </row>
    <row r="17496" spans="5:5">
      <c r="E17496" s="51"/>
    </row>
    <row r="17497" spans="5:5">
      <c r="E17497" s="51"/>
    </row>
    <row r="17498" spans="5:5">
      <c r="E17498" s="51"/>
    </row>
    <row r="17499" spans="5:5">
      <c r="E17499" s="51"/>
    </row>
    <row r="17500" spans="5:5">
      <c r="E17500" s="51"/>
    </row>
    <row r="17501" spans="5:5">
      <c r="E17501" s="51"/>
    </row>
    <row r="17502" spans="5:5">
      <c r="E17502" s="51"/>
    </row>
    <row r="17503" spans="5:5">
      <c r="E17503" s="51"/>
    </row>
    <row r="17504" spans="5:5">
      <c r="E17504" s="51"/>
    </row>
    <row r="17505" spans="5:5">
      <c r="E17505" s="51"/>
    </row>
    <row r="17506" spans="5:5">
      <c r="E17506" s="51"/>
    </row>
    <row r="17507" spans="5:5">
      <c r="E17507" s="51"/>
    </row>
    <row r="17508" spans="5:5">
      <c r="E17508" s="51"/>
    </row>
    <row r="17509" spans="5:5">
      <c r="E17509" s="51"/>
    </row>
    <row r="17510" spans="5:5">
      <c r="E17510" s="51"/>
    </row>
    <row r="17511" spans="5:5">
      <c r="E17511" s="51"/>
    </row>
    <row r="17512" spans="5:5">
      <c r="E17512" s="51"/>
    </row>
    <row r="17513" spans="5:5">
      <c r="E17513" s="51"/>
    </row>
    <row r="17514" spans="5:5">
      <c r="E17514" s="51"/>
    </row>
    <row r="17515" spans="5:5">
      <c r="E17515" s="51"/>
    </row>
    <row r="17516" spans="5:5">
      <c r="E17516" s="51"/>
    </row>
    <row r="17517" spans="5:5">
      <c r="E17517" s="51"/>
    </row>
    <row r="17518" spans="5:5">
      <c r="E17518" s="51"/>
    </row>
    <row r="17519" spans="5:5">
      <c r="E17519" s="51"/>
    </row>
    <row r="17520" spans="5:5">
      <c r="E17520" s="51"/>
    </row>
    <row r="17521" spans="5:5">
      <c r="E17521" s="51"/>
    </row>
    <row r="17522" spans="5:5">
      <c r="E17522" s="51"/>
    </row>
    <row r="17523" spans="5:5">
      <c r="E17523" s="51"/>
    </row>
    <row r="17524" spans="5:5">
      <c r="E17524" s="51"/>
    </row>
    <row r="17525" spans="5:5">
      <c r="E17525" s="51"/>
    </row>
    <row r="17526" spans="5:5">
      <c r="E17526" s="51"/>
    </row>
    <row r="17527" spans="5:5">
      <c r="E17527" s="51"/>
    </row>
    <row r="17528" spans="5:5">
      <c r="E17528" s="51"/>
    </row>
    <row r="17529" spans="5:5">
      <c r="E17529" s="51"/>
    </row>
    <row r="17530" spans="5:5">
      <c r="E17530" s="51"/>
    </row>
    <row r="17531" spans="5:5">
      <c r="E17531" s="51"/>
    </row>
    <row r="17532" spans="5:5">
      <c r="E17532" s="51"/>
    </row>
    <row r="17533" spans="5:5">
      <c r="E17533" s="51"/>
    </row>
    <row r="17534" spans="5:5">
      <c r="E17534" s="51"/>
    </row>
    <row r="17535" spans="5:5">
      <c r="E17535" s="51"/>
    </row>
    <row r="17536" spans="5:5">
      <c r="E17536" s="51"/>
    </row>
    <row r="17537" spans="5:5">
      <c r="E17537" s="51"/>
    </row>
    <row r="17538" spans="5:5">
      <c r="E17538" s="51"/>
    </row>
    <row r="17539" spans="5:5">
      <c r="E17539" s="51"/>
    </row>
    <row r="17540" spans="5:5">
      <c r="E17540" s="51"/>
    </row>
    <row r="17541" spans="5:5">
      <c r="E17541" s="51"/>
    </row>
    <row r="17542" spans="5:5">
      <c r="E17542" s="51"/>
    </row>
    <row r="17543" spans="5:5">
      <c r="E17543" s="51"/>
    </row>
    <row r="17544" spans="5:5">
      <c r="E17544" s="51"/>
    </row>
    <row r="17545" spans="5:5">
      <c r="E17545" s="51"/>
    </row>
    <row r="17546" spans="5:5">
      <c r="E17546" s="51"/>
    </row>
    <row r="17547" spans="5:5">
      <c r="E17547" s="51"/>
    </row>
    <row r="17548" spans="5:5">
      <c r="E17548" s="51"/>
    </row>
    <row r="17549" spans="5:5">
      <c r="E17549" s="51"/>
    </row>
    <row r="17550" spans="5:5">
      <c r="E17550" s="51"/>
    </row>
    <row r="17551" spans="5:5">
      <c r="E17551" s="51"/>
    </row>
    <row r="17552" spans="5:5">
      <c r="E17552" s="51"/>
    </row>
    <row r="17553" spans="5:5">
      <c r="E17553" s="51"/>
    </row>
    <row r="17554" spans="5:5">
      <c r="E17554" s="51"/>
    </row>
    <row r="17555" spans="5:5">
      <c r="E17555" s="51"/>
    </row>
    <row r="17556" spans="5:5">
      <c r="E17556" s="51"/>
    </row>
    <row r="17557" spans="5:5">
      <c r="E17557" s="51"/>
    </row>
    <row r="17558" spans="5:5">
      <c r="E17558" s="51"/>
    </row>
    <row r="17559" spans="5:5">
      <c r="E17559" s="51"/>
    </row>
    <row r="17560" spans="5:5">
      <c r="E17560" s="51"/>
    </row>
    <row r="17561" spans="5:5">
      <c r="E17561" s="51"/>
    </row>
    <row r="17562" spans="5:5">
      <c r="E17562" s="51"/>
    </row>
    <row r="17563" spans="5:5">
      <c r="E17563" s="51"/>
    </row>
    <row r="17564" spans="5:5">
      <c r="E17564" s="51"/>
    </row>
    <row r="17565" spans="5:5">
      <c r="E17565" s="51"/>
    </row>
    <row r="17566" spans="5:5">
      <c r="E17566" s="51"/>
    </row>
    <row r="17567" spans="5:5">
      <c r="E17567" s="51"/>
    </row>
    <row r="17568" spans="5:5">
      <c r="E17568" s="51"/>
    </row>
    <row r="17569" spans="5:5">
      <c r="E17569" s="51"/>
    </row>
    <row r="17570" spans="5:5">
      <c r="E17570" s="51"/>
    </row>
    <row r="17571" spans="5:5">
      <c r="E17571" s="51"/>
    </row>
    <row r="17572" spans="5:5">
      <c r="E17572" s="51"/>
    </row>
    <row r="17573" spans="5:5">
      <c r="E17573" s="51"/>
    </row>
    <row r="17574" spans="5:5">
      <c r="E17574" s="51"/>
    </row>
    <row r="17575" spans="5:5">
      <c r="E17575" s="51"/>
    </row>
    <row r="17576" spans="5:5">
      <c r="E17576" s="51"/>
    </row>
    <row r="17577" spans="5:5">
      <c r="E17577" s="51"/>
    </row>
    <row r="17578" spans="5:5">
      <c r="E17578" s="51"/>
    </row>
    <row r="17579" spans="5:5">
      <c r="E17579" s="51"/>
    </row>
    <row r="17580" spans="5:5">
      <c r="E17580" s="51"/>
    </row>
    <row r="17581" spans="5:5">
      <c r="E17581" s="51"/>
    </row>
    <row r="17582" spans="5:5">
      <c r="E17582" s="51"/>
    </row>
    <row r="17583" spans="5:5">
      <c r="E17583" s="51"/>
    </row>
    <row r="17584" spans="5:5">
      <c r="E17584" s="51"/>
    </row>
    <row r="17585" spans="5:5">
      <c r="E17585" s="51"/>
    </row>
    <row r="17586" spans="5:5">
      <c r="E17586" s="51"/>
    </row>
    <row r="17587" spans="5:5">
      <c r="E17587" s="51"/>
    </row>
    <row r="17588" spans="5:5">
      <c r="E17588" s="51"/>
    </row>
    <row r="17589" spans="5:5">
      <c r="E17589" s="51"/>
    </row>
    <row r="17590" spans="5:5">
      <c r="E17590" s="51"/>
    </row>
    <row r="17591" spans="5:5">
      <c r="E17591" s="51"/>
    </row>
    <row r="17592" spans="5:5">
      <c r="E17592" s="51"/>
    </row>
    <row r="17593" spans="5:5">
      <c r="E17593" s="51"/>
    </row>
    <row r="17594" spans="5:5">
      <c r="E17594" s="51"/>
    </row>
    <row r="17595" spans="5:5">
      <c r="E17595" s="51"/>
    </row>
    <row r="17596" spans="5:5">
      <c r="E17596" s="51"/>
    </row>
    <row r="17597" spans="5:5">
      <c r="E17597" s="51"/>
    </row>
    <row r="17598" spans="5:5">
      <c r="E17598" s="51"/>
    </row>
    <row r="17599" spans="5:5">
      <c r="E17599" s="51"/>
    </row>
    <row r="17600" spans="5:5">
      <c r="E17600" s="51"/>
    </row>
    <row r="17601" spans="5:5">
      <c r="E17601" s="51"/>
    </row>
    <row r="17602" spans="5:5">
      <c r="E17602" s="51"/>
    </row>
    <row r="17603" spans="5:5">
      <c r="E17603" s="51"/>
    </row>
    <row r="17604" spans="5:5">
      <c r="E17604" s="51"/>
    </row>
    <row r="17605" spans="5:5">
      <c r="E17605" s="51"/>
    </row>
    <row r="17606" spans="5:5">
      <c r="E17606" s="51"/>
    </row>
    <row r="17607" spans="5:5">
      <c r="E17607" s="51"/>
    </row>
    <row r="17608" spans="5:5">
      <c r="E17608" s="51"/>
    </row>
    <row r="17609" spans="5:5">
      <c r="E17609" s="51"/>
    </row>
    <row r="17610" spans="5:5">
      <c r="E17610" s="51"/>
    </row>
    <row r="17611" spans="5:5">
      <c r="E17611" s="51"/>
    </row>
    <row r="17612" spans="5:5">
      <c r="E17612" s="51"/>
    </row>
    <row r="17613" spans="5:5">
      <c r="E17613" s="51"/>
    </row>
    <row r="17614" spans="5:5">
      <c r="E17614" s="51"/>
    </row>
    <row r="17615" spans="5:5">
      <c r="E17615" s="51"/>
    </row>
    <row r="17616" spans="5:5">
      <c r="E17616" s="51"/>
    </row>
    <row r="17617" spans="5:5">
      <c r="E17617" s="51"/>
    </row>
    <row r="17618" spans="5:5">
      <c r="E17618" s="51"/>
    </row>
    <row r="17619" spans="5:5">
      <c r="E17619" s="51"/>
    </row>
    <row r="17620" spans="5:5">
      <c r="E17620" s="51"/>
    </row>
    <row r="17621" spans="5:5">
      <c r="E17621" s="51"/>
    </row>
    <row r="17622" spans="5:5">
      <c r="E17622" s="51"/>
    </row>
    <row r="17623" spans="5:5">
      <c r="E17623" s="51"/>
    </row>
    <row r="17624" spans="5:5">
      <c r="E17624" s="51"/>
    </row>
    <row r="17625" spans="5:5">
      <c r="E17625" s="51"/>
    </row>
    <row r="17626" spans="5:5">
      <c r="E17626" s="51"/>
    </row>
    <row r="17627" spans="5:5">
      <c r="E17627" s="51"/>
    </row>
    <row r="17628" spans="5:5">
      <c r="E17628" s="51"/>
    </row>
    <row r="17629" spans="5:5">
      <c r="E17629" s="51"/>
    </row>
    <row r="17630" spans="5:5">
      <c r="E17630" s="51"/>
    </row>
    <row r="17631" spans="5:5">
      <c r="E17631" s="51"/>
    </row>
    <row r="17632" spans="5:5">
      <c r="E17632" s="51"/>
    </row>
    <row r="17633" spans="5:5">
      <c r="E17633" s="51"/>
    </row>
    <row r="17634" spans="5:5">
      <c r="E17634" s="51"/>
    </row>
    <row r="17635" spans="5:5">
      <c r="E17635" s="51"/>
    </row>
    <row r="17636" spans="5:5">
      <c r="E17636" s="51"/>
    </row>
    <row r="17637" spans="5:5">
      <c r="E17637" s="51"/>
    </row>
    <row r="17638" spans="5:5">
      <c r="E17638" s="51"/>
    </row>
    <row r="17639" spans="5:5">
      <c r="E17639" s="51"/>
    </row>
    <row r="17640" spans="5:5">
      <c r="E17640" s="51"/>
    </row>
    <row r="17641" spans="5:5">
      <c r="E17641" s="51"/>
    </row>
    <row r="17642" spans="5:5">
      <c r="E17642" s="51"/>
    </row>
    <row r="17643" spans="5:5">
      <c r="E17643" s="51"/>
    </row>
    <row r="17644" spans="5:5">
      <c r="E17644" s="51"/>
    </row>
    <row r="17645" spans="5:5">
      <c r="E17645" s="51"/>
    </row>
    <row r="17646" spans="5:5">
      <c r="E17646" s="51"/>
    </row>
    <row r="17647" spans="5:5">
      <c r="E17647" s="51"/>
    </row>
    <row r="17648" spans="5:5">
      <c r="E17648" s="51"/>
    </row>
    <row r="17649" spans="5:5">
      <c r="E17649" s="51"/>
    </row>
    <row r="17650" spans="5:5">
      <c r="E17650" s="51"/>
    </row>
    <row r="17651" spans="5:5">
      <c r="E17651" s="51"/>
    </row>
    <row r="17652" spans="5:5">
      <c r="E17652" s="51"/>
    </row>
    <row r="17653" spans="5:5">
      <c r="E17653" s="51"/>
    </row>
    <row r="17654" spans="5:5">
      <c r="E17654" s="51"/>
    </row>
    <row r="17655" spans="5:5">
      <c r="E17655" s="51"/>
    </row>
    <row r="17656" spans="5:5">
      <c r="E17656" s="51"/>
    </row>
    <row r="17657" spans="5:5">
      <c r="E17657" s="51"/>
    </row>
    <row r="17658" spans="5:5">
      <c r="E17658" s="51"/>
    </row>
    <row r="17659" spans="5:5">
      <c r="E17659" s="51"/>
    </row>
    <row r="17660" spans="5:5">
      <c r="E17660" s="51"/>
    </row>
    <row r="17661" spans="5:5">
      <c r="E17661" s="51"/>
    </row>
    <row r="17662" spans="5:5">
      <c r="E17662" s="51"/>
    </row>
    <row r="17663" spans="5:5">
      <c r="E17663" s="51"/>
    </row>
    <row r="17664" spans="5:5">
      <c r="E17664" s="51"/>
    </row>
    <row r="17665" spans="5:5">
      <c r="E17665" s="51"/>
    </row>
    <row r="17666" spans="5:5">
      <c r="E17666" s="51"/>
    </row>
    <row r="17667" spans="5:5">
      <c r="E17667" s="51"/>
    </row>
    <row r="17668" spans="5:5">
      <c r="E17668" s="51"/>
    </row>
    <row r="17669" spans="5:5">
      <c r="E17669" s="51"/>
    </row>
    <row r="17670" spans="5:5">
      <c r="E17670" s="51"/>
    </row>
    <row r="17671" spans="5:5">
      <c r="E17671" s="51"/>
    </row>
    <row r="17672" spans="5:5">
      <c r="E17672" s="51"/>
    </row>
    <row r="17673" spans="5:5">
      <c r="E17673" s="51"/>
    </row>
    <row r="17674" spans="5:5">
      <c r="E17674" s="51"/>
    </row>
    <row r="17675" spans="5:5">
      <c r="E17675" s="51"/>
    </row>
    <row r="17676" spans="5:5">
      <c r="E17676" s="51"/>
    </row>
    <row r="17677" spans="5:5">
      <c r="E17677" s="51"/>
    </row>
    <row r="17678" spans="5:5">
      <c r="E17678" s="51"/>
    </row>
    <row r="17679" spans="5:5">
      <c r="E17679" s="51"/>
    </row>
    <row r="17680" spans="5:5">
      <c r="E17680" s="51"/>
    </row>
    <row r="17681" spans="5:5">
      <c r="E17681" s="51"/>
    </row>
    <row r="17682" spans="5:5">
      <c r="E17682" s="51"/>
    </row>
    <row r="17683" spans="5:5">
      <c r="E17683" s="51"/>
    </row>
    <row r="17684" spans="5:5">
      <c r="E17684" s="51"/>
    </row>
    <row r="17685" spans="5:5">
      <c r="E17685" s="51"/>
    </row>
    <row r="17686" spans="5:5">
      <c r="E17686" s="51"/>
    </row>
    <row r="17687" spans="5:5">
      <c r="E17687" s="51"/>
    </row>
    <row r="17688" spans="5:5">
      <c r="E17688" s="51"/>
    </row>
    <row r="17689" spans="5:5">
      <c r="E17689" s="51"/>
    </row>
    <row r="17690" spans="5:5">
      <c r="E17690" s="51"/>
    </row>
    <row r="17691" spans="5:5">
      <c r="E17691" s="51"/>
    </row>
    <row r="17692" spans="5:5">
      <c r="E17692" s="51"/>
    </row>
    <row r="17693" spans="5:5">
      <c r="E17693" s="51"/>
    </row>
    <row r="17694" spans="5:5">
      <c r="E17694" s="51"/>
    </row>
    <row r="17695" spans="5:5">
      <c r="E17695" s="51"/>
    </row>
    <row r="17696" spans="5:5">
      <c r="E17696" s="51"/>
    </row>
    <row r="17697" spans="5:5">
      <c r="E17697" s="51"/>
    </row>
    <row r="17698" spans="5:5">
      <c r="E17698" s="51"/>
    </row>
    <row r="17699" spans="5:5">
      <c r="E17699" s="51"/>
    </row>
    <row r="17700" spans="5:5">
      <c r="E17700" s="51"/>
    </row>
    <row r="17701" spans="5:5">
      <c r="E17701" s="51"/>
    </row>
    <row r="17702" spans="5:5">
      <c r="E17702" s="51"/>
    </row>
    <row r="17703" spans="5:5">
      <c r="E17703" s="51"/>
    </row>
    <row r="17704" spans="5:5">
      <c r="E17704" s="51"/>
    </row>
    <row r="17705" spans="5:5">
      <c r="E17705" s="51"/>
    </row>
    <row r="17706" spans="5:5">
      <c r="E17706" s="51"/>
    </row>
    <row r="17707" spans="5:5">
      <c r="E17707" s="51"/>
    </row>
    <row r="17708" spans="5:5">
      <c r="E17708" s="51"/>
    </row>
    <row r="17709" spans="5:5">
      <c r="E17709" s="51"/>
    </row>
    <row r="17710" spans="5:5">
      <c r="E17710" s="51"/>
    </row>
    <row r="17711" spans="5:5">
      <c r="E17711" s="51"/>
    </row>
    <row r="17712" spans="5:5">
      <c r="E17712" s="51"/>
    </row>
    <row r="17713" spans="5:5">
      <c r="E17713" s="51"/>
    </row>
    <row r="17714" spans="5:5">
      <c r="E17714" s="51"/>
    </row>
    <row r="17715" spans="5:5">
      <c r="E17715" s="51"/>
    </row>
    <row r="17716" spans="5:5">
      <c r="E17716" s="51"/>
    </row>
    <row r="17717" spans="5:5">
      <c r="E17717" s="51"/>
    </row>
    <row r="17718" spans="5:5">
      <c r="E17718" s="51"/>
    </row>
    <row r="17719" spans="5:5">
      <c r="E17719" s="51"/>
    </row>
    <row r="17720" spans="5:5">
      <c r="E17720" s="51"/>
    </row>
    <row r="17721" spans="5:5">
      <c r="E17721" s="51"/>
    </row>
    <row r="17722" spans="5:5">
      <c r="E17722" s="51"/>
    </row>
    <row r="17723" spans="5:5">
      <c r="E17723" s="51"/>
    </row>
    <row r="17724" spans="5:5">
      <c r="E17724" s="51"/>
    </row>
    <row r="17725" spans="5:5">
      <c r="E17725" s="51"/>
    </row>
    <row r="17726" spans="5:5">
      <c r="E17726" s="51"/>
    </row>
    <row r="17727" spans="5:5">
      <c r="E17727" s="51"/>
    </row>
    <row r="17728" spans="5:5">
      <c r="E17728" s="51"/>
    </row>
    <row r="17729" spans="5:5">
      <c r="E17729" s="51"/>
    </row>
    <row r="17730" spans="5:5">
      <c r="E17730" s="51"/>
    </row>
    <row r="17731" spans="5:5">
      <c r="E17731" s="51"/>
    </row>
    <row r="17732" spans="5:5">
      <c r="E17732" s="51"/>
    </row>
    <row r="17733" spans="5:5">
      <c r="E17733" s="51"/>
    </row>
    <row r="17734" spans="5:5">
      <c r="E17734" s="51"/>
    </row>
    <row r="17735" spans="5:5">
      <c r="E17735" s="51"/>
    </row>
    <row r="17736" spans="5:5">
      <c r="E17736" s="51"/>
    </row>
    <row r="17737" spans="5:5">
      <c r="E17737" s="51"/>
    </row>
    <row r="17738" spans="5:5">
      <c r="E17738" s="51"/>
    </row>
    <row r="17739" spans="5:5">
      <c r="E17739" s="51"/>
    </row>
    <row r="17740" spans="5:5">
      <c r="E17740" s="51"/>
    </row>
    <row r="17741" spans="5:5">
      <c r="E17741" s="51"/>
    </row>
    <row r="17742" spans="5:5">
      <c r="E17742" s="51"/>
    </row>
    <row r="17743" spans="5:5">
      <c r="E17743" s="51"/>
    </row>
    <row r="17744" spans="5:5">
      <c r="E17744" s="51"/>
    </row>
    <row r="17745" spans="5:5">
      <c r="E17745" s="51"/>
    </row>
    <row r="17746" spans="5:5">
      <c r="E17746" s="51"/>
    </row>
    <row r="17747" spans="5:5">
      <c r="E17747" s="51"/>
    </row>
    <row r="17748" spans="5:5">
      <c r="E17748" s="51"/>
    </row>
    <row r="17749" spans="5:5">
      <c r="E17749" s="51"/>
    </row>
    <row r="17750" spans="5:5">
      <c r="E17750" s="51"/>
    </row>
    <row r="17751" spans="5:5">
      <c r="E17751" s="51"/>
    </row>
    <row r="17752" spans="5:5">
      <c r="E17752" s="51"/>
    </row>
    <row r="17753" spans="5:5">
      <c r="E17753" s="51"/>
    </row>
    <row r="17754" spans="5:5">
      <c r="E17754" s="51"/>
    </row>
    <row r="17755" spans="5:5">
      <c r="E17755" s="51"/>
    </row>
    <row r="17756" spans="5:5">
      <c r="E17756" s="51"/>
    </row>
    <row r="17757" spans="5:5">
      <c r="E17757" s="51"/>
    </row>
    <row r="17758" spans="5:5">
      <c r="E17758" s="51"/>
    </row>
    <row r="17759" spans="5:5">
      <c r="E17759" s="51"/>
    </row>
    <row r="17760" spans="5:5">
      <c r="E17760" s="51"/>
    </row>
    <row r="17761" spans="5:5">
      <c r="E17761" s="51"/>
    </row>
    <row r="17762" spans="5:5">
      <c r="E17762" s="51"/>
    </row>
    <row r="17763" spans="5:5">
      <c r="E17763" s="51"/>
    </row>
    <row r="17764" spans="5:5">
      <c r="E17764" s="51"/>
    </row>
    <row r="17765" spans="5:5">
      <c r="E17765" s="51"/>
    </row>
    <row r="17766" spans="5:5">
      <c r="E17766" s="51"/>
    </row>
    <row r="17767" spans="5:5">
      <c r="E17767" s="51"/>
    </row>
    <row r="17768" spans="5:5">
      <c r="E17768" s="51"/>
    </row>
    <row r="17769" spans="5:5">
      <c r="E17769" s="51"/>
    </row>
    <row r="17770" spans="5:5">
      <c r="E17770" s="51"/>
    </row>
    <row r="17771" spans="5:5">
      <c r="E17771" s="51"/>
    </row>
    <row r="17772" spans="5:5">
      <c r="E17772" s="51"/>
    </row>
    <row r="17773" spans="5:5">
      <c r="E17773" s="51"/>
    </row>
    <row r="17774" spans="5:5">
      <c r="E17774" s="51"/>
    </row>
    <row r="17775" spans="5:5">
      <c r="E17775" s="51"/>
    </row>
    <row r="17776" spans="5:5">
      <c r="E17776" s="51"/>
    </row>
    <row r="17777" spans="5:5">
      <c r="E17777" s="51"/>
    </row>
    <row r="17778" spans="5:5">
      <c r="E17778" s="51"/>
    </row>
    <row r="17779" spans="5:5">
      <c r="E17779" s="51"/>
    </row>
    <row r="17780" spans="5:5">
      <c r="E17780" s="51"/>
    </row>
    <row r="17781" spans="5:5">
      <c r="E17781" s="51"/>
    </row>
    <row r="17782" spans="5:5">
      <c r="E17782" s="51"/>
    </row>
    <row r="17783" spans="5:5">
      <c r="E17783" s="51"/>
    </row>
    <row r="17784" spans="5:5">
      <c r="E17784" s="51"/>
    </row>
    <row r="17785" spans="5:5">
      <c r="E17785" s="51"/>
    </row>
    <row r="17786" spans="5:5">
      <c r="E17786" s="51"/>
    </row>
    <row r="17787" spans="5:5">
      <c r="E17787" s="51"/>
    </row>
    <row r="17788" spans="5:5">
      <c r="E17788" s="51"/>
    </row>
    <row r="17789" spans="5:5">
      <c r="E17789" s="51"/>
    </row>
    <row r="17790" spans="5:5">
      <c r="E17790" s="51"/>
    </row>
    <row r="17791" spans="5:5">
      <c r="E17791" s="51"/>
    </row>
    <row r="17792" spans="5:5">
      <c r="E17792" s="51"/>
    </row>
    <row r="17793" spans="5:5">
      <c r="E17793" s="51"/>
    </row>
    <row r="17794" spans="5:5">
      <c r="E17794" s="51"/>
    </row>
    <row r="17795" spans="5:5">
      <c r="E17795" s="51"/>
    </row>
    <row r="17796" spans="5:5">
      <c r="E17796" s="51"/>
    </row>
    <row r="17797" spans="5:5">
      <c r="E17797" s="51"/>
    </row>
    <row r="17798" spans="5:5">
      <c r="E17798" s="51"/>
    </row>
    <row r="17799" spans="5:5">
      <c r="E17799" s="51"/>
    </row>
    <row r="17800" spans="5:5">
      <c r="E17800" s="51"/>
    </row>
    <row r="17801" spans="5:5">
      <c r="E17801" s="51"/>
    </row>
    <row r="17802" spans="5:5">
      <c r="E17802" s="51"/>
    </row>
    <row r="17803" spans="5:5">
      <c r="E17803" s="51"/>
    </row>
    <row r="17804" spans="5:5">
      <c r="E17804" s="51"/>
    </row>
    <row r="17805" spans="5:5">
      <c r="E17805" s="51"/>
    </row>
    <row r="17806" spans="5:5">
      <c r="E17806" s="51"/>
    </row>
    <row r="17807" spans="5:5">
      <c r="E17807" s="51"/>
    </row>
    <row r="17808" spans="5:5">
      <c r="E17808" s="51"/>
    </row>
    <row r="17809" spans="5:5">
      <c r="E17809" s="51"/>
    </row>
    <row r="17810" spans="5:5">
      <c r="E17810" s="51"/>
    </row>
    <row r="17811" spans="5:5">
      <c r="E17811" s="51"/>
    </row>
    <row r="17812" spans="5:5">
      <c r="E17812" s="51"/>
    </row>
    <row r="17813" spans="5:5">
      <c r="E17813" s="51"/>
    </row>
    <row r="17814" spans="5:5">
      <c r="E17814" s="51"/>
    </row>
    <row r="17815" spans="5:5">
      <c r="E17815" s="51"/>
    </row>
    <row r="17816" spans="5:5">
      <c r="E17816" s="51"/>
    </row>
    <row r="17817" spans="5:5">
      <c r="E17817" s="51"/>
    </row>
    <row r="17818" spans="5:5">
      <c r="E17818" s="51"/>
    </row>
    <row r="17819" spans="5:5">
      <c r="E17819" s="51"/>
    </row>
    <row r="17820" spans="5:5">
      <c r="E17820" s="51"/>
    </row>
    <row r="17821" spans="5:5">
      <c r="E17821" s="51"/>
    </row>
    <row r="17822" spans="5:5">
      <c r="E17822" s="51"/>
    </row>
    <row r="17823" spans="5:5">
      <c r="E17823" s="51"/>
    </row>
    <row r="17824" spans="5:5">
      <c r="E17824" s="51"/>
    </row>
    <row r="17825" spans="5:5">
      <c r="E17825" s="51"/>
    </row>
    <row r="17826" spans="5:5">
      <c r="E17826" s="51"/>
    </row>
    <row r="17827" spans="5:5">
      <c r="E17827" s="51"/>
    </row>
    <row r="17828" spans="5:5">
      <c r="E17828" s="51"/>
    </row>
    <row r="17829" spans="5:5">
      <c r="E17829" s="51"/>
    </row>
    <row r="17830" spans="5:5">
      <c r="E17830" s="51"/>
    </row>
    <row r="17831" spans="5:5">
      <c r="E17831" s="51"/>
    </row>
    <row r="17832" spans="5:5">
      <c r="E17832" s="51"/>
    </row>
    <row r="17833" spans="5:5">
      <c r="E17833" s="51"/>
    </row>
    <row r="17834" spans="5:5">
      <c r="E17834" s="51"/>
    </row>
    <row r="17835" spans="5:5">
      <c r="E17835" s="51"/>
    </row>
    <row r="17836" spans="5:5">
      <c r="E17836" s="51"/>
    </row>
    <row r="17837" spans="5:5">
      <c r="E17837" s="51"/>
    </row>
    <row r="17838" spans="5:5">
      <c r="E17838" s="51"/>
    </row>
    <row r="17839" spans="5:5">
      <c r="E17839" s="51"/>
    </row>
    <row r="17840" spans="5:5">
      <c r="E17840" s="51"/>
    </row>
    <row r="17841" spans="5:5">
      <c r="E17841" s="51"/>
    </row>
    <row r="17842" spans="5:5">
      <c r="E17842" s="51"/>
    </row>
    <row r="17843" spans="5:5">
      <c r="E17843" s="51"/>
    </row>
    <row r="17844" spans="5:5">
      <c r="E17844" s="51"/>
    </row>
    <row r="17845" spans="5:5">
      <c r="E17845" s="51"/>
    </row>
    <row r="17846" spans="5:5">
      <c r="E17846" s="51"/>
    </row>
    <row r="17847" spans="5:5">
      <c r="E17847" s="51"/>
    </row>
    <row r="17848" spans="5:5">
      <c r="E17848" s="51"/>
    </row>
    <row r="17849" spans="5:5">
      <c r="E17849" s="51"/>
    </row>
    <row r="17850" spans="5:5">
      <c r="E17850" s="51"/>
    </row>
    <row r="17851" spans="5:5">
      <c r="E17851" s="51"/>
    </row>
    <row r="17852" spans="5:5">
      <c r="E17852" s="51"/>
    </row>
    <row r="17853" spans="5:5">
      <c r="E17853" s="51"/>
    </row>
    <row r="17854" spans="5:5">
      <c r="E17854" s="51"/>
    </row>
    <row r="17855" spans="5:5">
      <c r="E17855" s="51"/>
    </row>
    <row r="17856" spans="5:5">
      <c r="E17856" s="51"/>
    </row>
    <row r="17857" spans="5:5">
      <c r="E17857" s="51"/>
    </row>
    <row r="17858" spans="5:5">
      <c r="E17858" s="51"/>
    </row>
    <row r="17859" spans="5:5">
      <c r="E17859" s="51"/>
    </row>
    <row r="17860" spans="5:5">
      <c r="E17860" s="51"/>
    </row>
    <row r="17861" spans="5:5">
      <c r="E17861" s="51"/>
    </row>
    <row r="17862" spans="5:5">
      <c r="E17862" s="51"/>
    </row>
    <row r="17863" spans="5:5">
      <c r="E17863" s="51"/>
    </row>
    <row r="17864" spans="5:5">
      <c r="E17864" s="51"/>
    </row>
    <row r="17865" spans="5:5">
      <c r="E17865" s="51"/>
    </row>
    <row r="17866" spans="5:5">
      <c r="E17866" s="51"/>
    </row>
    <row r="17867" spans="5:5">
      <c r="E17867" s="51"/>
    </row>
    <row r="17868" spans="5:5">
      <c r="E17868" s="51"/>
    </row>
    <row r="17869" spans="5:5">
      <c r="E17869" s="51"/>
    </row>
    <row r="17870" spans="5:5">
      <c r="E17870" s="51"/>
    </row>
    <row r="17871" spans="5:5">
      <c r="E17871" s="51"/>
    </row>
    <row r="17872" spans="5:5">
      <c r="E17872" s="51"/>
    </row>
    <row r="17873" spans="5:5">
      <c r="E17873" s="51"/>
    </row>
    <row r="17874" spans="5:5">
      <c r="E17874" s="51"/>
    </row>
    <row r="17875" spans="5:5">
      <c r="E17875" s="51"/>
    </row>
    <row r="17876" spans="5:5">
      <c r="E17876" s="51"/>
    </row>
    <row r="17877" spans="5:5">
      <c r="E17877" s="51"/>
    </row>
    <row r="17878" spans="5:5">
      <c r="E17878" s="51"/>
    </row>
    <row r="17879" spans="5:5">
      <c r="E17879" s="51"/>
    </row>
    <row r="17880" spans="5:5">
      <c r="E17880" s="51"/>
    </row>
    <row r="17881" spans="5:5">
      <c r="E17881" s="51"/>
    </row>
    <row r="17882" spans="5:5">
      <c r="E17882" s="51"/>
    </row>
    <row r="17883" spans="5:5">
      <c r="E17883" s="51"/>
    </row>
    <row r="17884" spans="5:5">
      <c r="E17884" s="51"/>
    </row>
    <row r="17885" spans="5:5">
      <c r="E17885" s="51"/>
    </row>
    <row r="17886" spans="5:5">
      <c r="E17886" s="51"/>
    </row>
    <row r="17887" spans="5:5">
      <c r="E17887" s="51"/>
    </row>
    <row r="17888" spans="5:5">
      <c r="E17888" s="51"/>
    </row>
    <row r="17889" spans="5:5">
      <c r="E17889" s="51"/>
    </row>
    <row r="17890" spans="5:5">
      <c r="E17890" s="51"/>
    </row>
    <row r="17891" spans="5:5">
      <c r="E17891" s="51"/>
    </row>
    <row r="17892" spans="5:5">
      <c r="E17892" s="51"/>
    </row>
    <row r="17893" spans="5:5">
      <c r="E17893" s="51"/>
    </row>
    <row r="17894" spans="5:5">
      <c r="E17894" s="51"/>
    </row>
    <row r="17895" spans="5:5">
      <c r="E17895" s="51"/>
    </row>
    <row r="17896" spans="5:5">
      <c r="E17896" s="51"/>
    </row>
    <row r="17897" spans="5:5">
      <c r="E17897" s="51"/>
    </row>
    <row r="17898" spans="5:5">
      <c r="E17898" s="51"/>
    </row>
    <row r="17899" spans="5:5">
      <c r="E17899" s="51"/>
    </row>
    <row r="17900" spans="5:5">
      <c r="E17900" s="51"/>
    </row>
    <row r="17901" spans="5:5">
      <c r="E17901" s="51"/>
    </row>
    <row r="17902" spans="5:5">
      <c r="E17902" s="51"/>
    </row>
    <row r="17903" spans="5:5">
      <c r="E17903" s="51"/>
    </row>
    <row r="17904" spans="5:5">
      <c r="E17904" s="51"/>
    </row>
    <row r="17905" spans="5:5">
      <c r="E17905" s="51"/>
    </row>
    <row r="17906" spans="5:5">
      <c r="E17906" s="51"/>
    </row>
    <row r="17907" spans="5:5">
      <c r="E17907" s="51"/>
    </row>
    <row r="17908" spans="5:5">
      <c r="E17908" s="51"/>
    </row>
    <row r="17909" spans="5:5">
      <c r="E17909" s="51"/>
    </row>
    <row r="17910" spans="5:5">
      <c r="E17910" s="51"/>
    </row>
    <row r="17911" spans="5:5">
      <c r="E17911" s="51"/>
    </row>
    <row r="17912" spans="5:5">
      <c r="E17912" s="51"/>
    </row>
    <row r="17913" spans="5:5">
      <c r="E17913" s="51"/>
    </row>
    <row r="17914" spans="5:5">
      <c r="E17914" s="51"/>
    </row>
    <row r="17915" spans="5:5">
      <c r="E17915" s="51"/>
    </row>
    <row r="17916" spans="5:5">
      <c r="E17916" s="51"/>
    </row>
    <row r="17917" spans="5:5">
      <c r="E17917" s="51"/>
    </row>
    <row r="17918" spans="5:5">
      <c r="E17918" s="51"/>
    </row>
    <row r="17919" spans="5:5">
      <c r="E17919" s="51"/>
    </row>
    <row r="17920" spans="5:5">
      <c r="E17920" s="51"/>
    </row>
    <row r="17921" spans="5:5">
      <c r="E17921" s="51"/>
    </row>
    <row r="17922" spans="5:5">
      <c r="E17922" s="51"/>
    </row>
    <row r="17923" spans="5:5">
      <c r="E17923" s="51"/>
    </row>
    <row r="17924" spans="5:5">
      <c r="E17924" s="51"/>
    </row>
    <row r="17925" spans="5:5">
      <c r="E17925" s="51"/>
    </row>
    <row r="17926" spans="5:5">
      <c r="E17926" s="51"/>
    </row>
    <row r="17927" spans="5:5">
      <c r="E17927" s="51"/>
    </row>
    <row r="17928" spans="5:5">
      <c r="E17928" s="51"/>
    </row>
    <row r="17929" spans="5:5">
      <c r="E17929" s="51"/>
    </row>
    <row r="17930" spans="5:5">
      <c r="E17930" s="51"/>
    </row>
    <row r="17931" spans="5:5">
      <c r="E17931" s="51"/>
    </row>
    <row r="17932" spans="5:5">
      <c r="E17932" s="51"/>
    </row>
    <row r="17933" spans="5:5">
      <c r="E17933" s="51"/>
    </row>
    <row r="17934" spans="5:5">
      <c r="E17934" s="51"/>
    </row>
    <row r="17935" spans="5:5">
      <c r="E17935" s="51"/>
    </row>
    <row r="17936" spans="5:5">
      <c r="E17936" s="51"/>
    </row>
    <row r="17937" spans="5:5">
      <c r="E17937" s="51"/>
    </row>
    <row r="17938" spans="5:5">
      <c r="E17938" s="51"/>
    </row>
    <row r="17939" spans="5:5">
      <c r="E17939" s="51"/>
    </row>
    <row r="17940" spans="5:5">
      <c r="E17940" s="51"/>
    </row>
    <row r="17941" spans="5:5">
      <c r="E17941" s="51"/>
    </row>
    <row r="17942" spans="5:5">
      <c r="E17942" s="51"/>
    </row>
    <row r="17943" spans="5:5">
      <c r="E17943" s="51"/>
    </row>
    <row r="17944" spans="5:5">
      <c r="E17944" s="51"/>
    </row>
    <row r="17945" spans="5:5">
      <c r="E17945" s="51"/>
    </row>
    <row r="17946" spans="5:5">
      <c r="E17946" s="51"/>
    </row>
    <row r="17947" spans="5:5">
      <c r="E17947" s="51"/>
    </row>
    <row r="17948" spans="5:5">
      <c r="E17948" s="51"/>
    </row>
    <row r="17949" spans="5:5">
      <c r="E17949" s="51"/>
    </row>
    <row r="17950" spans="5:5">
      <c r="E17950" s="51"/>
    </row>
    <row r="17951" spans="5:5">
      <c r="E17951" s="51"/>
    </row>
    <row r="17952" spans="5:5">
      <c r="E17952" s="51"/>
    </row>
    <row r="17953" spans="5:5">
      <c r="E17953" s="51"/>
    </row>
    <row r="17954" spans="5:5">
      <c r="E17954" s="51"/>
    </row>
    <row r="17955" spans="5:5">
      <c r="E17955" s="51"/>
    </row>
    <row r="17956" spans="5:5">
      <c r="E17956" s="51"/>
    </row>
    <row r="17957" spans="5:5">
      <c r="E17957" s="51"/>
    </row>
    <row r="17958" spans="5:5">
      <c r="E17958" s="51"/>
    </row>
    <row r="17959" spans="5:5">
      <c r="E17959" s="51"/>
    </row>
    <row r="17960" spans="5:5">
      <c r="E17960" s="51"/>
    </row>
    <row r="17961" spans="5:5">
      <c r="E17961" s="51"/>
    </row>
    <row r="17962" spans="5:5">
      <c r="E17962" s="51"/>
    </row>
    <row r="17963" spans="5:5">
      <c r="E17963" s="51"/>
    </row>
    <row r="17964" spans="5:5">
      <c r="E17964" s="51"/>
    </row>
    <row r="17965" spans="5:5">
      <c r="E17965" s="51"/>
    </row>
    <row r="17966" spans="5:5">
      <c r="E17966" s="51"/>
    </row>
    <row r="17967" spans="5:5">
      <c r="E17967" s="51"/>
    </row>
    <row r="17968" spans="5:5">
      <c r="E17968" s="51"/>
    </row>
    <row r="17969" spans="5:5">
      <c r="E17969" s="51"/>
    </row>
    <row r="17970" spans="5:5">
      <c r="E17970" s="51"/>
    </row>
    <row r="17971" spans="5:5">
      <c r="E17971" s="51"/>
    </row>
    <row r="17972" spans="5:5">
      <c r="E17972" s="51"/>
    </row>
    <row r="17973" spans="5:5">
      <c r="E17973" s="51"/>
    </row>
    <row r="17974" spans="5:5">
      <c r="E17974" s="51"/>
    </row>
    <row r="17975" spans="5:5">
      <c r="E17975" s="51"/>
    </row>
    <row r="17976" spans="5:5">
      <c r="E17976" s="51"/>
    </row>
    <row r="17977" spans="5:5">
      <c r="E17977" s="51"/>
    </row>
    <row r="17978" spans="5:5">
      <c r="E17978" s="51"/>
    </row>
    <row r="17979" spans="5:5">
      <c r="E17979" s="51"/>
    </row>
    <row r="17980" spans="5:5">
      <c r="E17980" s="51"/>
    </row>
    <row r="17981" spans="5:5">
      <c r="E17981" s="51"/>
    </row>
    <row r="17982" spans="5:5">
      <c r="E17982" s="51"/>
    </row>
    <row r="17983" spans="5:5">
      <c r="E17983" s="51"/>
    </row>
    <row r="17984" spans="5:5">
      <c r="E17984" s="51"/>
    </row>
    <row r="17985" spans="5:5">
      <c r="E17985" s="51"/>
    </row>
    <row r="17986" spans="5:5">
      <c r="E17986" s="51"/>
    </row>
    <row r="17987" spans="5:5">
      <c r="E17987" s="51"/>
    </row>
    <row r="17988" spans="5:5">
      <c r="E17988" s="51"/>
    </row>
    <row r="17989" spans="5:5">
      <c r="E17989" s="51"/>
    </row>
    <row r="17990" spans="5:5">
      <c r="E17990" s="51"/>
    </row>
    <row r="17991" spans="5:5">
      <c r="E17991" s="51"/>
    </row>
    <row r="17992" spans="5:5">
      <c r="E17992" s="51"/>
    </row>
    <row r="17993" spans="5:5">
      <c r="E17993" s="51"/>
    </row>
    <row r="17994" spans="5:5">
      <c r="E17994" s="51"/>
    </row>
    <row r="17995" spans="5:5">
      <c r="E17995" s="51"/>
    </row>
    <row r="17996" spans="5:5">
      <c r="E17996" s="51"/>
    </row>
    <row r="17997" spans="5:5">
      <c r="E17997" s="51"/>
    </row>
    <row r="17998" spans="5:5">
      <c r="E17998" s="51"/>
    </row>
    <row r="17999" spans="5:5">
      <c r="E17999" s="51"/>
    </row>
    <row r="18000" spans="5:5">
      <c r="E18000" s="51"/>
    </row>
    <row r="18001" spans="5:5">
      <c r="E18001" s="51"/>
    </row>
    <row r="18002" spans="5:5">
      <c r="E18002" s="51"/>
    </row>
    <row r="18003" spans="5:5">
      <c r="E18003" s="51"/>
    </row>
    <row r="18004" spans="5:5">
      <c r="E18004" s="51"/>
    </row>
    <row r="18005" spans="5:5">
      <c r="E18005" s="51"/>
    </row>
    <row r="18006" spans="5:5">
      <c r="E18006" s="51"/>
    </row>
    <row r="18007" spans="5:5">
      <c r="E18007" s="51"/>
    </row>
    <row r="18008" spans="5:5">
      <c r="E18008" s="51"/>
    </row>
    <row r="18009" spans="5:5">
      <c r="E18009" s="51"/>
    </row>
    <row r="18010" spans="5:5">
      <c r="E18010" s="51"/>
    </row>
    <row r="18011" spans="5:5">
      <c r="E18011" s="51"/>
    </row>
    <row r="18012" spans="5:5">
      <c r="E18012" s="51"/>
    </row>
    <row r="18013" spans="5:5">
      <c r="E18013" s="51"/>
    </row>
    <row r="18014" spans="5:5">
      <c r="E18014" s="51"/>
    </row>
    <row r="18015" spans="5:5">
      <c r="E18015" s="51"/>
    </row>
    <row r="18016" spans="5:5">
      <c r="E18016" s="51"/>
    </row>
    <row r="18017" spans="5:5">
      <c r="E18017" s="51"/>
    </row>
    <row r="18018" spans="5:5">
      <c r="E18018" s="51"/>
    </row>
    <row r="18019" spans="5:5">
      <c r="E18019" s="51"/>
    </row>
    <row r="18020" spans="5:5">
      <c r="E18020" s="51"/>
    </row>
    <row r="18021" spans="5:5">
      <c r="E18021" s="51"/>
    </row>
    <row r="18022" spans="5:5">
      <c r="E18022" s="51"/>
    </row>
    <row r="18023" spans="5:5">
      <c r="E18023" s="51"/>
    </row>
    <row r="18024" spans="5:5">
      <c r="E18024" s="51"/>
    </row>
    <row r="18025" spans="5:5">
      <c r="E18025" s="51"/>
    </row>
    <row r="18026" spans="5:5">
      <c r="E18026" s="51"/>
    </row>
    <row r="18027" spans="5:5">
      <c r="E18027" s="51"/>
    </row>
    <row r="18028" spans="5:5">
      <c r="E18028" s="51"/>
    </row>
    <row r="18029" spans="5:5">
      <c r="E18029" s="51"/>
    </row>
    <row r="18030" spans="5:5">
      <c r="E18030" s="51"/>
    </row>
    <row r="18031" spans="5:5">
      <c r="E18031" s="51"/>
    </row>
    <row r="18032" spans="5:5">
      <c r="E18032" s="51"/>
    </row>
    <row r="18033" spans="5:5">
      <c r="E18033" s="51"/>
    </row>
    <row r="18034" spans="5:5">
      <c r="E18034" s="51"/>
    </row>
    <row r="18035" spans="5:5">
      <c r="E18035" s="51"/>
    </row>
    <row r="18036" spans="5:5">
      <c r="E18036" s="51"/>
    </row>
    <row r="18037" spans="5:5">
      <c r="E18037" s="51"/>
    </row>
    <row r="18038" spans="5:5">
      <c r="E18038" s="51"/>
    </row>
    <row r="18039" spans="5:5">
      <c r="E18039" s="51"/>
    </row>
    <row r="18040" spans="5:5">
      <c r="E18040" s="51"/>
    </row>
    <row r="18041" spans="5:5">
      <c r="E18041" s="51"/>
    </row>
    <row r="18042" spans="5:5">
      <c r="E18042" s="51"/>
    </row>
    <row r="18043" spans="5:5">
      <c r="E18043" s="51"/>
    </row>
    <row r="18044" spans="5:5">
      <c r="E18044" s="51"/>
    </row>
    <row r="18045" spans="5:5">
      <c r="E18045" s="51"/>
    </row>
    <row r="18046" spans="5:5">
      <c r="E18046" s="51"/>
    </row>
    <row r="18047" spans="5:5">
      <c r="E18047" s="51"/>
    </row>
    <row r="18048" spans="5:5">
      <c r="E18048" s="51"/>
    </row>
    <row r="18049" spans="5:5">
      <c r="E18049" s="51"/>
    </row>
    <row r="18050" spans="5:5">
      <c r="E18050" s="51"/>
    </row>
    <row r="18051" spans="5:5">
      <c r="E18051" s="51"/>
    </row>
    <row r="18052" spans="5:5">
      <c r="E18052" s="51"/>
    </row>
    <row r="18053" spans="5:5">
      <c r="E18053" s="51"/>
    </row>
    <row r="18054" spans="5:5">
      <c r="E18054" s="51"/>
    </row>
    <row r="18055" spans="5:5">
      <c r="E18055" s="51"/>
    </row>
    <row r="18056" spans="5:5">
      <c r="E18056" s="51"/>
    </row>
    <row r="18057" spans="5:5">
      <c r="E18057" s="51"/>
    </row>
    <row r="18058" spans="5:5">
      <c r="E18058" s="51"/>
    </row>
    <row r="18059" spans="5:5">
      <c r="E18059" s="51"/>
    </row>
    <row r="18060" spans="5:5">
      <c r="E18060" s="51"/>
    </row>
    <row r="18061" spans="5:5">
      <c r="E18061" s="51"/>
    </row>
    <row r="18062" spans="5:5">
      <c r="E18062" s="51"/>
    </row>
    <row r="18063" spans="5:5">
      <c r="E18063" s="51"/>
    </row>
    <row r="18064" spans="5:5">
      <c r="E18064" s="51"/>
    </row>
    <row r="18065" spans="5:5">
      <c r="E18065" s="51"/>
    </row>
    <row r="18066" spans="5:5">
      <c r="E18066" s="51"/>
    </row>
    <row r="18067" spans="5:5">
      <c r="E18067" s="51"/>
    </row>
    <row r="18068" spans="5:5">
      <c r="E18068" s="51"/>
    </row>
    <row r="18069" spans="5:5">
      <c r="E18069" s="51"/>
    </row>
    <row r="18070" spans="5:5">
      <c r="E18070" s="51"/>
    </row>
    <row r="18071" spans="5:5">
      <c r="E18071" s="51"/>
    </row>
    <row r="18072" spans="5:5">
      <c r="E18072" s="51"/>
    </row>
    <row r="18073" spans="5:5">
      <c r="E18073" s="51"/>
    </row>
    <row r="18074" spans="5:5">
      <c r="E18074" s="51"/>
    </row>
    <row r="18075" spans="5:5">
      <c r="E18075" s="51"/>
    </row>
    <row r="18076" spans="5:5">
      <c r="E18076" s="51"/>
    </row>
    <row r="18077" spans="5:5">
      <c r="E18077" s="51"/>
    </row>
    <row r="18078" spans="5:5">
      <c r="E18078" s="51"/>
    </row>
    <row r="18079" spans="5:5">
      <c r="E18079" s="51"/>
    </row>
    <row r="18080" spans="5:5">
      <c r="E18080" s="51"/>
    </row>
    <row r="18081" spans="5:5">
      <c r="E18081" s="51"/>
    </row>
    <row r="18082" spans="5:5">
      <c r="E18082" s="51"/>
    </row>
    <row r="18083" spans="5:5">
      <c r="E18083" s="51"/>
    </row>
    <row r="18084" spans="5:5">
      <c r="E18084" s="51"/>
    </row>
    <row r="18085" spans="5:5">
      <c r="E18085" s="51"/>
    </row>
    <row r="18086" spans="5:5">
      <c r="E18086" s="51"/>
    </row>
    <row r="18087" spans="5:5">
      <c r="E18087" s="51"/>
    </row>
    <row r="18088" spans="5:5">
      <c r="E18088" s="51"/>
    </row>
    <row r="18089" spans="5:5">
      <c r="E18089" s="51"/>
    </row>
    <row r="18090" spans="5:5">
      <c r="E18090" s="51"/>
    </row>
    <row r="18091" spans="5:5">
      <c r="E18091" s="51"/>
    </row>
    <row r="18092" spans="5:5">
      <c r="E18092" s="51"/>
    </row>
    <row r="18093" spans="5:5">
      <c r="E18093" s="51"/>
    </row>
    <row r="18094" spans="5:5">
      <c r="E18094" s="51"/>
    </row>
    <row r="18095" spans="5:5">
      <c r="E18095" s="51"/>
    </row>
    <row r="18096" spans="5:5">
      <c r="E18096" s="51"/>
    </row>
    <row r="18097" spans="5:5">
      <c r="E18097" s="51"/>
    </row>
    <row r="18098" spans="5:5">
      <c r="E18098" s="51"/>
    </row>
    <row r="18099" spans="5:5">
      <c r="E18099" s="51"/>
    </row>
    <row r="18100" spans="5:5">
      <c r="E18100" s="51"/>
    </row>
    <row r="18101" spans="5:5">
      <c r="E18101" s="51"/>
    </row>
    <row r="18102" spans="5:5">
      <c r="E18102" s="51"/>
    </row>
    <row r="18103" spans="5:5">
      <c r="E18103" s="51"/>
    </row>
    <row r="18104" spans="5:5">
      <c r="E18104" s="51"/>
    </row>
    <row r="18105" spans="5:5">
      <c r="E18105" s="51"/>
    </row>
    <row r="18106" spans="5:5">
      <c r="E18106" s="51"/>
    </row>
    <row r="18107" spans="5:5">
      <c r="E18107" s="51"/>
    </row>
    <row r="18108" spans="5:5">
      <c r="E18108" s="51"/>
    </row>
    <row r="18109" spans="5:5">
      <c r="E18109" s="51"/>
    </row>
    <row r="18110" spans="5:5">
      <c r="E18110" s="51"/>
    </row>
    <row r="18111" spans="5:5">
      <c r="E18111" s="51"/>
    </row>
    <row r="18112" spans="5:5">
      <c r="E18112" s="51"/>
    </row>
    <row r="18113" spans="5:5">
      <c r="E18113" s="51"/>
    </row>
    <row r="18114" spans="5:5">
      <c r="E18114" s="51"/>
    </row>
    <row r="18115" spans="5:5">
      <c r="E18115" s="51"/>
    </row>
    <row r="18116" spans="5:5">
      <c r="E18116" s="51"/>
    </row>
    <row r="18117" spans="5:5">
      <c r="E18117" s="51"/>
    </row>
    <row r="18118" spans="5:5">
      <c r="E18118" s="51"/>
    </row>
    <row r="18119" spans="5:5">
      <c r="E18119" s="51"/>
    </row>
    <row r="18120" spans="5:5">
      <c r="E18120" s="51"/>
    </row>
    <row r="18121" spans="5:5">
      <c r="E18121" s="51"/>
    </row>
    <row r="18122" spans="5:5">
      <c r="E18122" s="51"/>
    </row>
    <row r="18123" spans="5:5">
      <c r="E18123" s="51"/>
    </row>
    <row r="18124" spans="5:5">
      <c r="E18124" s="51"/>
    </row>
    <row r="18125" spans="5:5">
      <c r="E18125" s="51"/>
    </row>
    <row r="18126" spans="5:5">
      <c r="E18126" s="51"/>
    </row>
    <row r="18127" spans="5:5">
      <c r="E18127" s="51"/>
    </row>
    <row r="18128" spans="5:5">
      <c r="E18128" s="51"/>
    </row>
    <row r="18129" spans="5:5">
      <c r="E18129" s="51"/>
    </row>
    <row r="18130" spans="5:5">
      <c r="E18130" s="51"/>
    </row>
    <row r="18131" spans="5:5">
      <c r="E18131" s="51"/>
    </row>
    <row r="18132" spans="5:5">
      <c r="E18132" s="51"/>
    </row>
    <row r="18133" spans="5:5">
      <c r="E18133" s="51"/>
    </row>
    <row r="18134" spans="5:5">
      <c r="E18134" s="51"/>
    </row>
    <row r="18135" spans="5:5">
      <c r="E18135" s="51"/>
    </row>
    <row r="18136" spans="5:5">
      <c r="E18136" s="51"/>
    </row>
    <row r="18137" spans="5:5">
      <c r="E18137" s="51"/>
    </row>
    <row r="18138" spans="5:5">
      <c r="E18138" s="51"/>
    </row>
    <row r="18139" spans="5:5">
      <c r="E18139" s="51"/>
    </row>
    <row r="18140" spans="5:5">
      <c r="E18140" s="51"/>
    </row>
    <row r="18141" spans="5:5">
      <c r="E18141" s="51"/>
    </row>
    <row r="18142" spans="5:5">
      <c r="E18142" s="51"/>
    </row>
    <row r="18143" spans="5:5">
      <c r="E18143" s="51"/>
    </row>
    <row r="18144" spans="5:5">
      <c r="E18144" s="51"/>
    </row>
    <row r="18145" spans="5:5">
      <c r="E18145" s="51"/>
    </row>
    <row r="18146" spans="5:5">
      <c r="E18146" s="51"/>
    </row>
    <row r="18147" spans="5:5">
      <c r="E18147" s="51"/>
    </row>
    <row r="18148" spans="5:5">
      <c r="E18148" s="51"/>
    </row>
    <row r="18149" spans="5:5">
      <c r="E18149" s="51"/>
    </row>
    <row r="18150" spans="5:5">
      <c r="E18150" s="51"/>
    </row>
    <row r="18151" spans="5:5">
      <c r="E18151" s="51"/>
    </row>
    <row r="18152" spans="5:5">
      <c r="E18152" s="51"/>
    </row>
    <row r="18153" spans="5:5">
      <c r="E18153" s="51"/>
    </row>
    <row r="18154" spans="5:5">
      <c r="E18154" s="51"/>
    </row>
    <row r="18155" spans="5:5">
      <c r="E18155" s="51"/>
    </row>
    <row r="18156" spans="5:5">
      <c r="E18156" s="51"/>
    </row>
    <row r="18157" spans="5:5">
      <c r="E18157" s="51"/>
    </row>
    <row r="18158" spans="5:5">
      <c r="E18158" s="51"/>
    </row>
    <row r="18159" spans="5:5">
      <c r="E18159" s="51"/>
    </row>
    <row r="18160" spans="5:5">
      <c r="E18160" s="51"/>
    </row>
    <row r="18161" spans="5:5">
      <c r="E18161" s="51"/>
    </row>
    <row r="18162" spans="5:5">
      <c r="E18162" s="51"/>
    </row>
    <row r="18163" spans="5:5">
      <c r="E18163" s="51"/>
    </row>
    <row r="18164" spans="5:5">
      <c r="E18164" s="51"/>
    </row>
    <row r="18165" spans="5:5">
      <c r="E18165" s="51"/>
    </row>
    <row r="18166" spans="5:5">
      <c r="E18166" s="51"/>
    </row>
    <row r="18167" spans="5:5">
      <c r="E18167" s="51"/>
    </row>
    <row r="18168" spans="5:5">
      <c r="E18168" s="51"/>
    </row>
    <row r="18169" spans="5:5">
      <c r="E18169" s="51"/>
    </row>
    <row r="18170" spans="5:5">
      <c r="E18170" s="51"/>
    </row>
    <row r="18171" spans="5:5">
      <c r="E18171" s="51"/>
    </row>
    <row r="18172" spans="5:5">
      <c r="E18172" s="51"/>
    </row>
    <row r="18173" spans="5:5">
      <c r="E18173" s="51"/>
    </row>
    <row r="18174" spans="5:5">
      <c r="E18174" s="51"/>
    </row>
    <row r="18175" spans="5:5">
      <c r="E18175" s="51"/>
    </row>
    <row r="18176" spans="5:5">
      <c r="E18176" s="51"/>
    </row>
    <row r="18177" spans="5:5">
      <c r="E18177" s="51"/>
    </row>
    <row r="18178" spans="5:5">
      <c r="E18178" s="51"/>
    </row>
    <row r="18179" spans="5:5">
      <c r="E18179" s="51"/>
    </row>
    <row r="18180" spans="5:5">
      <c r="E18180" s="51"/>
    </row>
    <row r="18181" spans="5:5">
      <c r="E18181" s="51"/>
    </row>
    <row r="18182" spans="5:5">
      <c r="E18182" s="51"/>
    </row>
    <row r="18183" spans="5:5">
      <c r="E18183" s="51"/>
    </row>
    <row r="18184" spans="5:5">
      <c r="E18184" s="51"/>
    </row>
    <row r="18185" spans="5:5">
      <c r="E18185" s="51"/>
    </row>
    <row r="18186" spans="5:5">
      <c r="E18186" s="51"/>
    </row>
    <row r="18187" spans="5:5">
      <c r="E18187" s="51"/>
    </row>
    <row r="18188" spans="5:5">
      <c r="E18188" s="51"/>
    </row>
    <row r="18189" spans="5:5">
      <c r="E18189" s="51"/>
    </row>
    <row r="18190" spans="5:5">
      <c r="E18190" s="51"/>
    </row>
    <row r="18191" spans="5:5">
      <c r="E18191" s="51"/>
    </row>
    <row r="18192" spans="5:5">
      <c r="E18192" s="51"/>
    </row>
    <row r="18193" spans="5:5">
      <c r="E18193" s="51"/>
    </row>
    <row r="18194" spans="5:5">
      <c r="E18194" s="51"/>
    </row>
    <row r="18195" spans="5:5">
      <c r="E18195" s="51"/>
    </row>
    <row r="18196" spans="5:5">
      <c r="E18196" s="51"/>
    </row>
    <row r="18197" spans="5:5">
      <c r="E18197" s="51"/>
    </row>
    <row r="18198" spans="5:5">
      <c r="E18198" s="51"/>
    </row>
    <row r="18199" spans="5:5">
      <c r="E18199" s="51"/>
    </row>
    <row r="18200" spans="5:5">
      <c r="E18200" s="51"/>
    </row>
    <row r="18201" spans="5:5">
      <c r="E18201" s="51"/>
    </row>
    <row r="18202" spans="5:5">
      <c r="E18202" s="51"/>
    </row>
    <row r="18203" spans="5:5">
      <c r="E18203" s="51"/>
    </row>
    <row r="18204" spans="5:5">
      <c r="E18204" s="51"/>
    </row>
    <row r="18205" spans="5:5">
      <c r="E18205" s="51"/>
    </row>
    <row r="18206" spans="5:5">
      <c r="E18206" s="51"/>
    </row>
    <row r="18207" spans="5:5">
      <c r="E18207" s="51"/>
    </row>
    <row r="18208" spans="5:5">
      <c r="E18208" s="51"/>
    </row>
    <row r="18209" spans="5:5">
      <c r="E18209" s="51"/>
    </row>
    <row r="18210" spans="5:5">
      <c r="E18210" s="51"/>
    </row>
    <row r="18211" spans="5:5">
      <c r="E18211" s="51"/>
    </row>
    <row r="18212" spans="5:5">
      <c r="E18212" s="51"/>
    </row>
    <row r="18213" spans="5:5">
      <c r="E18213" s="51"/>
    </row>
    <row r="18214" spans="5:5">
      <c r="E18214" s="51"/>
    </row>
    <row r="18215" spans="5:5">
      <c r="E18215" s="51"/>
    </row>
    <row r="18216" spans="5:5">
      <c r="E18216" s="51"/>
    </row>
    <row r="18217" spans="5:5">
      <c r="E18217" s="51"/>
    </row>
    <row r="18218" spans="5:5">
      <c r="E18218" s="51"/>
    </row>
    <row r="18219" spans="5:5">
      <c r="E18219" s="51"/>
    </row>
    <row r="18220" spans="5:5">
      <c r="E18220" s="51"/>
    </row>
    <row r="18221" spans="5:5">
      <c r="E18221" s="51"/>
    </row>
    <row r="18222" spans="5:5">
      <c r="E18222" s="51"/>
    </row>
    <row r="18223" spans="5:5">
      <c r="E18223" s="51"/>
    </row>
    <row r="18224" spans="5:5">
      <c r="E18224" s="51"/>
    </row>
    <row r="18225" spans="5:5">
      <c r="E18225" s="51"/>
    </row>
    <row r="18226" spans="5:5">
      <c r="E18226" s="51"/>
    </row>
    <row r="18227" spans="5:5">
      <c r="E18227" s="51"/>
    </row>
    <row r="18228" spans="5:5">
      <c r="E18228" s="51"/>
    </row>
    <row r="18229" spans="5:5">
      <c r="E18229" s="51"/>
    </row>
    <row r="18230" spans="5:5">
      <c r="E18230" s="51"/>
    </row>
    <row r="18231" spans="5:5">
      <c r="E18231" s="51"/>
    </row>
    <row r="18232" spans="5:5">
      <c r="E18232" s="51"/>
    </row>
    <row r="18233" spans="5:5">
      <c r="E18233" s="51"/>
    </row>
    <row r="18234" spans="5:5">
      <c r="E18234" s="51"/>
    </row>
    <row r="18235" spans="5:5">
      <c r="E18235" s="51"/>
    </row>
    <row r="18236" spans="5:5">
      <c r="E18236" s="51"/>
    </row>
    <row r="18237" spans="5:5">
      <c r="E18237" s="51"/>
    </row>
    <row r="18238" spans="5:5">
      <c r="E18238" s="51"/>
    </row>
    <row r="18239" spans="5:5">
      <c r="E18239" s="51"/>
    </row>
    <row r="18240" spans="5:5">
      <c r="E18240" s="51"/>
    </row>
    <row r="18241" spans="5:5">
      <c r="E18241" s="51"/>
    </row>
    <row r="18242" spans="5:5">
      <c r="E18242" s="51"/>
    </row>
    <row r="18243" spans="5:5">
      <c r="E18243" s="51"/>
    </row>
    <row r="18244" spans="5:5">
      <c r="E18244" s="51"/>
    </row>
    <row r="18245" spans="5:5">
      <c r="E18245" s="51"/>
    </row>
    <row r="18246" spans="5:5">
      <c r="E18246" s="51"/>
    </row>
    <row r="18247" spans="5:5">
      <c r="E18247" s="51"/>
    </row>
    <row r="18248" spans="5:5">
      <c r="E18248" s="51"/>
    </row>
    <row r="18249" spans="5:5">
      <c r="E18249" s="51"/>
    </row>
    <row r="18250" spans="5:5">
      <c r="E18250" s="51"/>
    </row>
    <row r="18251" spans="5:5">
      <c r="E18251" s="51"/>
    </row>
    <row r="18252" spans="5:5">
      <c r="E18252" s="51"/>
    </row>
    <row r="18253" spans="5:5">
      <c r="E18253" s="51"/>
    </row>
    <row r="18254" spans="5:5">
      <c r="E18254" s="51"/>
    </row>
    <row r="18255" spans="5:5">
      <c r="E18255" s="51"/>
    </row>
    <row r="18256" spans="5:5">
      <c r="E18256" s="51"/>
    </row>
    <row r="18257" spans="5:5">
      <c r="E18257" s="51"/>
    </row>
    <row r="18258" spans="5:5">
      <c r="E18258" s="51"/>
    </row>
    <row r="18259" spans="5:5">
      <c r="E18259" s="51"/>
    </row>
    <row r="18260" spans="5:5">
      <c r="E18260" s="51"/>
    </row>
    <row r="18261" spans="5:5">
      <c r="E18261" s="51"/>
    </row>
    <row r="18262" spans="5:5">
      <c r="E18262" s="51"/>
    </row>
    <row r="18263" spans="5:5">
      <c r="E18263" s="51"/>
    </row>
    <row r="18264" spans="5:5">
      <c r="E18264" s="51"/>
    </row>
    <row r="18265" spans="5:5">
      <c r="E18265" s="51"/>
    </row>
    <row r="18266" spans="5:5">
      <c r="E18266" s="51"/>
    </row>
    <row r="18267" spans="5:5">
      <c r="E18267" s="51"/>
    </row>
    <row r="18268" spans="5:5">
      <c r="E18268" s="51"/>
    </row>
    <row r="18269" spans="5:5">
      <c r="E18269" s="51"/>
    </row>
    <row r="18270" spans="5:5">
      <c r="E18270" s="51"/>
    </row>
    <row r="18271" spans="5:5">
      <c r="E18271" s="51"/>
    </row>
    <row r="18272" spans="5:5">
      <c r="E18272" s="51"/>
    </row>
    <row r="18273" spans="5:5">
      <c r="E18273" s="51"/>
    </row>
    <row r="18274" spans="5:5">
      <c r="E18274" s="51"/>
    </row>
    <row r="18275" spans="5:5">
      <c r="E18275" s="51"/>
    </row>
    <row r="18276" spans="5:5">
      <c r="E18276" s="51"/>
    </row>
    <row r="18277" spans="5:5">
      <c r="E18277" s="51"/>
    </row>
    <row r="18278" spans="5:5">
      <c r="E18278" s="51"/>
    </row>
    <row r="18279" spans="5:5">
      <c r="E18279" s="51"/>
    </row>
    <row r="18280" spans="5:5">
      <c r="E18280" s="51"/>
    </row>
    <row r="18281" spans="5:5">
      <c r="E18281" s="51"/>
    </row>
    <row r="18282" spans="5:5">
      <c r="E18282" s="51"/>
    </row>
    <row r="18283" spans="5:5">
      <c r="E18283" s="51"/>
    </row>
    <row r="18284" spans="5:5">
      <c r="E18284" s="51"/>
    </row>
    <row r="18285" spans="5:5">
      <c r="E18285" s="51"/>
    </row>
    <row r="18286" spans="5:5">
      <c r="E18286" s="51"/>
    </row>
    <row r="18287" spans="5:5">
      <c r="E18287" s="51"/>
    </row>
    <row r="18288" spans="5:5">
      <c r="E18288" s="51"/>
    </row>
    <row r="18289" spans="5:5">
      <c r="E18289" s="51"/>
    </row>
    <row r="18290" spans="5:5">
      <c r="E18290" s="51"/>
    </row>
    <row r="18291" spans="5:5">
      <c r="E18291" s="51"/>
    </row>
    <row r="18292" spans="5:5">
      <c r="E18292" s="51"/>
    </row>
    <row r="18293" spans="5:5">
      <c r="E18293" s="51"/>
    </row>
    <row r="18294" spans="5:5">
      <c r="E18294" s="51"/>
    </row>
    <row r="18295" spans="5:5">
      <c r="E18295" s="51"/>
    </row>
    <row r="18296" spans="5:5">
      <c r="E18296" s="51"/>
    </row>
    <row r="18297" spans="5:5">
      <c r="E18297" s="51"/>
    </row>
    <row r="18298" spans="5:5">
      <c r="E18298" s="51"/>
    </row>
    <row r="18299" spans="5:5">
      <c r="E18299" s="51"/>
    </row>
    <row r="18300" spans="5:5">
      <c r="E18300" s="51"/>
    </row>
    <row r="18301" spans="5:5">
      <c r="E18301" s="51"/>
    </row>
    <row r="18302" spans="5:5">
      <c r="E18302" s="51"/>
    </row>
    <row r="18303" spans="5:5">
      <c r="E18303" s="51"/>
    </row>
    <row r="18304" spans="5:5">
      <c r="E18304" s="51"/>
    </row>
    <row r="18305" spans="5:5">
      <c r="E18305" s="51"/>
    </row>
    <row r="18306" spans="5:5">
      <c r="E18306" s="51"/>
    </row>
    <row r="18307" spans="5:5">
      <c r="E18307" s="51"/>
    </row>
    <row r="18308" spans="5:5">
      <c r="E18308" s="51"/>
    </row>
    <row r="18309" spans="5:5">
      <c r="E18309" s="51"/>
    </row>
    <row r="18310" spans="5:5">
      <c r="E18310" s="51"/>
    </row>
    <row r="18311" spans="5:5">
      <c r="E18311" s="51"/>
    </row>
    <row r="18312" spans="5:5">
      <c r="E18312" s="51"/>
    </row>
    <row r="18313" spans="5:5">
      <c r="E18313" s="51"/>
    </row>
    <row r="18314" spans="5:5">
      <c r="E18314" s="51"/>
    </row>
    <row r="18315" spans="5:5">
      <c r="E18315" s="51"/>
    </row>
    <row r="18316" spans="5:5">
      <c r="E18316" s="51"/>
    </row>
    <row r="18317" spans="5:5">
      <c r="E18317" s="51"/>
    </row>
    <row r="18318" spans="5:5">
      <c r="E18318" s="51"/>
    </row>
    <row r="18319" spans="5:5">
      <c r="E18319" s="51"/>
    </row>
    <row r="18320" spans="5:5">
      <c r="E18320" s="51"/>
    </row>
    <row r="18321" spans="5:5">
      <c r="E18321" s="51"/>
    </row>
    <row r="18322" spans="5:5">
      <c r="E18322" s="51"/>
    </row>
    <row r="18323" spans="5:5">
      <c r="E18323" s="51"/>
    </row>
    <row r="18324" spans="5:5">
      <c r="E18324" s="51"/>
    </row>
    <row r="18325" spans="5:5">
      <c r="E18325" s="51"/>
    </row>
    <row r="18326" spans="5:5">
      <c r="E18326" s="51"/>
    </row>
    <row r="18327" spans="5:5">
      <c r="E18327" s="51"/>
    </row>
    <row r="18328" spans="5:5">
      <c r="E18328" s="51"/>
    </row>
    <row r="18329" spans="5:5">
      <c r="E18329" s="51"/>
    </row>
    <row r="18330" spans="5:5">
      <c r="E18330" s="51"/>
    </row>
    <row r="18331" spans="5:5">
      <c r="E18331" s="51"/>
    </row>
    <row r="18332" spans="5:5">
      <c r="E18332" s="51"/>
    </row>
    <row r="18333" spans="5:5">
      <c r="E18333" s="51"/>
    </row>
    <row r="18334" spans="5:5">
      <c r="E18334" s="51"/>
    </row>
    <row r="18335" spans="5:5">
      <c r="E18335" s="51"/>
    </row>
    <row r="18336" spans="5:5">
      <c r="E18336" s="51"/>
    </row>
    <row r="18337" spans="5:5">
      <c r="E18337" s="51"/>
    </row>
    <row r="18338" spans="5:5">
      <c r="E18338" s="51"/>
    </row>
    <row r="18339" spans="5:5">
      <c r="E18339" s="51"/>
    </row>
    <row r="18340" spans="5:5">
      <c r="E18340" s="51"/>
    </row>
    <row r="18341" spans="5:5">
      <c r="E18341" s="51"/>
    </row>
    <row r="18342" spans="5:5">
      <c r="E18342" s="51"/>
    </row>
    <row r="18343" spans="5:5">
      <c r="E18343" s="51"/>
    </row>
    <row r="18344" spans="5:5">
      <c r="E18344" s="51"/>
    </row>
    <row r="18345" spans="5:5">
      <c r="E18345" s="51"/>
    </row>
    <row r="18346" spans="5:5">
      <c r="E18346" s="51"/>
    </row>
    <row r="18347" spans="5:5">
      <c r="E18347" s="51"/>
    </row>
    <row r="18348" spans="5:5">
      <c r="E18348" s="51"/>
    </row>
    <row r="18349" spans="5:5">
      <c r="E18349" s="51"/>
    </row>
    <row r="18350" spans="5:5">
      <c r="E18350" s="51"/>
    </row>
    <row r="18351" spans="5:5">
      <c r="E18351" s="51"/>
    </row>
    <row r="18352" spans="5:5">
      <c r="E18352" s="51"/>
    </row>
    <row r="18353" spans="5:5">
      <c r="E18353" s="51"/>
    </row>
    <row r="18354" spans="5:5">
      <c r="E18354" s="51"/>
    </row>
    <row r="18355" spans="5:5">
      <c r="E18355" s="51"/>
    </row>
    <row r="18356" spans="5:5">
      <c r="E18356" s="51"/>
    </row>
    <row r="18357" spans="5:5">
      <c r="E18357" s="51"/>
    </row>
    <row r="18358" spans="5:5">
      <c r="E18358" s="51"/>
    </row>
    <row r="18359" spans="5:5">
      <c r="E18359" s="51"/>
    </row>
    <row r="18360" spans="5:5">
      <c r="E18360" s="51"/>
    </row>
    <row r="18361" spans="5:5">
      <c r="E18361" s="51"/>
    </row>
    <row r="18362" spans="5:5">
      <c r="E18362" s="51"/>
    </row>
    <row r="18363" spans="5:5">
      <c r="E18363" s="51"/>
    </row>
    <row r="18364" spans="5:5">
      <c r="E18364" s="51"/>
    </row>
    <row r="18365" spans="5:5">
      <c r="E18365" s="51"/>
    </row>
    <row r="18366" spans="5:5">
      <c r="E18366" s="51"/>
    </row>
    <row r="18367" spans="5:5">
      <c r="E18367" s="51"/>
    </row>
    <row r="18368" spans="5:5">
      <c r="E18368" s="51"/>
    </row>
    <row r="18369" spans="5:5">
      <c r="E18369" s="51"/>
    </row>
    <row r="18370" spans="5:5">
      <c r="E18370" s="51"/>
    </row>
    <row r="18371" spans="5:5">
      <c r="E18371" s="51"/>
    </row>
    <row r="18372" spans="5:5">
      <c r="E18372" s="51"/>
    </row>
    <row r="18373" spans="5:5">
      <c r="E18373" s="51"/>
    </row>
    <row r="18374" spans="5:5">
      <c r="E18374" s="51"/>
    </row>
    <row r="18375" spans="5:5">
      <c r="E18375" s="51"/>
    </row>
    <row r="18376" spans="5:5">
      <c r="E18376" s="51"/>
    </row>
    <row r="18377" spans="5:5">
      <c r="E18377" s="51"/>
    </row>
    <row r="18378" spans="5:5">
      <c r="E18378" s="51"/>
    </row>
    <row r="18379" spans="5:5">
      <c r="E18379" s="51"/>
    </row>
    <row r="18380" spans="5:5">
      <c r="E18380" s="51"/>
    </row>
    <row r="18381" spans="5:5">
      <c r="E18381" s="51"/>
    </row>
    <row r="18382" spans="5:5">
      <c r="E18382" s="51"/>
    </row>
    <row r="18383" spans="5:5">
      <c r="E18383" s="51"/>
    </row>
    <row r="18384" spans="5:5">
      <c r="E18384" s="51"/>
    </row>
    <row r="18385" spans="5:5">
      <c r="E18385" s="51"/>
    </row>
    <row r="18386" spans="5:5">
      <c r="E18386" s="51"/>
    </row>
    <row r="18387" spans="5:5">
      <c r="E18387" s="51"/>
    </row>
    <row r="18388" spans="5:5">
      <c r="E18388" s="51"/>
    </row>
    <row r="18389" spans="5:5">
      <c r="E18389" s="51"/>
    </row>
    <row r="18390" spans="5:5">
      <c r="E18390" s="51"/>
    </row>
    <row r="18391" spans="5:5">
      <c r="E18391" s="51"/>
    </row>
    <row r="18392" spans="5:5">
      <c r="E18392" s="51"/>
    </row>
    <row r="18393" spans="5:5">
      <c r="E18393" s="51"/>
    </row>
    <row r="18394" spans="5:5">
      <c r="E18394" s="51"/>
    </row>
    <row r="18395" spans="5:5">
      <c r="E18395" s="51"/>
    </row>
    <row r="18396" spans="5:5">
      <c r="E18396" s="51"/>
    </row>
    <row r="18397" spans="5:5">
      <c r="E18397" s="51"/>
    </row>
    <row r="18398" spans="5:5">
      <c r="E18398" s="51"/>
    </row>
    <row r="18399" spans="5:5">
      <c r="E18399" s="51"/>
    </row>
    <row r="18400" spans="5:5">
      <c r="E18400" s="51"/>
    </row>
    <row r="18401" spans="5:5">
      <c r="E18401" s="51"/>
    </row>
    <row r="18402" spans="5:5">
      <c r="E18402" s="51"/>
    </row>
    <row r="18403" spans="5:5">
      <c r="E18403" s="51"/>
    </row>
    <row r="18404" spans="5:5">
      <c r="E18404" s="51"/>
    </row>
    <row r="18405" spans="5:5">
      <c r="E18405" s="51"/>
    </row>
    <row r="18406" spans="5:5">
      <c r="E18406" s="51"/>
    </row>
    <row r="18407" spans="5:5">
      <c r="E18407" s="51"/>
    </row>
    <row r="18408" spans="5:5">
      <c r="E18408" s="51"/>
    </row>
    <row r="18409" spans="5:5">
      <c r="E18409" s="51"/>
    </row>
    <row r="18410" spans="5:5">
      <c r="E18410" s="51"/>
    </row>
    <row r="18411" spans="5:5">
      <c r="E18411" s="51"/>
    </row>
    <row r="18412" spans="5:5">
      <c r="E18412" s="51"/>
    </row>
    <row r="18413" spans="5:5">
      <c r="E18413" s="51"/>
    </row>
    <row r="18414" spans="5:5">
      <c r="E18414" s="51"/>
    </row>
    <row r="18415" spans="5:5">
      <c r="E18415" s="51"/>
    </row>
    <row r="18416" spans="5:5">
      <c r="E18416" s="51"/>
    </row>
    <row r="18417" spans="5:5">
      <c r="E18417" s="51"/>
    </row>
    <row r="18418" spans="5:5">
      <c r="E18418" s="51"/>
    </row>
    <row r="18419" spans="5:5">
      <c r="E18419" s="51"/>
    </row>
    <row r="18420" spans="5:5">
      <c r="E18420" s="51"/>
    </row>
    <row r="18421" spans="5:5">
      <c r="E18421" s="51"/>
    </row>
    <row r="18422" spans="5:5">
      <c r="E18422" s="51"/>
    </row>
    <row r="18423" spans="5:5">
      <c r="E18423" s="51"/>
    </row>
    <row r="18424" spans="5:5">
      <c r="E18424" s="51"/>
    </row>
    <row r="18425" spans="5:5">
      <c r="E18425" s="51"/>
    </row>
    <row r="18426" spans="5:5">
      <c r="E18426" s="51"/>
    </row>
    <row r="18427" spans="5:5">
      <c r="E18427" s="51"/>
    </row>
    <row r="18428" spans="5:5">
      <c r="E18428" s="51"/>
    </row>
    <row r="18429" spans="5:5">
      <c r="E18429" s="51"/>
    </row>
    <row r="18430" spans="5:5">
      <c r="E18430" s="51"/>
    </row>
    <row r="18431" spans="5:5">
      <c r="E18431" s="51"/>
    </row>
    <row r="18432" spans="5:5">
      <c r="E18432" s="51"/>
    </row>
    <row r="18433" spans="5:5">
      <c r="E18433" s="51"/>
    </row>
    <row r="18434" spans="5:5">
      <c r="E18434" s="51"/>
    </row>
    <row r="18435" spans="5:5">
      <c r="E18435" s="51"/>
    </row>
    <row r="18436" spans="5:5">
      <c r="E18436" s="51"/>
    </row>
    <row r="18437" spans="5:5">
      <c r="E18437" s="51"/>
    </row>
    <row r="18438" spans="5:5">
      <c r="E18438" s="51"/>
    </row>
    <row r="18439" spans="5:5">
      <c r="E18439" s="51"/>
    </row>
    <row r="18440" spans="5:5">
      <c r="E18440" s="51"/>
    </row>
    <row r="18441" spans="5:5">
      <c r="E18441" s="51"/>
    </row>
    <row r="18442" spans="5:5">
      <c r="E18442" s="51"/>
    </row>
    <row r="18443" spans="5:5">
      <c r="E18443" s="51"/>
    </row>
    <row r="18444" spans="5:5">
      <c r="E18444" s="51"/>
    </row>
    <row r="18445" spans="5:5">
      <c r="E18445" s="51"/>
    </row>
    <row r="18446" spans="5:5">
      <c r="E18446" s="51"/>
    </row>
    <row r="18447" spans="5:5">
      <c r="E18447" s="51"/>
    </row>
    <row r="18448" spans="5:5">
      <c r="E18448" s="51"/>
    </row>
    <row r="18449" spans="5:5">
      <c r="E18449" s="51"/>
    </row>
    <row r="18450" spans="5:5">
      <c r="E18450" s="51"/>
    </row>
    <row r="18451" spans="5:5">
      <c r="E18451" s="51"/>
    </row>
    <row r="18452" spans="5:5">
      <c r="E18452" s="51"/>
    </row>
    <row r="18453" spans="5:5">
      <c r="E18453" s="51"/>
    </row>
    <row r="18454" spans="5:5">
      <c r="E18454" s="51"/>
    </row>
    <row r="18455" spans="5:5">
      <c r="E18455" s="51"/>
    </row>
    <row r="18456" spans="5:5">
      <c r="E18456" s="51"/>
    </row>
    <row r="18457" spans="5:5">
      <c r="E18457" s="51"/>
    </row>
    <row r="18458" spans="5:5">
      <c r="E18458" s="51"/>
    </row>
    <row r="18459" spans="5:5">
      <c r="E18459" s="51"/>
    </row>
    <row r="18460" spans="5:5">
      <c r="E18460" s="51"/>
    </row>
    <row r="18461" spans="5:5">
      <c r="E18461" s="51"/>
    </row>
    <row r="18462" spans="5:5">
      <c r="E18462" s="51"/>
    </row>
    <row r="18463" spans="5:5">
      <c r="E18463" s="51"/>
    </row>
    <row r="18464" spans="5:5">
      <c r="E18464" s="51"/>
    </row>
    <row r="18465" spans="5:5">
      <c r="E18465" s="51"/>
    </row>
    <row r="18466" spans="5:5">
      <c r="E18466" s="51"/>
    </row>
    <row r="18467" spans="5:5">
      <c r="E18467" s="51"/>
    </row>
    <row r="18468" spans="5:5">
      <c r="E18468" s="51"/>
    </row>
    <row r="18469" spans="5:5">
      <c r="E18469" s="51"/>
    </row>
    <row r="18470" spans="5:5">
      <c r="E18470" s="51"/>
    </row>
    <row r="18471" spans="5:5">
      <c r="E18471" s="51"/>
    </row>
    <row r="18472" spans="5:5">
      <c r="E18472" s="51"/>
    </row>
    <row r="18473" spans="5:5">
      <c r="E18473" s="51"/>
    </row>
    <row r="18474" spans="5:5">
      <c r="E18474" s="51"/>
    </row>
    <row r="18475" spans="5:5">
      <c r="E18475" s="51"/>
    </row>
    <row r="18476" spans="5:5">
      <c r="E18476" s="51"/>
    </row>
    <row r="18477" spans="5:5">
      <c r="E18477" s="51"/>
    </row>
    <row r="18478" spans="5:5">
      <c r="E18478" s="51"/>
    </row>
    <row r="18479" spans="5:5">
      <c r="E18479" s="51"/>
    </row>
    <row r="18480" spans="5:5">
      <c r="E18480" s="51"/>
    </row>
    <row r="18481" spans="5:5">
      <c r="E18481" s="51"/>
    </row>
    <row r="18482" spans="5:5">
      <c r="E18482" s="51"/>
    </row>
    <row r="18483" spans="5:5">
      <c r="E18483" s="51"/>
    </row>
    <row r="18484" spans="5:5">
      <c r="E18484" s="51"/>
    </row>
    <row r="18485" spans="5:5">
      <c r="E18485" s="51"/>
    </row>
    <row r="18486" spans="5:5">
      <c r="E18486" s="51"/>
    </row>
    <row r="18487" spans="5:5">
      <c r="E18487" s="51"/>
    </row>
    <row r="18488" spans="5:5">
      <c r="E18488" s="51"/>
    </row>
    <row r="18489" spans="5:5">
      <c r="E18489" s="51"/>
    </row>
    <row r="18490" spans="5:5">
      <c r="E18490" s="51"/>
    </row>
    <row r="18491" spans="5:5">
      <c r="E18491" s="51"/>
    </row>
    <row r="18492" spans="5:5">
      <c r="E18492" s="51"/>
    </row>
    <row r="18493" spans="5:5">
      <c r="E18493" s="51"/>
    </row>
    <row r="18494" spans="5:5">
      <c r="E18494" s="51"/>
    </row>
    <row r="18495" spans="5:5">
      <c r="E18495" s="51"/>
    </row>
    <row r="18496" spans="5:5">
      <c r="E18496" s="51"/>
    </row>
    <row r="18497" spans="5:5">
      <c r="E18497" s="51"/>
    </row>
    <row r="18498" spans="5:5">
      <c r="E18498" s="51"/>
    </row>
    <row r="18499" spans="5:5">
      <c r="E18499" s="51"/>
    </row>
    <row r="18500" spans="5:5">
      <c r="E18500" s="51"/>
    </row>
    <row r="18501" spans="5:5">
      <c r="E18501" s="51"/>
    </row>
    <row r="18502" spans="5:5">
      <c r="E18502" s="51"/>
    </row>
    <row r="18503" spans="5:5">
      <c r="E18503" s="51"/>
    </row>
    <row r="18504" spans="5:5">
      <c r="E18504" s="51"/>
    </row>
    <row r="18505" spans="5:5">
      <c r="E18505" s="51"/>
    </row>
    <row r="18506" spans="5:5">
      <c r="E18506" s="51"/>
    </row>
    <row r="18507" spans="5:5">
      <c r="E18507" s="51"/>
    </row>
    <row r="18508" spans="5:5">
      <c r="E18508" s="51"/>
    </row>
    <row r="18509" spans="5:5">
      <c r="E18509" s="51"/>
    </row>
    <row r="18510" spans="5:5">
      <c r="E18510" s="51"/>
    </row>
    <row r="18511" spans="5:5">
      <c r="E18511" s="51"/>
    </row>
    <row r="18512" spans="5:5">
      <c r="E18512" s="51"/>
    </row>
    <row r="18513" spans="5:5">
      <c r="E18513" s="51"/>
    </row>
    <row r="18514" spans="5:5">
      <c r="E18514" s="51"/>
    </row>
    <row r="18515" spans="5:5">
      <c r="E18515" s="51"/>
    </row>
    <row r="18516" spans="5:5">
      <c r="E18516" s="51"/>
    </row>
    <row r="18517" spans="5:5">
      <c r="E18517" s="51"/>
    </row>
    <row r="18518" spans="5:5">
      <c r="E18518" s="51"/>
    </row>
    <row r="18519" spans="5:5">
      <c r="E18519" s="51"/>
    </row>
    <row r="18520" spans="5:5">
      <c r="E18520" s="51"/>
    </row>
    <row r="18521" spans="5:5">
      <c r="E18521" s="51"/>
    </row>
    <row r="18522" spans="5:5">
      <c r="E18522" s="51"/>
    </row>
    <row r="18523" spans="5:5">
      <c r="E18523" s="51"/>
    </row>
    <row r="18524" spans="5:5">
      <c r="E18524" s="51"/>
    </row>
    <row r="18525" spans="5:5">
      <c r="E18525" s="51"/>
    </row>
    <row r="18526" spans="5:5">
      <c r="E18526" s="51"/>
    </row>
    <row r="18527" spans="5:5">
      <c r="E18527" s="51"/>
    </row>
    <row r="18528" spans="5:5">
      <c r="E18528" s="51"/>
    </row>
    <row r="18529" spans="5:5">
      <c r="E18529" s="51"/>
    </row>
    <row r="18530" spans="5:5">
      <c r="E18530" s="51"/>
    </row>
    <row r="18531" spans="5:5">
      <c r="E18531" s="51"/>
    </row>
    <row r="18532" spans="5:5">
      <c r="E18532" s="51"/>
    </row>
    <row r="18533" spans="5:5">
      <c r="E18533" s="51"/>
    </row>
    <row r="18534" spans="5:5">
      <c r="E18534" s="51"/>
    </row>
    <row r="18535" spans="5:5">
      <c r="E18535" s="51"/>
    </row>
    <row r="18536" spans="5:5">
      <c r="E18536" s="51"/>
    </row>
    <row r="18537" spans="5:5">
      <c r="E18537" s="51"/>
    </row>
    <row r="18538" spans="5:5">
      <c r="E18538" s="51"/>
    </row>
    <row r="18539" spans="5:5">
      <c r="E18539" s="51"/>
    </row>
    <row r="18540" spans="5:5">
      <c r="E18540" s="51"/>
    </row>
    <row r="18541" spans="5:5">
      <c r="E18541" s="51"/>
    </row>
    <row r="18542" spans="5:5">
      <c r="E18542" s="51"/>
    </row>
    <row r="18543" spans="5:5">
      <c r="E18543" s="51"/>
    </row>
    <row r="18544" spans="5:5">
      <c r="E18544" s="51"/>
    </row>
    <row r="18545" spans="5:5">
      <c r="E18545" s="51"/>
    </row>
    <row r="18546" spans="5:5">
      <c r="E18546" s="51"/>
    </row>
    <row r="18547" spans="5:5">
      <c r="E18547" s="51"/>
    </row>
    <row r="18548" spans="5:5">
      <c r="E18548" s="51"/>
    </row>
    <row r="18549" spans="5:5">
      <c r="E18549" s="51"/>
    </row>
    <row r="18550" spans="5:5">
      <c r="E18550" s="51"/>
    </row>
    <row r="18551" spans="5:5">
      <c r="E18551" s="51"/>
    </row>
    <row r="18552" spans="5:5">
      <c r="E18552" s="51"/>
    </row>
    <row r="18553" spans="5:5">
      <c r="E18553" s="51"/>
    </row>
    <row r="18554" spans="5:5">
      <c r="E18554" s="51"/>
    </row>
    <row r="18555" spans="5:5">
      <c r="E18555" s="51"/>
    </row>
    <row r="18556" spans="5:5">
      <c r="E18556" s="51"/>
    </row>
    <row r="18557" spans="5:5">
      <c r="E18557" s="51"/>
    </row>
    <row r="18558" spans="5:5">
      <c r="E18558" s="51"/>
    </row>
    <row r="18559" spans="5:5">
      <c r="E18559" s="51"/>
    </row>
    <row r="18560" spans="5:5">
      <c r="E18560" s="51"/>
    </row>
    <row r="18561" spans="5:5">
      <c r="E18561" s="51"/>
    </row>
    <row r="18562" spans="5:5">
      <c r="E18562" s="51"/>
    </row>
    <row r="18563" spans="5:5">
      <c r="E18563" s="51"/>
    </row>
    <row r="18564" spans="5:5">
      <c r="E18564" s="51"/>
    </row>
    <row r="18565" spans="5:5">
      <c r="E18565" s="51"/>
    </row>
    <row r="18566" spans="5:5">
      <c r="E18566" s="51"/>
    </row>
    <row r="18567" spans="5:5">
      <c r="E18567" s="51"/>
    </row>
    <row r="18568" spans="5:5">
      <c r="E18568" s="51"/>
    </row>
    <row r="18569" spans="5:5">
      <c r="E18569" s="51"/>
    </row>
    <row r="18570" spans="5:5">
      <c r="E18570" s="51"/>
    </row>
    <row r="18571" spans="5:5">
      <c r="E18571" s="51"/>
    </row>
    <row r="18572" spans="5:5">
      <c r="E18572" s="51"/>
    </row>
    <row r="18573" spans="5:5">
      <c r="E18573" s="51"/>
    </row>
    <row r="18574" spans="5:5">
      <c r="E18574" s="51"/>
    </row>
    <row r="18575" spans="5:5">
      <c r="E18575" s="51"/>
    </row>
    <row r="18576" spans="5:5">
      <c r="E18576" s="51"/>
    </row>
    <row r="18577" spans="5:5">
      <c r="E18577" s="51"/>
    </row>
    <row r="18578" spans="5:5">
      <c r="E18578" s="51"/>
    </row>
    <row r="18579" spans="5:5">
      <c r="E18579" s="51"/>
    </row>
    <row r="18580" spans="5:5">
      <c r="E18580" s="51"/>
    </row>
    <row r="18581" spans="5:5">
      <c r="E18581" s="51"/>
    </row>
    <row r="18582" spans="5:5">
      <c r="E18582" s="51"/>
    </row>
    <row r="18583" spans="5:5">
      <c r="E18583" s="51"/>
    </row>
    <row r="18584" spans="5:5">
      <c r="E18584" s="51"/>
    </row>
    <row r="18585" spans="5:5">
      <c r="E18585" s="51"/>
    </row>
    <row r="18586" spans="5:5">
      <c r="E18586" s="51"/>
    </row>
    <row r="18587" spans="5:5">
      <c r="E18587" s="51"/>
    </row>
    <row r="18588" spans="5:5">
      <c r="E18588" s="51"/>
    </row>
    <row r="18589" spans="5:5">
      <c r="E18589" s="51"/>
    </row>
    <row r="18590" spans="5:5">
      <c r="E18590" s="51"/>
    </row>
    <row r="18591" spans="5:5">
      <c r="E18591" s="51"/>
    </row>
    <row r="18592" spans="5:5">
      <c r="E18592" s="51"/>
    </row>
    <row r="18593" spans="5:5">
      <c r="E18593" s="51"/>
    </row>
    <row r="18594" spans="5:5">
      <c r="E18594" s="51"/>
    </row>
    <row r="18595" spans="5:5">
      <c r="E18595" s="51"/>
    </row>
    <row r="18596" spans="5:5">
      <c r="E18596" s="51"/>
    </row>
    <row r="18597" spans="5:5">
      <c r="E18597" s="51"/>
    </row>
    <row r="18598" spans="5:5">
      <c r="E18598" s="51"/>
    </row>
    <row r="18599" spans="5:5">
      <c r="E18599" s="51"/>
    </row>
    <row r="18600" spans="5:5">
      <c r="E18600" s="51"/>
    </row>
    <row r="18601" spans="5:5">
      <c r="E18601" s="51"/>
    </row>
    <row r="18602" spans="5:5">
      <c r="E18602" s="51"/>
    </row>
    <row r="18603" spans="5:5">
      <c r="E18603" s="51"/>
    </row>
    <row r="18604" spans="5:5">
      <c r="E18604" s="51"/>
    </row>
    <row r="18605" spans="5:5">
      <c r="E18605" s="51"/>
    </row>
    <row r="18606" spans="5:5">
      <c r="E18606" s="51"/>
    </row>
    <row r="18607" spans="5:5">
      <c r="E18607" s="51"/>
    </row>
    <row r="18608" spans="5:5">
      <c r="E18608" s="51"/>
    </row>
    <row r="18609" spans="5:5">
      <c r="E18609" s="51"/>
    </row>
    <row r="18610" spans="5:5">
      <c r="E18610" s="51"/>
    </row>
    <row r="18611" spans="5:5">
      <c r="E18611" s="51"/>
    </row>
    <row r="18612" spans="5:5">
      <c r="E18612" s="51"/>
    </row>
    <row r="18613" spans="5:5">
      <c r="E18613" s="51"/>
    </row>
    <row r="18614" spans="5:5">
      <c r="E18614" s="51"/>
    </row>
    <row r="18615" spans="5:5">
      <c r="E18615" s="51"/>
    </row>
    <row r="18616" spans="5:5">
      <c r="E18616" s="51"/>
    </row>
    <row r="18617" spans="5:5">
      <c r="E18617" s="51"/>
    </row>
    <row r="18618" spans="5:5">
      <c r="E18618" s="51"/>
    </row>
    <row r="18619" spans="5:5">
      <c r="E18619" s="51"/>
    </row>
    <row r="18620" spans="5:5">
      <c r="E18620" s="51"/>
    </row>
    <row r="18621" spans="5:5">
      <c r="E18621" s="51"/>
    </row>
    <row r="18622" spans="5:5">
      <c r="E18622" s="51"/>
    </row>
    <row r="18623" spans="5:5">
      <c r="E18623" s="51"/>
    </row>
    <row r="18624" spans="5:5">
      <c r="E18624" s="51"/>
    </row>
    <row r="18625" spans="5:5">
      <c r="E18625" s="51"/>
    </row>
    <row r="18626" spans="5:5">
      <c r="E18626" s="51"/>
    </row>
    <row r="18627" spans="5:5">
      <c r="E18627" s="51"/>
    </row>
    <row r="18628" spans="5:5">
      <c r="E18628" s="51"/>
    </row>
    <row r="18629" spans="5:5">
      <c r="E18629" s="51"/>
    </row>
    <row r="18630" spans="5:5">
      <c r="E18630" s="51"/>
    </row>
    <row r="18631" spans="5:5">
      <c r="E18631" s="51"/>
    </row>
    <row r="18632" spans="5:5">
      <c r="E18632" s="51"/>
    </row>
    <row r="18633" spans="5:5">
      <c r="E18633" s="51"/>
    </row>
    <row r="18634" spans="5:5">
      <c r="E18634" s="51"/>
    </row>
    <row r="18635" spans="5:5">
      <c r="E18635" s="51"/>
    </row>
    <row r="18636" spans="5:5">
      <c r="E18636" s="51"/>
    </row>
    <row r="18637" spans="5:5">
      <c r="E18637" s="51"/>
    </row>
    <row r="18638" spans="5:5">
      <c r="E18638" s="51"/>
    </row>
    <row r="18639" spans="5:5">
      <c r="E18639" s="51"/>
    </row>
    <row r="18640" spans="5:5">
      <c r="E18640" s="51"/>
    </row>
    <row r="18641" spans="5:5">
      <c r="E18641" s="51"/>
    </row>
    <row r="18642" spans="5:5">
      <c r="E18642" s="51"/>
    </row>
    <row r="18643" spans="5:5">
      <c r="E18643" s="51"/>
    </row>
    <row r="18644" spans="5:5">
      <c r="E18644" s="51"/>
    </row>
    <row r="18645" spans="5:5">
      <c r="E18645" s="51"/>
    </row>
    <row r="18646" spans="5:5">
      <c r="E18646" s="51"/>
    </row>
    <row r="18647" spans="5:5">
      <c r="E18647" s="51"/>
    </row>
    <row r="18648" spans="5:5">
      <c r="E18648" s="51"/>
    </row>
    <row r="18649" spans="5:5">
      <c r="E18649" s="51"/>
    </row>
    <row r="18650" spans="5:5">
      <c r="E18650" s="51"/>
    </row>
    <row r="18651" spans="5:5">
      <c r="E18651" s="51"/>
    </row>
    <row r="18652" spans="5:5">
      <c r="E18652" s="51"/>
    </row>
    <row r="18653" spans="5:5">
      <c r="E18653" s="51"/>
    </row>
    <row r="18654" spans="5:5">
      <c r="E18654" s="51"/>
    </row>
    <row r="18655" spans="5:5">
      <c r="E18655" s="51"/>
    </row>
    <row r="18656" spans="5:5">
      <c r="E18656" s="51"/>
    </row>
    <row r="18657" spans="5:5">
      <c r="E18657" s="51"/>
    </row>
    <row r="18658" spans="5:5">
      <c r="E18658" s="51"/>
    </row>
    <row r="18659" spans="5:5">
      <c r="E18659" s="51"/>
    </row>
    <row r="18660" spans="5:5">
      <c r="E18660" s="51"/>
    </row>
    <row r="18661" spans="5:5">
      <c r="E18661" s="51"/>
    </row>
    <row r="18662" spans="5:5">
      <c r="E18662" s="51"/>
    </row>
    <row r="18663" spans="5:5">
      <c r="E18663" s="51"/>
    </row>
    <row r="18664" spans="5:5">
      <c r="E18664" s="51"/>
    </row>
    <row r="18665" spans="5:5">
      <c r="E18665" s="51"/>
    </row>
    <row r="18666" spans="5:5">
      <c r="E18666" s="51"/>
    </row>
    <row r="18667" spans="5:5">
      <c r="E18667" s="51"/>
    </row>
    <row r="18668" spans="5:5">
      <c r="E18668" s="51"/>
    </row>
    <row r="18669" spans="5:5">
      <c r="E18669" s="51"/>
    </row>
    <row r="18670" spans="5:5">
      <c r="E18670" s="51"/>
    </row>
    <row r="18671" spans="5:5">
      <c r="E18671" s="51"/>
    </row>
    <row r="18672" spans="5:5">
      <c r="E18672" s="51"/>
    </row>
    <row r="18673" spans="5:5">
      <c r="E18673" s="51"/>
    </row>
    <row r="18674" spans="5:5">
      <c r="E18674" s="51"/>
    </row>
    <row r="18675" spans="5:5">
      <c r="E18675" s="51"/>
    </row>
    <row r="18676" spans="5:5">
      <c r="E18676" s="51"/>
    </row>
    <row r="18677" spans="5:5">
      <c r="E18677" s="51"/>
    </row>
    <row r="18678" spans="5:5">
      <c r="E18678" s="51"/>
    </row>
    <row r="18679" spans="5:5">
      <c r="E18679" s="51"/>
    </row>
    <row r="18680" spans="5:5">
      <c r="E18680" s="51"/>
    </row>
    <row r="18681" spans="5:5">
      <c r="E18681" s="51"/>
    </row>
    <row r="18682" spans="5:5">
      <c r="E18682" s="51"/>
    </row>
    <row r="18683" spans="5:5">
      <c r="E18683" s="51"/>
    </row>
    <row r="18684" spans="5:5">
      <c r="E18684" s="51"/>
    </row>
    <row r="18685" spans="5:5">
      <c r="E18685" s="51"/>
    </row>
    <row r="18686" spans="5:5">
      <c r="E18686" s="51"/>
    </row>
    <row r="18687" spans="5:5">
      <c r="E18687" s="51"/>
    </row>
    <row r="18688" spans="5:5">
      <c r="E18688" s="51"/>
    </row>
    <row r="18689" spans="5:5">
      <c r="E18689" s="51"/>
    </row>
    <row r="18690" spans="5:5">
      <c r="E18690" s="51"/>
    </row>
    <row r="18691" spans="5:5">
      <c r="E18691" s="51"/>
    </row>
    <row r="18692" spans="5:5">
      <c r="E18692" s="51"/>
    </row>
    <row r="18693" spans="5:5">
      <c r="E18693" s="51"/>
    </row>
    <row r="18694" spans="5:5">
      <c r="E18694" s="51"/>
    </row>
    <row r="18695" spans="5:5">
      <c r="E18695" s="51"/>
    </row>
    <row r="18696" spans="5:5">
      <c r="E18696" s="51"/>
    </row>
    <row r="18697" spans="5:5">
      <c r="E18697" s="51"/>
    </row>
    <row r="18698" spans="5:5">
      <c r="E18698" s="51"/>
    </row>
    <row r="18699" spans="5:5">
      <c r="E18699" s="51"/>
    </row>
    <row r="18700" spans="5:5">
      <c r="E18700" s="51"/>
    </row>
    <row r="18701" spans="5:5">
      <c r="E18701" s="51"/>
    </row>
    <row r="18702" spans="5:5">
      <c r="E18702" s="51"/>
    </row>
    <row r="18703" spans="5:5">
      <c r="E18703" s="51"/>
    </row>
    <row r="18704" spans="5:5">
      <c r="E18704" s="51"/>
    </row>
    <row r="18705" spans="5:5">
      <c r="E18705" s="51"/>
    </row>
    <row r="18706" spans="5:5">
      <c r="E18706" s="51"/>
    </row>
    <row r="18707" spans="5:5">
      <c r="E18707" s="51"/>
    </row>
    <row r="18708" spans="5:5">
      <c r="E18708" s="51"/>
    </row>
    <row r="18709" spans="5:5">
      <c r="E18709" s="51"/>
    </row>
    <row r="18710" spans="5:5">
      <c r="E18710" s="51"/>
    </row>
    <row r="18711" spans="5:5">
      <c r="E18711" s="51"/>
    </row>
    <row r="18712" spans="5:5">
      <c r="E18712" s="51"/>
    </row>
    <row r="18713" spans="5:5">
      <c r="E18713" s="51"/>
    </row>
    <row r="18714" spans="5:5">
      <c r="E18714" s="51"/>
    </row>
    <row r="18715" spans="5:5">
      <c r="E18715" s="51"/>
    </row>
    <row r="18716" spans="5:5">
      <c r="E18716" s="51"/>
    </row>
    <row r="18717" spans="5:5">
      <c r="E18717" s="51"/>
    </row>
    <row r="18718" spans="5:5">
      <c r="E18718" s="51"/>
    </row>
    <row r="18719" spans="5:5">
      <c r="E18719" s="51"/>
    </row>
    <row r="18720" spans="5:5">
      <c r="E18720" s="51"/>
    </row>
    <row r="18721" spans="5:5">
      <c r="E18721" s="51"/>
    </row>
    <row r="18722" spans="5:5">
      <c r="E18722" s="51"/>
    </row>
    <row r="18723" spans="5:5">
      <c r="E18723" s="51"/>
    </row>
    <row r="18724" spans="5:5">
      <c r="E18724" s="51"/>
    </row>
    <row r="18725" spans="5:5">
      <c r="E18725" s="51"/>
    </row>
    <row r="18726" spans="5:5">
      <c r="E18726" s="51"/>
    </row>
    <row r="18727" spans="5:5">
      <c r="E18727" s="51"/>
    </row>
    <row r="18728" spans="5:5">
      <c r="E18728" s="51"/>
    </row>
    <row r="18729" spans="5:5">
      <c r="E18729" s="51"/>
    </row>
    <row r="18730" spans="5:5">
      <c r="E18730" s="51"/>
    </row>
    <row r="18731" spans="5:5">
      <c r="E18731" s="51"/>
    </row>
    <row r="18732" spans="5:5">
      <c r="E18732" s="51"/>
    </row>
    <row r="18733" spans="5:5">
      <c r="E18733" s="51"/>
    </row>
    <row r="18734" spans="5:5">
      <c r="E18734" s="51"/>
    </row>
    <row r="18735" spans="5:5">
      <c r="E18735" s="51"/>
    </row>
    <row r="18736" spans="5:5">
      <c r="E18736" s="51"/>
    </row>
    <row r="18737" spans="5:5">
      <c r="E18737" s="51"/>
    </row>
    <row r="18738" spans="5:5">
      <c r="E18738" s="51"/>
    </row>
    <row r="18739" spans="5:5">
      <c r="E18739" s="51"/>
    </row>
    <row r="18740" spans="5:5">
      <c r="E18740" s="51"/>
    </row>
    <row r="18741" spans="5:5">
      <c r="E18741" s="51"/>
    </row>
    <row r="18742" spans="5:5">
      <c r="E18742" s="51"/>
    </row>
    <row r="18743" spans="5:5">
      <c r="E18743" s="51"/>
    </row>
    <row r="18744" spans="5:5">
      <c r="E18744" s="51"/>
    </row>
    <row r="18745" spans="5:5">
      <c r="E18745" s="51"/>
    </row>
    <row r="18746" spans="5:5">
      <c r="E18746" s="51"/>
    </row>
    <row r="18747" spans="5:5">
      <c r="E18747" s="51"/>
    </row>
    <row r="18748" spans="5:5">
      <c r="E18748" s="51"/>
    </row>
    <row r="18749" spans="5:5">
      <c r="E18749" s="51"/>
    </row>
    <row r="18750" spans="5:5">
      <c r="E18750" s="51"/>
    </row>
    <row r="18751" spans="5:5">
      <c r="E18751" s="51"/>
    </row>
    <row r="18752" spans="5:5">
      <c r="E18752" s="51"/>
    </row>
    <row r="18753" spans="5:5">
      <c r="E18753" s="51"/>
    </row>
    <row r="18754" spans="5:5">
      <c r="E18754" s="51"/>
    </row>
    <row r="18755" spans="5:5">
      <c r="E18755" s="51"/>
    </row>
    <row r="18756" spans="5:5">
      <c r="E18756" s="51"/>
    </row>
    <row r="18757" spans="5:5">
      <c r="E18757" s="51"/>
    </row>
    <row r="18758" spans="5:5">
      <c r="E18758" s="51"/>
    </row>
    <row r="18759" spans="5:5">
      <c r="E18759" s="51"/>
    </row>
    <row r="18760" spans="5:5">
      <c r="E18760" s="51"/>
    </row>
    <row r="18761" spans="5:5">
      <c r="E18761" s="51"/>
    </row>
    <row r="18762" spans="5:5">
      <c r="E18762" s="51"/>
    </row>
    <row r="18763" spans="5:5">
      <c r="E18763" s="51"/>
    </row>
    <row r="18764" spans="5:5">
      <c r="E18764" s="51"/>
    </row>
    <row r="18765" spans="5:5">
      <c r="E18765" s="51"/>
    </row>
    <row r="18766" spans="5:5">
      <c r="E18766" s="51"/>
    </row>
    <row r="18767" spans="5:5">
      <c r="E18767" s="51"/>
    </row>
    <row r="18768" spans="5:5">
      <c r="E18768" s="51"/>
    </row>
    <row r="18769" spans="5:5">
      <c r="E18769" s="51"/>
    </row>
    <row r="18770" spans="5:5">
      <c r="E18770" s="51"/>
    </row>
    <row r="18771" spans="5:5">
      <c r="E18771" s="51"/>
    </row>
    <row r="18772" spans="5:5">
      <c r="E18772" s="51"/>
    </row>
    <row r="18773" spans="5:5">
      <c r="E18773" s="51"/>
    </row>
    <row r="18774" spans="5:5">
      <c r="E18774" s="51"/>
    </row>
    <row r="18775" spans="5:5">
      <c r="E18775" s="51"/>
    </row>
    <row r="18776" spans="5:5">
      <c r="E18776" s="51"/>
    </row>
    <row r="18777" spans="5:5">
      <c r="E18777" s="51"/>
    </row>
    <row r="18778" spans="5:5">
      <c r="E18778" s="51"/>
    </row>
    <row r="18779" spans="5:5">
      <c r="E18779" s="51"/>
    </row>
    <row r="18780" spans="5:5">
      <c r="E18780" s="51"/>
    </row>
    <row r="18781" spans="5:5">
      <c r="E18781" s="51"/>
    </row>
    <row r="18782" spans="5:5">
      <c r="E18782" s="51"/>
    </row>
    <row r="18783" spans="5:5">
      <c r="E18783" s="51"/>
    </row>
    <row r="18784" spans="5:5">
      <c r="E18784" s="51"/>
    </row>
    <row r="18785" spans="5:5">
      <c r="E18785" s="51"/>
    </row>
    <row r="18786" spans="5:5">
      <c r="E18786" s="51"/>
    </row>
    <row r="18787" spans="5:5">
      <c r="E18787" s="51"/>
    </row>
    <row r="18788" spans="5:5">
      <c r="E18788" s="51"/>
    </row>
    <row r="18789" spans="5:5">
      <c r="E18789" s="51"/>
    </row>
    <row r="18790" spans="5:5">
      <c r="E18790" s="51"/>
    </row>
    <row r="18791" spans="5:5">
      <c r="E18791" s="51"/>
    </row>
    <row r="18792" spans="5:5">
      <c r="E18792" s="51"/>
    </row>
    <row r="18793" spans="5:5">
      <c r="E18793" s="51"/>
    </row>
    <row r="18794" spans="5:5">
      <c r="E18794" s="51"/>
    </row>
    <row r="18795" spans="5:5">
      <c r="E18795" s="51"/>
    </row>
    <row r="18796" spans="5:5">
      <c r="E18796" s="51"/>
    </row>
    <row r="18797" spans="5:5">
      <c r="E18797" s="51"/>
    </row>
    <row r="18798" spans="5:5">
      <c r="E18798" s="51"/>
    </row>
    <row r="18799" spans="5:5">
      <c r="E18799" s="51"/>
    </row>
    <row r="18800" spans="5:5">
      <c r="E18800" s="51"/>
    </row>
    <row r="18801" spans="5:5">
      <c r="E18801" s="51"/>
    </row>
    <row r="18802" spans="5:5">
      <c r="E18802" s="51"/>
    </row>
    <row r="18803" spans="5:5">
      <c r="E18803" s="51"/>
    </row>
    <row r="18804" spans="5:5">
      <c r="E18804" s="51"/>
    </row>
    <row r="18805" spans="5:5">
      <c r="E18805" s="51"/>
    </row>
    <row r="18806" spans="5:5">
      <c r="E18806" s="51"/>
    </row>
    <row r="18807" spans="5:5">
      <c r="E18807" s="51"/>
    </row>
    <row r="18808" spans="5:5">
      <c r="E18808" s="51"/>
    </row>
    <row r="18809" spans="5:5">
      <c r="E18809" s="51"/>
    </row>
    <row r="18810" spans="5:5">
      <c r="E18810" s="51"/>
    </row>
    <row r="18811" spans="5:5">
      <c r="E18811" s="51"/>
    </row>
    <row r="18812" spans="5:5">
      <c r="E18812" s="51"/>
    </row>
    <row r="18813" spans="5:5">
      <c r="E18813" s="51"/>
    </row>
    <row r="18814" spans="5:5">
      <c r="E18814" s="51"/>
    </row>
    <row r="18815" spans="5:5">
      <c r="E18815" s="51"/>
    </row>
    <row r="18816" spans="5:5">
      <c r="E18816" s="51"/>
    </row>
    <row r="18817" spans="5:5">
      <c r="E18817" s="51"/>
    </row>
    <row r="18818" spans="5:5">
      <c r="E18818" s="51"/>
    </row>
    <row r="18819" spans="5:5">
      <c r="E18819" s="51"/>
    </row>
    <row r="18820" spans="5:5">
      <c r="E18820" s="51"/>
    </row>
    <row r="18821" spans="5:5">
      <c r="E18821" s="51"/>
    </row>
    <row r="18822" spans="5:5">
      <c r="E18822" s="51"/>
    </row>
    <row r="18823" spans="5:5">
      <c r="E18823" s="51"/>
    </row>
    <row r="18824" spans="5:5">
      <c r="E18824" s="51"/>
    </row>
    <row r="18825" spans="5:5">
      <c r="E18825" s="51"/>
    </row>
    <row r="18826" spans="5:5">
      <c r="E18826" s="51"/>
    </row>
    <row r="18827" spans="5:5">
      <c r="E18827" s="51"/>
    </row>
    <row r="18828" spans="5:5">
      <c r="E18828" s="51"/>
    </row>
    <row r="18829" spans="5:5">
      <c r="E18829" s="51"/>
    </row>
    <row r="18830" spans="5:5">
      <c r="E18830" s="51"/>
    </row>
    <row r="18831" spans="5:5">
      <c r="E18831" s="51"/>
    </row>
    <row r="18832" spans="5:5">
      <c r="E18832" s="51"/>
    </row>
    <row r="18833" spans="5:5">
      <c r="E18833" s="51"/>
    </row>
    <row r="18834" spans="5:5">
      <c r="E18834" s="51"/>
    </row>
    <row r="18835" spans="5:5">
      <c r="E18835" s="51"/>
    </row>
    <row r="18836" spans="5:5">
      <c r="E18836" s="51"/>
    </row>
    <row r="18837" spans="5:5">
      <c r="E18837" s="51"/>
    </row>
    <row r="18838" spans="5:5">
      <c r="E18838" s="51"/>
    </row>
    <row r="18839" spans="5:5">
      <c r="E18839" s="51"/>
    </row>
    <row r="18840" spans="5:5">
      <c r="E18840" s="51"/>
    </row>
    <row r="18841" spans="5:5">
      <c r="E18841" s="51"/>
    </row>
    <row r="18842" spans="5:5">
      <c r="E18842" s="51"/>
    </row>
    <row r="18843" spans="5:5">
      <c r="E18843" s="51"/>
    </row>
    <row r="18844" spans="5:5">
      <c r="E18844" s="51"/>
    </row>
    <row r="18845" spans="5:5">
      <c r="E18845" s="51"/>
    </row>
    <row r="18846" spans="5:5">
      <c r="E18846" s="51"/>
    </row>
    <row r="18847" spans="5:5">
      <c r="E18847" s="51"/>
    </row>
    <row r="18848" spans="5:5">
      <c r="E18848" s="51"/>
    </row>
    <row r="18849" spans="5:5">
      <c r="E18849" s="51"/>
    </row>
    <row r="18850" spans="5:5">
      <c r="E18850" s="51"/>
    </row>
    <row r="18851" spans="5:5">
      <c r="E18851" s="51"/>
    </row>
    <row r="18852" spans="5:5">
      <c r="E18852" s="51"/>
    </row>
    <row r="18853" spans="5:5">
      <c r="E18853" s="51"/>
    </row>
    <row r="18854" spans="5:5">
      <c r="E18854" s="51"/>
    </row>
    <row r="18855" spans="5:5">
      <c r="E18855" s="51"/>
    </row>
    <row r="18856" spans="5:5">
      <c r="E18856" s="51"/>
    </row>
    <row r="18857" spans="5:5">
      <c r="E18857" s="51"/>
    </row>
    <row r="18858" spans="5:5">
      <c r="E18858" s="51"/>
    </row>
    <row r="18859" spans="5:5">
      <c r="E18859" s="51"/>
    </row>
    <row r="18860" spans="5:5">
      <c r="E18860" s="51"/>
    </row>
    <row r="18861" spans="5:5">
      <c r="E18861" s="51"/>
    </row>
    <row r="18862" spans="5:5">
      <c r="E18862" s="51"/>
    </row>
    <row r="18863" spans="5:5">
      <c r="E18863" s="51"/>
    </row>
    <row r="18864" spans="5:5">
      <c r="E18864" s="51"/>
    </row>
    <row r="18865" spans="5:5">
      <c r="E18865" s="51"/>
    </row>
    <row r="18866" spans="5:5">
      <c r="E18866" s="51"/>
    </row>
    <row r="18867" spans="5:5">
      <c r="E18867" s="51"/>
    </row>
    <row r="18868" spans="5:5">
      <c r="E18868" s="51"/>
    </row>
    <row r="18869" spans="5:5">
      <c r="E18869" s="51"/>
    </row>
    <row r="18870" spans="5:5">
      <c r="E18870" s="51"/>
    </row>
    <row r="18871" spans="5:5">
      <c r="E18871" s="51"/>
    </row>
    <row r="18872" spans="5:5">
      <c r="E18872" s="51"/>
    </row>
    <row r="18873" spans="5:5">
      <c r="E18873" s="51"/>
    </row>
    <row r="18874" spans="5:5">
      <c r="E18874" s="51"/>
    </row>
    <row r="18875" spans="5:5">
      <c r="E18875" s="51"/>
    </row>
    <row r="18876" spans="5:5">
      <c r="E18876" s="51"/>
    </row>
    <row r="18877" spans="5:5">
      <c r="E18877" s="51"/>
    </row>
    <row r="18878" spans="5:5">
      <c r="E18878" s="51"/>
    </row>
    <row r="18879" spans="5:5">
      <c r="E18879" s="51"/>
    </row>
    <row r="18880" spans="5:5">
      <c r="E18880" s="51"/>
    </row>
    <row r="18881" spans="5:5">
      <c r="E18881" s="51"/>
    </row>
    <row r="18882" spans="5:5">
      <c r="E18882" s="51"/>
    </row>
    <row r="18883" spans="5:5">
      <c r="E18883" s="51"/>
    </row>
    <row r="18884" spans="5:5">
      <c r="E18884" s="51"/>
    </row>
    <row r="18885" spans="5:5">
      <c r="E18885" s="51"/>
    </row>
    <row r="18886" spans="5:5">
      <c r="E18886" s="51"/>
    </row>
    <row r="18887" spans="5:5">
      <c r="E18887" s="51"/>
    </row>
    <row r="18888" spans="5:5">
      <c r="E18888" s="51"/>
    </row>
    <row r="18889" spans="5:5">
      <c r="E18889" s="51"/>
    </row>
    <row r="18890" spans="5:5">
      <c r="E18890" s="51"/>
    </row>
    <row r="18891" spans="5:5">
      <c r="E18891" s="51"/>
    </row>
    <row r="18892" spans="5:5">
      <c r="E18892" s="51"/>
    </row>
    <row r="18893" spans="5:5">
      <c r="E18893" s="51"/>
    </row>
    <row r="18894" spans="5:5">
      <c r="E18894" s="51"/>
    </row>
    <row r="18895" spans="5:5">
      <c r="E18895" s="51"/>
    </row>
    <row r="18896" spans="5:5">
      <c r="E18896" s="51"/>
    </row>
    <row r="18897" spans="5:5">
      <c r="E18897" s="51"/>
    </row>
    <row r="18898" spans="5:5">
      <c r="E18898" s="51"/>
    </row>
    <row r="18899" spans="5:5">
      <c r="E18899" s="51"/>
    </row>
    <row r="18900" spans="5:5">
      <c r="E18900" s="51"/>
    </row>
    <row r="18901" spans="5:5">
      <c r="E18901" s="51"/>
    </row>
    <row r="18902" spans="5:5">
      <c r="E18902" s="51"/>
    </row>
    <row r="18903" spans="5:5">
      <c r="E18903" s="51"/>
    </row>
    <row r="18904" spans="5:5">
      <c r="E18904" s="51"/>
    </row>
    <row r="18905" spans="5:5">
      <c r="E18905" s="51"/>
    </row>
    <row r="18906" spans="5:5">
      <c r="E18906" s="51"/>
    </row>
    <row r="18907" spans="5:5">
      <c r="E18907" s="51"/>
    </row>
    <row r="18908" spans="5:5">
      <c r="E18908" s="51"/>
    </row>
    <row r="18909" spans="5:5">
      <c r="E18909" s="51"/>
    </row>
    <row r="18910" spans="5:5">
      <c r="E18910" s="51"/>
    </row>
    <row r="18911" spans="5:5">
      <c r="E18911" s="51"/>
    </row>
    <row r="18912" spans="5:5">
      <c r="E18912" s="51"/>
    </row>
    <row r="18913" spans="5:5">
      <c r="E18913" s="51"/>
    </row>
    <row r="18914" spans="5:5">
      <c r="E18914" s="51"/>
    </row>
    <row r="18915" spans="5:5">
      <c r="E18915" s="51"/>
    </row>
    <row r="18916" spans="5:5">
      <c r="E18916" s="51"/>
    </row>
    <row r="18917" spans="5:5">
      <c r="E18917" s="51"/>
    </row>
    <row r="18918" spans="5:5">
      <c r="E18918" s="51"/>
    </row>
    <row r="18919" spans="5:5">
      <c r="E18919" s="51"/>
    </row>
    <row r="18920" spans="5:5">
      <c r="E18920" s="51"/>
    </row>
    <row r="18921" spans="5:5">
      <c r="E18921" s="51"/>
    </row>
    <row r="18922" spans="5:5">
      <c r="E18922" s="51"/>
    </row>
    <row r="18923" spans="5:5">
      <c r="E18923" s="51"/>
    </row>
    <row r="18924" spans="5:5">
      <c r="E18924" s="51"/>
    </row>
    <row r="18925" spans="5:5">
      <c r="E18925" s="51"/>
    </row>
    <row r="18926" spans="5:5">
      <c r="E18926" s="51"/>
    </row>
    <row r="18927" spans="5:5">
      <c r="E18927" s="51"/>
    </row>
    <row r="18928" spans="5:5">
      <c r="E18928" s="51"/>
    </row>
    <row r="18929" spans="5:5">
      <c r="E18929" s="51"/>
    </row>
    <row r="18930" spans="5:5">
      <c r="E18930" s="51"/>
    </row>
    <row r="18931" spans="5:5">
      <c r="E18931" s="51"/>
    </row>
    <row r="18932" spans="5:5">
      <c r="E18932" s="51"/>
    </row>
    <row r="18933" spans="5:5">
      <c r="E18933" s="51"/>
    </row>
    <row r="18934" spans="5:5">
      <c r="E18934" s="51"/>
    </row>
    <row r="18935" spans="5:5">
      <c r="E18935" s="51"/>
    </row>
    <row r="18936" spans="5:5">
      <c r="E18936" s="51"/>
    </row>
    <row r="18937" spans="5:5">
      <c r="E18937" s="51"/>
    </row>
    <row r="18938" spans="5:5">
      <c r="E18938" s="51"/>
    </row>
    <row r="18939" spans="5:5">
      <c r="E18939" s="51"/>
    </row>
    <row r="18940" spans="5:5">
      <c r="E18940" s="51"/>
    </row>
    <row r="18941" spans="5:5">
      <c r="E18941" s="51"/>
    </row>
    <row r="18942" spans="5:5">
      <c r="E18942" s="51"/>
    </row>
    <row r="18943" spans="5:5">
      <c r="E18943" s="51"/>
    </row>
    <row r="18944" spans="5:5">
      <c r="E18944" s="51"/>
    </row>
    <row r="18945" spans="5:5">
      <c r="E18945" s="51"/>
    </row>
    <row r="18946" spans="5:5">
      <c r="E18946" s="51"/>
    </row>
    <row r="18947" spans="5:5">
      <c r="E18947" s="51"/>
    </row>
    <row r="18948" spans="5:5">
      <c r="E18948" s="51"/>
    </row>
    <row r="18949" spans="5:5">
      <c r="E18949" s="51"/>
    </row>
    <row r="18950" spans="5:5">
      <c r="E18950" s="51"/>
    </row>
    <row r="18951" spans="5:5">
      <c r="E18951" s="51"/>
    </row>
    <row r="18952" spans="5:5">
      <c r="E18952" s="51"/>
    </row>
    <row r="18953" spans="5:5">
      <c r="E18953" s="51"/>
    </row>
    <row r="18954" spans="5:5">
      <c r="E18954" s="51"/>
    </row>
    <row r="18955" spans="5:5">
      <c r="E18955" s="51"/>
    </row>
    <row r="18956" spans="5:5">
      <c r="E18956" s="51"/>
    </row>
    <row r="18957" spans="5:5">
      <c r="E18957" s="51"/>
    </row>
    <row r="18958" spans="5:5">
      <c r="E18958" s="51"/>
    </row>
    <row r="18959" spans="5:5">
      <c r="E18959" s="51"/>
    </row>
    <row r="18960" spans="5:5">
      <c r="E18960" s="51"/>
    </row>
    <row r="18961" spans="5:5">
      <c r="E18961" s="51"/>
    </row>
    <row r="18962" spans="5:5">
      <c r="E18962" s="51"/>
    </row>
    <row r="18963" spans="5:5">
      <c r="E18963" s="51"/>
    </row>
    <row r="18964" spans="5:5">
      <c r="E18964" s="51"/>
    </row>
    <row r="18965" spans="5:5">
      <c r="E18965" s="51"/>
    </row>
    <row r="18966" spans="5:5">
      <c r="E18966" s="51"/>
    </row>
    <row r="18967" spans="5:5">
      <c r="E18967" s="51"/>
    </row>
    <row r="18968" spans="5:5">
      <c r="E18968" s="51"/>
    </row>
    <row r="18969" spans="5:5">
      <c r="E18969" s="51"/>
    </row>
    <row r="18970" spans="5:5">
      <c r="E18970" s="51"/>
    </row>
    <row r="18971" spans="5:5">
      <c r="E18971" s="51"/>
    </row>
    <row r="18972" spans="5:5">
      <c r="E18972" s="51"/>
    </row>
    <row r="18973" spans="5:5">
      <c r="E18973" s="51"/>
    </row>
    <row r="18974" spans="5:5">
      <c r="E18974" s="51"/>
    </row>
    <row r="18975" spans="5:5">
      <c r="E18975" s="51"/>
    </row>
    <row r="18976" spans="5:5">
      <c r="E18976" s="51"/>
    </row>
    <row r="18977" spans="5:5">
      <c r="E18977" s="51"/>
    </row>
    <row r="18978" spans="5:5">
      <c r="E18978" s="51"/>
    </row>
    <row r="18979" spans="5:5">
      <c r="E18979" s="51"/>
    </row>
    <row r="18980" spans="5:5">
      <c r="E18980" s="51"/>
    </row>
    <row r="18981" spans="5:5">
      <c r="E18981" s="51"/>
    </row>
    <row r="18982" spans="5:5">
      <c r="E18982" s="51"/>
    </row>
    <row r="18983" spans="5:5">
      <c r="E18983" s="51"/>
    </row>
    <row r="18984" spans="5:5">
      <c r="E18984" s="51"/>
    </row>
    <row r="18985" spans="5:5">
      <c r="E18985" s="51"/>
    </row>
    <row r="18986" spans="5:5">
      <c r="E18986" s="51"/>
    </row>
    <row r="18987" spans="5:5">
      <c r="E18987" s="51"/>
    </row>
    <row r="18988" spans="5:5">
      <c r="E18988" s="51"/>
    </row>
    <row r="18989" spans="5:5">
      <c r="E18989" s="51"/>
    </row>
    <row r="18990" spans="5:5">
      <c r="E18990" s="51"/>
    </row>
    <row r="18991" spans="5:5">
      <c r="E18991" s="51"/>
    </row>
    <row r="18992" spans="5:5">
      <c r="E18992" s="51"/>
    </row>
    <row r="18993" spans="5:5">
      <c r="E18993" s="51"/>
    </row>
    <row r="18994" spans="5:5">
      <c r="E18994" s="51"/>
    </row>
    <row r="18995" spans="5:5">
      <c r="E18995" s="51"/>
    </row>
    <row r="18996" spans="5:5">
      <c r="E18996" s="51"/>
    </row>
    <row r="18997" spans="5:5">
      <c r="E18997" s="51"/>
    </row>
    <row r="18998" spans="5:5">
      <c r="E18998" s="51"/>
    </row>
    <row r="18999" spans="5:5">
      <c r="E18999" s="51"/>
    </row>
    <row r="19000" spans="5:5">
      <c r="E19000" s="51"/>
    </row>
    <row r="19001" spans="5:5">
      <c r="E19001" s="51"/>
    </row>
    <row r="19002" spans="5:5">
      <c r="E19002" s="51"/>
    </row>
    <row r="19003" spans="5:5">
      <c r="E19003" s="51"/>
    </row>
    <row r="19004" spans="5:5">
      <c r="E19004" s="51"/>
    </row>
    <row r="19005" spans="5:5">
      <c r="E19005" s="51"/>
    </row>
    <row r="19006" spans="5:5">
      <c r="E19006" s="51"/>
    </row>
    <row r="19007" spans="5:5">
      <c r="E19007" s="51"/>
    </row>
    <row r="19008" spans="5:5">
      <c r="E19008" s="51"/>
    </row>
    <row r="19009" spans="5:5">
      <c r="E19009" s="51"/>
    </row>
    <row r="19010" spans="5:5">
      <c r="E19010" s="51"/>
    </row>
    <row r="19011" spans="5:5">
      <c r="E19011" s="51"/>
    </row>
    <row r="19012" spans="5:5">
      <c r="E19012" s="51"/>
    </row>
    <row r="19013" spans="5:5">
      <c r="E19013" s="51"/>
    </row>
    <row r="19014" spans="5:5">
      <c r="E19014" s="51"/>
    </row>
    <row r="19015" spans="5:5">
      <c r="E19015" s="51"/>
    </row>
    <row r="19016" spans="5:5">
      <c r="E19016" s="51"/>
    </row>
    <row r="19017" spans="5:5">
      <c r="E19017" s="51"/>
    </row>
    <row r="19018" spans="5:5">
      <c r="E19018" s="51"/>
    </row>
    <row r="19019" spans="5:5">
      <c r="E19019" s="51"/>
    </row>
    <row r="19020" spans="5:5">
      <c r="E19020" s="51"/>
    </row>
    <row r="19021" spans="5:5">
      <c r="E19021" s="51"/>
    </row>
    <row r="19022" spans="5:5">
      <c r="E19022" s="51"/>
    </row>
    <row r="19023" spans="5:5">
      <c r="E19023" s="51"/>
    </row>
    <row r="19024" spans="5:5">
      <c r="E19024" s="51"/>
    </row>
    <row r="19025" spans="5:5">
      <c r="E19025" s="51"/>
    </row>
    <row r="19026" spans="5:5">
      <c r="E19026" s="51"/>
    </row>
    <row r="19027" spans="5:5">
      <c r="E19027" s="51"/>
    </row>
    <row r="19028" spans="5:5">
      <c r="E19028" s="51"/>
    </row>
    <row r="19029" spans="5:5">
      <c r="E19029" s="51"/>
    </row>
    <row r="19030" spans="5:5">
      <c r="E19030" s="51"/>
    </row>
    <row r="19031" spans="5:5">
      <c r="E19031" s="51"/>
    </row>
    <row r="19032" spans="5:5">
      <c r="E19032" s="51"/>
    </row>
    <row r="19033" spans="5:5">
      <c r="E19033" s="51"/>
    </row>
    <row r="19034" spans="5:5">
      <c r="E19034" s="51"/>
    </row>
    <row r="19035" spans="5:5">
      <c r="E19035" s="51"/>
    </row>
    <row r="19036" spans="5:5">
      <c r="E19036" s="51"/>
    </row>
    <row r="19037" spans="5:5">
      <c r="E19037" s="51"/>
    </row>
    <row r="19038" spans="5:5">
      <c r="E19038" s="51"/>
    </row>
    <row r="19039" spans="5:5">
      <c r="E19039" s="51"/>
    </row>
    <row r="19040" spans="5:5">
      <c r="E19040" s="51"/>
    </row>
    <row r="19041" spans="5:5">
      <c r="E19041" s="51"/>
    </row>
    <row r="19042" spans="5:5">
      <c r="E19042" s="51"/>
    </row>
    <row r="19043" spans="5:5">
      <c r="E19043" s="51"/>
    </row>
    <row r="19044" spans="5:5">
      <c r="E19044" s="51"/>
    </row>
    <row r="19045" spans="5:5">
      <c r="E19045" s="51"/>
    </row>
    <row r="19046" spans="5:5">
      <c r="E19046" s="51"/>
    </row>
    <row r="19047" spans="5:5">
      <c r="E19047" s="51"/>
    </row>
    <row r="19048" spans="5:5">
      <c r="E19048" s="51"/>
    </row>
    <row r="19049" spans="5:5">
      <c r="E19049" s="51"/>
    </row>
    <row r="19050" spans="5:5">
      <c r="E19050" s="51"/>
    </row>
    <row r="19051" spans="5:5">
      <c r="E19051" s="51"/>
    </row>
    <row r="19052" spans="5:5">
      <c r="E19052" s="51"/>
    </row>
    <row r="19053" spans="5:5">
      <c r="E19053" s="51"/>
    </row>
    <row r="19054" spans="5:5">
      <c r="E19054" s="51"/>
    </row>
    <row r="19055" spans="5:5">
      <c r="E19055" s="51"/>
    </row>
    <row r="19056" spans="5:5">
      <c r="E19056" s="51"/>
    </row>
    <row r="19057" spans="5:5">
      <c r="E19057" s="51"/>
    </row>
    <row r="19058" spans="5:5">
      <c r="E19058" s="51"/>
    </row>
    <row r="19059" spans="5:5">
      <c r="E19059" s="51"/>
    </row>
    <row r="19060" spans="5:5">
      <c r="E19060" s="51"/>
    </row>
    <row r="19061" spans="5:5">
      <c r="E19061" s="51"/>
    </row>
    <row r="19062" spans="5:5">
      <c r="E19062" s="51"/>
    </row>
    <row r="19063" spans="5:5">
      <c r="E19063" s="51"/>
    </row>
    <row r="19064" spans="5:5">
      <c r="E19064" s="51"/>
    </row>
    <row r="19065" spans="5:5">
      <c r="E19065" s="51"/>
    </row>
    <row r="19066" spans="5:5">
      <c r="E19066" s="51"/>
    </row>
    <row r="19067" spans="5:5">
      <c r="E19067" s="51"/>
    </row>
    <row r="19068" spans="5:5">
      <c r="E19068" s="51"/>
    </row>
    <row r="19069" spans="5:5">
      <c r="E19069" s="51"/>
    </row>
    <row r="19070" spans="5:5">
      <c r="E19070" s="51"/>
    </row>
    <row r="19071" spans="5:5">
      <c r="E19071" s="51"/>
    </row>
    <row r="19072" spans="5:5">
      <c r="E19072" s="51"/>
    </row>
    <row r="19073" spans="5:5">
      <c r="E19073" s="51"/>
    </row>
    <row r="19074" spans="5:5">
      <c r="E19074" s="51"/>
    </row>
    <row r="19075" spans="5:5">
      <c r="E19075" s="51"/>
    </row>
    <row r="19076" spans="5:5">
      <c r="E19076" s="51"/>
    </row>
    <row r="19077" spans="5:5">
      <c r="E19077" s="51"/>
    </row>
    <row r="19078" spans="5:5">
      <c r="E19078" s="51"/>
    </row>
    <row r="19079" spans="5:5">
      <c r="E19079" s="51"/>
    </row>
    <row r="19080" spans="5:5">
      <c r="E19080" s="51"/>
    </row>
    <row r="19081" spans="5:5">
      <c r="E19081" s="51"/>
    </row>
    <row r="19082" spans="5:5">
      <c r="E19082" s="51"/>
    </row>
    <row r="19083" spans="5:5">
      <c r="E19083" s="51"/>
    </row>
    <row r="19084" spans="5:5">
      <c r="E19084" s="51"/>
    </row>
    <row r="19085" spans="5:5">
      <c r="E19085" s="51"/>
    </row>
    <row r="19086" spans="5:5">
      <c r="E19086" s="51"/>
    </row>
    <row r="19087" spans="5:5">
      <c r="E19087" s="51"/>
    </row>
    <row r="19088" spans="5:5">
      <c r="E19088" s="51"/>
    </row>
    <row r="19089" spans="5:5">
      <c r="E19089" s="51"/>
    </row>
    <row r="19090" spans="5:5">
      <c r="E19090" s="51"/>
    </row>
    <row r="19091" spans="5:5">
      <c r="E19091" s="51"/>
    </row>
    <row r="19092" spans="5:5">
      <c r="E19092" s="51"/>
    </row>
    <row r="19093" spans="5:5">
      <c r="E19093" s="51"/>
    </row>
    <row r="19094" spans="5:5">
      <c r="E19094" s="51"/>
    </row>
    <row r="19095" spans="5:5">
      <c r="E19095" s="51"/>
    </row>
    <row r="19096" spans="5:5">
      <c r="E19096" s="51"/>
    </row>
    <row r="19097" spans="5:5">
      <c r="E19097" s="51"/>
    </row>
    <row r="19098" spans="5:5">
      <c r="E19098" s="51"/>
    </row>
    <row r="19099" spans="5:5">
      <c r="E19099" s="51"/>
    </row>
    <row r="19100" spans="5:5">
      <c r="E19100" s="51"/>
    </row>
    <row r="19101" spans="5:5">
      <c r="E19101" s="51"/>
    </row>
    <row r="19102" spans="5:5">
      <c r="E19102" s="51"/>
    </row>
    <row r="19103" spans="5:5">
      <c r="E19103" s="51"/>
    </row>
    <row r="19104" spans="5:5">
      <c r="E19104" s="51"/>
    </row>
    <row r="19105" spans="5:5">
      <c r="E19105" s="51"/>
    </row>
    <row r="19106" spans="5:5">
      <c r="E19106" s="51"/>
    </row>
    <row r="19107" spans="5:5">
      <c r="E19107" s="51"/>
    </row>
    <row r="19108" spans="5:5">
      <c r="E19108" s="51"/>
    </row>
    <row r="19109" spans="5:5">
      <c r="E19109" s="51"/>
    </row>
    <row r="19110" spans="5:5">
      <c r="E19110" s="51"/>
    </row>
    <row r="19111" spans="5:5">
      <c r="E19111" s="51"/>
    </row>
    <row r="19112" spans="5:5">
      <c r="E19112" s="51"/>
    </row>
    <row r="19113" spans="5:5">
      <c r="E19113" s="51"/>
    </row>
    <row r="19114" spans="5:5">
      <c r="E19114" s="51"/>
    </row>
    <row r="19115" spans="5:5">
      <c r="E19115" s="51"/>
    </row>
    <row r="19116" spans="5:5">
      <c r="E19116" s="51"/>
    </row>
    <row r="19117" spans="5:5">
      <c r="E19117" s="51"/>
    </row>
    <row r="19118" spans="5:5">
      <c r="E19118" s="51"/>
    </row>
    <row r="19119" spans="5:5">
      <c r="E19119" s="51"/>
    </row>
    <row r="19120" spans="5:5">
      <c r="E19120" s="51"/>
    </row>
    <row r="19121" spans="5:5">
      <c r="E19121" s="51"/>
    </row>
    <row r="19122" spans="5:5">
      <c r="E19122" s="51"/>
    </row>
    <row r="19123" spans="5:5">
      <c r="E19123" s="51"/>
    </row>
    <row r="19124" spans="5:5">
      <c r="E19124" s="51"/>
    </row>
    <row r="19125" spans="5:5">
      <c r="E19125" s="51"/>
    </row>
    <row r="19126" spans="5:5">
      <c r="E19126" s="51"/>
    </row>
    <row r="19127" spans="5:5">
      <c r="E19127" s="51"/>
    </row>
    <row r="19128" spans="5:5">
      <c r="E19128" s="51"/>
    </row>
    <row r="19129" spans="5:5">
      <c r="E19129" s="51"/>
    </row>
    <row r="19130" spans="5:5">
      <c r="E19130" s="51"/>
    </row>
    <row r="19131" spans="5:5">
      <c r="E19131" s="51"/>
    </row>
    <row r="19132" spans="5:5">
      <c r="E19132" s="51"/>
    </row>
    <row r="19133" spans="5:5">
      <c r="E19133" s="51"/>
    </row>
    <row r="19134" spans="5:5">
      <c r="E19134" s="51"/>
    </row>
    <row r="19135" spans="5:5">
      <c r="E19135" s="51"/>
    </row>
    <row r="19136" spans="5:5">
      <c r="E19136" s="51"/>
    </row>
    <row r="19137" spans="5:5">
      <c r="E19137" s="51"/>
    </row>
    <row r="19138" spans="5:5">
      <c r="E19138" s="51"/>
    </row>
    <row r="19139" spans="5:5">
      <c r="E19139" s="51"/>
    </row>
    <row r="19140" spans="5:5">
      <c r="E19140" s="51"/>
    </row>
    <row r="19141" spans="5:5">
      <c r="E19141" s="51"/>
    </row>
    <row r="19142" spans="5:5">
      <c r="E19142" s="51"/>
    </row>
    <row r="19143" spans="5:5">
      <c r="E19143" s="51"/>
    </row>
    <row r="19144" spans="5:5">
      <c r="E19144" s="51"/>
    </row>
    <row r="19145" spans="5:5">
      <c r="E19145" s="51"/>
    </row>
    <row r="19146" spans="5:5">
      <c r="E19146" s="51"/>
    </row>
    <row r="19147" spans="5:5">
      <c r="E19147" s="51"/>
    </row>
    <row r="19148" spans="5:5">
      <c r="E19148" s="51"/>
    </row>
    <row r="19149" spans="5:5">
      <c r="E19149" s="51"/>
    </row>
    <row r="19150" spans="5:5">
      <c r="E19150" s="51"/>
    </row>
    <row r="19151" spans="5:5">
      <c r="E19151" s="51"/>
    </row>
    <row r="19152" spans="5:5">
      <c r="E19152" s="51"/>
    </row>
    <row r="19153" spans="5:5">
      <c r="E19153" s="51"/>
    </row>
    <row r="19154" spans="5:5">
      <c r="E19154" s="51"/>
    </row>
    <row r="19155" spans="5:5">
      <c r="E19155" s="51"/>
    </row>
    <row r="19156" spans="5:5">
      <c r="E19156" s="51"/>
    </row>
    <row r="19157" spans="5:5">
      <c r="E19157" s="51"/>
    </row>
    <row r="19158" spans="5:5">
      <c r="E19158" s="51"/>
    </row>
    <row r="19159" spans="5:5">
      <c r="E19159" s="51"/>
    </row>
    <row r="19160" spans="5:5">
      <c r="E19160" s="51"/>
    </row>
    <row r="19161" spans="5:5">
      <c r="E19161" s="51"/>
    </row>
    <row r="19162" spans="5:5">
      <c r="E19162" s="51"/>
    </row>
    <row r="19163" spans="5:5">
      <c r="E19163" s="51"/>
    </row>
    <row r="19164" spans="5:5">
      <c r="E19164" s="51"/>
    </row>
    <row r="19165" spans="5:5">
      <c r="E19165" s="51"/>
    </row>
    <row r="19166" spans="5:5">
      <c r="E19166" s="51"/>
    </row>
    <row r="19167" spans="5:5">
      <c r="E19167" s="51"/>
    </row>
    <row r="19168" spans="5:5">
      <c r="E19168" s="51"/>
    </row>
    <row r="19169" spans="5:5">
      <c r="E19169" s="51"/>
    </row>
    <row r="19170" spans="5:5">
      <c r="E19170" s="51"/>
    </row>
    <row r="19171" spans="5:5">
      <c r="E19171" s="51"/>
    </row>
    <row r="19172" spans="5:5">
      <c r="E19172" s="51"/>
    </row>
    <row r="19173" spans="5:5">
      <c r="E19173" s="51"/>
    </row>
    <row r="19174" spans="5:5">
      <c r="E19174" s="51"/>
    </row>
    <row r="19175" spans="5:5">
      <c r="E19175" s="51"/>
    </row>
    <row r="19176" spans="5:5">
      <c r="E19176" s="51"/>
    </row>
    <row r="19177" spans="5:5">
      <c r="E19177" s="51"/>
    </row>
    <row r="19178" spans="5:5">
      <c r="E19178" s="51"/>
    </row>
    <row r="19179" spans="5:5">
      <c r="E19179" s="51"/>
    </row>
    <row r="19180" spans="5:5">
      <c r="E19180" s="51"/>
    </row>
    <row r="19181" spans="5:5">
      <c r="E19181" s="51"/>
    </row>
    <row r="19182" spans="5:5">
      <c r="E19182" s="51"/>
    </row>
    <row r="19183" spans="5:5">
      <c r="E19183" s="51"/>
    </row>
    <row r="19184" spans="5:5">
      <c r="E19184" s="51"/>
    </row>
    <row r="19185" spans="5:5">
      <c r="E19185" s="51"/>
    </row>
    <row r="19186" spans="5:5">
      <c r="E19186" s="51"/>
    </row>
    <row r="19187" spans="5:5">
      <c r="E19187" s="51"/>
    </row>
    <row r="19188" spans="5:5">
      <c r="E19188" s="51"/>
    </row>
    <row r="19189" spans="5:5">
      <c r="E19189" s="51"/>
    </row>
    <row r="19190" spans="5:5">
      <c r="E19190" s="51"/>
    </row>
    <row r="19191" spans="5:5">
      <c r="E19191" s="51"/>
    </row>
    <row r="19192" spans="5:5">
      <c r="E19192" s="51"/>
    </row>
    <row r="19193" spans="5:5">
      <c r="E19193" s="51"/>
    </row>
    <row r="19194" spans="5:5">
      <c r="E19194" s="51"/>
    </row>
    <row r="19195" spans="5:5">
      <c r="E19195" s="51"/>
    </row>
    <row r="19196" spans="5:5">
      <c r="E19196" s="51"/>
    </row>
    <row r="19197" spans="5:5">
      <c r="E19197" s="51"/>
    </row>
    <row r="19198" spans="5:5">
      <c r="E19198" s="51"/>
    </row>
    <row r="19199" spans="5:5">
      <c r="E19199" s="51"/>
    </row>
    <row r="19200" spans="5:5">
      <c r="E19200" s="51"/>
    </row>
    <row r="19201" spans="5:5">
      <c r="E19201" s="51"/>
    </row>
    <row r="19202" spans="5:5">
      <c r="E19202" s="51"/>
    </row>
    <row r="19203" spans="5:5">
      <c r="E19203" s="51"/>
    </row>
    <row r="19204" spans="5:5">
      <c r="E19204" s="51"/>
    </row>
    <row r="19205" spans="5:5">
      <c r="E19205" s="51"/>
    </row>
    <row r="19206" spans="5:5">
      <c r="E19206" s="51"/>
    </row>
    <row r="19207" spans="5:5">
      <c r="E19207" s="51"/>
    </row>
    <row r="19208" spans="5:5">
      <c r="E19208" s="51"/>
    </row>
    <row r="19209" spans="5:5">
      <c r="E19209" s="51"/>
    </row>
    <row r="19210" spans="5:5">
      <c r="E19210" s="51"/>
    </row>
    <row r="19211" spans="5:5">
      <c r="E19211" s="51"/>
    </row>
    <row r="19212" spans="5:5">
      <c r="E19212" s="51"/>
    </row>
    <row r="19213" spans="5:5">
      <c r="E19213" s="51"/>
    </row>
    <row r="19214" spans="5:5">
      <c r="E19214" s="51"/>
    </row>
    <row r="19215" spans="5:5">
      <c r="E19215" s="51"/>
    </row>
    <row r="19216" spans="5:5">
      <c r="E19216" s="51"/>
    </row>
    <row r="19217" spans="5:5">
      <c r="E19217" s="51"/>
    </row>
    <row r="19218" spans="5:5">
      <c r="E19218" s="51"/>
    </row>
    <row r="19219" spans="5:5">
      <c r="E19219" s="51"/>
    </row>
    <row r="19220" spans="5:5">
      <c r="E19220" s="51"/>
    </row>
    <row r="19221" spans="5:5">
      <c r="E19221" s="51"/>
    </row>
    <row r="19222" spans="5:5">
      <c r="E19222" s="51"/>
    </row>
    <row r="19223" spans="5:5">
      <c r="E19223" s="51"/>
    </row>
    <row r="19224" spans="5:5">
      <c r="E19224" s="51"/>
    </row>
    <row r="19225" spans="5:5">
      <c r="E19225" s="51"/>
    </row>
    <row r="19226" spans="5:5">
      <c r="E19226" s="51"/>
    </row>
    <row r="19227" spans="5:5">
      <c r="E19227" s="51"/>
    </row>
    <row r="19228" spans="5:5">
      <c r="E19228" s="51"/>
    </row>
    <row r="19229" spans="5:5">
      <c r="E19229" s="51"/>
    </row>
    <row r="19230" spans="5:5">
      <c r="E19230" s="51"/>
    </row>
    <row r="19231" spans="5:5">
      <c r="E19231" s="51"/>
    </row>
    <row r="19232" spans="5:5">
      <c r="E19232" s="51"/>
    </row>
    <row r="19233" spans="5:5">
      <c r="E19233" s="51"/>
    </row>
    <row r="19234" spans="5:5">
      <c r="E19234" s="51"/>
    </row>
    <row r="19235" spans="5:5">
      <c r="E19235" s="51"/>
    </row>
    <row r="19236" spans="5:5">
      <c r="E19236" s="51"/>
    </row>
    <row r="19237" spans="5:5">
      <c r="E19237" s="51"/>
    </row>
    <row r="19238" spans="5:5">
      <c r="E19238" s="51"/>
    </row>
    <row r="19239" spans="5:5">
      <c r="E19239" s="51"/>
    </row>
    <row r="19240" spans="5:5">
      <c r="E19240" s="51"/>
    </row>
    <row r="19241" spans="5:5">
      <c r="E19241" s="51"/>
    </row>
    <row r="19242" spans="5:5">
      <c r="E19242" s="51"/>
    </row>
    <row r="19243" spans="5:5">
      <c r="E19243" s="51"/>
    </row>
    <row r="19244" spans="5:5">
      <c r="E19244" s="51"/>
    </row>
    <row r="19245" spans="5:5">
      <c r="E19245" s="51"/>
    </row>
    <row r="19246" spans="5:5">
      <c r="E19246" s="51"/>
    </row>
    <row r="19247" spans="5:5">
      <c r="E19247" s="51"/>
    </row>
    <row r="19248" spans="5:5">
      <c r="E19248" s="51"/>
    </row>
    <row r="19249" spans="5:5">
      <c r="E19249" s="51"/>
    </row>
    <row r="19250" spans="5:5">
      <c r="E19250" s="51"/>
    </row>
    <row r="19251" spans="5:5">
      <c r="E19251" s="51"/>
    </row>
    <row r="19252" spans="5:5">
      <c r="E19252" s="51"/>
    </row>
    <row r="19253" spans="5:5">
      <c r="E19253" s="51"/>
    </row>
    <row r="19254" spans="5:5">
      <c r="E19254" s="51"/>
    </row>
    <row r="19255" spans="5:5">
      <c r="E19255" s="51"/>
    </row>
    <row r="19256" spans="5:5">
      <c r="E19256" s="51"/>
    </row>
    <row r="19257" spans="5:5">
      <c r="E19257" s="51"/>
    </row>
    <row r="19258" spans="5:5">
      <c r="E19258" s="51"/>
    </row>
    <row r="19259" spans="5:5">
      <c r="E19259" s="51"/>
    </row>
    <row r="19260" spans="5:5">
      <c r="E19260" s="51"/>
    </row>
    <row r="19261" spans="5:5">
      <c r="E19261" s="51"/>
    </row>
    <row r="19262" spans="5:5">
      <c r="E19262" s="51"/>
    </row>
    <row r="19263" spans="5:5">
      <c r="E19263" s="51"/>
    </row>
    <row r="19264" spans="5:5">
      <c r="E19264" s="51"/>
    </row>
    <row r="19265" spans="5:5">
      <c r="E19265" s="51"/>
    </row>
    <row r="19266" spans="5:5">
      <c r="E19266" s="51"/>
    </row>
    <row r="19267" spans="5:5">
      <c r="E19267" s="51"/>
    </row>
    <row r="19268" spans="5:5">
      <c r="E19268" s="51"/>
    </row>
    <row r="19269" spans="5:5">
      <c r="E19269" s="51"/>
    </row>
    <row r="19270" spans="5:5">
      <c r="E19270" s="51"/>
    </row>
    <row r="19271" spans="5:5">
      <c r="E19271" s="51"/>
    </row>
    <row r="19272" spans="5:5">
      <c r="E19272" s="51"/>
    </row>
    <row r="19273" spans="5:5">
      <c r="E19273" s="51"/>
    </row>
    <row r="19274" spans="5:5">
      <c r="E19274" s="51"/>
    </row>
    <row r="19275" spans="5:5">
      <c r="E19275" s="51"/>
    </row>
    <row r="19276" spans="5:5">
      <c r="E19276" s="51"/>
    </row>
    <row r="19277" spans="5:5">
      <c r="E19277" s="51"/>
    </row>
    <row r="19278" spans="5:5">
      <c r="E19278" s="51"/>
    </row>
    <row r="19279" spans="5:5">
      <c r="E19279" s="51"/>
    </row>
    <row r="19280" spans="5:5">
      <c r="E19280" s="51"/>
    </row>
    <row r="19281" spans="5:5">
      <c r="E19281" s="51"/>
    </row>
    <row r="19282" spans="5:5">
      <c r="E19282" s="51"/>
    </row>
    <row r="19283" spans="5:5">
      <c r="E19283" s="51"/>
    </row>
    <row r="19284" spans="5:5">
      <c r="E19284" s="51"/>
    </row>
    <row r="19285" spans="5:5">
      <c r="E19285" s="51"/>
    </row>
    <row r="19286" spans="5:5">
      <c r="E19286" s="51"/>
    </row>
    <row r="19287" spans="5:5">
      <c r="E19287" s="51"/>
    </row>
    <row r="19288" spans="5:5">
      <c r="E19288" s="51"/>
    </row>
    <row r="19289" spans="5:5">
      <c r="E19289" s="51"/>
    </row>
    <row r="19290" spans="5:5">
      <c r="E19290" s="51"/>
    </row>
    <row r="19291" spans="5:5">
      <c r="E19291" s="51"/>
    </row>
    <row r="19292" spans="5:5">
      <c r="E19292" s="51"/>
    </row>
    <row r="19293" spans="5:5">
      <c r="E19293" s="51"/>
    </row>
    <row r="19294" spans="5:5">
      <c r="E19294" s="51"/>
    </row>
    <row r="19295" spans="5:5">
      <c r="E19295" s="51"/>
    </row>
    <row r="19296" spans="5:5">
      <c r="E19296" s="51"/>
    </row>
    <row r="19297" spans="5:5">
      <c r="E19297" s="51"/>
    </row>
    <row r="19298" spans="5:5">
      <c r="E19298" s="51"/>
    </row>
    <row r="19299" spans="5:5">
      <c r="E19299" s="51"/>
    </row>
    <row r="19300" spans="5:5">
      <c r="E19300" s="51"/>
    </row>
    <row r="19301" spans="5:5">
      <c r="E19301" s="51"/>
    </row>
    <row r="19302" spans="5:5">
      <c r="E19302" s="51"/>
    </row>
    <row r="19303" spans="5:5">
      <c r="E19303" s="51"/>
    </row>
    <row r="19304" spans="5:5">
      <c r="E19304" s="51"/>
    </row>
    <row r="19305" spans="5:5">
      <c r="E19305" s="51"/>
    </row>
    <row r="19306" spans="5:5">
      <c r="E19306" s="51"/>
    </row>
    <row r="19307" spans="5:5">
      <c r="E19307" s="51"/>
    </row>
    <row r="19308" spans="5:5">
      <c r="E19308" s="51"/>
    </row>
    <row r="19309" spans="5:5">
      <c r="E19309" s="51"/>
    </row>
    <row r="19310" spans="5:5">
      <c r="E19310" s="51"/>
    </row>
    <row r="19311" spans="5:5">
      <c r="E19311" s="51"/>
    </row>
    <row r="19312" spans="5:5">
      <c r="E19312" s="51"/>
    </row>
    <row r="19313" spans="5:5">
      <c r="E19313" s="51"/>
    </row>
    <row r="19314" spans="5:5">
      <c r="E19314" s="51"/>
    </row>
    <row r="19315" spans="5:5">
      <c r="E19315" s="51"/>
    </row>
    <row r="19316" spans="5:5">
      <c r="E19316" s="51"/>
    </row>
    <row r="19317" spans="5:5">
      <c r="E19317" s="51"/>
    </row>
    <row r="19318" spans="5:5">
      <c r="E19318" s="51"/>
    </row>
    <row r="19319" spans="5:5">
      <c r="E19319" s="51"/>
    </row>
    <row r="19320" spans="5:5">
      <c r="E19320" s="51"/>
    </row>
    <row r="19321" spans="5:5">
      <c r="E19321" s="51"/>
    </row>
    <row r="19322" spans="5:5">
      <c r="E19322" s="51"/>
    </row>
    <row r="19323" spans="5:5">
      <c r="E19323" s="51"/>
    </row>
    <row r="19324" spans="5:5">
      <c r="E19324" s="51"/>
    </row>
    <row r="19325" spans="5:5">
      <c r="E19325" s="51"/>
    </row>
    <row r="19326" spans="5:5">
      <c r="E19326" s="51"/>
    </row>
    <row r="19327" spans="5:5">
      <c r="E19327" s="51"/>
    </row>
    <row r="19328" spans="5:5">
      <c r="E19328" s="51"/>
    </row>
    <row r="19329" spans="5:5">
      <c r="E19329" s="51"/>
    </row>
    <row r="19330" spans="5:5">
      <c r="E19330" s="51"/>
    </row>
    <row r="19331" spans="5:5">
      <c r="E19331" s="51"/>
    </row>
    <row r="19332" spans="5:5">
      <c r="E19332" s="51"/>
    </row>
    <row r="19333" spans="5:5">
      <c r="E19333" s="51"/>
    </row>
    <row r="19334" spans="5:5">
      <c r="E19334" s="51"/>
    </row>
    <row r="19335" spans="5:5">
      <c r="E19335" s="51"/>
    </row>
    <row r="19336" spans="5:5">
      <c r="E19336" s="51"/>
    </row>
    <row r="19337" spans="5:5">
      <c r="E19337" s="51"/>
    </row>
    <row r="19338" spans="5:5">
      <c r="E19338" s="51"/>
    </row>
    <row r="19339" spans="5:5">
      <c r="E19339" s="51"/>
    </row>
    <row r="19340" spans="5:5">
      <c r="E19340" s="51"/>
    </row>
    <row r="19341" spans="5:5">
      <c r="E19341" s="51"/>
    </row>
    <row r="19342" spans="5:5">
      <c r="E19342" s="51"/>
    </row>
    <row r="19343" spans="5:5">
      <c r="E19343" s="51"/>
    </row>
    <row r="19344" spans="5:5">
      <c r="E19344" s="51"/>
    </row>
    <row r="19345" spans="5:5">
      <c r="E19345" s="51"/>
    </row>
    <row r="19346" spans="5:5">
      <c r="E19346" s="51"/>
    </row>
    <row r="19347" spans="5:5">
      <c r="E19347" s="51"/>
    </row>
    <row r="19348" spans="5:5">
      <c r="E19348" s="51"/>
    </row>
    <row r="19349" spans="5:5">
      <c r="E19349" s="51"/>
    </row>
    <row r="19350" spans="5:5">
      <c r="E19350" s="51"/>
    </row>
    <row r="19351" spans="5:5">
      <c r="E19351" s="51"/>
    </row>
    <row r="19352" spans="5:5">
      <c r="E19352" s="51"/>
    </row>
    <row r="19353" spans="5:5">
      <c r="E19353" s="51"/>
    </row>
    <row r="19354" spans="5:5">
      <c r="E19354" s="51"/>
    </row>
    <row r="19355" spans="5:5">
      <c r="E19355" s="51"/>
    </row>
    <row r="19356" spans="5:5">
      <c r="E19356" s="51"/>
    </row>
    <row r="19357" spans="5:5">
      <c r="E19357" s="51"/>
    </row>
    <row r="19358" spans="5:5">
      <c r="E19358" s="51"/>
    </row>
    <row r="19359" spans="5:5">
      <c r="E19359" s="51"/>
    </row>
    <row r="19360" spans="5:5">
      <c r="E19360" s="51"/>
    </row>
    <row r="19361" spans="5:5">
      <c r="E19361" s="51"/>
    </row>
    <row r="19362" spans="5:5">
      <c r="E19362" s="51"/>
    </row>
    <row r="19363" spans="5:5">
      <c r="E19363" s="51"/>
    </row>
    <row r="19364" spans="5:5">
      <c r="E19364" s="51"/>
    </row>
    <row r="19365" spans="5:5">
      <c r="E19365" s="51"/>
    </row>
    <row r="19366" spans="5:5">
      <c r="E19366" s="51"/>
    </row>
    <row r="19367" spans="5:5">
      <c r="E19367" s="51"/>
    </row>
    <row r="19368" spans="5:5">
      <c r="E19368" s="51"/>
    </row>
    <row r="19369" spans="5:5">
      <c r="E19369" s="51"/>
    </row>
    <row r="19370" spans="5:5">
      <c r="E19370" s="51"/>
    </row>
    <row r="19371" spans="5:5">
      <c r="E19371" s="51"/>
    </row>
    <row r="19372" spans="5:5">
      <c r="E19372" s="51"/>
    </row>
    <row r="19373" spans="5:5">
      <c r="E19373" s="51"/>
    </row>
    <row r="19374" spans="5:5">
      <c r="E19374" s="51"/>
    </row>
    <row r="19375" spans="5:5">
      <c r="E19375" s="51"/>
    </row>
    <row r="19376" spans="5:5">
      <c r="E19376" s="51"/>
    </row>
    <row r="19377" spans="5:5">
      <c r="E19377" s="51"/>
    </row>
    <row r="19378" spans="5:5">
      <c r="E19378" s="51"/>
    </row>
    <row r="19379" spans="5:5">
      <c r="E19379" s="51"/>
    </row>
    <row r="19380" spans="5:5">
      <c r="E19380" s="51"/>
    </row>
    <row r="19381" spans="5:5">
      <c r="E19381" s="51"/>
    </row>
    <row r="19382" spans="5:5">
      <c r="E19382" s="51"/>
    </row>
    <row r="19383" spans="5:5">
      <c r="E19383" s="51"/>
    </row>
    <row r="19384" spans="5:5">
      <c r="E19384" s="51"/>
    </row>
    <row r="19385" spans="5:5">
      <c r="E19385" s="51"/>
    </row>
    <row r="19386" spans="5:5">
      <c r="E19386" s="51"/>
    </row>
    <row r="19387" spans="5:5">
      <c r="E19387" s="51"/>
    </row>
    <row r="19388" spans="5:5">
      <c r="E19388" s="51"/>
    </row>
    <row r="19389" spans="5:5">
      <c r="E19389" s="51"/>
    </row>
    <row r="19390" spans="5:5">
      <c r="E19390" s="51"/>
    </row>
    <row r="19391" spans="5:5">
      <c r="E19391" s="51"/>
    </row>
    <row r="19392" spans="5:5">
      <c r="E19392" s="51"/>
    </row>
    <row r="19393" spans="5:5">
      <c r="E19393" s="51"/>
    </row>
    <row r="19394" spans="5:5">
      <c r="E19394" s="51"/>
    </row>
    <row r="19395" spans="5:5">
      <c r="E19395" s="51"/>
    </row>
    <row r="19396" spans="5:5">
      <c r="E19396" s="51"/>
    </row>
    <row r="19397" spans="5:5">
      <c r="E19397" s="51"/>
    </row>
    <row r="19398" spans="5:5">
      <c r="E19398" s="51"/>
    </row>
    <row r="19399" spans="5:5">
      <c r="E19399" s="51"/>
    </row>
    <row r="19400" spans="5:5">
      <c r="E19400" s="51"/>
    </row>
    <row r="19401" spans="5:5">
      <c r="E19401" s="51"/>
    </row>
    <row r="19402" spans="5:5">
      <c r="E19402" s="51"/>
    </row>
    <row r="19403" spans="5:5">
      <c r="E19403" s="51"/>
    </row>
    <row r="19404" spans="5:5">
      <c r="E19404" s="51"/>
    </row>
    <row r="19405" spans="5:5">
      <c r="E19405" s="51"/>
    </row>
    <row r="19406" spans="5:5">
      <c r="E19406" s="51"/>
    </row>
    <row r="19407" spans="5:5">
      <c r="E19407" s="51"/>
    </row>
    <row r="19408" spans="5:5">
      <c r="E19408" s="51"/>
    </row>
    <row r="19409" spans="5:5">
      <c r="E19409" s="51"/>
    </row>
    <row r="19410" spans="5:5">
      <c r="E19410" s="51"/>
    </row>
    <row r="19411" spans="5:5">
      <c r="E19411" s="51"/>
    </row>
    <row r="19412" spans="5:5">
      <c r="E19412" s="51"/>
    </row>
    <row r="19413" spans="5:5">
      <c r="E19413" s="51"/>
    </row>
    <row r="19414" spans="5:5">
      <c r="E19414" s="51"/>
    </row>
    <row r="19415" spans="5:5">
      <c r="E19415" s="51"/>
    </row>
    <row r="19416" spans="5:5">
      <c r="E19416" s="51"/>
    </row>
    <row r="19417" spans="5:5">
      <c r="E19417" s="51"/>
    </row>
    <row r="19418" spans="5:5">
      <c r="E19418" s="51"/>
    </row>
    <row r="19419" spans="5:5">
      <c r="E19419" s="51"/>
    </row>
    <row r="19420" spans="5:5">
      <c r="E19420" s="51"/>
    </row>
    <row r="19421" spans="5:5">
      <c r="E19421" s="51"/>
    </row>
    <row r="19422" spans="5:5">
      <c r="E19422" s="51"/>
    </row>
    <row r="19423" spans="5:5">
      <c r="E19423" s="51"/>
    </row>
    <row r="19424" spans="5:5">
      <c r="E19424" s="51"/>
    </row>
    <row r="19425" spans="5:5">
      <c r="E19425" s="51"/>
    </row>
    <row r="19426" spans="5:5">
      <c r="E19426" s="51"/>
    </row>
    <row r="19427" spans="5:5">
      <c r="E19427" s="51"/>
    </row>
    <row r="19428" spans="5:5">
      <c r="E19428" s="51"/>
    </row>
    <row r="19429" spans="5:5">
      <c r="E19429" s="51"/>
    </row>
    <row r="19430" spans="5:5">
      <c r="E19430" s="51"/>
    </row>
    <row r="19431" spans="5:5">
      <c r="E19431" s="51"/>
    </row>
    <row r="19432" spans="5:5">
      <c r="E19432" s="51"/>
    </row>
    <row r="19433" spans="5:5">
      <c r="E19433" s="51"/>
    </row>
    <row r="19434" spans="5:5">
      <c r="E19434" s="51"/>
    </row>
    <row r="19435" spans="5:5">
      <c r="E19435" s="51"/>
    </row>
    <row r="19436" spans="5:5">
      <c r="E19436" s="51"/>
    </row>
    <row r="19437" spans="5:5">
      <c r="E19437" s="51"/>
    </row>
    <row r="19438" spans="5:5">
      <c r="E19438" s="51"/>
    </row>
    <row r="19439" spans="5:5">
      <c r="E19439" s="51"/>
    </row>
    <row r="19440" spans="5:5">
      <c r="E19440" s="51"/>
    </row>
    <row r="19441" spans="5:5">
      <c r="E19441" s="51"/>
    </row>
    <row r="19442" spans="5:5">
      <c r="E19442" s="51"/>
    </row>
    <row r="19443" spans="5:5">
      <c r="E19443" s="51"/>
    </row>
    <row r="19444" spans="5:5">
      <c r="E19444" s="51"/>
    </row>
    <row r="19445" spans="5:5">
      <c r="E19445" s="51"/>
    </row>
    <row r="19446" spans="5:5">
      <c r="E19446" s="51"/>
    </row>
    <row r="19447" spans="5:5">
      <c r="E19447" s="51"/>
    </row>
    <row r="19448" spans="5:5">
      <c r="E19448" s="51"/>
    </row>
    <row r="19449" spans="5:5">
      <c r="E19449" s="51"/>
    </row>
    <row r="19450" spans="5:5">
      <c r="E19450" s="51"/>
    </row>
    <row r="19451" spans="5:5">
      <c r="E19451" s="51"/>
    </row>
    <row r="19452" spans="5:5">
      <c r="E19452" s="51"/>
    </row>
    <row r="19453" spans="5:5">
      <c r="E19453" s="51"/>
    </row>
    <row r="19454" spans="5:5">
      <c r="E19454" s="51"/>
    </row>
    <row r="19455" spans="5:5">
      <c r="E19455" s="51"/>
    </row>
    <row r="19456" spans="5:5">
      <c r="E19456" s="51"/>
    </row>
    <row r="19457" spans="5:5">
      <c r="E19457" s="51"/>
    </row>
    <row r="19458" spans="5:5">
      <c r="E19458" s="51"/>
    </row>
    <row r="19459" spans="5:5">
      <c r="E19459" s="51"/>
    </row>
    <row r="19460" spans="5:5">
      <c r="E19460" s="51"/>
    </row>
    <row r="19461" spans="5:5">
      <c r="E19461" s="51"/>
    </row>
    <row r="19462" spans="5:5">
      <c r="E19462" s="51"/>
    </row>
    <row r="19463" spans="5:5">
      <c r="E19463" s="51"/>
    </row>
    <row r="19464" spans="5:5">
      <c r="E19464" s="51"/>
    </row>
    <row r="19465" spans="5:5">
      <c r="E19465" s="51"/>
    </row>
    <row r="19466" spans="5:5">
      <c r="E19466" s="51"/>
    </row>
    <row r="19467" spans="5:5">
      <c r="E19467" s="51"/>
    </row>
    <row r="19468" spans="5:5">
      <c r="E19468" s="51"/>
    </row>
    <row r="19469" spans="5:5">
      <c r="E19469" s="51"/>
    </row>
    <row r="19470" spans="5:5">
      <c r="E19470" s="51"/>
    </row>
    <row r="19471" spans="5:5">
      <c r="E19471" s="51"/>
    </row>
    <row r="19472" spans="5:5">
      <c r="E19472" s="51"/>
    </row>
    <row r="19473" spans="5:5">
      <c r="E19473" s="51"/>
    </row>
    <row r="19474" spans="5:5">
      <c r="E19474" s="51"/>
    </row>
    <row r="19475" spans="5:5">
      <c r="E19475" s="51"/>
    </row>
    <row r="19476" spans="5:5">
      <c r="E19476" s="51"/>
    </row>
    <row r="19477" spans="5:5">
      <c r="E19477" s="51"/>
    </row>
    <row r="19478" spans="5:5">
      <c r="E19478" s="51"/>
    </row>
    <row r="19479" spans="5:5">
      <c r="E19479" s="51"/>
    </row>
    <row r="19480" spans="5:5">
      <c r="E19480" s="51"/>
    </row>
    <row r="19481" spans="5:5">
      <c r="E19481" s="51"/>
    </row>
    <row r="19482" spans="5:5">
      <c r="E19482" s="51"/>
    </row>
    <row r="19483" spans="5:5">
      <c r="E19483" s="51"/>
    </row>
    <row r="19484" spans="5:5">
      <c r="E19484" s="51"/>
    </row>
    <row r="19485" spans="5:5">
      <c r="E19485" s="51"/>
    </row>
    <row r="19486" spans="5:5">
      <c r="E19486" s="51"/>
    </row>
    <row r="19487" spans="5:5">
      <c r="E19487" s="51"/>
    </row>
    <row r="19488" spans="5:5">
      <c r="E19488" s="51"/>
    </row>
    <row r="19489" spans="5:5">
      <c r="E19489" s="51"/>
    </row>
    <row r="19490" spans="5:5">
      <c r="E19490" s="51"/>
    </row>
    <row r="19491" spans="5:5">
      <c r="E19491" s="51"/>
    </row>
    <row r="19492" spans="5:5">
      <c r="E19492" s="51"/>
    </row>
    <row r="19493" spans="5:5">
      <c r="E19493" s="51"/>
    </row>
    <row r="19494" spans="5:5">
      <c r="E19494" s="51"/>
    </row>
    <row r="19495" spans="5:5">
      <c r="E19495" s="51"/>
    </row>
    <row r="19496" spans="5:5">
      <c r="E19496" s="51"/>
    </row>
    <row r="19497" spans="5:5">
      <c r="E19497" s="51"/>
    </row>
    <row r="19498" spans="5:5">
      <c r="E19498" s="51"/>
    </row>
    <row r="19499" spans="5:5">
      <c r="E19499" s="51"/>
    </row>
    <row r="19500" spans="5:5">
      <c r="E19500" s="51"/>
    </row>
    <row r="19501" spans="5:5">
      <c r="E19501" s="51"/>
    </row>
    <row r="19502" spans="5:5">
      <c r="E19502" s="51"/>
    </row>
    <row r="19503" spans="5:5">
      <c r="E19503" s="51"/>
    </row>
    <row r="19504" spans="5:5">
      <c r="E19504" s="51"/>
    </row>
    <row r="19505" spans="5:5">
      <c r="E19505" s="51"/>
    </row>
    <row r="19506" spans="5:5">
      <c r="E19506" s="51"/>
    </row>
    <row r="19507" spans="5:5">
      <c r="E19507" s="51"/>
    </row>
    <row r="19508" spans="5:5">
      <c r="E19508" s="51"/>
    </row>
    <row r="19509" spans="5:5">
      <c r="E19509" s="51"/>
    </row>
    <row r="19510" spans="5:5">
      <c r="E19510" s="51"/>
    </row>
    <row r="19511" spans="5:5">
      <c r="E19511" s="51"/>
    </row>
    <row r="19512" spans="5:5">
      <c r="E19512" s="51"/>
    </row>
    <row r="19513" spans="5:5">
      <c r="E19513" s="51"/>
    </row>
    <row r="19514" spans="5:5">
      <c r="E19514" s="51"/>
    </row>
    <row r="19515" spans="5:5">
      <c r="E19515" s="51"/>
    </row>
    <row r="19516" spans="5:5">
      <c r="E19516" s="51"/>
    </row>
    <row r="19517" spans="5:5">
      <c r="E19517" s="51"/>
    </row>
    <row r="19518" spans="5:5">
      <c r="E19518" s="51"/>
    </row>
    <row r="19519" spans="5:5">
      <c r="E19519" s="51"/>
    </row>
    <row r="19520" spans="5:5">
      <c r="E19520" s="51"/>
    </row>
    <row r="19521" spans="5:5">
      <c r="E19521" s="51"/>
    </row>
    <row r="19522" spans="5:5">
      <c r="E19522" s="51"/>
    </row>
    <row r="19523" spans="5:5">
      <c r="E19523" s="51"/>
    </row>
    <row r="19524" spans="5:5">
      <c r="E19524" s="51"/>
    </row>
    <row r="19525" spans="5:5">
      <c r="E19525" s="51"/>
    </row>
    <row r="19526" spans="5:5">
      <c r="E19526" s="51"/>
    </row>
    <row r="19527" spans="5:5">
      <c r="E19527" s="51"/>
    </row>
    <row r="19528" spans="5:5">
      <c r="E19528" s="51"/>
    </row>
    <row r="19529" spans="5:5">
      <c r="E19529" s="51"/>
    </row>
    <row r="19530" spans="5:5">
      <c r="E19530" s="51"/>
    </row>
    <row r="19531" spans="5:5">
      <c r="E19531" s="51"/>
    </row>
    <row r="19532" spans="5:5">
      <c r="E19532" s="51"/>
    </row>
    <row r="19533" spans="5:5">
      <c r="E19533" s="51"/>
    </row>
    <row r="19534" spans="5:5">
      <c r="E19534" s="51"/>
    </row>
    <row r="19535" spans="5:5">
      <c r="E19535" s="51"/>
    </row>
    <row r="19536" spans="5:5">
      <c r="E19536" s="51"/>
    </row>
    <row r="19537" spans="5:5">
      <c r="E19537" s="51"/>
    </row>
    <row r="19538" spans="5:5">
      <c r="E19538" s="51"/>
    </row>
    <row r="19539" spans="5:5">
      <c r="E19539" s="51"/>
    </row>
    <row r="19540" spans="5:5">
      <c r="E19540" s="51"/>
    </row>
    <row r="19541" spans="5:5">
      <c r="E19541" s="51"/>
    </row>
    <row r="19542" spans="5:5">
      <c r="E19542" s="51"/>
    </row>
    <row r="19543" spans="5:5">
      <c r="E19543" s="51"/>
    </row>
    <row r="19544" spans="5:5">
      <c r="E19544" s="51"/>
    </row>
    <row r="19545" spans="5:5">
      <c r="E19545" s="51"/>
    </row>
    <row r="19546" spans="5:5">
      <c r="E19546" s="51"/>
    </row>
    <row r="19547" spans="5:5">
      <c r="E19547" s="51"/>
    </row>
    <row r="19548" spans="5:5">
      <c r="E19548" s="51"/>
    </row>
    <row r="19549" spans="5:5">
      <c r="E19549" s="51"/>
    </row>
    <row r="19550" spans="5:5">
      <c r="E19550" s="51"/>
    </row>
    <row r="19551" spans="5:5">
      <c r="E19551" s="51"/>
    </row>
    <row r="19552" spans="5:5">
      <c r="E19552" s="51"/>
    </row>
    <row r="19553" spans="5:5">
      <c r="E19553" s="51"/>
    </row>
    <row r="19554" spans="5:5">
      <c r="E19554" s="51"/>
    </row>
    <row r="19555" spans="5:5">
      <c r="E19555" s="51"/>
    </row>
    <row r="19556" spans="5:5">
      <c r="E19556" s="51"/>
    </row>
    <row r="19557" spans="5:5">
      <c r="E19557" s="51"/>
    </row>
    <row r="19558" spans="5:5">
      <c r="E19558" s="51"/>
    </row>
    <row r="19559" spans="5:5">
      <c r="E19559" s="51"/>
    </row>
    <row r="19560" spans="5:5">
      <c r="E19560" s="51"/>
    </row>
    <row r="19561" spans="5:5">
      <c r="E19561" s="51"/>
    </row>
    <row r="19562" spans="5:5">
      <c r="E19562" s="51"/>
    </row>
    <row r="19563" spans="5:5">
      <c r="E19563" s="51"/>
    </row>
    <row r="19564" spans="5:5">
      <c r="E19564" s="51"/>
    </row>
    <row r="19565" spans="5:5">
      <c r="E19565" s="51"/>
    </row>
    <row r="19566" spans="5:5">
      <c r="E19566" s="51"/>
    </row>
    <row r="19567" spans="5:5">
      <c r="E19567" s="51"/>
    </row>
    <row r="19568" spans="5:5">
      <c r="E19568" s="51"/>
    </row>
    <row r="19569" spans="5:5">
      <c r="E19569" s="51"/>
    </row>
    <row r="19570" spans="5:5">
      <c r="E19570" s="51"/>
    </row>
    <row r="19571" spans="5:5">
      <c r="E19571" s="51"/>
    </row>
    <row r="19572" spans="5:5">
      <c r="E19572" s="51"/>
    </row>
    <row r="19573" spans="5:5">
      <c r="E19573" s="51"/>
    </row>
    <row r="19574" spans="5:5">
      <c r="E19574" s="51"/>
    </row>
    <row r="19575" spans="5:5">
      <c r="E19575" s="51"/>
    </row>
    <row r="19576" spans="5:5">
      <c r="E19576" s="51"/>
    </row>
    <row r="19577" spans="5:5">
      <c r="E19577" s="51"/>
    </row>
    <row r="19578" spans="5:5">
      <c r="E19578" s="51"/>
    </row>
    <row r="19579" spans="5:5">
      <c r="E19579" s="51"/>
    </row>
    <row r="19580" spans="5:5">
      <c r="E19580" s="51"/>
    </row>
    <row r="19581" spans="5:5">
      <c r="E19581" s="51"/>
    </row>
    <row r="19582" spans="5:5">
      <c r="E19582" s="51"/>
    </row>
    <row r="19583" spans="5:5">
      <c r="E19583" s="51"/>
    </row>
    <row r="19584" spans="5:5">
      <c r="E19584" s="51"/>
    </row>
    <row r="19585" spans="5:5">
      <c r="E19585" s="51"/>
    </row>
    <row r="19586" spans="5:5">
      <c r="E19586" s="51"/>
    </row>
    <row r="19587" spans="5:5">
      <c r="E19587" s="51"/>
    </row>
    <row r="19588" spans="5:5">
      <c r="E19588" s="51"/>
    </row>
    <row r="19589" spans="5:5">
      <c r="E19589" s="51"/>
    </row>
    <row r="19590" spans="5:5">
      <c r="E19590" s="51"/>
    </row>
    <row r="19591" spans="5:5">
      <c r="E19591" s="51"/>
    </row>
    <row r="19592" spans="5:5">
      <c r="E19592" s="51"/>
    </row>
    <row r="19593" spans="5:5">
      <c r="E19593" s="51"/>
    </row>
    <row r="19594" spans="5:5">
      <c r="E19594" s="51"/>
    </row>
    <row r="19595" spans="5:5">
      <c r="E19595" s="51"/>
    </row>
    <row r="19596" spans="5:5">
      <c r="E19596" s="51"/>
    </row>
    <row r="19597" spans="5:5">
      <c r="E19597" s="51"/>
    </row>
    <row r="19598" spans="5:5">
      <c r="E19598" s="51"/>
    </row>
    <row r="19599" spans="5:5">
      <c r="E19599" s="51"/>
    </row>
    <row r="19600" spans="5:5">
      <c r="E19600" s="51"/>
    </row>
    <row r="19601" spans="5:5">
      <c r="E19601" s="51"/>
    </row>
    <row r="19602" spans="5:5">
      <c r="E19602" s="51"/>
    </row>
    <row r="19603" spans="5:5">
      <c r="E19603" s="51"/>
    </row>
    <row r="19604" spans="5:5">
      <c r="E19604" s="51"/>
    </row>
    <row r="19605" spans="5:5">
      <c r="E19605" s="51"/>
    </row>
    <row r="19606" spans="5:5">
      <c r="E19606" s="51"/>
    </row>
    <row r="19607" spans="5:5">
      <c r="E19607" s="51"/>
    </row>
    <row r="19608" spans="5:5">
      <c r="E19608" s="51"/>
    </row>
    <row r="19609" spans="5:5">
      <c r="E19609" s="51"/>
    </row>
    <row r="19610" spans="5:5">
      <c r="E19610" s="51"/>
    </row>
    <row r="19611" spans="5:5">
      <c r="E19611" s="51"/>
    </row>
    <row r="19612" spans="5:5">
      <c r="E19612" s="51"/>
    </row>
    <row r="19613" spans="5:5">
      <c r="E19613" s="51"/>
    </row>
    <row r="19614" spans="5:5">
      <c r="E19614" s="51"/>
    </row>
    <row r="19615" spans="5:5">
      <c r="E19615" s="51"/>
    </row>
    <row r="19616" spans="5:5">
      <c r="E19616" s="51"/>
    </row>
    <row r="19617" spans="5:5">
      <c r="E19617" s="51"/>
    </row>
    <row r="19618" spans="5:5">
      <c r="E19618" s="51"/>
    </row>
    <row r="19619" spans="5:5">
      <c r="E19619" s="51"/>
    </row>
    <row r="19620" spans="5:5">
      <c r="E19620" s="51"/>
    </row>
    <row r="19621" spans="5:5">
      <c r="E19621" s="51"/>
    </row>
    <row r="19622" spans="5:5">
      <c r="E19622" s="51"/>
    </row>
    <row r="19623" spans="5:5">
      <c r="E19623" s="51"/>
    </row>
    <row r="19624" spans="5:5">
      <c r="E19624" s="51"/>
    </row>
    <row r="19625" spans="5:5">
      <c r="E19625" s="51"/>
    </row>
    <row r="19626" spans="5:5">
      <c r="E19626" s="51"/>
    </row>
    <row r="19627" spans="5:5">
      <c r="E19627" s="51"/>
    </row>
    <row r="19628" spans="5:5">
      <c r="E19628" s="51"/>
    </row>
    <row r="19629" spans="5:5">
      <c r="E19629" s="51"/>
    </row>
    <row r="19630" spans="5:5">
      <c r="E19630" s="51"/>
    </row>
    <row r="19631" spans="5:5">
      <c r="E19631" s="51"/>
    </row>
    <row r="19632" spans="5:5">
      <c r="E19632" s="51"/>
    </row>
    <row r="19633" spans="5:5">
      <c r="E19633" s="51"/>
    </row>
    <row r="19634" spans="5:5">
      <c r="E19634" s="51"/>
    </row>
    <row r="19635" spans="5:5">
      <c r="E19635" s="51"/>
    </row>
    <row r="19636" spans="5:5">
      <c r="E19636" s="51"/>
    </row>
    <row r="19637" spans="5:5">
      <c r="E19637" s="51"/>
    </row>
    <row r="19638" spans="5:5">
      <c r="E19638" s="51"/>
    </row>
    <row r="19639" spans="5:5">
      <c r="E19639" s="51"/>
    </row>
    <row r="19640" spans="5:5">
      <c r="E19640" s="51"/>
    </row>
    <row r="19641" spans="5:5">
      <c r="E19641" s="51"/>
    </row>
    <row r="19642" spans="5:5">
      <c r="E19642" s="51"/>
    </row>
    <row r="19643" spans="5:5">
      <c r="E19643" s="51"/>
    </row>
    <row r="19644" spans="5:5">
      <c r="E19644" s="51"/>
    </row>
    <row r="19645" spans="5:5">
      <c r="E19645" s="51"/>
    </row>
    <row r="19646" spans="5:5">
      <c r="E19646" s="51"/>
    </row>
    <row r="19647" spans="5:5">
      <c r="E19647" s="51"/>
    </row>
    <row r="19648" spans="5:5">
      <c r="E19648" s="51"/>
    </row>
    <row r="19649" spans="5:5">
      <c r="E19649" s="51"/>
    </row>
    <row r="19650" spans="5:5">
      <c r="E19650" s="51"/>
    </row>
    <row r="19651" spans="5:5">
      <c r="E19651" s="51"/>
    </row>
    <row r="19652" spans="5:5">
      <c r="E19652" s="51"/>
    </row>
    <row r="19653" spans="5:5">
      <c r="E19653" s="51"/>
    </row>
    <row r="19654" spans="5:5">
      <c r="E19654" s="51"/>
    </row>
    <row r="19655" spans="5:5">
      <c r="E19655" s="51"/>
    </row>
    <row r="19656" spans="5:5">
      <c r="E19656" s="51"/>
    </row>
    <row r="19657" spans="5:5">
      <c r="E19657" s="51"/>
    </row>
    <row r="19658" spans="5:5">
      <c r="E19658" s="51"/>
    </row>
    <row r="19659" spans="5:5">
      <c r="E19659" s="51"/>
    </row>
    <row r="19660" spans="5:5">
      <c r="E19660" s="51"/>
    </row>
    <row r="19661" spans="5:5">
      <c r="E19661" s="51"/>
    </row>
    <row r="19662" spans="5:5">
      <c r="E19662" s="51"/>
    </row>
    <row r="19663" spans="5:5">
      <c r="E19663" s="51"/>
    </row>
    <row r="19664" spans="5:5">
      <c r="E19664" s="51"/>
    </row>
    <row r="19665" spans="5:5">
      <c r="E19665" s="51"/>
    </row>
    <row r="19666" spans="5:5">
      <c r="E19666" s="51"/>
    </row>
    <row r="19667" spans="5:5">
      <c r="E19667" s="51"/>
    </row>
    <row r="19668" spans="5:5">
      <c r="E19668" s="51"/>
    </row>
    <row r="19669" spans="5:5">
      <c r="E19669" s="51"/>
    </row>
    <row r="19670" spans="5:5">
      <c r="E19670" s="51"/>
    </row>
    <row r="19671" spans="5:5">
      <c r="E19671" s="51"/>
    </row>
    <row r="19672" spans="5:5">
      <c r="E19672" s="51"/>
    </row>
    <row r="19673" spans="5:5">
      <c r="E19673" s="51"/>
    </row>
    <row r="19674" spans="5:5">
      <c r="E19674" s="51"/>
    </row>
    <row r="19675" spans="5:5">
      <c r="E19675" s="51"/>
    </row>
    <row r="19676" spans="5:5">
      <c r="E19676" s="51"/>
    </row>
    <row r="19677" spans="5:5">
      <c r="E19677" s="51"/>
    </row>
    <row r="19678" spans="5:5">
      <c r="E19678" s="51"/>
    </row>
    <row r="19679" spans="5:5">
      <c r="E19679" s="51"/>
    </row>
    <row r="19680" spans="5:5">
      <c r="E19680" s="51"/>
    </row>
    <row r="19681" spans="5:5">
      <c r="E19681" s="51"/>
    </row>
    <row r="19682" spans="5:5">
      <c r="E19682" s="51"/>
    </row>
    <row r="19683" spans="5:5">
      <c r="E19683" s="51"/>
    </row>
    <row r="19684" spans="5:5">
      <c r="E19684" s="51"/>
    </row>
    <row r="19685" spans="5:5">
      <c r="E19685" s="51"/>
    </row>
    <row r="19686" spans="5:5">
      <c r="E19686" s="51"/>
    </row>
    <row r="19687" spans="5:5">
      <c r="E19687" s="51"/>
    </row>
    <row r="19688" spans="5:5">
      <c r="E19688" s="51"/>
    </row>
    <row r="19689" spans="5:5">
      <c r="E19689" s="51"/>
    </row>
    <row r="19690" spans="5:5">
      <c r="E19690" s="51"/>
    </row>
    <row r="19691" spans="5:5">
      <c r="E19691" s="51"/>
    </row>
    <row r="19692" spans="5:5">
      <c r="E19692" s="51"/>
    </row>
    <row r="19693" spans="5:5">
      <c r="E19693" s="51"/>
    </row>
    <row r="19694" spans="5:5">
      <c r="E19694" s="51"/>
    </row>
    <row r="19695" spans="5:5">
      <c r="E19695" s="51"/>
    </row>
    <row r="19696" spans="5:5">
      <c r="E19696" s="51"/>
    </row>
    <row r="19697" spans="5:5">
      <c r="E19697" s="51"/>
    </row>
    <row r="19698" spans="5:5">
      <c r="E19698" s="51"/>
    </row>
    <row r="19699" spans="5:5">
      <c r="E19699" s="51"/>
    </row>
    <row r="19700" spans="5:5">
      <c r="E19700" s="51"/>
    </row>
    <row r="19701" spans="5:5">
      <c r="E19701" s="51"/>
    </row>
    <row r="19702" spans="5:5">
      <c r="E19702" s="51"/>
    </row>
    <row r="19703" spans="5:5">
      <c r="E19703" s="51"/>
    </row>
    <row r="19704" spans="5:5">
      <c r="E19704" s="51"/>
    </row>
    <row r="19705" spans="5:5">
      <c r="E19705" s="51"/>
    </row>
    <row r="19706" spans="5:5">
      <c r="E19706" s="51"/>
    </row>
    <row r="19707" spans="5:5">
      <c r="E19707" s="51"/>
    </row>
    <row r="19708" spans="5:5">
      <c r="E19708" s="51"/>
    </row>
    <row r="19709" spans="5:5">
      <c r="E19709" s="51"/>
    </row>
    <row r="19710" spans="5:5">
      <c r="E19710" s="51"/>
    </row>
    <row r="19711" spans="5:5">
      <c r="E19711" s="51"/>
    </row>
    <row r="19712" spans="5:5">
      <c r="E19712" s="51"/>
    </row>
    <row r="19713" spans="5:5">
      <c r="E19713" s="51"/>
    </row>
    <row r="19714" spans="5:5">
      <c r="E19714" s="51"/>
    </row>
    <row r="19715" spans="5:5">
      <c r="E19715" s="51"/>
    </row>
    <row r="19716" spans="5:5">
      <c r="E19716" s="51"/>
    </row>
    <row r="19717" spans="5:5">
      <c r="E19717" s="51"/>
    </row>
    <row r="19718" spans="5:5">
      <c r="E19718" s="51"/>
    </row>
    <row r="19719" spans="5:5">
      <c r="E19719" s="51"/>
    </row>
    <row r="19720" spans="5:5">
      <c r="E19720" s="51"/>
    </row>
    <row r="19721" spans="5:5">
      <c r="E19721" s="51"/>
    </row>
    <row r="19722" spans="5:5">
      <c r="E19722" s="51"/>
    </row>
    <row r="19723" spans="5:5">
      <c r="E19723" s="51"/>
    </row>
    <row r="19724" spans="5:5">
      <c r="E19724" s="51"/>
    </row>
    <row r="19725" spans="5:5">
      <c r="E19725" s="51"/>
    </row>
    <row r="19726" spans="5:5">
      <c r="E19726" s="51"/>
    </row>
    <row r="19727" spans="5:5">
      <c r="E19727" s="51"/>
    </row>
    <row r="19728" spans="5:5">
      <c r="E19728" s="51"/>
    </row>
    <row r="19729" spans="5:5">
      <c r="E19729" s="51"/>
    </row>
    <row r="19730" spans="5:5">
      <c r="E19730" s="51"/>
    </row>
    <row r="19731" spans="5:5">
      <c r="E19731" s="51"/>
    </row>
    <row r="19732" spans="5:5">
      <c r="E19732" s="51"/>
    </row>
    <row r="19733" spans="5:5">
      <c r="E19733" s="51"/>
    </row>
    <row r="19734" spans="5:5">
      <c r="E19734" s="51"/>
    </row>
    <row r="19735" spans="5:5">
      <c r="E19735" s="51"/>
    </row>
    <row r="19736" spans="5:5">
      <c r="E19736" s="51"/>
    </row>
    <row r="19737" spans="5:5">
      <c r="E19737" s="51"/>
    </row>
    <row r="19738" spans="5:5">
      <c r="E19738" s="51"/>
    </row>
    <row r="19739" spans="5:5">
      <c r="E19739" s="51"/>
    </row>
    <row r="19740" spans="5:5">
      <c r="E19740" s="51"/>
    </row>
    <row r="19741" spans="5:5">
      <c r="E19741" s="51"/>
    </row>
    <row r="19742" spans="5:5">
      <c r="E19742" s="51"/>
    </row>
    <row r="19743" spans="5:5">
      <c r="E19743" s="51"/>
    </row>
    <row r="19744" spans="5:5">
      <c r="E19744" s="51"/>
    </row>
    <row r="19745" spans="5:5">
      <c r="E19745" s="51"/>
    </row>
    <row r="19746" spans="5:5">
      <c r="E19746" s="51"/>
    </row>
    <row r="19747" spans="5:5">
      <c r="E19747" s="51"/>
    </row>
    <row r="19748" spans="5:5">
      <c r="E19748" s="51"/>
    </row>
    <row r="19749" spans="5:5">
      <c r="E19749" s="51"/>
    </row>
    <row r="19750" spans="5:5">
      <c r="E19750" s="51"/>
    </row>
    <row r="19751" spans="5:5">
      <c r="E19751" s="51"/>
    </row>
    <row r="19752" spans="5:5">
      <c r="E19752" s="51"/>
    </row>
    <row r="19753" spans="5:5">
      <c r="E19753" s="51"/>
    </row>
    <row r="19754" spans="5:5">
      <c r="E19754" s="51"/>
    </row>
    <row r="19755" spans="5:5">
      <c r="E19755" s="51"/>
    </row>
    <row r="19756" spans="5:5">
      <c r="E19756" s="51"/>
    </row>
    <row r="19757" spans="5:5">
      <c r="E19757" s="51"/>
    </row>
    <row r="19758" spans="5:5">
      <c r="E19758" s="51"/>
    </row>
    <row r="19759" spans="5:5">
      <c r="E19759" s="51"/>
    </row>
    <row r="19760" spans="5:5">
      <c r="E19760" s="51"/>
    </row>
    <row r="19761" spans="5:5">
      <c r="E19761" s="51"/>
    </row>
    <row r="19762" spans="5:5">
      <c r="E19762" s="51"/>
    </row>
    <row r="19763" spans="5:5">
      <c r="E19763" s="51"/>
    </row>
    <row r="19764" spans="5:5">
      <c r="E19764" s="51"/>
    </row>
    <row r="19765" spans="5:5">
      <c r="E19765" s="51"/>
    </row>
    <row r="19766" spans="5:5">
      <c r="E19766" s="51"/>
    </row>
    <row r="19767" spans="5:5">
      <c r="E19767" s="51"/>
    </row>
    <row r="19768" spans="5:5">
      <c r="E19768" s="51"/>
    </row>
    <row r="19769" spans="5:5">
      <c r="E19769" s="51"/>
    </row>
    <row r="19770" spans="5:5">
      <c r="E19770" s="51"/>
    </row>
    <row r="19771" spans="5:5">
      <c r="E19771" s="51"/>
    </row>
    <row r="19772" spans="5:5">
      <c r="E19772" s="51"/>
    </row>
    <row r="19773" spans="5:5">
      <c r="E19773" s="51"/>
    </row>
    <row r="19774" spans="5:5">
      <c r="E19774" s="51"/>
    </row>
    <row r="19775" spans="5:5">
      <c r="E19775" s="51"/>
    </row>
    <row r="19776" spans="5:5">
      <c r="E19776" s="51"/>
    </row>
    <row r="19777" spans="5:5">
      <c r="E19777" s="51"/>
    </row>
    <row r="19778" spans="5:5">
      <c r="E19778" s="51"/>
    </row>
    <row r="19779" spans="5:5">
      <c r="E19779" s="51"/>
    </row>
    <row r="19780" spans="5:5">
      <c r="E19780" s="51"/>
    </row>
    <row r="19781" spans="5:5">
      <c r="E19781" s="51"/>
    </row>
    <row r="19782" spans="5:5">
      <c r="E19782" s="51"/>
    </row>
    <row r="19783" spans="5:5">
      <c r="E19783" s="51"/>
    </row>
    <row r="19784" spans="5:5">
      <c r="E19784" s="51"/>
    </row>
    <row r="19785" spans="5:5">
      <c r="E19785" s="51"/>
    </row>
    <row r="19786" spans="5:5">
      <c r="E19786" s="51"/>
    </row>
    <row r="19787" spans="5:5">
      <c r="E19787" s="51"/>
    </row>
    <row r="19788" spans="5:5">
      <c r="E19788" s="51"/>
    </row>
    <row r="19789" spans="5:5">
      <c r="E19789" s="51"/>
    </row>
    <row r="19790" spans="5:5">
      <c r="E19790" s="51"/>
    </row>
    <row r="19791" spans="5:5">
      <c r="E19791" s="51"/>
    </row>
    <row r="19792" spans="5:5">
      <c r="E19792" s="51"/>
    </row>
    <row r="19793" spans="5:5">
      <c r="E19793" s="51"/>
    </row>
    <row r="19794" spans="5:5">
      <c r="E19794" s="51"/>
    </row>
    <row r="19795" spans="5:5">
      <c r="E19795" s="51"/>
    </row>
    <row r="19796" spans="5:5">
      <c r="E19796" s="51"/>
    </row>
    <row r="19797" spans="5:5">
      <c r="E19797" s="51"/>
    </row>
    <row r="19798" spans="5:5">
      <c r="E19798" s="51"/>
    </row>
    <row r="19799" spans="5:5">
      <c r="E19799" s="51"/>
    </row>
    <row r="19800" spans="5:5">
      <c r="E19800" s="51"/>
    </row>
    <row r="19801" spans="5:5">
      <c r="E19801" s="51"/>
    </row>
    <row r="19802" spans="5:5">
      <c r="E19802" s="51"/>
    </row>
    <row r="19803" spans="5:5">
      <c r="E19803" s="51"/>
    </row>
    <row r="19804" spans="5:5">
      <c r="E19804" s="51"/>
    </row>
    <row r="19805" spans="5:5">
      <c r="E19805" s="51"/>
    </row>
    <row r="19806" spans="5:5">
      <c r="E19806" s="51"/>
    </row>
    <row r="19807" spans="5:5">
      <c r="E19807" s="51"/>
    </row>
    <row r="19808" spans="5:5">
      <c r="E19808" s="51"/>
    </row>
    <row r="19809" spans="5:5">
      <c r="E19809" s="51"/>
    </row>
    <row r="19810" spans="5:5">
      <c r="E19810" s="51"/>
    </row>
    <row r="19811" spans="5:5">
      <c r="E19811" s="51"/>
    </row>
    <row r="19812" spans="5:5">
      <c r="E19812" s="51"/>
    </row>
    <row r="19813" spans="5:5">
      <c r="E19813" s="51"/>
    </row>
    <row r="19814" spans="5:5">
      <c r="E19814" s="51"/>
    </row>
    <row r="19815" spans="5:5">
      <c r="E19815" s="51"/>
    </row>
    <row r="19816" spans="5:5">
      <c r="E19816" s="51"/>
    </row>
    <row r="19817" spans="5:5">
      <c r="E19817" s="51"/>
    </row>
    <row r="19818" spans="5:5">
      <c r="E19818" s="51"/>
    </row>
    <row r="19819" spans="5:5">
      <c r="E19819" s="51"/>
    </row>
    <row r="19820" spans="5:5">
      <c r="E19820" s="51"/>
    </row>
    <row r="19821" spans="5:5">
      <c r="E19821" s="51"/>
    </row>
    <row r="19822" spans="5:5">
      <c r="E19822" s="51"/>
    </row>
    <row r="19823" spans="5:5">
      <c r="E19823" s="51"/>
    </row>
    <row r="19824" spans="5:5">
      <c r="E19824" s="51"/>
    </row>
    <row r="19825" spans="5:5">
      <c r="E19825" s="51"/>
    </row>
    <row r="19826" spans="5:5">
      <c r="E19826" s="51"/>
    </row>
    <row r="19827" spans="5:5">
      <c r="E19827" s="51"/>
    </row>
    <row r="19828" spans="5:5">
      <c r="E19828" s="51"/>
    </row>
    <row r="19829" spans="5:5">
      <c r="E19829" s="51"/>
    </row>
    <row r="19830" spans="5:5">
      <c r="E19830" s="51"/>
    </row>
    <row r="19831" spans="5:5">
      <c r="E19831" s="51"/>
    </row>
    <row r="19832" spans="5:5">
      <c r="E19832" s="51"/>
    </row>
    <row r="19833" spans="5:5">
      <c r="E19833" s="51"/>
    </row>
    <row r="19834" spans="5:5">
      <c r="E19834" s="51"/>
    </row>
    <row r="19835" spans="5:5">
      <c r="E19835" s="51"/>
    </row>
    <row r="19836" spans="5:5">
      <c r="E19836" s="51"/>
    </row>
    <row r="19837" spans="5:5">
      <c r="E19837" s="51"/>
    </row>
    <row r="19838" spans="5:5">
      <c r="E19838" s="51"/>
    </row>
    <row r="19839" spans="5:5">
      <c r="E19839" s="51"/>
    </row>
    <row r="19840" spans="5:5">
      <c r="E19840" s="51"/>
    </row>
    <row r="19841" spans="5:5">
      <c r="E19841" s="51"/>
    </row>
    <row r="19842" spans="5:5">
      <c r="E19842" s="51"/>
    </row>
    <row r="19843" spans="5:5">
      <c r="E19843" s="51"/>
    </row>
    <row r="19844" spans="5:5">
      <c r="E19844" s="51"/>
    </row>
    <row r="19845" spans="5:5">
      <c r="E19845" s="51"/>
    </row>
    <row r="19846" spans="5:5">
      <c r="E19846" s="51"/>
    </row>
    <row r="19847" spans="5:5">
      <c r="E19847" s="51"/>
    </row>
    <row r="19848" spans="5:5">
      <c r="E19848" s="51"/>
    </row>
    <row r="19849" spans="5:5">
      <c r="E19849" s="51"/>
    </row>
    <row r="19850" spans="5:5">
      <c r="E19850" s="51"/>
    </row>
    <row r="19851" spans="5:5">
      <c r="E19851" s="51"/>
    </row>
    <row r="19852" spans="5:5">
      <c r="E19852" s="51"/>
    </row>
    <row r="19853" spans="5:5">
      <c r="E19853" s="51"/>
    </row>
    <row r="19854" spans="5:5">
      <c r="E19854" s="51"/>
    </row>
    <row r="19855" spans="5:5">
      <c r="E19855" s="51"/>
    </row>
    <row r="19856" spans="5:5">
      <c r="E19856" s="51"/>
    </row>
    <row r="19857" spans="5:5">
      <c r="E19857" s="51"/>
    </row>
    <row r="19858" spans="5:5">
      <c r="E19858" s="51"/>
    </row>
    <row r="19859" spans="5:5">
      <c r="E19859" s="51"/>
    </row>
    <row r="19860" spans="5:5">
      <c r="E19860" s="51"/>
    </row>
    <row r="19861" spans="5:5">
      <c r="E19861" s="51"/>
    </row>
    <row r="19862" spans="5:5">
      <c r="E19862" s="51"/>
    </row>
    <row r="19863" spans="5:5">
      <c r="E19863" s="51"/>
    </row>
    <row r="19864" spans="5:5">
      <c r="E19864" s="51"/>
    </row>
    <row r="19865" spans="5:5">
      <c r="E19865" s="51"/>
    </row>
    <row r="19866" spans="5:5">
      <c r="E19866" s="51"/>
    </row>
    <row r="19867" spans="5:5">
      <c r="E19867" s="51"/>
    </row>
    <row r="19868" spans="5:5">
      <c r="E19868" s="51"/>
    </row>
    <row r="19869" spans="5:5">
      <c r="E19869" s="51"/>
    </row>
    <row r="19870" spans="5:5">
      <c r="E19870" s="51"/>
    </row>
    <row r="19871" spans="5:5">
      <c r="E19871" s="51"/>
    </row>
    <row r="19872" spans="5:5">
      <c r="E19872" s="51"/>
    </row>
    <row r="19873" spans="5:5">
      <c r="E19873" s="51"/>
    </row>
    <row r="19874" spans="5:5">
      <c r="E19874" s="51"/>
    </row>
    <row r="19875" spans="5:5">
      <c r="E19875" s="51"/>
    </row>
    <row r="19876" spans="5:5">
      <c r="E19876" s="51"/>
    </row>
    <row r="19877" spans="5:5">
      <c r="E19877" s="51"/>
    </row>
    <row r="19878" spans="5:5">
      <c r="E19878" s="51"/>
    </row>
    <row r="19879" spans="5:5">
      <c r="E19879" s="51"/>
    </row>
    <row r="19880" spans="5:5">
      <c r="E19880" s="51"/>
    </row>
    <row r="19881" spans="5:5">
      <c r="E19881" s="51"/>
    </row>
    <row r="19882" spans="5:5">
      <c r="E19882" s="51"/>
    </row>
    <row r="19883" spans="5:5">
      <c r="E19883" s="51"/>
    </row>
    <row r="19884" spans="5:5">
      <c r="E19884" s="51"/>
    </row>
    <row r="19885" spans="5:5">
      <c r="E19885" s="51"/>
    </row>
    <row r="19886" spans="5:5">
      <c r="E19886" s="51"/>
    </row>
    <row r="19887" spans="5:5">
      <c r="E19887" s="51"/>
    </row>
    <row r="19888" spans="5:5">
      <c r="E19888" s="51"/>
    </row>
    <row r="19889" spans="5:5">
      <c r="E19889" s="51"/>
    </row>
    <row r="19890" spans="5:5">
      <c r="E19890" s="51"/>
    </row>
    <row r="19891" spans="5:5">
      <c r="E19891" s="51"/>
    </row>
    <row r="19892" spans="5:5">
      <c r="E19892" s="51"/>
    </row>
    <row r="19893" spans="5:5">
      <c r="E19893" s="51"/>
    </row>
    <row r="19894" spans="5:5">
      <c r="E19894" s="51"/>
    </row>
    <row r="19895" spans="5:5">
      <c r="E19895" s="51"/>
    </row>
    <row r="19896" spans="5:5">
      <c r="E19896" s="51"/>
    </row>
    <row r="19897" spans="5:5">
      <c r="E19897" s="51"/>
    </row>
    <row r="19898" spans="5:5">
      <c r="E19898" s="51"/>
    </row>
    <row r="19899" spans="5:5">
      <c r="E19899" s="51"/>
    </row>
    <row r="19900" spans="5:5">
      <c r="E19900" s="51"/>
    </row>
    <row r="19901" spans="5:5">
      <c r="E19901" s="51"/>
    </row>
    <row r="19902" spans="5:5">
      <c r="E19902" s="51"/>
    </row>
    <row r="19903" spans="5:5">
      <c r="E19903" s="51"/>
    </row>
    <row r="19904" spans="5:5">
      <c r="E19904" s="51"/>
    </row>
    <row r="19905" spans="5:5">
      <c r="E19905" s="51"/>
    </row>
    <row r="19906" spans="5:5">
      <c r="E19906" s="51"/>
    </row>
    <row r="19907" spans="5:5">
      <c r="E19907" s="51"/>
    </row>
    <row r="19908" spans="5:5">
      <c r="E19908" s="51"/>
    </row>
    <row r="19909" spans="5:5">
      <c r="E19909" s="51"/>
    </row>
    <row r="19910" spans="5:5">
      <c r="E19910" s="51"/>
    </row>
    <row r="19911" spans="5:5">
      <c r="E19911" s="51"/>
    </row>
    <row r="19912" spans="5:5">
      <c r="E19912" s="51"/>
    </row>
    <row r="19913" spans="5:5">
      <c r="E19913" s="51"/>
    </row>
    <row r="19914" spans="5:5">
      <c r="E19914" s="51"/>
    </row>
    <row r="19915" spans="5:5">
      <c r="E19915" s="51"/>
    </row>
    <row r="19916" spans="5:5">
      <c r="E19916" s="51"/>
    </row>
    <row r="19917" spans="5:5">
      <c r="E19917" s="51"/>
    </row>
    <row r="19918" spans="5:5">
      <c r="E19918" s="51"/>
    </row>
    <row r="19919" spans="5:5">
      <c r="E19919" s="51"/>
    </row>
    <row r="19920" spans="5:5">
      <c r="E19920" s="51"/>
    </row>
    <row r="19921" spans="5:5">
      <c r="E19921" s="51"/>
    </row>
    <row r="19922" spans="5:5">
      <c r="E19922" s="51"/>
    </row>
    <row r="19923" spans="5:5">
      <c r="E19923" s="51"/>
    </row>
    <row r="19924" spans="5:5">
      <c r="E19924" s="51"/>
    </row>
    <row r="19925" spans="5:5">
      <c r="E19925" s="51"/>
    </row>
    <row r="19926" spans="5:5">
      <c r="E19926" s="51"/>
    </row>
    <row r="19927" spans="5:5">
      <c r="E19927" s="51"/>
    </row>
    <row r="19928" spans="5:5">
      <c r="E19928" s="51"/>
    </row>
    <row r="19929" spans="5:5">
      <c r="E19929" s="51"/>
    </row>
    <row r="19930" spans="5:5">
      <c r="E19930" s="51"/>
    </row>
    <row r="19931" spans="5:5">
      <c r="E19931" s="51"/>
    </row>
    <row r="19932" spans="5:5">
      <c r="E19932" s="51"/>
    </row>
    <row r="19933" spans="5:5">
      <c r="E19933" s="51"/>
    </row>
    <row r="19934" spans="5:5">
      <c r="E19934" s="51"/>
    </row>
    <row r="19935" spans="5:5">
      <c r="E19935" s="51"/>
    </row>
    <row r="19936" spans="5:5">
      <c r="E19936" s="51"/>
    </row>
    <row r="19937" spans="5:5">
      <c r="E19937" s="51"/>
    </row>
    <row r="19938" spans="5:5">
      <c r="E19938" s="51"/>
    </row>
    <row r="19939" spans="5:5">
      <c r="E19939" s="51"/>
    </row>
    <row r="19940" spans="5:5">
      <c r="E19940" s="51"/>
    </row>
    <row r="19941" spans="5:5">
      <c r="E19941" s="51"/>
    </row>
    <row r="19942" spans="5:5">
      <c r="E19942" s="51"/>
    </row>
    <row r="19943" spans="5:5">
      <c r="E19943" s="51"/>
    </row>
    <row r="19944" spans="5:5">
      <c r="E19944" s="51"/>
    </row>
    <row r="19945" spans="5:5">
      <c r="E19945" s="51"/>
    </row>
    <row r="19946" spans="5:5">
      <c r="E19946" s="51"/>
    </row>
    <row r="19947" spans="5:5">
      <c r="E19947" s="51"/>
    </row>
    <row r="19948" spans="5:5">
      <c r="E19948" s="51"/>
    </row>
    <row r="19949" spans="5:5">
      <c r="E19949" s="51"/>
    </row>
    <row r="19950" spans="5:5">
      <c r="E19950" s="51"/>
    </row>
    <row r="19951" spans="5:5">
      <c r="E19951" s="51"/>
    </row>
    <row r="19952" spans="5:5">
      <c r="E19952" s="51"/>
    </row>
    <row r="19953" spans="5:5">
      <c r="E19953" s="51"/>
    </row>
    <row r="19954" spans="5:5">
      <c r="E19954" s="51"/>
    </row>
    <row r="19955" spans="5:5">
      <c r="E19955" s="51"/>
    </row>
    <row r="19956" spans="5:5">
      <c r="E19956" s="51"/>
    </row>
    <row r="19957" spans="5:5">
      <c r="E19957" s="51"/>
    </row>
    <row r="19958" spans="5:5">
      <c r="E19958" s="51"/>
    </row>
    <row r="19959" spans="5:5">
      <c r="E19959" s="51"/>
    </row>
    <row r="19960" spans="5:5">
      <c r="E19960" s="51"/>
    </row>
    <row r="19961" spans="5:5">
      <c r="E19961" s="51"/>
    </row>
    <row r="19962" spans="5:5">
      <c r="E19962" s="51"/>
    </row>
    <row r="19963" spans="5:5">
      <c r="E19963" s="51"/>
    </row>
    <row r="19964" spans="5:5">
      <c r="E19964" s="51"/>
    </row>
    <row r="19965" spans="5:5">
      <c r="E19965" s="51"/>
    </row>
    <row r="19966" spans="5:5">
      <c r="E19966" s="51"/>
    </row>
    <row r="19967" spans="5:5">
      <c r="E19967" s="51"/>
    </row>
    <row r="19968" spans="5:5">
      <c r="E19968" s="51"/>
    </row>
    <row r="19969" spans="5:5">
      <c r="E19969" s="51"/>
    </row>
    <row r="19970" spans="5:5">
      <c r="E19970" s="51"/>
    </row>
    <row r="19971" spans="5:5">
      <c r="E19971" s="51"/>
    </row>
    <row r="19972" spans="5:5">
      <c r="E19972" s="51"/>
    </row>
    <row r="19973" spans="5:5">
      <c r="E19973" s="51"/>
    </row>
    <row r="19974" spans="5:5">
      <c r="E19974" s="51"/>
    </row>
    <row r="19975" spans="5:5">
      <c r="E19975" s="51"/>
    </row>
    <row r="19976" spans="5:5">
      <c r="E19976" s="51"/>
    </row>
    <row r="19977" spans="5:5">
      <c r="E19977" s="51"/>
    </row>
    <row r="19978" spans="5:5">
      <c r="E19978" s="51"/>
    </row>
    <row r="19979" spans="5:5">
      <c r="E19979" s="51"/>
    </row>
    <row r="19980" spans="5:5">
      <c r="E19980" s="51"/>
    </row>
    <row r="19981" spans="5:5">
      <c r="E19981" s="51"/>
    </row>
    <row r="19982" spans="5:5">
      <c r="E19982" s="51"/>
    </row>
    <row r="19983" spans="5:5">
      <c r="E19983" s="51"/>
    </row>
    <row r="19984" spans="5:5">
      <c r="E19984" s="51"/>
    </row>
    <row r="19985" spans="5:5">
      <c r="E19985" s="51"/>
    </row>
    <row r="19986" spans="5:5">
      <c r="E19986" s="51"/>
    </row>
    <row r="19987" spans="5:5">
      <c r="E19987" s="51"/>
    </row>
    <row r="19988" spans="5:5">
      <c r="E19988" s="51"/>
    </row>
    <row r="19989" spans="5:5">
      <c r="E19989" s="51"/>
    </row>
    <row r="19990" spans="5:5">
      <c r="E19990" s="51"/>
    </row>
    <row r="19991" spans="5:5">
      <c r="E19991" s="51"/>
    </row>
    <row r="19992" spans="5:5">
      <c r="E19992" s="51"/>
    </row>
    <row r="19993" spans="5:5">
      <c r="E19993" s="51"/>
    </row>
    <row r="19994" spans="5:5">
      <c r="E19994" s="51"/>
    </row>
    <row r="19995" spans="5:5">
      <c r="E19995" s="51"/>
    </row>
    <row r="19996" spans="5:5">
      <c r="E19996" s="51"/>
    </row>
    <row r="19997" spans="5:5">
      <c r="E19997" s="51"/>
    </row>
    <row r="19998" spans="5:5">
      <c r="E19998" s="51"/>
    </row>
    <row r="19999" spans="5:5">
      <c r="E19999" s="51"/>
    </row>
    <row r="20000" spans="5:5">
      <c r="E20000" s="51"/>
    </row>
    <row r="20001" spans="5:5">
      <c r="E20001" s="51"/>
    </row>
    <row r="20002" spans="5:5">
      <c r="E20002" s="51"/>
    </row>
    <row r="20003" spans="5:5">
      <c r="E20003" s="51"/>
    </row>
    <row r="20004" spans="5:5">
      <c r="E20004" s="51"/>
    </row>
    <row r="20005" spans="5:5">
      <c r="E20005" s="51"/>
    </row>
    <row r="20006" spans="5:5">
      <c r="E20006" s="51"/>
    </row>
    <row r="20007" spans="5:5">
      <c r="E20007" s="51"/>
    </row>
    <row r="20008" spans="5:5">
      <c r="E20008" s="51"/>
    </row>
    <row r="20009" spans="5:5">
      <c r="E20009" s="51"/>
    </row>
    <row r="20010" spans="5:5">
      <c r="E20010" s="51"/>
    </row>
    <row r="20011" spans="5:5">
      <c r="E20011" s="51"/>
    </row>
    <row r="20012" spans="5:5">
      <c r="E20012" s="51"/>
    </row>
    <row r="20013" spans="5:5">
      <c r="E20013" s="51"/>
    </row>
    <row r="20014" spans="5:5">
      <c r="E20014" s="51"/>
    </row>
    <row r="20015" spans="5:5">
      <c r="E20015" s="51"/>
    </row>
    <row r="20016" spans="5:5">
      <c r="E20016" s="51"/>
    </row>
    <row r="20017" spans="5:5">
      <c r="E20017" s="51"/>
    </row>
    <row r="20018" spans="5:5">
      <c r="E20018" s="51"/>
    </row>
    <row r="20019" spans="5:5">
      <c r="E20019" s="51"/>
    </row>
    <row r="20020" spans="5:5">
      <c r="E20020" s="51"/>
    </row>
    <row r="20021" spans="5:5">
      <c r="E20021" s="51"/>
    </row>
    <row r="20022" spans="5:5">
      <c r="E20022" s="51"/>
    </row>
    <row r="20023" spans="5:5">
      <c r="E20023" s="51"/>
    </row>
    <row r="20024" spans="5:5">
      <c r="E20024" s="51"/>
    </row>
    <row r="20025" spans="5:5">
      <c r="E20025" s="51"/>
    </row>
    <row r="20026" spans="5:5">
      <c r="E20026" s="51"/>
    </row>
    <row r="20027" spans="5:5">
      <c r="E20027" s="51"/>
    </row>
    <row r="20028" spans="5:5">
      <c r="E20028" s="51"/>
    </row>
    <row r="20029" spans="5:5">
      <c r="E20029" s="51"/>
    </row>
    <row r="20030" spans="5:5">
      <c r="E20030" s="51"/>
    </row>
    <row r="20031" spans="5:5">
      <c r="E20031" s="51"/>
    </row>
    <row r="20032" spans="5:5">
      <c r="E20032" s="51"/>
    </row>
    <row r="20033" spans="5:5">
      <c r="E20033" s="51"/>
    </row>
    <row r="20034" spans="5:5">
      <c r="E20034" s="51"/>
    </row>
    <row r="20035" spans="5:5">
      <c r="E20035" s="51"/>
    </row>
    <row r="20036" spans="5:5">
      <c r="E20036" s="51"/>
    </row>
    <row r="20037" spans="5:5">
      <c r="E20037" s="51"/>
    </row>
    <row r="20038" spans="5:5">
      <c r="E20038" s="51"/>
    </row>
    <row r="20039" spans="5:5">
      <c r="E20039" s="51"/>
    </row>
    <row r="20040" spans="5:5">
      <c r="E20040" s="51"/>
    </row>
    <row r="20041" spans="5:5">
      <c r="E20041" s="51"/>
    </row>
    <row r="20042" spans="5:5">
      <c r="E20042" s="51"/>
    </row>
    <row r="20043" spans="5:5">
      <c r="E20043" s="51"/>
    </row>
    <row r="20044" spans="5:5">
      <c r="E20044" s="51"/>
    </row>
    <row r="20045" spans="5:5">
      <c r="E20045" s="51"/>
    </row>
    <row r="20046" spans="5:5">
      <c r="E20046" s="51"/>
    </row>
    <row r="20047" spans="5:5">
      <c r="E20047" s="51"/>
    </row>
    <row r="20048" spans="5:5">
      <c r="E20048" s="51"/>
    </row>
    <row r="20049" spans="5:5">
      <c r="E20049" s="51"/>
    </row>
    <row r="20050" spans="5:5">
      <c r="E20050" s="51"/>
    </row>
    <row r="20051" spans="5:5">
      <c r="E20051" s="51"/>
    </row>
    <row r="20052" spans="5:5">
      <c r="E20052" s="51"/>
    </row>
    <row r="20053" spans="5:5">
      <c r="E20053" s="51"/>
    </row>
    <row r="20054" spans="5:5">
      <c r="E20054" s="51"/>
    </row>
    <row r="20055" spans="5:5">
      <c r="E20055" s="51"/>
    </row>
    <row r="20056" spans="5:5">
      <c r="E20056" s="51"/>
    </row>
    <row r="20057" spans="5:5">
      <c r="E20057" s="51"/>
    </row>
    <row r="20058" spans="5:5">
      <c r="E20058" s="51"/>
    </row>
    <row r="20059" spans="5:5">
      <c r="E20059" s="51"/>
    </row>
    <row r="20060" spans="5:5">
      <c r="E20060" s="51"/>
    </row>
    <row r="20061" spans="5:5">
      <c r="E20061" s="51"/>
    </row>
    <row r="20062" spans="5:5">
      <c r="E20062" s="51"/>
    </row>
    <row r="20063" spans="5:5">
      <c r="E20063" s="51"/>
    </row>
    <row r="20064" spans="5:5">
      <c r="E20064" s="51"/>
    </row>
    <row r="20065" spans="5:5">
      <c r="E20065" s="51"/>
    </row>
    <row r="20066" spans="5:5">
      <c r="E20066" s="51"/>
    </row>
    <row r="20067" spans="5:5">
      <c r="E20067" s="51"/>
    </row>
    <row r="20068" spans="5:5">
      <c r="E20068" s="51"/>
    </row>
    <row r="20069" spans="5:5">
      <c r="E20069" s="51"/>
    </row>
    <row r="20070" spans="5:5">
      <c r="E20070" s="51"/>
    </row>
    <row r="20071" spans="5:5">
      <c r="E20071" s="51"/>
    </row>
    <row r="20072" spans="5:5">
      <c r="E20072" s="51"/>
    </row>
    <row r="20073" spans="5:5">
      <c r="E20073" s="51"/>
    </row>
    <row r="20074" spans="5:5">
      <c r="E20074" s="51"/>
    </row>
    <row r="20075" spans="5:5">
      <c r="E20075" s="51"/>
    </row>
    <row r="20076" spans="5:5">
      <c r="E20076" s="51"/>
    </row>
    <row r="20077" spans="5:5">
      <c r="E20077" s="51"/>
    </row>
    <row r="20078" spans="5:5">
      <c r="E20078" s="51"/>
    </row>
    <row r="20079" spans="5:5">
      <c r="E20079" s="51"/>
    </row>
    <row r="20080" spans="5:5">
      <c r="E20080" s="51"/>
    </row>
    <row r="20081" spans="5:5">
      <c r="E20081" s="51"/>
    </row>
    <row r="20082" spans="5:5">
      <c r="E20082" s="51"/>
    </row>
    <row r="20083" spans="5:5">
      <c r="E20083" s="51"/>
    </row>
    <row r="20084" spans="5:5">
      <c r="E20084" s="51"/>
    </row>
    <row r="20085" spans="5:5">
      <c r="E20085" s="51"/>
    </row>
    <row r="20086" spans="5:5">
      <c r="E20086" s="51"/>
    </row>
    <row r="20087" spans="5:5">
      <c r="E20087" s="51"/>
    </row>
    <row r="20088" spans="5:5">
      <c r="E20088" s="51"/>
    </row>
    <row r="20089" spans="5:5">
      <c r="E20089" s="51"/>
    </row>
    <row r="20090" spans="5:5">
      <c r="E20090" s="51"/>
    </row>
    <row r="20091" spans="5:5">
      <c r="E20091" s="51"/>
    </row>
    <row r="20092" spans="5:5">
      <c r="E20092" s="51"/>
    </row>
    <row r="20093" spans="5:5">
      <c r="E20093" s="51"/>
    </row>
    <row r="20094" spans="5:5">
      <c r="E20094" s="51"/>
    </row>
    <row r="20095" spans="5:5">
      <c r="E20095" s="51"/>
    </row>
    <row r="20096" spans="5:5">
      <c r="E20096" s="51"/>
    </row>
    <row r="20097" spans="5:5">
      <c r="E20097" s="51"/>
    </row>
    <row r="20098" spans="5:5">
      <c r="E20098" s="51"/>
    </row>
    <row r="20099" spans="5:5">
      <c r="E20099" s="51"/>
    </row>
    <row r="20100" spans="5:5">
      <c r="E20100" s="51"/>
    </row>
    <row r="20101" spans="5:5">
      <c r="E20101" s="51"/>
    </row>
    <row r="20102" spans="5:5">
      <c r="E20102" s="51"/>
    </row>
    <row r="20103" spans="5:5">
      <c r="E20103" s="51"/>
    </row>
    <row r="20104" spans="5:5">
      <c r="E20104" s="51"/>
    </row>
    <row r="20105" spans="5:5">
      <c r="E20105" s="51"/>
    </row>
    <row r="20106" spans="5:5">
      <c r="E20106" s="51"/>
    </row>
    <row r="20107" spans="5:5">
      <c r="E20107" s="51"/>
    </row>
    <row r="20108" spans="5:5">
      <c r="E20108" s="51"/>
    </row>
    <row r="20109" spans="5:5">
      <c r="E20109" s="51"/>
    </row>
    <row r="20110" spans="5:5">
      <c r="E20110" s="51"/>
    </row>
    <row r="20111" spans="5:5">
      <c r="E20111" s="51"/>
    </row>
    <row r="20112" spans="5:5">
      <c r="E20112" s="51"/>
    </row>
    <row r="20113" spans="5:5">
      <c r="E20113" s="51"/>
    </row>
    <row r="20114" spans="5:5">
      <c r="E20114" s="51"/>
    </row>
    <row r="20115" spans="5:5">
      <c r="E20115" s="51"/>
    </row>
    <row r="20116" spans="5:5">
      <c r="E20116" s="51"/>
    </row>
    <row r="20117" spans="5:5">
      <c r="E20117" s="51"/>
    </row>
    <row r="20118" spans="5:5">
      <c r="E20118" s="51"/>
    </row>
    <row r="20119" spans="5:5">
      <c r="E20119" s="51"/>
    </row>
    <row r="20120" spans="5:5">
      <c r="E20120" s="51"/>
    </row>
    <row r="20121" spans="5:5">
      <c r="E20121" s="51"/>
    </row>
    <row r="20122" spans="5:5">
      <c r="E20122" s="51"/>
    </row>
    <row r="20123" spans="5:5">
      <c r="E20123" s="51"/>
    </row>
    <row r="20124" spans="5:5">
      <c r="E20124" s="51"/>
    </row>
    <row r="20125" spans="5:5">
      <c r="E20125" s="51"/>
    </row>
    <row r="20126" spans="5:5">
      <c r="E20126" s="51"/>
    </row>
    <row r="20127" spans="5:5">
      <c r="E20127" s="51"/>
    </row>
    <row r="20128" spans="5:5">
      <c r="E20128" s="51"/>
    </row>
    <row r="20129" spans="5:5">
      <c r="E20129" s="51"/>
    </row>
    <row r="20130" spans="5:5">
      <c r="E20130" s="51"/>
    </row>
    <row r="20131" spans="5:5">
      <c r="E20131" s="51"/>
    </row>
    <row r="20132" spans="5:5">
      <c r="E20132" s="51"/>
    </row>
    <row r="20133" spans="5:5">
      <c r="E20133" s="51"/>
    </row>
    <row r="20134" spans="5:5">
      <c r="E20134" s="51"/>
    </row>
    <row r="20135" spans="5:5">
      <c r="E20135" s="51"/>
    </row>
    <row r="20136" spans="5:5">
      <c r="E20136" s="51"/>
    </row>
    <row r="20137" spans="5:5">
      <c r="E20137" s="51"/>
    </row>
    <row r="20138" spans="5:5">
      <c r="E20138" s="51"/>
    </row>
    <row r="20139" spans="5:5">
      <c r="E20139" s="51"/>
    </row>
    <row r="20140" spans="5:5">
      <c r="E20140" s="51"/>
    </row>
    <row r="20141" spans="5:5">
      <c r="E20141" s="51"/>
    </row>
    <row r="20142" spans="5:5">
      <c r="E20142" s="51"/>
    </row>
    <row r="20143" spans="5:5">
      <c r="E20143" s="51"/>
    </row>
    <row r="20144" spans="5:5">
      <c r="E20144" s="51"/>
    </row>
    <row r="20145" spans="5:5">
      <c r="E20145" s="51"/>
    </row>
    <row r="20146" spans="5:5">
      <c r="E20146" s="51"/>
    </row>
    <row r="20147" spans="5:5">
      <c r="E20147" s="51"/>
    </row>
    <row r="20148" spans="5:5">
      <c r="E20148" s="51"/>
    </row>
    <row r="20149" spans="5:5">
      <c r="E20149" s="51"/>
    </row>
    <row r="20150" spans="5:5">
      <c r="E20150" s="51"/>
    </row>
    <row r="20151" spans="5:5">
      <c r="E20151" s="51"/>
    </row>
    <row r="20152" spans="5:5">
      <c r="E20152" s="51"/>
    </row>
    <row r="20153" spans="5:5">
      <c r="E20153" s="51"/>
    </row>
    <row r="20154" spans="5:5">
      <c r="E20154" s="51"/>
    </row>
    <row r="20155" spans="5:5">
      <c r="E20155" s="51"/>
    </row>
    <row r="20156" spans="5:5">
      <c r="E20156" s="51"/>
    </row>
    <row r="20157" spans="5:5">
      <c r="E20157" s="51"/>
    </row>
    <row r="20158" spans="5:5">
      <c r="E20158" s="51"/>
    </row>
    <row r="20159" spans="5:5">
      <c r="E20159" s="51"/>
    </row>
    <row r="20160" spans="5:5">
      <c r="E20160" s="51"/>
    </row>
    <row r="20161" spans="5:5">
      <c r="E20161" s="51"/>
    </row>
    <row r="20162" spans="5:5">
      <c r="E20162" s="51"/>
    </row>
    <row r="20163" spans="5:5">
      <c r="E20163" s="51"/>
    </row>
    <row r="20164" spans="5:5">
      <c r="E20164" s="51"/>
    </row>
    <row r="20165" spans="5:5">
      <c r="E20165" s="51"/>
    </row>
    <row r="20166" spans="5:5">
      <c r="E20166" s="51"/>
    </row>
    <row r="20167" spans="5:5">
      <c r="E20167" s="51"/>
    </row>
    <row r="20168" spans="5:5">
      <c r="E20168" s="51"/>
    </row>
    <row r="20169" spans="5:5">
      <c r="E20169" s="51"/>
    </row>
    <row r="20170" spans="5:5">
      <c r="E20170" s="51"/>
    </row>
    <row r="20171" spans="5:5">
      <c r="E20171" s="51"/>
    </row>
    <row r="20172" spans="5:5">
      <c r="E20172" s="51"/>
    </row>
    <row r="20173" spans="5:5">
      <c r="E20173" s="51"/>
    </row>
    <row r="20174" spans="5:5">
      <c r="E20174" s="51"/>
    </row>
    <row r="20175" spans="5:5">
      <c r="E20175" s="51"/>
    </row>
    <row r="20176" spans="5:5">
      <c r="E20176" s="51"/>
    </row>
    <row r="20177" spans="5:5">
      <c r="E20177" s="51"/>
    </row>
    <row r="20178" spans="5:5">
      <c r="E20178" s="51"/>
    </row>
    <row r="20179" spans="5:5">
      <c r="E20179" s="51"/>
    </row>
    <row r="20180" spans="5:5">
      <c r="E20180" s="51"/>
    </row>
    <row r="20181" spans="5:5">
      <c r="E20181" s="51"/>
    </row>
    <row r="20182" spans="5:5">
      <c r="E20182" s="51"/>
    </row>
    <row r="20183" spans="5:5">
      <c r="E20183" s="51"/>
    </row>
    <row r="20184" spans="5:5">
      <c r="E20184" s="51"/>
    </row>
    <row r="20185" spans="5:5">
      <c r="E20185" s="51"/>
    </row>
    <row r="20186" spans="5:5">
      <c r="E20186" s="51"/>
    </row>
    <row r="20187" spans="5:5">
      <c r="E20187" s="51"/>
    </row>
    <row r="20188" spans="5:5">
      <c r="E20188" s="51"/>
    </row>
    <row r="20189" spans="5:5">
      <c r="E20189" s="51"/>
    </row>
    <row r="20190" spans="5:5">
      <c r="E20190" s="51"/>
    </row>
    <row r="20191" spans="5:5">
      <c r="E20191" s="51"/>
    </row>
    <row r="20192" spans="5:5">
      <c r="E20192" s="51"/>
    </row>
    <row r="20193" spans="5:5">
      <c r="E20193" s="51"/>
    </row>
    <row r="20194" spans="5:5">
      <c r="E20194" s="51"/>
    </row>
    <row r="20195" spans="5:5">
      <c r="E20195" s="51"/>
    </row>
    <row r="20196" spans="5:5">
      <c r="E20196" s="51"/>
    </row>
    <row r="20197" spans="5:5">
      <c r="E20197" s="51"/>
    </row>
    <row r="20198" spans="5:5">
      <c r="E20198" s="51"/>
    </row>
    <row r="20199" spans="5:5">
      <c r="E20199" s="51"/>
    </row>
    <row r="20200" spans="5:5">
      <c r="E20200" s="51"/>
    </row>
    <row r="20201" spans="5:5">
      <c r="E20201" s="51"/>
    </row>
    <row r="20202" spans="5:5">
      <c r="E20202" s="51"/>
    </row>
    <row r="20203" spans="5:5">
      <c r="E20203" s="51"/>
    </row>
    <row r="20204" spans="5:5">
      <c r="E20204" s="51"/>
    </row>
    <row r="20205" spans="5:5">
      <c r="E20205" s="51"/>
    </row>
    <row r="20206" spans="5:5">
      <c r="E20206" s="51"/>
    </row>
    <row r="20207" spans="5:5">
      <c r="E20207" s="51"/>
    </row>
    <row r="20208" spans="5:5">
      <c r="E20208" s="51"/>
    </row>
    <row r="20209" spans="5:5">
      <c r="E20209" s="51"/>
    </row>
    <row r="20210" spans="5:5">
      <c r="E20210" s="51"/>
    </row>
    <row r="20211" spans="5:5">
      <c r="E20211" s="51"/>
    </row>
    <row r="20212" spans="5:5">
      <c r="E20212" s="51"/>
    </row>
    <row r="20213" spans="5:5">
      <c r="E20213" s="51"/>
    </row>
    <row r="20214" spans="5:5">
      <c r="E20214" s="51"/>
    </row>
    <row r="20215" spans="5:5">
      <c r="E20215" s="51"/>
    </row>
    <row r="20216" spans="5:5">
      <c r="E20216" s="51"/>
    </row>
    <row r="20217" spans="5:5">
      <c r="E20217" s="51"/>
    </row>
    <row r="20218" spans="5:5">
      <c r="E20218" s="51"/>
    </row>
    <row r="20219" spans="5:5">
      <c r="E20219" s="51"/>
    </row>
    <row r="20220" spans="5:5">
      <c r="E20220" s="51"/>
    </row>
    <row r="20221" spans="5:5">
      <c r="E20221" s="51"/>
    </row>
    <row r="20222" spans="5:5">
      <c r="E20222" s="51"/>
    </row>
    <row r="20223" spans="5:5">
      <c r="E20223" s="51"/>
    </row>
    <row r="20224" spans="5:5">
      <c r="E20224" s="51"/>
    </row>
    <row r="20225" spans="5:5">
      <c r="E20225" s="51"/>
    </row>
    <row r="20226" spans="5:5">
      <c r="E20226" s="51"/>
    </row>
    <row r="20227" spans="5:5">
      <c r="E20227" s="51"/>
    </row>
    <row r="20228" spans="5:5">
      <c r="E20228" s="51"/>
    </row>
    <row r="20229" spans="5:5">
      <c r="E20229" s="51"/>
    </row>
    <row r="20230" spans="5:5">
      <c r="E20230" s="51"/>
    </row>
    <row r="20231" spans="5:5">
      <c r="E20231" s="51"/>
    </row>
    <row r="20232" spans="5:5">
      <c r="E20232" s="51"/>
    </row>
    <row r="20233" spans="5:5">
      <c r="E20233" s="51"/>
    </row>
    <row r="20234" spans="5:5">
      <c r="E20234" s="51"/>
    </row>
    <row r="20235" spans="5:5">
      <c r="E20235" s="51"/>
    </row>
    <row r="20236" spans="5:5">
      <c r="E20236" s="51"/>
    </row>
    <row r="20237" spans="5:5">
      <c r="E20237" s="51"/>
    </row>
    <row r="20238" spans="5:5">
      <c r="E20238" s="51"/>
    </row>
    <row r="20239" spans="5:5">
      <c r="E20239" s="51"/>
    </row>
    <row r="20240" spans="5:5">
      <c r="E20240" s="51"/>
    </row>
    <row r="20241" spans="5:5">
      <c r="E20241" s="51"/>
    </row>
    <row r="20242" spans="5:5">
      <c r="E20242" s="51"/>
    </row>
    <row r="20243" spans="5:5">
      <c r="E20243" s="51"/>
    </row>
    <row r="20244" spans="5:5">
      <c r="E20244" s="51"/>
    </row>
    <row r="20245" spans="5:5">
      <c r="E20245" s="51"/>
    </row>
    <row r="20246" spans="5:5">
      <c r="E20246" s="51"/>
    </row>
    <row r="20247" spans="5:5">
      <c r="E20247" s="51"/>
    </row>
    <row r="20248" spans="5:5">
      <c r="E20248" s="51"/>
    </row>
    <row r="20249" spans="5:5">
      <c r="E20249" s="51"/>
    </row>
    <row r="20250" spans="5:5">
      <c r="E20250" s="51"/>
    </row>
    <row r="20251" spans="5:5">
      <c r="E20251" s="51"/>
    </row>
    <row r="20252" spans="5:5">
      <c r="E20252" s="51"/>
    </row>
    <row r="20253" spans="5:5">
      <c r="E20253" s="51"/>
    </row>
    <row r="20254" spans="5:5">
      <c r="E20254" s="51"/>
    </row>
    <row r="20255" spans="5:5">
      <c r="E20255" s="51"/>
    </row>
    <row r="20256" spans="5:5">
      <c r="E20256" s="51"/>
    </row>
    <row r="20257" spans="5:5">
      <c r="E20257" s="51"/>
    </row>
    <row r="20258" spans="5:5">
      <c r="E20258" s="51"/>
    </row>
    <row r="20259" spans="5:5">
      <c r="E20259" s="51"/>
    </row>
    <row r="20260" spans="5:5">
      <c r="E20260" s="51"/>
    </row>
    <row r="20261" spans="5:5">
      <c r="E20261" s="51"/>
    </row>
    <row r="20262" spans="5:5">
      <c r="E20262" s="51"/>
    </row>
    <row r="20263" spans="5:5">
      <c r="E20263" s="51"/>
    </row>
    <row r="20264" spans="5:5">
      <c r="E20264" s="51"/>
    </row>
    <row r="20265" spans="5:5">
      <c r="E20265" s="51"/>
    </row>
    <row r="20266" spans="5:5">
      <c r="E20266" s="51"/>
    </row>
    <row r="20267" spans="5:5">
      <c r="E20267" s="51"/>
    </row>
    <row r="20268" spans="5:5">
      <c r="E20268" s="51"/>
    </row>
    <row r="20269" spans="5:5">
      <c r="E20269" s="51"/>
    </row>
    <row r="20270" spans="5:5">
      <c r="E20270" s="51"/>
    </row>
    <row r="20271" spans="5:5">
      <c r="E20271" s="51"/>
    </row>
    <row r="20272" spans="5:5">
      <c r="E20272" s="51"/>
    </row>
    <row r="20273" spans="5:5">
      <c r="E20273" s="51"/>
    </row>
    <row r="20274" spans="5:5">
      <c r="E20274" s="51"/>
    </row>
    <row r="20275" spans="5:5">
      <c r="E20275" s="51"/>
    </row>
    <row r="20276" spans="5:5">
      <c r="E20276" s="51"/>
    </row>
    <row r="20277" spans="5:5">
      <c r="E20277" s="51"/>
    </row>
    <row r="20278" spans="5:5">
      <c r="E20278" s="51"/>
    </row>
    <row r="20279" spans="5:5">
      <c r="E20279" s="51"/>
    </row>
    <row r="20280" spans="5:5">
      <c r="E20280" s="51"/>
    </row>
    <row r="20281" spans="5:5">
      <c r="E20281" s="51"/>
    </row>
    <row r="20282" spans="5:5">
      <c r="E20282" s="51"/>
    </row>
    <row r="20283" spans="5:5">
      <c r="E20283" s="51"/>
    </row>
    <row r="20284" spans="5:5">
      <c r="E20284" s="51"/>
    </row>
    <row r="20285" spans="5:5">
      <c r="E20285" s="51"/>
    </row>
    <row r="20286" spans="5:5">
      <c r="E20286" s="51"/>
    </row>
    <row r="20287" spans="5:5">
      <c r="E20287" s="51"/>
    </row>
    <row r="20288" spans="5:5">
      <c r="E20288" s="51"/>
    </row>
    <row r="20289" spans="5:5">
      <c r="E20289" s="51"/>
    </row>
    <row r="20290" spans="5:5">
      <c r="E20290" s="51"/>
    </row>
    <row r="20291" spans="5:5">
      <c r="E20291" s="51"/>
    </row>
    <row r="20292" spans="5:5">
      <c r="E20292" s="51"/>
    </row>
    <row r="20293" spans="5:5">
      <c r="E20293" s="51"/>
    </row>
    <row r="20294" spans="5:5">
      <c r="E20294" s="51"/>
    </row>
    <row r="20295" spans="5:5">
      <c r="E20295" s="51"/>
    </row>
    <row r="20296" spans="5:5">
      <c r="E20296" s="51"/>
    </row>
    <row r="20297" spans="5:5">
      <c r="E20297" s="51"/>
    </row>
    <row r="20298" spans="5:5">
      <c r="E20298" s="51"/>
    </row>
    <row r="20299" spans="5:5">
      <c r="E20299" s="51"/>
    </row>
    <row r="20300" spans="5:5">
      <c r="E20300" s="51"/>
    </row>
    <row r="20301" spans="5:5">
      <c r="E20301" s="51"/>
    </row>
    <row r="20302" spans="5:5">
      <c r="E20302" s="51"/>
    </row>
    <row r="20303" spans="5:5">
      <c r="E20303" s="51"/>
    </row>
    <row r="20304" spans="5:5">
      <c r="E20304" s="51"/>
    </row>
    <row r="20305" spans="5:5">
      <c r="E20305" s="51"/>
    </row>
    <row r="20306" spans="5:5">
      <c r="E20306" s="51"/>
    </row>
    <row r="20307" spans="5:5">
      <c r="E20307" s="51"/>
    </row>
    <row r="20308" spans="5:5">
      <c r="E20308" s="51"/>
    </row>
    <row r="20309" spans="5:5">
      <c r="E20309" s="51"/>
    </row>
    <row r="20310" spans="5:5">
      <c r="E20310" s="51"/>
    </row>
    <row r="20311" spans="5:5">
      <c r="E20311" s="51"/>
    </row>
    <row r="20312" spans="5:5">
      <c r="E20312" s="51"/>
    </row>
    <row r="20313" spans="5:5">
      <c r="E20313" s="51"/>
    </row>
    <row r="20314" spans="5:5">
      <c r="E20314" s="51"/>
    </row>
    <row r="20315" spans="5:5">
      <c r="E20315" s="51"/>
    </row>
    <row r="20316" spans="5:5">
      <c r="E20316" s="51"/>
    </row>
    <row r="20317" spans="5:5">
      <c r="E20317" s="51"/>
    </row>
    <row r="20318" spans="5:5">
      <c r="E20318" s="51"/>
    </row>
    <row r="20319" spans="5:5">
      <c r="E20319" s="51"/>
    </row>
    <row r="20320" spans="5:5">
      <c r="E20320" s="51"/>
    </row>
    <row r="20321" spans="5:5">
      <c r="E20321" s="51"/>
    </row>
    <row r="20322" spans="5:5">
      <c r="E20322" s="51"/>
    </row>
    <row r="20323" spans="5:5">
      <c r="E20323" s="51"/>
    </row>
    <row r="20324" spans="5:5">
      <c r="E20324" s="51"/>
    </row>
    <row r="20325" spans="5:5">
      <c r="E20325" s="51"/>
    </row>
    <row r="20326" spans="5:5">
      <c r="E20326" s="51"/>
    </row>
    <row r="20327" spans="5:5">
      <c r="E20327" s="51"/>
    </row>
    <row r="20328" spans="5:5">
      <c r="E20328" s="51"/>
    </row>
    <row r="20329" spans="5:5">
      <c r="E20329" s="51"/>
    </row>
    <row r="20330" spans="5:5">
      <c r="E20330" s="51"/>
    </row>
    <row r="20331" spans="5:5">
      <c r="E20331" s="51"/>
    </row>
    <row r="20332" spans="5:5">
      <c r="E20332" s="51"/>
    </row>
    <row r="20333" spans="5:5">
      <c r="E20333" s="51"/>
    </row>
    <row r="20334" spans="5:5">
      <c r="E20334" s="51"/>
    </row>
    <row r="20335" spans="5:5">
      <c r="E20335" s="51"/>
    </row>
    <row r="20336" spans="5:5">
      <c r="E20336" s="51"/>
    </row>
    <row r="20337" spans="5:5">
      <c r="E20337" s="51"/>
    </row>
    <row r="20338" spans="5:5">
      <c r="E20338" s="51"/>
    </row>
    <row r="20339" spans="5:5">
      <c r="E20339" s="51"/>
    </row>
    <row r="20340" spans="5:5">
      <c r="E20340" s="51"/>
    </row>
    <row r="20341" spans="5:5">
      <c r="E20341" s="51"/>
    </row>
    <row r="20342" spans="5:5">
      <c r="E20342" s="51"/>
    </row>
    <row r="20343" spans="5:5">
      <c r="E20343" s="51"/>
    </row>
    <row r="20344" spans="5:5">
      <c r="E20344" s="51"/>
    </row>
    <row r="20345" spans="5:5">
      <c r="E20345" s="51"/>
    </row>
    <row r="20346" spans="5:5">
      <c r="E20346" s="51"/>
    </row>
    <row r="20347" spans="5:5">
      <c r="E20347" s="51"/>
    </row>
    <row r="20348" spans="5:5">
      <c r="E20348" s="51"/>
    </row>
    <row r="20349" spans="5:5">
      <c r="E20349" s="51"/>
    </row>
    <row r="20350" spans="5:5">
      <c r="E20350" s="51"/>
    </row>
    <row r="20351" spans="5:5">
      <c r="E20351" s="51"/>
    </row>
    <row r="20352" spans="5:5">
      <c r="E20352" s="51"/>
    </row>
    <row r="20353" spans="5:5">
      <c r="E20353" s="51"/>
    </row>
    <row r="20354" spans="5:5">
      <c r="E20354" s="51"/>
    </row>
    <row r="20355" spans="5:5">
      <c r="E20355" s="51"/>
    </row>
    <row r="20356" spans="5:5">
      <c r="E20356" s="51"/>
    </row>
    <row r="20357" spans="5:5">
      <c r="E20357" s="51"/>
    </row>
    <row r="20358" spans="5:5">
      <c r="E20358" s="51"/>
    </row>
    <row r="20359" spans="5:5">
      <c r="E20359" s="51"/>
    </row>
    <row r="20360" spans="5:5">
      <c r="E20360" s="51"/>
    </row>
    <row r="20361" spans="5:5">
      <c r="E20361" s="51"/>
    </row>
    <row r="20362" spans="5:5">
      <c r="E20362" s="51"/>
    </row>
    <row r="20363" spans="5:5">
      <c r="E20363" s="51"/>
    </row>
    <row r="20364" spans="5:5">
      <c r="E20364" s="51"/>
    </row>
    <row r="20365" spans="5:5">
      <c r="E20365" s="51"/>
    </row>
    <row r="20366" spans="5:5">
      <c r="E20366" s="51"/>
    </row>
    <row r="20367" spans="5:5">
      <c r="E20367" s="51"/>
    </row>
    <row r="20368" spans="5:5">
      <c r="E20368" s="51"/>
    </row>
    <row r="20369" spans="5:5">
      <c r="E20369" s="51"/>
    </row>
    <row r="20370" spans="5:5">
      <c r="E20370" s="51"/>
    </row>
    <row r="20371" spans="5:5">
      <c r="E20371" s="51"/>
    </row>
    <row r="20372" spans="5:5">
      <c r="E20372" s="51"/>
    </row>
    <row r="20373" spans="5:5">
      <c r="E20373" s="51"/>
    </row>
    <row r="20374" spans="5:5">
      <c r="E20374" s="51"/>
    </row>
    <row r="20375" spans="5:5">
      <c r="E20375" s="51"/>
    </row>
    <row r="20376" spans="5:5">
      <c r="E20376" s="51"/>
    </row>
    <row r="20377" spans="5:5">
      <c r="E20377" s="51"/>
    </row>
    <row r="20378" spans="5:5">
      <c r="E20378" s="51"/>
    </row>
    <row r="20379" spans="5:5">
      <c r="E20379" s="51"/>
    </row>
    <row r="20380" spans="5:5">
      <c r="E20380" s="51"/>
    </row>
    <row r="20381" spans="5:5">
      <c r="E20381" s="51"/>
    </row>
    <row r="20382" spans="5:5">
      <c r="E20382" s="51"/>
    </row>
    <row r="20383" spans="5:5">
      <c r="E20383" s="51"/>
    </row>
    <row r="20384" spans="5:5">
      <c r="E20384" s="51"/>
    </row>
    <row r="20385" spans="5:5">
      <c r="E20385" s="51"/>
    </row>
    <row r="20386" spans="5:5">
      <c r="E20386" s="51"/>
    </row>
    <row r="20387" spans="5:5">
      <c r="E20387" s="51"/>
    </row>
    <row r="20388" spans="5:5">
      <c r="E20388" s="51"/>
    </row>
    <row r="20389" spans="5:5">
      <c r="E20389" s="51"/>
    </row>
    <row r="20390" spans="5:5">
      <c r="E20390" s="51"/>
    </row>
    <row r="20391" spans="5:5">
      <c r="E20391" s="51"/>
    </row>
    <row r="20392" spans="5:5">
      <c r="E20392" s="51"/>
    </row>
    <row r="20393" spans="5:5">
      <c r="E20393" s="51"/>
    </row>
    <row r="20394" spans="5:5">
      <c r="E20394" s="51"/>
    </row>
    <row r="20395" spans="5:5">
      <c r="E20395" s="51"/>
    </row>
    <row r="20396" spans="5:5">
      <c r="E20396" s="51"/>
    </row>
    <row r="20397" spans="5:5">
      <c r="E20397" s="51"/>
    </row>
    <row r="20398" spans="5:5">
      <c r="E20398" s="51"/>
    </row>
    <row r="20399" spans="5:5">
      <c r="E20399" s="51"/>
    </row>
    <row r="20400" spans="5:5">
      <c r="E20400" s="51"/>
    </row>
    <row r="20401" spans="5:5">
      <c r="E20401" s="51"/>
    </row>
    <row r="20402" spans="5:5">
      <c r="E20402" s="51"/>
    </row>
    <row r="20403" spans="5:5">
      <c r="E20403" s="51"/>
    </row>
    <row r="20404" spans="5:5">
      <c r="E20404" s="51"/>
    </row>
    <row r="20405" spans="5:5">
      <c r="E20405" s="51"/>
    </row>
    <row r="20406" spans="5:5">
      <c r="E20406" s="51"/>
    </row>
    <row r="20407" spans="5:5">
      <c r="E20407" s="51"/>
    </row>
    <row r="20408" spans="5:5">
      <c r="E20408" s="51"/>
    </row>
    <row r="20409" spans="5:5">
      <c r="E20409" s="51"/>
    </row>
    <row r="20410" spans="5:5">
      <c r="E20410" s="51"/>
    </row>
    <row r="20411" spans="5:5">
      <c r="E20411" s="51"/>
    </row>
    <row r="20412" spans="5:5">
      <c r="E20412" s="51"/>
    </row>
    <row r="20413" spans="5:5">
      <c r="E20413" s="51"/>
    </row>
    <row r="20414" spans="5:5">
      <c r="E20414" s="51"/>
    </row>
    <row r="20415" spans="5:5">
      <c r="E20415" s="51"/>
    </row>
    <row r="20416" spans="5:5">
      <c r="E20416" s="51"/>
    </row>
    <row r="20417" spans="5:5">
      <c r="E20417" s="51"/>
    </row>
    <row r="20418" spans="5:5">
      <c r="E20418" s="51"/>
    </row>
    <row r="20419" spans="5:5">
      <c r="E20419" s="51"/>
    </row>
    <row r="20420" spans="5:5">
      <c r="E20420" s="51"/>
    </row>
    <row r="20421" spans="5:5">
      <c r="E20421" s="51"/>
    </row>
    <row r="20422" spans="5:5">
      <c r="E20422" s="51"/>
    </row>
    <row r="20423" spans="5:5">
      <c r="E20423" s="51"/>
    </row>
    <row r="20424" spans="5:5">
      <c r="E20424" s="51"/>
    </row>
    <row r="20425" spans="5:5">
      <c r="E20425" s="51"/>
    </row>
    <row r="20426" spans="5:5">
      <c r="E20426" s="51"/>
    </row>
    <row r="20427" spans="5:5">
      <c r="E20427" s="51"/>
    </row>
    <row r="20428" spans="5:5">
      <c r="E20428" s="51"/>
    </row>
    <row r="20429" spans="5:5">
      <c r="E20429" s="51"/>
    </row>
    <row r="20430" spans="5:5">
      <c r="E20430" s="51"/>
    </row>
    <row r="20431" spans="5:5">
      <c r="E20431" s="51"/>
    </row>
    <row r="20432" spans="5:5">
      <c r="E20432" s="51"/>
    </row>
    <row r="20433" spans="5:5">
      <c r="E20433" s="51"/>
    </row>
    <row r="20434" spans="5:5">
      <c r="E20434" s="51"/>
    </row>
    <row r="20435" spans="5:5">
      <c r="E20435" s="51"/>
    </row>
    <row r="20436" spans="5:5">
      <c r="E20436" s="51"/>
    </row>
    <row r="20437" spans="5:5">
      <c r="E20437" s="51"/>
    </row>
    <row r="20438" spans="5:5">
      <c r="E20438" s="51"/>
    </row>
    <row r="20439" spans="5:5">
      <c r="E20439" s="51"/>
    </row>
    <row r="20440" spans="5:5">
      <c r="E20440" s="51"/>
    </row>
    <row r="20441" spans="5:5">
      <c r="E20441" s="51"/>
    </row>
    <row r="20442" spans="5:5">
      <c r="E20442" s="51"/>
    </row>
    <row r="20443" spans="5:5">
      <c r="E20443" s="51"/>
    </row>
    <row r="20444" spans="5:5">
      <c r="E20444" s="51"/>
    </row>
    <row r="20445" spans="5:5">
      <c r="E20445" s="51"/>
    </row>
    <row r="20446" spans="5:5">
      <c r="E20446" s="51"/>
    </row>
    <row r="20447" spans="5:5">
      <c r="E20447" s="51"/>
    </row>
    <row r="20448" spans="5:5">
      <c r="E20448" s="51"/>
    </row>
    <row r="20449" spans="5:5">
      <c r="E20449" s="51"/>
    </row>
    <row r="20450" spans="5:5">
      <c r="E20450" s="51"/>
    </row>
    <row r="20451" spans="5:5">
      <c r="E20451" s="51"/>
    </row>
    <row r="20452" spans="5:5">
      <c r="E20452" s="51"/>
    </row>
    <row r="20453" spans="5:5">
      <c r="E20453" s="51"/>
    </row>
    <row r="20454" spans="5:5">
      <c r="E20454" s="51"/>
    </row>
    <row r="20455" spans="5:5">
      <c r="E20455" s="51"/>
    </row>
    <row r="20456" spans="5:5">
      <c r="E20456" s="51"/>
    </row>
    <row r="20457" spans="5:5">
      <c r="E20457" s="51"/>
    </row>
    <row r="20458" spans="5:5">
      <c r="E20458" s="51"/>
    </row>
    <row r="20459" spans="5:5">
      <c r="E20459" s="51"/>
    </row>
    <row r="20460" spans="5:5">
      <c r="E20460" s="51"/>
    </row>
    <row r="20461" spans="5:5">
      <c r="E20461" s="51"/>
    </row>
    <row r="20462" spans="5:5">
      <c r="E20462" s="51"/>
    </row>
    <row r="20463" spans="5:5">
      <c r="E20463" s="51"/>
    </row>
    <row r="20464" spans="5:5">
      <c r="E20464" s="51"/>
    </row>
    <row r="20465" spans="5:5">
      <c r="E20465" s="51"/>
    </row>
    <row r="20466" spans="5:5">
      <c r="E20466" s="51"/>
    </row>
    <row r="20467" spans="5:5">
      <c r="E20467" s="51"/>
    </row>
    <row r="20468" spans="5:5">
      <c r="E20468" s="51"/>
    </row>
    <row r="20469" spans="5:5">
      <c r="E20469" s="51"/>
    </row>
    <row r="20470" spans="5:5">
      <c r="E20470" s="51"/>
    </row>
    <row r="20471" spans="5:5">
      <c r="E20471" s="51"/>
    </row>
    <row r="20472" spans="5:5">
      <c r="E20472" s="51"/>
    </row>
    <row r="20473" spans="5:5">
      <c r="E20473" s="51"/>
    </row>
    <row r="20474" spans="5:5">
      <c r="E20474" s="51"/>
    </row>
    <row r="20475" spans="5:5">
      <c r="E20475" s="51"/>
    </row>
    <row r="20476" spans="5:5">
      <c r="E20476" s="51"/>
    </row>
    <row r="20477" spans="5:5">
      <c r="E20477" s="51"/>
    </row>
    <row r="20478" spans="5:5">
      <c r="E20478" s="51"/>
    </row>
    <row r="20479" spans="5:5">
      <c r="E20479" s="51"/>
    </row>
    <row r="20480" spans="5:5">
      <c r="E20480" s="51"/>
    </row>
    <row r="20481" spans="5:5">
      <c r="E20481" s="51"/>
    </row>
    <row r="20482" spans="5:5">
      <c r="E20482" s="51"/>
    </row>
    <row r="20483" spans="5:5">
      <c r="E20483" s="51"/>
    </row>
    <row r="20484" spans="5:5">
      <c r="E20484" s="51"/>
    </row>
    <row r="20485" spans="5:5">
      <c r="E20485" s="51"/>
    </row>
    <row r="20486" spans="5:5">
      <c r="E20486" s="51"/>
    </row>
    <row r="20487" spans="5:5">
      <c r="E20487" s="51"/>
    </row>
    <row r="20488" spans="5:5">
      <c r="E20488" s="51"/>
    </row>
    <row r="20489" spans="5:5">
      <c r="E20489" s="51"/>
    </row>
    <row r="20490" spans="5:5">
      <c r="E20490" s="51"/>
    </row>
    <row r="20491" spans="5:5">
      <c r="E20491" s="51"/>
    </row>
    <row r="20492" spans="5:5">
      <c r="E20492" s="51"/>
    </row>
    <row r="20493" spans="5:5">
      <c r="E20493" s="51"/>
    </row>
    <row r="20494" spans="5:5">
      <c r="E20494" s="51"/>
    </row>
    <row r="20495" spans="5:5">
      <c r="E20495" s="51"/>
    </row>
    <row r="20496" spans="5:5">
      <c r="E20496" s="51"/>
    </row>
    <row r="20497" spans="5:5">
      <c r="E20497" s="51"/>
    </row>
    <row r="20498" spans="5:5">
      <c r="E20498" s="51"/>
    </row>
    <row r="20499" spans="5:5">
      <c r="E20499" s="51"/>
    </row>
    <row r="20500" spans="5:5">
      <c r="E20500" s="51"/>
    </row>
    <row r="20501" spans="5:5">
      <c r="E20501" s="51"/>
    </row>
    <row r="20502" spans="5:5">
      <c r="E20502" s="51"/>
    </row>
    <row r="20503" spans="5:5">
      <c r="E20503" s="51"/>
    </row>
    <row r="20504" spans="5:5">
      <c r="E20504" s="51"/>
    </row>
    <row r="20505" spans="5:5">
      <c r="E20505" s="51"/>
    </row>
    <row r="20506" spans="5:5">
      <c r="E20506" s="51"/>
    </row>
    <row r="20507" spans="5:5">
      <c r="E20507" s="51"/>
    </row>
    <row r="20508" spans="5:5">
      <c r="E20508" s="51"/>
    </row>
    <row r="20509" spans="5:5">
      <c r="E20509" s="51"/>
    </row>
    <row r="20510" spans="5:5">
      <c r="E20510" s="51"/>
    </row>
    <row r="20511" spans="5:5">
      <c r="E20511" s="51"/>
    </row>
    <row r="20512" spans="5:5">
      <c r="E20512" s="51"/>
    </row>
    <row r="20513" spans="5:5">
      <c r="E20513" s="51"/>
    </row>
    <row r="20514" spans="5:5">
      <c r="E20514" s="51"/>
    </row>
    <row r="20515" spans="5:5">
      <c r="E20515" s="51"/>
    </row>
    <row r="20516" spans="5:5">
      <c r="E20516" s="51"/>
    </row>
    <row r="20517" spans="5:5">
      <c r="E20517" s="51"/>
    </row>
    <row r="20518" spans="5:5">
      <c r="E20518" s="51"/>
    </row>
    <row r="20519" spans="5:5">
      <c r="E20519" s="51"/>
    </row>
    <row r="20520" spans="5:5">
      <c r="E20520" s="51"/>
    </row>
    <row r="20521" spans="5:5">
      <c r="E20521" s="51"/>
    </row>
    <row r="20522" spans="5:5">
      <c r="E20522" s="51"/>
    </row>
    <row r="20523" spans="5:5">
      <c r="E20523" s="51"/>
    </row>
    <row r="20524" spans="5:5">
      <c r="E20524" s="51"/>
    </row>
    <row r="20525" spans="5:5">
      <c r="E20525" s="51"/>
    </row>
    <row r="20526" spans="5:5">
      <c r="E20526" s="51"/>
    </row>
    <row r="20527" spans="5:5">
      <c r="E20527" s="51"/>
    </row>
    <row r="20528" spans="5:5">
      <c r="E20528" s="51"/>
    </row>
    <row r="20529" spans="5:5">
      <c r="E20529" s="51"/>
    </row>
    <row r="20530" spans="5:5">
      <c r="E20530" s="51"/>
    </row>
    <row r="20531" spans="5:5">
      <c r="E20531" s="51"/>
    </row>
    <row r="20532" spans="5:5">
      <c r="E20532" s="51"/>
    </row>
    <row r="20533" spans="5:5">
      <c r="E20533" s="51"/>
    </row>
    <row r="20534" spans="5:5">
      <c r="E20534" s="51"/>
    </row>
    <row r="20535" spans="5:5">
      <c r="E20535" s="51"/>
    </row>
    <row r="20536" spans="5:5">
      <c r="E20536" s="51"/>
    </row>
    <row r="20537" spans="5:5">
      <c r="E20537" s="51"/>
    </row>
    <row r="20538" spans="5:5">
      <c r="E20538" s="51"/>
    </row>
    <row r="20539" spans="5:5">
      <c r="E20539" s="51"/>
    </row>
    <row r="20540" spans="5:5">
      <c r="E20540" s="51"/>
    </row>
    <row r="20541" spans="5:5">
      <c r="E20541" s="51"/>
    </row>
    <row r="20542" spans="5:5">
      <c r="E20542" s="51"/>
    </row>
    <row r="20543" spans="5:5">
      <c r="E20543" s="51"/>
    </row>
    <row r="20544" spans="5:5">
      <c r="E20544" s="51"/>
    </row>
    <row r="20545" spans="5:5">
      <c r="E20545" s="51"/>
    </row>
    <row r="20546" spans="5:5">
      <c r="E20546" s="51"/>
    </row>
    <row r="20547" spans="5:5">
      <c r="E20547" s="51"/>
    </row>
    <row r="20548" spans="5:5">
      <c r="E20548" s="51"/>
    </row>
    <row r="20549" spans="5:5">
      <c r="E20549" s="51"/>
    </row>
    <row r="20550" spans="5:5">
      <c r="E20550" s="51"/>
    </row>
    <row r="20551" spans="5:5">
      <c r="E20551" s="51"/>
    </row>
    <row r="20552" spans="5:5">
      <c r="E20552" s="51"/>
    </row>
    <row r="20553" spans="5:5">
      <c r="E20553" s="51"/>
    </row>
    <row r="20554" spans="5:5">
      <c r="E20554" s="51"/>
    </row>
    <row r="20555" spans="5:5">
      <c r="E20555" s="51"/>
    </row>
    <row r="20556" spans="5:5">
      <c r="E20556" s="51"/>
    </row>
    <row r="20557" spans="5:5">
      <c r="E20557" s="51"/>
    </row>
    <row r="20558" spans="5:5">
      <c r="E20558" s="51"/>
    </row>
    <row r="20559" spans="5:5">
      <c r="E20559" s="51"/>
    </row>
    <row r="20560" spans="5:5">
      <c r="E20560" s="51"/>
    </row>
    <row r="20561" spans="5:5">
      <c r="E20561" s="51"/>
    </row>
    <row r="20562" spans="5:5">
      <c r="E20562" s="51"/>
    </row>
    <row r="20563" spans="5:5">
      <c r="E20563" s="51"/>
    </row>
    <row r="20564" spans="5:5">
      <c r="E20564" s="51"/>
    </row>
    <row r="20565" spans="5:5">
      <c r="E20565" s="51"/>
    </row>
    <row r="20566" spans="5:5">
      <c r="E20566" s="51"/>
    </row>
    <row r="20567" spans="5:5">
      <c r="E20567" s="51"/>
    </row>
    <row r="20568" spans="5:5">
      <c r="E20568" s="51"/>
    </row>
    <row r="20569" spans="5:5">
      <c r="E20569" s="51"/>
    </row>
    <row r="20570" spans="5:5">
      <c r="E20570" s="51"/>
    </row>
    <row r="20571" spans="5:5">
      <c r="E20571" s="51"/>
    </row>
    <row r="20572" spans="5:5">
      <c r="E20572" s="51"/>
    </row>
    <row r="20573" spans="5:5">
      <c r="E20573" s="51"/>
    </row>
    <row r="20574" spans="5:5">
      <c r="E20574" s="51"/>
    </row>
    <row r="20575" spans="5:5">
      <c r="E20575" s="51"/>
    </row>
    <row r="20576" spans="5:5">
      <c r="E20576" s="51"/>
    </row>
    <row r="20577" spans="5:5">
      <c r="E20577" s="51"/>
    </row>
    <row r="20578" spans="5:5">
      <c r="E20578" s="51"/>
    </row>
    <row r="20579" spans="5:5">
      <c r="E20579" s="51"/>
    </row>
    <row r="20580" spans="5:5">
      <c r="E20580" s="51"/>
    </row>
    <row r="20581" spans="5:5">
      <c r="E20581" s="51"/>
    </row>
    <row r="20582" spans="5:5">
      <c r="E20582" s="51"/>
    </row>
    <row r="20583" spans="5:5">
      <c r="E20583" s="51"/>
    </row>
    <row r="20584" spans="5:5">
      <c r="E20584" s="51"/>
    </row>
    <row r="20585" spans="5:5">
      <c r="E20585" s="51"/>
    </row>
    <row r="20586" spans="5:5">
      <c r="E20586" s="51"/>
    </row>
    <row r="20587" spans="5:5">
      <c r="E20587" s="51"/>
    </row>
    <row r="20588" spans="5:5">
      <c r="E20588" s="51"/>
    </row>
    <row r="20589" spans="5:5">
      <c r="E20589" s="51"/>
    </row>
    <row r="20590" spans="5:5">
      <c r="E20590" s="51"/>
    </row>
    <row r="20591" spans="5:5">
      <c r="E20591" s="51"/>
    </row>
    <row r="20592" spans="5:5">
      <c r="E20592" s="51"/>
    </row>
    <row r="20593" spans="5:5">
      <c r="E20593" s="51"/>
    </row>
    <row r="20594" spans="5:5">
      <c r="E20594" s="51"/>
    </row>
    <row r="20595" spans="5:5">
      <c r="E20595" s="51"/>
    </row>
    <row r="20596" spans="5:5">
      <c r="E20596" s="51"/>
    </row>
    <row r="20597" spans="5:5">
      <c r="E20597" s="51"/>
    </row>
    <row r="20598" spans="5:5">
      <c r="E20598" s="51"/>
    </row>
    <row r="20599" spans="5:5">
      <c r="E20599" s="51"/>
    </row>
    <row r="20600" spans="5:5">
      <c r="E20600" s="51"/>
    </row>
    <row r="20601" spans="5:5">
      <c r="E20601" s="51"/>
    </row>
    <row r="20602" spans="5:5">
      <c r="E20602" s="51"/>
    </row>
    <row r="20603" spans="5:5">
      <c r="E20603" s="51"/>
    </row>
    <row r="20604" spans="5:5">
      <c r="E20604" s="51"/>
    </row>
    <row r="20605" spans="5:5">
      <c r="E20605" s="51"/>
    </row>
    <row r="20606" spans="5:5">
      <c r="E20606" s="51"/>
    </row>
    <row r="20607" spans="5:5">
      <c r="E20607" s="51"/>
    </row>
    <row r="20608" spans="5:5">
      <c r="E20608" s="51"/>
    </row>
    <row r="20609" spans="5:5">
      <c r="E20609" s="51"/>
    </row>
    <row r="20610" spans="5:5">
      <c r="E20610" s="51"/>
    </row>
    <row r="20611" spans="5:5">
      <c r="E20611" s="51"/>
    </row>
    <row r="20612" spans="5:5">
      <c r="E20612" s="51"/>
    </row>
    <row r="20613" spans="5:5">
      <c r="E20613" s="51"/>
    </row>
    <row r="20614" spans="5:5">
      <c r="E20614" s="51"/>
    </row>
    <row r="20615" spans="5:5">
      <c r="E20615" s="51"/>
    </row>
    <row r="20616" spans="5:5">
      <c r="E20616" s="51"/>
    </row>
    <row r="20617" spans="5:5">
      <c r="E20617" s="51"/>
    </row>
    <row r="20618" spans="5:5">
      <c r="E20618" s="51"/>
    </row>
    <row r="20619" spans="5:5">
      <c r="E20619" s="51"/>
    </row>
    <row r="20620" spans="5:5">
      <c r="E20620" s="51"/>
    </row>
    <row r="20621" spans="5:5">
      <c r="E20621" s="51"/>
    </row>
    <row r="20622" spans="5:5">
      <c r="E20622" s="51"/>
    </row>
    <row r="20623" spans="5:5">
      <c r="E20623" s="51"/>
    </row>
    <row r="20624" spans="5:5">
      <c r="E20624" s="51"/>
    </row>
    <row r="20625" spans="5:5">
      <c r="E20625" s="51"/>
    </row>
    <row r="20626" spans="5:5">
      <c r="E20626" s="51"/>
    </row>
    <row r="20627" spans="5:5">
      <c r="E20627" s="51"/>
    </row>
    <row r="20628" spans="5:5">
      <c r="E20628" s="51"/>
    </row>
    <row r="20629" spans="5:5">
      <c r="E20629" s="51"/>
    </row>
    <row r="20630" spans="5:5">
      <c r="E20630" s="51"/>
    </row>
    <row r="20631" spans="5:5">
      <c r="E20631" s="51"/>
    </row>
    <row r="20632" spans="5:5">
      <c r="E20632" s="51"/>
    </row>
    <row r="20633" spans="5:5">
      <c r="E20633" s="51"/>
    </row>
    <row r="20634" spans="5:5">
      <c r="E20634" s="51"/>
    </row>
    <row r="20635" spans="5:5">
      <c r="E20635" s="51"/>
    </row>
    <row r="20636" spans="5:5">
      <c r="E20636" s="51"/>
    </row>
    <row r="20637" spans="5:5">
      <c r="E20637" s="51"/>
    </row>
    <row r="20638" spans="5:5">
      <c r="E20638" s="51"/>
    </row>
    <row r="20639" spans="5:5">
      <c r="E20639" s="51"/>
    </row>
    <row r="20640" spans="5:5">
      <c r="E20640" s="51"/>
    </row>
    <row r="20641" spans="5:5">
      <c r="E20641" s="51"/>
    </row>
    <row r="20642" spans="5:5">
      <c r="E20642" s="51"/>
    </row>
    <row r="20643" spans="5:5">
      <c r="E20643" s="51"/>
    </row>
    <row r="20644" spans="5:5">
      <c r="E20644" s="51"/>
    </row>
    <row r="20645" spans="5:5">
      <c r="E20645" s="51"/>
    </row>
    <row r="20646" spans="5:5">
      <c r="E20646" s="51"/>
    </row>
    <row r="20647" spans="5:5">
      <c r="E20647" s="51"/>
    </row>
    <row r="20648" spans="5:5">
      <c r="E20648" s="51"/>
    </row>
    <row r="20649" spans="5:5">
      <c r="E20649" s="51"/>
    </row>
    <row r="20650" spans="5:5">
      <c r="E20650" s="51"/>
    </row>
    <row r="20651" spans="5:5">
      <c r="E20651" s="51"/>
    </row>
    <row r="20652" spans="5:5">
      <c r="E20652" s="51"/>
    </row>
    <row r="20653" spans="5:5">
      <c r="E20653" s="51"/>
    </row>
    <row r="20654" spans="5:5">
      <c r="E20654" s="51"/>
    </row>
    <row r="20655" spans="5:5">
      <c r="E20655" s="51"/>
    </row>
    <row r="20656" spans="5:5">
      <c r="E20656" s="51"/>
    </row>
    <row r="20657" spans="5:5">
      <c r="E20657" s="51"/>
    </row>
    <row r="20658" spans="5:5">
      <c r="E20658" s="51"/>
    </row>
    <row r="20659" spans="5:5">
      <c r="E20659" s="51"/>
    </row>
    <row r="20660" spans="5:5">
      <c r="E20660" s="51"/>
    </row>
    <row r="20661" spans="5:5">
      <c r="E20661" s="51"/>
    </row>
    <row r="20662" spans="5:5">
      <c r="E20662" s="51"/>
    </row>
    <row r="20663" spans="5:5">
      <c r="E20663" s="51"/>
    </row>
    <row r="20664" spans="5:5">
      <c r="E20664" s="51"/>
    </row>
    <row r="20665" spans="5:5">
      <c r="E20665" s="51"/>
    </row>
    <row r="20666" spans="5:5">
      <c r="E20666" s="51"/>
    </row>
    <row r="20667" spans="5:5">
      <c r="E20667" s="51"/>
    </row>
    <row r="20668" spans="5:5">
      <c r="E20668" s="51"/>
    </row>
    <row r="20669" spans="5:5">
      <c r="E20669" s="51"/>
    </row>
    <row r="20670" spans="5:5">
      <c r="E20670" s="51"/>
    </row>
    <row r="20671" spans="5:5">
      <c r="E20671" s="51"/>
    </row>
    <row r="20672" spans="5:5">
      <c r="E20672" s="51"/>
    </row>
    <row r="20673" spans="5:5">
      <c r="E20673" s="51"/>
    </row>
    <row r="20674" spans="5:5">
      <c r="E20674" s="51"/>
    </row>
    <row r="20675" spans="5:5">
      <c r="E20675" s="51"/>
    </row>
    <row r="20676" spans="5:5">
      <c r="E20676" s="51"/>
    </row>
    <row r="20677" spans="5:5">
      <c r="E20677" s="51"/>
    </row>
    <row r="20678" spans="5:5">
      <c r="E20678" s="51"/>
    </row>
    <row r="20679" spans="5:5">
      <c r="E20679" s="51"/>
    </row>
    <row r="20680" spans="5:5">
      <c r="E20680" s="51"/>
    </row>
    <row r="20681" spans="5:5">
      <c r="E20681" s="51"/>
    </row>
    <row r="20682" spans="5:5">
      <c r="E20682" s="51"/>
    </row>
    <row r="20683" spans="5:5">
      <c r="E20683" s="51"/>
    </row>
    <row r="20684" spans="5:5">
      <c r="E20684" s="51"/>
    </row>
    <row r="20685" spans="5:5">
      <c r="E20685" s="51"/>
    </row>
    <row r="20686" spans="5:5">
      <c r="E20686" s="51"/>
    </row>
    <row r="20687" spans="5:5">
      <c r="E20687" s="51"/>
    </row>
    <row r="20688" spans="5:5">
      <c r="E20688" s="51"/>
    </row>
    <row r="20689" spans="5:5">
      <c r="E20689" s="51"/>
    </row>
    <row r="20690" spans="5:5">
      <c r="E20690" s="51"/>
    </row>
    <row r="20691" spans="5:5">
      <c r="E20691" s="51"/>
    </row>
    <row r="20692" spans="5:5">
      <c r="E20692" s="51"/>
    </row>
    <row r="20693" spans="5:5">
      <c r="E20693" s="51"/>
    </row>
    <row r="20694" spans="5:5">
      <c r="E20694" s="51"/>
    </row>
    <row r="20695" spans="5:5">
      <c r="E20695" s="51"/>
    </row>
    <row r="20696" spans="5:5">
      <c r="E20696" s="51"/>
    </row>
    <row r="20697" spans="5:5">
      <c r="E20697" s="51"/>
    </row>
    <row r="20698" spans="5:5">
      <c r="E20698" s="51"/>
    </row>
    <row r="20699" spans="5:5">
      <c r="E20699" s="51"/>
    </row>
    <row r="20700" spans="5:5">
      <c r="E20700" s="51"/>
    </row>
    <row r="20701" spans="5:5">
      <c r="E20701" s="51"/>
    </row>
    <row r="20702" spans="5:5">
      <c r="E20702" s="51"/>
    </row>
    <row r="20703" spans="5:5">
      <c r="E20703" s="51"/>
    </row>
    <row r="20704" spans="5:5">
      <c r="E20704" s="51"/>
    </row>
    <row r="20705" spans="5:5">
      <c r="E20705" s="51"/>
    </row>
    <row r="20706" spans="5:5">
      <c r="E20706" s="51"/>
    </row>
    <row r="20707" spans="5:5">
      <c r="E20707" s="51"/>
    </row>
    <row r="20708" spans="5:5">
      <c r="E20708" s="51"/>
    </row>
    <row r="20709" spans="5:5">
      <c r="E20709" s="51"/>
    </row>
    <row r="20710" spans="5:5">
      <c r="E20710" s="51"/>
    </row>
    <row r="20711" spans="5:5">
      <c r="E20711" s="51"/>
    </row>
    <row r="20712" spans="5:5">
      <c r="E20712" s="51"/>
    </row>
    <row r="20713" spans="5:5">
      <c r="E20713" s="51"/>
    </row>
    <row r="20714" spans="5:5">
      <c r="E20714" s="51"/>
    </row>
    <row r="20715" spans="5:5">
      <c r="E20715" s="51"/>
    </row>
    <row r="20716" spans="5:5">
      <c r="E20716" s="51"/>
    </row>
    <row r="20717" spans="5:5">
      <c r="E20717" s="51"/>
    </row>
    <row r="20718" spans="5:5">
      <c r="E20718" s="51"/>
    </row>
    <row r="20719" spans="5:5">
      <c r="E20719" s="51"/>
    </row>
    <row r="20720" spans="5:5">
      <c r="E20720" s="51"/>
    </row>
    <row r="20721" spans="5:5">
      <c r="E20721" s="51"/>
    </row>
    <row r="20722" spans="5:5">
      <c r="E20722" s="51"/>
    </row>
    <row r="20723" spans="5:5">
      <c r="E20723" s="51"/>
    </row>
    <row r="20724" spans="5:5">
      <c r="E20724" s="51"/>
    </row>
    <row r="20725" spans="5:5">
      <c r="E20725" s="51"/>
    </row>
    <row r="20726" spans="5:5">
      <c r="E20726" s="51"/>
    </row>
    <row r="20727" spans="5:5">
      <c r="E20727" s="51"/>
    </row>
    <row r="20728" spans="5:5">
      <c r="E20728" s="51"/>
    </row>
    <row r="20729" spans="5:5">
      <c r="E20729" s="51"/>
    </row>
    <row r="20730" spans="5:5">
      <c r="E20730" s="51"/>
    </row>
    <row r="20731" spans="5:5">
      <c r="E20731" s="51"/>
    </row>
    <row r="20732" spans="5:5">
      <c r="E20732" s="51"/>
    </row>
    <row r="20733" spans="5:5">
      <c r="E20733" s="51"/>
    </row>
    <row r="20734" spans="5:5">
      <c r="E20734" s="51"/>
    </row>
    <row r="20735" spans="5:5">
      <c r="E20735" s="51"/>
    </row>
    <row r="20736" spans="5:5">
      <c r="E20736" s="51"/>
    </row>
    <row r="20737" spans="5:5">
      <c r="E20737" s="51"/>
    </row>
    <row r="20738" spans="5:5">
      <c r="E20738" s="51"/>
    </row>
    <row r="20739" spans="5:5">
      <c r="E20739" s="51"/>
    </row>
    <row r="20740" spans="5:5">
      <c r="E20740" s="51"/>
    </row>
    <row r="20741" spans="5:5">
      <c r="E20741" s="51"/>
    </row>
    <row r="20742" spans="5:5">
      <c r="E20742" s="51"/>
    </row>
    <row r="20743" spans="5:5">
      <c r="E20743" s="51"/>
    </row>
    <row r="20744" spans="5:5">
      <c r="E20744" s="51"/>
    </row>
    <row r="20745" spans="5:5">
      <c r="E20745" s="51"/>
    </row>
    <row r="20746" spans="5:5">
      <c r="E20746" s="51"/>
    </row>
    <row r="20747" spans="5:5">
      <c r="E20747" s="51"/>
    </row>
    <row r="20748" spans="5:5">
      <c r="E20748" s="51"/>
    </row>
    <row r="20749" spans="5:5">
      <c r="E20749" s="51"/>
    </row>
    <row r="20750" spans="5:5">
      <c r="E20750" s="51"/>
    </row>
    <row r="20751" spans="5:5">
      <c r="E20751" s="51"/>
    </row>
    <row r="20752" spans="5:5">
      <c r="E20752" s="51"/>
    </row>
    <row r="20753" spans="5:5">
      <c r="E20753" s="51"/>
    </row>
    <row r="20754" spans="5:5">
      <c r="E20754" s="51"/>
    </row>
    <row r="20755" spans="5:5">
      <c r="E20755" s="51"/>
    </row>
    <row r="20756" spans="5:5">
      <c r="E20756" s="51"/>
    </row>
    <row r="20757" spans="5:5">
      <c r="E20757" s="51"/>
    </row>
    <row r="20758" spans="5:5">
      <c r="E20758" s="51"/>
    </row>
    <row r="20759" spans="5:5">
      <c r="E20759" s="51"/>
    </row>
    <row r="20760" spans="5:5">
      <c r="E20760" s="51"/>
    </row>
    <row r="20761" spans="5:5">
      <c r="E20761" s="51"/>
    </row>
    <row r="20762" spans="5:5">
      <c r="E20762" s="51"/>
    </row>
    <row r="20763" spans="5:5">
      <c r="E20763" s="51"/>
    </row>
    <row r="20764" spans="5:5">
      <c r="E20764" s="51"/>
    </row>
    <row r="20765" spans="5:5">
      <c r="E20765" s="51"/>
    </row>
    <row r="20766" spans="5:5">
      <c r="E20766" s="51"/>
    </row>
    <row r="20767" spans="5:5">
      <c r="E20767" s="51"/>
    </row>
    <row r="20768" spans="5:5">
      <c r="E20768" s="51"/>
    </row>
    <row r="20769" spans="5:5">
      <c r="E20769" s="51"/>
    </row>
    <row r="20770" spans="5:5">
      <c r="E20770" s="51"/>
    </row>
    <row r="20771" spans="5:5">
      <c r="E20771" s="51"/>
    </row>
    <row r="20772" spans="5:5">
      <c r="E20772" s="51"/>
    </row>
    <row r="20773" spans="5:5">
      <c r="E20773" s="51"/>
    </row>
    <row r="20774" spans="5:5">
      <c r="E20774" s="51"/>
    </row>
    <row r="20775" spans="5:5">
      <c r="E20775" s="51"/>
    </row>
    <row r="20776" spans="5:5">
      <c r="E20776" s="51"/>
    </row>
    <row r="20777" spans="5:5">
      <c r="E20777" s="51"/>
    </row>
    <row r="20778" spans="5:5">
      <c r="E20778" s="51"/>
    </row>
    <row r="20779" spans="5:5">
      <c r="E20779" s="51"/>
    </row>
    <row r="20780" spans="5:5">
      <c r="E20780" s="51"/>
    </row>
    <row r="20781" spans="5:5">
      <c r="E20781" s="51"/>
    </row>
    <row r="20782" spans="5:5">
      <c r="E20782" s="51"/>
    </row>
    <row r="20783" spans="5:5">
      <c r="E20783" s="51"/>
    </row>
    <row r="20784" spans="5:5">
      <c r="E20784" s="51"/>
    </row>
    <row r="20785" spans="5:5">
      <c r="E20785" s="51"/>
    </row>
    <row r="20786" spans="5:5">
      <c r="E20786" s="51"/>
    </row>
    <row r="20787" spans="5:5">
      <c r="E20787" s="51"/>
    </row>
    <row r="20788" spans="5:5">
      <c r="E20788" s="51"/>
    </row>
    <row r="20789" spans="5:5">
      <c r="E20789" s="51"/>
    </row>
    <row r="20790" spans="5:5">
      <c r="E20790" s="51"/>
    </row>
    <row r="20791" spans="5:5">
      <c r="E20791" s="51"/>
    </row>
    <row r="20792" spans="5:5">
      <c r="E20792" s="51"/>
    </row>
    <row r="20793" spans="5:5">
      <c r="E20793" s="51"/>
    </row>
    <row r="20794" spans="5:5">
      <c r="E20794" s="51"/>
    </row>
    <row r="20795" spans="5:5">
      <c r="E20795" s="51"/>
    </row>
    <row r="20796" spans="5:5">
      <c r="E20796" s="51"/>
    </row>
    <row r="20797" spans="5:5">
      <c r="E20797" s="51"/>
    </row>
    <row r="20798" spans="5:5">
      <c r="E20798" s="51"/>
    </row>
    <row r="20799" spans="5:5">
      <c r="E20799" s="51"/>
    </row>
    <row r="20800" spans="5:5">
      <c r="E20800" s="51"/>
    </row>
    <row r="20801" spans="5:5">
      <c r="E20801" s="51"/>
    </row>
    <row r="20802" spans="5:5">
      <c r="E20802" s="51"/>
    </row>
    <row r="20803" spans="5:5">
      <c r="E20803" s="51"/>
    </row>
    <row r="20804" spans="5:5">
      <c r="E20804" s="51"/>
    </row>
    <row r="20805" spans="5:5">
      <c r="E20805" s="51"/>
    </row>
    <row r="20806" spans="5:5">
      <c r="E20806" s="51"/>
    </row>
    <row r="20807" spans="5:5">
      <c r="E20807" s="51"/>
    </row>
    <row r="20808" spans="5:5">
      <c r="E20808" s="51"/>
    </row>
    <row r="20809" spans="5:5">
      <c r="E20809" s="51"/>
    </row>
    <row r="20810" spans="5:5">
      <c r="E20810" s="51"/>
    </row>
    <row r="20811" spans="5:5">
      <c r="E20811" s="51"/>
    </row>
    <row r="20812" spans="5:5">
      <c r="E20812" s="51"/>
    </row>
    <row r="20813" spans="5:5">
      <c r="E20813" s="51"/>
    </row>
    <row r="20814" spans="5:5">
      <c r="E20814" s="51"/>
    </row>
    <row r="20815" spans="5:5">
      <c r="E20815" s="51"/>
    </row>
    <row r="20816" spans="5:5">
      <c r="E20816" s="51"/>
    </row>
    <row r="20817" spans="5:5">
      <c r="E20817" s="51"/>
    </row>
    <row r="20818" spans="5:5">
      <c r="E20818" s="51"/>
    </row>
    <row r="20819" spans="5:5">
      <c r="E20819" s="51"/>
    </row>
    <row r="20820" spans="5:5">
      <c r="E20820" s="51"/>
    </row>
    <row r="20821" spans="5:5">
      <c r="E20821" s="51"/>
    </row>
    <row r="20822" spans="5:5">
      <c r="E20822" s="51"/>
    </row>
    <row r="20823" spans="5:5">
      <c r="E20823" s="51"/>
    </row>
    <row r="20824" spans="5:5">
      <c r="E20824" s="51"/>
    </row>
    <row r="20825" spans="5:5">
      <c r="E20825" s="51"/>
    </row>
    <row r="20826" spans="5:5">
      <c r="E20826" s="51"/>
    </row>
    <row r="20827" spans="5:5">
      <c r="E20827" s="51"/>
    </row>
    <row r="20828" spans="5:5">
      <c r="E20828" s="51"/>
    </row>
    <row r="20829" spans="5:5">
      <c r="E20829" s="51"/>
    </row>
    <row r="20830" spans="5:5">
      <c r="E20830" s="51"/>
    </row>
    <row r="20831" spans="5:5">
      <c r="E20831" s="51"/>
    </row>
    <row r="20832" spans="5:5">
      <c r="E20832" s="51"/>
    </row>
    <row r="20833" spans="5:5">
      <c r="E20833" s="51"/>
    </row>
    <row r="20834" spans="5:5">
      <c r="E20834" s="51"/>
    </row>
    <row r="20835" spans="5:5">
      <c r="E20835" s="51"/>
    </row>
    <row r="20836" spans="5:5">
      <c r="E20836" s="51"/>
    </row>
    <row r="20837" spans="5:5">
      <c r="E20837" s="51"/>
    </row>
    <row r="20838" spans="5:5">
      <c r="E20838" s="51"/>
    </row>
    <row r="20839" spans="5:5">
      <c r="E20839" s="51"/>
    </row>
    <row r="20840" spans="5:5">
      <c r="E20840" s="51"/>
    </row>
    <row r="20841" spans="5:5">
      <c r="E20841" s="51"/>
    </row>
    <row r="20842" spans="5:5">
      <c r="E20842" s="51"/>
    </row>
    <row r="20843" spans="5:5">
      <c r="E20843" s="51"/>
    </row>
    <row r="20844" spans="5:5">
      <c r="E20844" s="51"/>
    </row>
    <row r="20845" spans="5:5">
      <c r="E20845" s="51"/>
    </row>
    <row r="20846" spans="5:5">
      <c r="E20846" s="51"/>
    </row>
    <row r="20847" spans="5:5">
      <c r="E20847" s="51"/>
    </row>
    <row r="20848" spans="5:5">
      <c r="E20848" s="51"/>
    </row>
    <row r="20849" spans="5:5">
      <c r="E20849" s="51"/>
    </row>
    <row r="20850" spans="5:5">
      <c r="E20850" s="51"/>
    </row>
    <row r="20851" spans="5:5">
      <c r="E20851" s="51"/>
    </row>
    <row r="20852" spans="5:5">
      <c r="E20852" s="51"/>
    </row>
    <row r="20853" spans="5:5">
      <c r="E20853" s="51"/>
    </row>
    <row r="20854" spans="5:5">
      <c r="E20854" s="51"/>
    </row>
    <row r="20855" spans="5:5">
      <c r="E20855" s="51"/>
    </row>
    <row r="20856" spans="5:5">
      <c r="E20856" s="51"/>
    </row>
    <row r="20857" spans="5:5">
      <c r="E20857" s="51"/>
    </row>
    <row r="20858" spans="5:5">
      <c r="E20858" s="51"/>
    </row>
    <row r="20859" spans="5:5">
      <c r="E20859" s="51"/>
    </row>
    <row r="20860" spans="5:5">
      <c r="E20860" s="51"/>
    </row>
    <row r="20861" spans="5:5">
      <c r="E20861" s="51"/>
    </row>
    <row r="20862" spans="5:5">
      <c r="E20862" s="51"/>
    </row>
    <row r="20863" spans="5:5">
      <c r="E20863" s="51"/>
    </row>
    <row r="20864" spans="5:5">
      <c r="E20864" s="51"/>
    </row>
    <row r="20865" spans="5:5">
      <c r="E20865" s="51"/>
    </row>
    <row r="20866" spans="5:5">
      <c r="E20866" s="51"/>
    </row>
    <row r="20867" spans="5:5">
      <c r="E20867" s="51"/>
    </row>
    <row r="20868" spans="5:5">
      <c r="E20868" s="51"/>
    </row>
    <row r="20869" spans="5:5">
      <c r="E20869" s="51"/>
    </row>
    <row r="20870" spans="5:5">
      <c r="E20870" s="51"/>
    </row>
    <row r="20871" spans="5:5">
      <c r="E20871" s="51"/>
    </row>
    <row r="20872" spans="5:5">
      <c r="E20872" s="51"/>
    </row>
    <row r="20873" spans="5:5">
      <c r="E20873" s="51"/>
    </row>
    <row r="20874" spans="5:5">
      <c r="E20874" s="51"/>
    </row>
    <row r="20875" spans="5:5">
      <c r="E20875" s="51"/>
    </row>
    <row r="20876" spans="5:5">
      <c r="E20876" s="51"/>
    </row>
    <row r="20877" spans="5:5">
      <c r="E20877" s="51"/>
    </row>
    <row r="20878" spans="5:5">
      <c r="E20878" s="51"/>
    </row>
    <row r="20879" spans="5:5">
      <c r="E20879" s="51"/>
    </row>
    <row r="20880" spans="5:5">
      <c r="E20880" s="51"/>
    </row>
    <row r="20881" spans="5:5">
      <c r="E20881" s="51"/>
    </row>
    <row r="20882" spans="5:5">
      <c r="E20882" s="51"/>
    </row>
    <row r="20883" spans="5:5">
      <c r="E20883" s="51"/>
    </row>
    <row r="20884" spans="5:5">
      <c r="E20884" s="51"/>
    </row>
    <row r="20885" spans="5:5">
      <c r="E20885" s="51"/>
    </row>
    <row r="20886" spans="5:5">
      <c r="E20886" s="51"/>
    </row>
    <row r="20887" spans="5:5">
      <c r="E20887" s="51"/>
    </row>
    <row r="20888" spans="5:5">
      <c r="E20888" s="51"/>
    </row>
    <row r="20889" spans="5:5">
      <c r="E20889" s="51"/>
    </row>
    <row r="20890" spans="5:5">
      <c r="E20890" s="51"/>
    </row>
    <row r="20891" spans="5:5">
      <c r="E20891" s="51"/>
    </row>
    <row r="20892" spans="5:5">
      <c r="E20892" s="51"/>
    </row>
    <row r="20893" spans="5:5">
      <c r="E20893" s="51"/>
    </row>
    <row r="20894" spans="5:5">
      <c r="E20894" s="51"/>
    </row>
    <row r="20895" spans="5:5">
      <c r="E20895" s="51"/>
    </row>
    <row r="20896" spans="5:5">
      <c r="E20896" s="51"/>
    </row>
    <row r="20897" spans="5:5">
      <c r="E20897" s="51"/>
    </row>
    <row r="20898" spans="5:5">
      <c r="E20898" s="51"/>
    </row>
    <row r="20899" spans="5:5">
      <c r="E20899" s="51"/>
    </row>
    <row r="20900" spans="5:5">
      <c r="E20900" s="51"/>
    </row>
    <row r="20901" spans="5:5">
      <c r="E20901" s="51"/>
    </row>
    <row r="20902" spans="5:5">
      <c r="E20902" s="51"/>
    </row>
    <row r="20903" spans="5:5">
      <c r="E20903" s="51"/>
    </row>
    <row r="20904" spans="5:5">
      <c r="E20904" s="51"/>
    </row>
    <row r="20905" spans="5:5">
      <c r="E20905" s="51"/>
    </row>
    <row r="20906" spans="5:5">
      <c r="E20906" s="51"/>
    </row>
    <row r="20907" spans="5:5">
      <c r="E20907" s="51"/>
    </row>
    <row r="20908" spans="5:5">
      <c r="E20908" s="51"/>
    </row>
    <row r="20909" spans="5:5">
      <c r="E20909" s="51"/>
    </row>
    <row r="20910" spans="5:5">
      <c r="E20910" s="51"/>
    </row>
    <row r="20911" spans="5:5">
      <c r="E20911" s="51"/>
    </row>
    <row r="20912" spans="5:5">
      <c r="E20912" s="51"/>
    </row>
    <row r="20913" spans="5:5">
      <c r="E20913" s="51"/>
    </row>
    <row r="20914" spans="5:5">
      <c r="E20914" s="51"/>
    </row>
    <row r="20915" spans="5:5">
      <c r="E20915" s="51"/>
    </row>
    <row r="20916" spans="5:5">
      <c r="E20916" s="51"/>
    </row>
    <row r="20917" spans="5:5">
      <c r="E20917" s="51"/>
    </row>
    <row r="20918" spans="5:5">
      <c r="E20918" s="51"/>
    </row>
    <row r="20919" spans="5:5">
      <c r="E20919" s="51"/>
    </row>
    <row r="20920" spans="5:5">
      <c r="E20920" s="51"/>
    </row>
    <row r="20921" spans="5:5">
      <c r="E20921" s="51"/>
    </row>
    <row r="20922" spans="5:5">
      <c r="E20922" s="51"/>
    </row>
    <row r="20923" spans="5:5">
      <c r="E20923" s="51"/>
    </row>
    <row r="20924" spans="5:5">
      <c r="E20924" s="51"/>
    </row>
    <row r="20925" spans="5:5">
      <c r="E20925" s="51"/>
    </row>
    <row r="20926" spans="5:5">
      <c r="E20926" s="51"/>
    </row>
    <row r="20927" spans="5:5">
      <c r="E20927" s="51"/>
    </row>
    <row r="20928" spans="5:5">
      <c r="E20928" s="51"/>
    </row>
    <row r="20929" spans="5:5">
      <c r="E20929" s="51"/>
    </row>
    <row r="20930" spans="5:5">
      <c r="E20930" s="51"/>
    </row>
    <row r="20931" spans="5:5">
      <c r="E20931" s="51"/>
    </row>
    <row r="20932" spans="5:5">
      <c r="E20932" s="51"/>
    </row>
    <row r="20933" spans="5:5">
      <c r="E20933" s="51"/>
    </row>
    <row r="20934" spans="5:5">
      <c r="E20934" s="51"/>
    </row>
    <row r="20935" spans="5:5">
      <c r="E20935" s="51"/>
    </row>
    <row r="20936" spans="5:5">
      <c r="E20936" s="51"/>
    </row>
    <row r="20937" spans="5:5">
      <c r="E20937" s="51"/>
    </row>
    <row r="20938" spans="5:5">
      <c r="E20938" s="51"/>
    </row>
    <row r="20939" spans="5:5">
      <c r="E20939" s="51"/>
    </row>
    <row r="20940" spans="5:5">
      <c r="E20940" s="51"/>
    </row>
    <row r="20941" spans="5:5">
      <c r="E20941" s="51"/>
    </row>
    <row r="20942" spans="5:5">
      <c r="E20942" s="51"/>
    </row>
    <row r="20943" spans="5:5">
      <c r="E20943" s="51"/>
    </row>
    <row r="20944" spans="5:5">
      <c r="E20944" s="51"/>
    </row>
    <row r="20945" spans="5:5">
      <c r="E20945" s="51"/>
    </row>
    <row r="20946" spans="5:5">
      <c r="E20946" s="51"/>
    </row>
    <row r="20947" spans="5:5">
      <c r="E20947" s="51"/>
    </row>
    <row r="20948" spans="5:5">
      <c r="E20948" s="51"/>
    </row>
    <row r="20949" spans="5:5">
      <c r="E20949" s="51"/>
    </row>
    <row r="20950" spans="5:5">
      <c r="E20950" s="51"/>
    </row>
    <row r="20951" spans="5:5">
      <c r="E20951" s="51"/>
    </row>
    <row r="20952" spans="5:5">
      <c r="E20952" s="51"/>
    </row>
    <row r="20953" spans="5:5">
      <c r="E20953" s="51"/>
    </row>
    <row r="20954" spans="5:5">
      <c r="E20954" s="51"/>
    </row>
    <row r="20955" spans="5:5">
      <c r="E20955" s="51"/>
    </row>
    <row r="20956" spans="5:5">
      <c r="E20956" s="51"/>
    </row>
    <row r="20957" spans="5:5">
      <c r="E20957" s="51"/>
    </row>
    <row r="20958" spans="5:5">
      <c r="E20958" s="51"/>
    </row>
    <row r="20959" spans="5:5">
      <c r="E20959" s="51"/>
    </row>
    <row r="20960" spans="5:5">
      <c r="E20960" s="51"/>
    </row>
    <row r="20961" spans="5:5">
      <c r="E20961" s="51"/>
    </row>
    <row r="20962" spans="5:5">
      <c r="E20962" s="51"/>
    </row>
    <row r="20963" spans="5:5">
      <c r="E20963" s="51"/>
    </row>
    <row r="20964" spans="5:5">
      <c r="E20964" s="51"/>
    </row>
    <row r="20965" spans="5:5">
      <c r="E20965" s="51"/>
    </row>
    <row r="20966" spans="5:5">
      <c r="E20966" s="51"/>
    </row>
    <row r="20967" spans="5:5">
      <c r="E20967" s="51"/>
    </row>
    <row r="20968" spans="5:5">
      <c r="E20968" s="51"/>
    </row>
    <row r="20969" spans="5:5">
      <c r="E20969" s="51"/>
    </row>
    <row r="20970" spans="5:5">
      <c r="E20970" s="51"/>
    </row>
    <row r="20971" spans="5:5">
      <c r="E20971" s="51"/>
    </row>
    <row r="20972" spans="5:5">
      <c r="E20972" s="51"/>
    </row>
    <row r="20973" spans="5:5">
      <c r="E20973" s="51"/>
    </row>
    <row r="20974" spans="5:5">
      <c r="E20974" s="51"/>
    </row>
    <row r="20975" spans="5:5">
      <c r="E20975" s="51"/>
    </row>
    <row r="20976" spans="5:5">
      <c r="E20976" s="51"/>
    </row>
    <row r="20977" spans="5:5">
      <c r="E20977" s="51"/>
    </row>
    <row r="20978" spans="5:5">
      <c r="E20978" s="51"/>
    </row>
    <row r="20979" spans="5:5">
      <c r="E20979" s="51"/>
    </row>
    <row r="20980" spans="5:5">
      <c r="E20980" s="51"/>
    </row>
    <row r="20981" spans="5:5">
      <c r="E20981" s="51"/>
    </row>
    <row r="20982" spans="5:5">
      <c r="E20982" s="51"/>
    </row>
    <row r="20983" spans="5:5">
      <c r="E20983" s="51"/>
    </row>
    <row r="20984" spans="5:5">
      <c r="E20984" s="51"/>
    </row>
    <row r="20985" spans="5:5">
      <c r="E20985" s="51"/>
    </row>
    <row r="20986" spans="5:5">
      <c r="E20986" s="51"/>
    </row>
    <row r="20987" spans="5:5">
      <c r="E20987" s="51"/>
    </row>
    <row r="20988" spans="5:5">
      <c r="E20988" s="51"/>
    </row>
    <row r="20989" spans="5:5">
      <c r="E20989" s="51"/>
    </row>
    <row r="20990" spans="5:5">
      <c r="E20990" s="51"/>
    </row>
    <row r="20991" spans="5:5">
      <c r="E20991" s="51"/>
    </row>
    <row r="20992" spans="5:5">
      <c r="E20992" s="51"/>
    </row>
    <row r="20993" spans="5:5">
      <c r="E20993" s="51"/>
    </row>
    <row r="20994" spans="5:5">
      <c r="E20994" s="51"/>
    </row>
    <row r="20995" spans="5:5">
      <c r="E20995" s="51"/>
    </row>
    <row r="20996" spans="5:5">
      <c r="E20996" s="51"/>
    </row>
    <row r="20997" spans="5:5">
      <c r="E20997" s="51"/>
    </row>
    <row r="20998" spans="5:5">
      <c r="E20998" s="51"/>
    </row>
    <row r="20999" spans="5:5">
      <c r="E20999" s="51"/>
    </row>
    <row r="21000" spans="5:5">
      <c r="E21000" s="51"/>
    </row>
    <row r="21001" spans="5:5">
      <c r="E21001" s="51"/>
    </row>
    <row r="21002" spans="5:5">
      <c r="E21002" s="51"/>
    </row>
    <row r="21003" spans="5:5">
      <c r="E21003" s="51"/>
    </row>
    <row r="21004" spans="5:5">
      <c r="E21004" s="51"/>
    </row>
    <row r="21005" spans="5:5">
      <c r="E21005" s="51"/>
    </row>
    <row r="21006" spans="5:5">
      <c r="E21006" s="51"/>
    </row>
    <row r="21007" spans="5:5">
      <c r="E21007" s="51"/>
    </row>
    <row r="21008" spans="5:5">
      <c r="E21008" s="51"/>
    </row>
    <row r="21009" spans="5:5">
      <c r="E21009" s="51"/>
    </row>
    <row r="21010" spans="5:5">
      <c r="E21010" s="51"/>
    </row>
    <row r="21011" spans="5:5">
      <c r="E21011" s="51"/>
    </row>
    <row r="21012" spans="5:5">
      <c r="E21012" s="51"/>
    </row>
    <row r="21013" spans="5:5">
      <c r="E21013" s="51"/>
    </row>
    <row r="21014" spans="5:5">
      <c r="E21014" s="51"/>
    </row>
    <row r="21015" spans="5:5">
      <c r="E21015" s="51"/>
    </row>
    <row r="21016" spans="5:5">
      <c r="E21016" s="51"/>
    </row>
    <row r="21017" spans="5:5">
      <c r="E21017" s="51"/>
    </row>
    <row r="21018" spans="5:5">
      <c r="E21018" s="51"/>
    </row>
    <row r="21019" spans="5:5">
      <c r="E21019" s="51"/>
    </row>
    <row r="21020" spans="5:5">
      <c r="E21020" s="51"/>
    </row>
    <row r="21021" spans="5:5">
      <c r="E21021" s="51"/>
    </row>
    <row r="21022" spans="5:5">
      <c r="E21022" s="51"/>
    </row>
    <row r="21023" spans="5:5">
      <c r="E21023" s="51"/>
    </row>
    <row r="21024" spans="5:5">
      <c r="E21024" s="51"/>
    </row>
    <row r="21025" spans="5:5">
      <c r="E21025" s="51"/>
    </row>
    <row r="21026" spans="5:5">
      <c r="E21026" s="51"/>
    </row>
    <row r="21027" spans="5:5">
      <c r="E21027" s="51"/>
    </row>
    <row r="21028" spans="5:5">
      <c r="E21028" s="51"/>
    </row>
    <row r="21029" spans="5:5">
      <c r="E21029" s="51"/>
    </row>
    <row r="21030" spans="5:5">
      <c r="E21030" s="51"/>
    </row>
    <row r="21031" spans="5:5">
      <c r="E21031" s="51"/>
    </row>
    <row r="21032" spans="5:5">
      <c r="E21032" s="51"/>
    </row>
    <row r="21033" spans="5:5">
      <c r="E21033" s="51"/>
    </row>
    <row r="21034" spans="5:5">
      <c r="E21034" s="51"/>
    </row>
    <row r="21035" spans="5:5">
      <c r="E21035" s="51"/>
    </row>
    <row r="21036" spans="5:5">
      <c r="E21036" s="51"/>
    </row>
    <row r="21037" spans="5:5">
      <c r="E21037" s="51"/>
    </row>
    <row r="21038" spans="5:5">
      <c r="E21038" s="51"/>
    </row>
    <row r="21039" spans="5:5">
      <c r="E21039" s="51"/>
    </row>
    <row r="21040" spans="5:5">
      <c r="E21040" s="51"/>
    </row>
    <row r="21041" spans="5:5">
      <c r="E21041" s="51"/>
    </row>
    <row r="21042" spans="5:5">
      <c r="E21042" s="51"/>
    </row>
    <row r="21043" spans="5:5">
      <c r="E21043" s="51"/>
    </row>
    <row r="21044" spans="5:5">
      <c r="E21044" s="51"/>
    </row>
    <row r="21045" spans="5:5">
      <c r="E21045" s="51"/>
    </row>
    <row r="21046" spans="5:5">
      <c r="E21046" s="51"/>
    </row>
    <row r="21047" spans="5:5">
      <c r="E21047" s="51"/>
    </row>
    <row r="21048" spans="5:5">
      <c r="E21048" s="51"/>
    </row>
    <row r="21049" spans="5:5">
      <c r="E21049" s="51"/>
    </row>
    <row r="21050" spans="5:5">
      <c r="E21050" s="51"/>
    </row>
    <row r="21051" spans="5:5">
      <c r="E21051" s="51"/>
    </row>
    <row r="21052" spans="5:5">
      <c r="E21052" s="51"/>
    </row>
    <row r="21053" spans="5:5">
      <c r="E21053" s="51"/>
    </row>
    <row r="21054" spans="5:5">
      <c r="E21054" s="51"/>
    </row>
    <row r="21055" spans="5:5">
      <c r="E21055" s="51"/>
    </row>
    <row r="21056" spans="5:5">
      <c r="E21056" s="51"/>
    </row>
    <row r="21057" spans="5:5">
      <c r="E21057" s="51"/>
    </row>
    <row r="21058" spans="5:5">
      <c r="E21058" s="51"/>
    </row>
    <row r="21059" spans="5:5">
      <c r="E21059" s="51"/>
    </row>
    <row r="21060" spans="5:5">
      <c r="E21060" s="51"/>
    </row>
    <row r="21061" spans="5:5">
      <c r="E21061" s="51"/>
    </row>
    <row r="21062" spans="5:5">
      <c r="E21062" s="51"/>
    </row>
    <row r="21063" spans="5:5">
      <c r="E21063" s="51"/>
    </row>
    <row r="21064" spans="5:5">
      <c r="E21064" s="51"/>
    </row>
    <row r="21065" spans="5:5">
      <c r="E21065" s="51"/>
    </row>
    <row r="21066" spans="5:5">
      <c r="E21066" s="51"/>
    </row>
    <row r="21067" spans="5:5">
      <c r="E21067" s="51"/>
    </row>
    <row r="21068" spans="5:5">
      <c r="E21068" s="51"/>
    </row>
    <row r="21069" spans="5:5">
      <c r="E21069" s="51"/>
    </row>
    <row r="21070" spans="5:5">
      <c r="E21070" s="51"/>
    </row>
    <row r="21071" spans="5:5">
      <c r="E21071" s="51"/>
    </row>
    <row r="21072" spans="5:5">
      <c r="E21072" s="51"/>
    </row>
    <row r="21073" spans="5:5">
      <c r="E21073" s="51"/>
    </row>
    <row r="21074" spans="5:5">
      <c r="E21074" s="51"/>
    </row>
    <row r="21075" spans="5:5">
      <c r="E21075" s="51"/>
    </row>
    <row r="21076" spans="5:5">
      <c r="E21076" s="51"/>
    </row>
    <row r="21077" spans="5:5">
      <c r="E21077" s="51"/>
    </row>
    <row r="21078" spans="5:5">
      <c r="E21078" s="51"/>
    </row>
    <row r="21079" spans="5:5">
      <c r="E21079" s="51"/>
    </row>
    <row r="21080" spans="5:5">
      <c r="E21080" s="51"/>
    </row>
    <row r="21081" spans="5:5">
      <c r="E21081" s="51"/>
    </row>
    <row r="21082" spans="5:5">
      <c r="E21082" s="51"/>
    </row>
    <row r="21083" spans="5:5">
      <c r="E21083" s="51"/>
    </row>
    <row r="21084" spans="5:5">
      <c r="E21084" s="51"/>
    </row>
    <row r="21085" spans="5:5">
      <c r="E21085" s="51"/>
    </row>
    <row r="21086" spans="5:5">
      <c r="E21086" s="51"/>
    </row>
    <row r="21087" spans="5:5">
      <c r="E21087" s="51"/>
    </row>
    <row r="21088" spans="5:5">
      <c r="E21088" s="51"/>
    </row>
    <row r="21089" spans="5:5">
      <c r="E21089" s="51"/>
    </row>
    <row r="21090" spans="5:5">
      <c r="E21090" s="51"/>
    </row>
    <row r="21091" spans="5:5">
      <c r="E21091" s="51"/>
    </row>
    <row r="21092" spans="5:5">
      <c r="E21092" s="51"/>
    </row>
    <row r="21093" spans="5:5">
      <c r="E21093" s="51"/>
    </row>
    <row r="21094" spans="5:5">
      <c r="E21094" s="51"/>
    </row>
    <row r="21095" spans="5:5">
      <c r="E21095" s="51"/>
    </row>
    <row r="21096" spans="5:5">
      <c r="E21096" s="51"/>
    </row>
    <row r="21097" spans="5:5">
      <c r="E21097" s="51"/>
    </row>
    <row r="21098" spans="5:5">
      <c r="E21098" s="51"/>
    </row>
    <row r="21099" spans="5:5">
      <c r="E21099" s="51"/>
    </row>
    <row r="21100" spans="5:5">
      <c r="E21100" s="51"/>
    </row>
    <row r="21101" spans="5:5">
      <c r="E21101" s="51"/>
    </row>
    <row r="21102" spans="5:5">
      <c r="E21102" s="51"/>
    </row>
    <row r="21103" spans="5:5">
      <c r="E21103" s="51"/>
    </row>
    <row r="21104" spans="5:5">
      <c r="E21104" s="51"/>
    </row>
    <row r="21105" spans="5:5">
      <c r="E21105" s="51"/>
    </row>
    <row r="21106" spans="5:5">
      <c r="E21106" s="51"/>
    </row>
    <row r="21107" spans="5:5">
      <c r="E21107" s="51"/>
    </row>
    <row r="21108" spans="5:5">
      <c r="E21108" s="51"/>
    </row>
    <row r="21109" spans="5:5">
      <c r="E21109" s="51"/>
    </row>
    <row r="21110" spans="5:5">
      <c r="E21110" s="51"/>
    </row>
    <row r="21111" spans="5:5">
      <c r="E21111" s="51"/>
    </row>
    <row r="21112" spans="5:5">
      <c r="E21112" s="51"/>
    </row>
    <row r="21113" spans="5:5">
      <c r="E21113" s="51"/>
    </row>
    <row r="21114" spans="5:5">
      <c r="E21114" s="51"/>
    </row>
    <row r="21115" spans="5:5">
      <c r="E21115" s="51"/>
    </row>
    <row r="21116" spans="5:5">
      <c r="E21116" s="51"/>
    </row>
    <row r="21117" spans="5:5">
      <c r="E21117" s="51"/>
    </row>
    <row r="21118" spans="5:5">
      <c r="E21118" s="51"/>
    </row>
    <row r="21119" spans="5:5">
      <c r="E21119" s="51"/>
    </row>
    <row r="21120" spans="5:5">
      <c r="E21120" s="51"/>
    </row>
    <row r="21121" spans="5:5">
      <c r="E21121" s="51"/>
    </row>
    <row r="21122" spans="5:5">
      <c r="E21122" s="51"/>
    </row>
    <row r="21123" spans="5:5">
      <c r="E21123" s="51"/>
    </row>
    <row r="21124" spans="5:5">
      <c r="E21124" s="51"/>
    </row>
    <row r="21125" spans="5:5">
      <c r="E21125" s="51"/>
    </row>
    <row r="21126" spans="5:5">
      <c r="E21126" s="51"/>
    </row>
    <row r="21127" spans="5:5">
      <c r="E21127" s="51"/>
    </row>
    <row r="21128" spans="5:5">
      <c r="E21128" s="51"/>
    </row>
    <row r="21129" spans="5:5">
      <c r="E21129" s="51"/>
    </row>
    <row r="21130" spans="5:5">
      <c r="E21130" s="51"/>
    </row>
    <row r="21131" spans="5:5">
      <c r="E21131" s="51"/>
    </row>
    <row r="21132" spans="5:5">
      <c r="E21132" s="51"/>
    </row>
    <row r="21133" spans="5:5">
      <c r="E21133" s="51"/>
    </row>
    <row r="21134" spans="5:5">
      <c r="E21134" s="51"/>
    </row>
    <row r="21135" spans="5:5">
      <c r="E21135" s="51"/>
    </row>
    <row r="21136" spans="5:5">
      <c r="E21136" s="51"/>
    </row>
    <row r="21137" spans="5:5">
      <c r="E21137" s="51"/>
    </row>
    <row r="21138" spans="5:5">
      <c r="E21138" s="51"/>
    </row>
    <row r="21139" spans="5:5">
      <c r="E21139" s="51"/>
    </row>
    <row r="21140" spans="5:5">
      <c r="E21140" s="51"/>
    </row>
    <row r="21141" spans="5:5">
      <c r="E21141" s="51"/>
    </row>
    <row r="21142" spans="5:5">
      <c r="E21142" s="51"/>
    </row>
    <row r="21143" spans="5:5">
      <c r="E21143" s="51"/>
    </row>
    <row r="21144" spans="5:5">
      <c r="E21144" s="51"/>
    </row>
    <row r="21145" spans="5:5">
      <c r="E21145" s="51"/>
    </row>
    <row r="21146" spans="5:5">
      <c r="E21146" s="51"/>
    </row>
    <row r="21147" spans="5:5">
      <c r="E21147" s="51"/>
    </row>
    <row r="21148" spans="5:5">
      <c r="E21148" s="51"/>
    </row>
    <row r="21149" spans="5:5">
      <c r="E21149" s="51"/>
    </row>
    <row r="21150" spans="5:5">
      <c r="E21150" s="51"/>
    </row>
    <row r="21151" spans="5:5">
      <c r="E21151" s="51"/>
    </row>
    <row r="21152" spans="5:5">
      <c r="E21152" s="51"/>
    </row>
    <row r="21153" spans="5:5">
      <c r="E21153" s="51"/>
    </row>
    <row r="21154" spans="5:5">
      <c r="E21154" s="51"/>
    </row>
    <row r="21155" spans="5:5">
      <c r="E21155" s="51"/>
    </row>
    <row r="21156" spans="5:5">
      <c r="E21156" s="51"/>
    </row>
    <row r="21157" spans="5:5">
      <c r="E21157" s="51"/>
    </row>
    <row r="21158" spans="5:5">
      <c r="E21158" s="51"/>
    </row>
    <row r="21159" spans="5:5">
      <c r="E21159" s="51"/>
    </row>
    <row r="21160" spans="5:5">
      <c r="E21160" s="51"/>
    </row>
    <row r="21161" spans="5:5">
      <c r="E21161" s="51"/>
    </row>
    <row r="21162" spans="5:5">
      <c r="E21162" s="51"/>
    </row>
    <row r="21163" spans="5:5">
      <c r="E21163" s="51"/>
    </row>
    <row r="21164" spans="5:5">
      <c r="E21164" s="51"/>
    </row>
    <row r="21165" spans="5:5">
      <c r="E21165" s="51"/>
    </row>
    <row r="21166" spans="5:5">
      <c r="E21166" s="51"/>
    </row>
    <row r="21167" spans="5:5">
      <c r="E21167" s="51"/>
    </row>
    <row r="21168" spans="5:5">
      <c r="E21168" s="51"/>
    </row>
    <row r="21169" spans="5:5">
      <c r="E21169" s="51"/>
    </row>
    <row r="21170" spans="5:5">
      <c r="E21170" s="51"/>
    </row>
    <row r="21171" spans="5:5">
      <c r="E21171" s="51"/>
    </row>
    <row r="21172" spans="5:5">
      <c r="E21172" s="51"/>
    </row>
    <row r="21173" spans="5:5">
      <c r="E21173" s="51"/>
    </row>
    <row r="21174" spans="5:5">
      <c r="E21174" s="51"/>
    </row>
    <row r="21175" spans="5:5">
      <c r="E21175" s="51"/>
    </row>
    <row r="21176" spans="5:5">
      <c r="E21176" s="51"/>
    </row>
    <row r="21177" spans="5:5">
      <c r="E21177" s="51"/>
    </row>
    <row r="21178" spans="5:5">
      <c r="E21178" s="51"/>
    </row>
    <row r="21179" spans="5:5">
      <c r="E21179" s="51"/>
    </row>
    <row r="21180" spans="5:5">
      <c r="E21180" s="51"/>
    </row>
    <row r="21181" spans="5:5">
      <c r="E21181" s="51"/>
    </row>
    <row r="21182" spans="5:5">
      <c r="E21182" s="51"/>
    </row>
    <row r="21183" spans="5:5">
      <c r="E21183" s="51"/>
    </row>
    <row r="21184" spans="5:5">
      <c r="E21184" s="51"/>
    </row>
    <row r="21185" spans="5:5">
      <c r="E21185" s="51"/>
    </row>
    <row r="21186" spans="5:5">
      <c r="E21186" s="51"/>
    </row>
    <row r="21187" spans="5:5">
      <c r="E21187" s="51"/>
    </row>
    <row r="21188" spans="5:5">
      <c r="E21188" s="51"/>
    </row>
    <row r="21189" spans="5:5">
      <c r="E21189" s="51"/>
    </row>
    <row r="21190" spans="5:5">
      <c r="E21190" s="51"/>
    </row>
    <row r="21191" spans="5:5">
      <c r="E21191" s="51"/>
    </row>
    <row r="21192" spans="5:5">
      <c r="E21192" s="51"/>
    </row>
    <row r="21193" spans="5:5">
      <c r="E21193" s="51"/>
    </row>
    <row r="21194" spans="5:5">
      <c r="E21194" s="51"/>
    </row>
    <row r="21195" spans="5:5">
      <c r="E21195" s="51"/>
    </row>
    <row r="21196" spans="5:5">
      <c r="E21196" s="51"/>
    </row>
    <row r="21197" spans="5:5">
      <c r="E21197" s="51"/>
    </row>
    <row r="21198" spans="5:5">
      <c r="E21198" s="51"/>
    </row>
    <row r="21199" spans="5:5">
      <c r="E21199" s="51"/>
    </row>
    <row r="21200" spans="5:5">
      <c r="E21200" s="51"/>
    </row>
    <row r="21201" spans="5:5">
      <c r="E21201" s="51"/>
    </row>
    <row r="21202" spans="5:5">
      <c r="E21202" s="51"/>
    </row>
    <row r="21203" spans="5:5">
      <c r="E21203" s="51"/>
    </row>
    <row r="21204" spans="5:5">
      <c r="E21204" s="51"/>
    </row>
    <row r="21205" spans="5:5">
      <c r="E21205" s="51"/>
    </row>
    <row r="21206" spans="5:5">
      <c r="E21206" s="51"/>
    </row>
    <row r="21207" spans="5:5">
      <c r="E21207" s="51"/>
    </row>
    <row r="21208" spans="5:5">
      <c r="E21208" s="51"/>
    </row>
    <row r="21209" spans="5:5">
      <c r="E21209" s="51"/>
    </row>
    <row r="21210" spans="5:5">
      <c r="E21210" s="51"/>
    </row>
    <row r="21211" spans="5:5">
      <c r="E21211" s="51"/>
    </row>
    <row r="21212" spans="5:5">
      <c r="E21212" s="51"/>
    </row>
    <row r="21213" spans="5:5">
      <c r="E21213" s="51"/>
    </row>
    <row r="21214" spans="5:5">
      <c r="E21214" s="51"/>
    </row>
    <row r="21215" spans="5:5">
      <c r="E21215" s="51"/>
    </row>
    <row r="21216" spans="5:5">
      <c r="E21216" s="51"/>
    </row>
    <row r="21217" spans="5:5">
      <c r="E21217" s="51"/>
    </row>
    <row r="21218" spans="5:5">
      <c r="E21218" s="51"/>
    </row>
    <row r="21219" spans="5:5">
      <c r="E21219" s="51"/>
    </row>
    <row r="21220" spans="5:5">
      <c r="E21220" s="51"/>
    </row>
    <row r="21221" spans="5:5">
      <c r="E21221" s="51"/>
    </row>
    <row r="21222" spans="5:5">
      <c r="E21222" s="51"/>
    </row>
    <row r="21223" spans="5:5">
      <c r="E21223" s="51"/>
    </row>
    <row r="21224" spans="5:5">
      <c r="E21224" s="51"/>
    </row>
    <row r="21225" spans="5:5">
      <c r="E21225" s="51"/>
    </row>
    <row r="21226" spans="5:5">
      <c r="E21226" s="51"/>
    </row>
    <row r="21227" spans="5:5">
      <c r="E21227" s="51"/>
    </row>
    <row r="21228" spans="5:5">
      <c r="E21228" s="51"/>
    </row>
    <row r="21229" spans="5:5">
      <c r="E21229" s="51"/>
    </row>
    <row r="21230" spans="5:5">
      <c r="E21230" s="51"/>
    </row>
    <row r="21231" spans="5:5">
      <c r="E21231" s="51"/>
    </row>
    <row r="21232" spans="5:5">
      <c r="E21232" s="51"/>
    </row>
    <row r="21233" spans="5:5">
      <c r="E21233" s="51"/>
    </row>
    <row r="21234" spans="5:5">
      <c r="E21234" s="51"/>
    </row>
    <row r="21235" spans="5:5">
      <c r="E21235" s="51"/>
    </row>
    <row r="21236" spans="5:5">
      <c r="E21236" s="51"/>
    </row>
    <row r="21237" spans="5:5">
      <c r="E21237" s="51"/>
    </row>
    <row r="21238" spans="5:5">
      <c r="E21238" s="51"/>
    </row>
    <row r="21239" spans="5:5">
      <c r="E21239" s="51"/>
    </row>
    <row r="21240" spans="5:5">
      <c r="E21240" s="51"/>
    </row>
    <row r="21241" spans="5:5">
      <c r="E21241" s="51"/>
    </row>
    <row r="21242" spans="5:5">
      <c r="E21242" s="51"/>
    </row>
    <row r="21243" spans="5:5">
      <c r="E21243" s="51"/>
    </row>
    <row r="21244" spans="5:5">
      <c r="E21244" s="51"/>
    </row>
    <row r="21245" spans="5:5">
      <c r="E21245" s="51"/>
    </row>
    <row r="21246" spans="5:5">
      <c r="E21246" s="51"/>
    </row>
    <row r="21247" spans="5:5">
      <c r="E21247" s="51"/>
    </row>
    <row r="21248" spans="5:5">
      <c r="E21248" s="51"/>
    </row>
    <row r="21249" spans="5:5">
      <c r="E21249" s="51"/>
    </row>
    <row r="21250" spans="5:5">
      <c r="E21250" s="51"/>
    </row>
    <row r="21251" spans="5:5">
      <c r="E21251" s="51"/>
    </row>
    <row r="21252" spans="5:5">
      <c r="E21252" s="51"/>
    </row>
    <row r="21253" spans="5:5">
      <c r="E21253" s="51"/>
    </row>
    <row r="21254" spans="5:5">
      <c r="E21254" s="51"/>
    </row>
    <row r="21255" spans="5:5">
      <c r="E21255" s="51"/>
    </row>
    <row r="21256" spans="5:5">
      <c r="E21256" s="51"/>
    </row>
    <row r="21257" spans="5:5">
      <c r="E21257" s="51"/>
    </row>
    <row r="21258" spans="5:5">
      <c r="E21258" s="51"/>
    </row>
    <row r="21259" spans="5:5">
      <c r="E21259" s="51"/>
    </row>
    <row r="21260" spans="5:5">
      <c r="E21260" s="51"/>
    </row>
    <row r="21261" spans="5:5">
      <c r="E21261" s="51"/>
    </row>
    <row r="21262" spans="5:5">
      <c r="E21262" s="51"/>
    </row>
    <row r="21263" spans="5:5">
      <c r="E21263" s="51"/>
    </row>
    <row r="21264" spans="5:5">
      <c r="E21264" s="51"/>
    </row>
    <row r="21265" spans="5:5">
      <c r="E21265" s="51"/>
    </row>
    <row r="21266" spans="5:5">
      <c r="E21266" s="51"/>
    </row>
    <row r="21267" spans="5:5">
      <c r="E21267" s="51"/>
    </row>
    <row r="21268" spans="5:5">
      <c r="E21268" s="51"/>
    </row>
    <row r="21269" spans="5:5">
      <c r="E21269" s="51"/>
    </row>
    <row r="21270" spans="5:5">
      <c r="E21270" s="51"/>
    </row>
    <row r="21271" spans="5:5">
      <c r="E21271" s="51"/>
    </row>
    <row r="21272" spans="5:5">
      <c r="E21272" s="51"/>
    </row>
    <row r="21273" spans="5:5">
      <c r="E21273" s="51"/>
    </row>
    <row r="21274" spans="5:5">
      <c r="E21274" s="51"/>
    </row>
    <row r="21275" spans="5:5">
      <c r="E21275" s="51"/>
    </row>
    <row r="21276" spans="5:5">
      <c r="E21276" s="51"/>
    </row>
    <row r="21277" spans="5:5">
      <c r="E21277" s="51"/>
    </row>
    <row r="21278" spans="5:5">
      <c r="E21278" s="51"/>
    </row>
    <row r="21279" spans="5:5">
      <c r="E21279" s="51"/>
    </row>
    <row r="21280" spans="5:5">
      <c r="E21280" s="51"/>
    </row>
    <row r="21281" spans="5:5">
      <c r="E21281" s="51"/>
    </row>
    <row r="21282" spans="5:5">
      <c r="E21282" s="51"/>
    </row>
    <row r="21283" spans="5:5">
      <c r="E21283" s="51"/>
    </row>
    <row r="21284" spans="5:5">
      <c r="E21284" s="51"/>
    </row>
    <row r="21285" spans="5:5">
      <c r="E21285" s="51"/>
    </row>
    <row r="21286" spans="5:5">
      <c r="E21286" s="51"/>
    </row>
    <row r="21287" spans="5:5">
      <c r="E21287" s="51"/>
    </row>
    <row r="21288" spans="5:5">
      <c r="E21288" s="51"/>
    </row>
    <row r="21289" spans="5:5">
      <c r="E21289" s="51"/>
    </row>
    <row r="21290" spans="5:5">
      <c r="E21290" s="51"/>
    </row>
    <row r="21291" spans="5:5">
      <c r="E21291" s="51"/>
    </row>
    <row r="21292" spans="5:5">
      <c r="E21292" s="51"/>
    </row>
    <row r="21293" spans="5:5">
      <c r="E21293" s="51"/>
    </row>
    <row r="21294" spans="5:5">
      <c r="E21294" s="51"/>
    </row>
    <row r="21295" spans="5:5">
      <c r="E21295" s="51"/>
    </row>
    <row r="21296" spans="5:5">
      <c r="E21296" s="51"/>
    </row>
    <row r="21297" spans="5:5">
      <c r="E21297" s="51"/>
    </row>
    <row r="21298" spans="5:5">
      <c r="E21298" s="51"/>
    </row>
    <row r="21299" spans="5:5">
      <c r="E21299" s="51"/>
    </row>
    <row r="21300" spans="5:5">
      <c r="E21300" s="51"/>
    </row>
    <row r="21301" spans="5:5">
      <c r="E21301" s="51"/>
    </row>
    <row r="21302" spans="5:5">
      <c r="E21302" s="51"/>
    </row>
    <row r="21303" spans="5:5">
      <c r="E21303" s="51"/>
    </row>
    <row r="21304" spans="5:5">
      <c r="E21304" s="51"/>
    </row>
    <row r="21305" spans="5:5">
      <c r="E21305" s="51"/>
    </row>
    <row r="21306" spans="5:5">
      <c r="E21306" s="51"/>
    </row>
    <row r="21307" spans="5:5">
      <c r="E21307" s="51"/>
    </row>
    <row r="21308" spans="5:5">
      <c r="E21308" s="51"/>
    </row>
    <row r="21309" spans="5:5">
      <c r="E21309" s="51"/>
    </row>
    <row r="21310" spans="5:5">
      <c r="E21310" s="51"/>
    </row>
    <row r="21311" spans="5:5">
      <c r="E21311" s="51"/>
    </row>
    <row r="21312" spans="5:5">
      <c r="E21312" s="51"/>
    </row>
    <row r="21313" spans="5:5">
      <c r="E21313" s="51"/>
    </row>
    <row r="21314" spans="5:5">
      <c r="E21314" s="51"/>
    </row>
    <row r="21315" spans="5:5">
      <c r="E21315" s="51"/>
    </row>
    <row r="21316" spans="5:5">
      <c r="E21316" s="51"/>
    </row>
    <row r="21317" spans="5:5">
      <c r="E21317" s="51"/>
    </row>
    <row r="21318" spans="5:5">
      <c r="E21318" s="51"/>
    </row>
    <row r="21319" spans="5:5">
      <c r="E21319" s="51"/>
    </row>
    <row r="21320" spans="5:5">
      <c r="E21320" s="51"/>
    </row>
    <row r="21321" spans="5:5">
      <c r="E21321" s="51"/>
    </row>
    <row r="21322" spans="5:5">
      <c r="E21322" s="51"/>
    </row>
    <row r="21323" spans="5:5">
      <c r="E21323" s="51"/>
    </row>
    <row r="21324" spans="5:5">
      <c r="E21324" s="51"/>
    </row>
    <row r="21325" spans="5:5">
      <c r="E21325" s="51"/>
    </row>
    <row r="21326" spans="5:5">
      <c r="E21326" s="51"/>
    </row>
    <row r="21327" spans="5:5">
      <c r="E21327" s="51"/>
    </row>
    <row r="21328" spans="5:5">
      <c r="E21328" s="51"/>
    </row>
    <row r="21329" spans="5:5">
      <c r="E21329" s="51"/>
    </row>
    <row r="21330" spans="5:5">
      <c r="E21330" s="51"/>
    </row>
    <row r="21331" spans="5:5">
      <c r="E21331" s="51"/>
    </row>
    <row r="21332" spans="5:5">
      <c r="E21332" s="51"/>
    </row>
    <row r="21333" spans="5:5">
      <c r="E21333" s="51"/>
    </row>
    <row r="21334" spans="5:5">
      <c r="E21334" s="51"/>
    </row>
    <row r="21335" spans="5:5">
      <c r="E21335" s="51"/>
    </row>
    <row r="21336" spans="5:5">
      <c r="E21336" s="51"/>
    </row>
    <row r="21337" spans="5:5">
      <c r="E21337" s="51"/>
    </row>
    <row r="21338" spans="5:5">
      <c r="E21338" s="51"/>
    </row>
    <row r="21339" spans="5:5">
      <c r="E21339" s="51"/>
    </row>
    <row r="21340" spans="5:5">
      <c r="E21340" s="51"/>
    </row>
    <row r="21341" spans="5:5">
      <c r="E21341" s="51"/>
    </row>
    <row r="21342" spans="5:5">
      <c r="E21342" s="51"/>
    </row>
    <row r="21343" spans="5:5">
      <c r="E21343" s="51"/>
    </row>
    <row r="21344" spans="5:5">
      <c r="E21344" s="51"/>
    </row>
    <row r="21345" spans="5:5">
      <c r="E21345" s="51"/>
    </row>
    <row r="21346" spans="5:5">
      <c r="E21346" s="51"/>
    </row>
    <row r="21347" spans="5:5">
      <c r="E21347" s="51"/>
    </row>
    <row r="21348" spans="5:5">
      <c r="E21348" s="51"/>
    </row>
    <row r="21349" spans="5:5">
      <c r="E21349" s="51"/>
    </row>
    <row r="21350" spans="5:5">
      <c r="E21350" s="51"/>
    </row>
    <row r="21351" spans="5:5">
      <c r="E21351" s="51"/>
    </row>
    <row r="21352" spans="5:5">
      <c r="E21352" s="51"/>
    </row>
    <row r="21353" spans="5:5">
      <c r="E21353" s="51"/>
    </row>
    <row r="21354" spans="5:5">
      <c r="E21354" s="51"/>
    </row>
    <row r="21355" spans="5:5">
      <c r="E21355" s="51"/>
    </row>
    <row r="21356" spans="5:5">
      <c r="E21356" s="51"/>
    </row>
    <row r="21357" spans="5:5">
      <c r="E21357" s="51"/>
    </row>
    <row r="21358" spans="5:5">
      <c r="E21358" s="51"/>
    </row>
    <row r="21359" spans="5:5">
      <c r="E21359" s="51"/>
    </row>
    <row r="21360" spans="5:5">
      <c r="E21360" s="51"/>
    </row>
    <row r="21361" spans="5:5">
      <c r="E21361" s="51"/>
    </row>
    <row r="21362" spans="5:5">
      <c r="E21362" s="51"/>
    </row>
    <row r="21363" spans="5:5">
      <c r="E21363" s="51"/>
    </row>
    <row r="21364" spans="5:5">
      <c r="E21364" s="51"/>
    </row>
    <row r="21365" spans="5:5">
      <c r="E21365" s="51"/>
    </row>
    <row r="21366" spans="5:5">
      <c r="E21366" s="51"/>
    </row>
    <row r="21367" spans="5:5">
      <c r="E21367" s="51"/>
    </row>
    <row r="21368" spans="5:5">
      <c r="E21368" s="51"/>
    </row>
    <row r="21369" spans="5:5">
      <c r="E21369" s="51"/>
    </row>
    <row r="21370" spans="5:5">
      <c r="E21370" s="51"/>
    </row>
    <row r="21371" spans="5:5">
      <c r="E21371" s="51"/>
    </row>
    <row r="21372" spans="5:5">
      <c r="E21372" s="51"/>
    </row>
    <row r="21373" spans="5:5">
      <c r="E21373" s="51"/>
    </row>
    <row r="21374" spans="5:5">
      <c r="E21374" s="51"/>
    </row>
    <row r="21375" spans="5:5">
      <c r="E21375" s="51"/>
    </row>
    <row r="21376" spans="5:5">
      <c r="E21376" s="51"/>
    </row>
    <row r="21377" spans="5:5">
      <c r="E21377" s="51"/>
    </row>
    <row r="21378" spans="5:5">
      <c r="E21378" s="51"/>
    </row>
    <row r="21379" spans="5:5">
      <c r="E21379" s="51"/>
    </row>
    <row r="21380" spans="5:5">
      <c r="E21380" s="51"/>
    </row>
    <row r="21381" spans="5:5">
      <c r="E21381" s="51"/>
    </row>
    <row r="21382" spans="5:5">
      <c r="E21382" s="51"/>
    </row>
    <row r="21383" spans="5:5">
      <c r="E21383" s="51"/>
    </row>
    <row r="21384" spans="5:5">
      <c r="E21384" s="51"/>
    </row>
    <row r="21385" spans="5:5">
      <c r="E21385" s="51"/>
    </row>
    <row r="21386" spans="5:5">
      <c r="E21386" s="51"/>
    </row>
    <row r="21387" spans="5:5">
      <c r="E21387" s="51"/>
    </row>
    <row r="21388" spans="5:5">
      <c r="E21388" s="51"/>
    </row>
    <row r="21389" spans="5:5">
      <c r="E21389" s="51"/>
    </row>
    <row r="21390" spans="5:5">
      <c r="E21390" s="51"/>
    </row>
    <row r="21391" spans="5:5">
      <c r="E21391" s="51"/>
    </row>
    <row r="21392" spans="5:5">
      <c r="E21392" s="51"/>
    </row>
    <row r="21393" spans="5:5">
      <c r="E21393" s="51"/>
    </row>
    <row r="21394" spans="5:5">
      <c r="E21394" s="51"/>
    </row>
    <row r="21395" spans="5:5">
      <c r="E21395" s="51"/>
    </row>
    <row r="21396" spans="5:5">
      <c r="E21396" s="51"/>
    </row>
    <row r="21397" spans="5:5">
      <c r="E21397" s="51"/>
    </row>
    <row r="21398" spans="5:5">
      <c r="E21398" s="51"/>
    </row>
    <row r="21399" spans="5:5">
      <c r="E21399" s="51"/>
    </row>
    <row r="21400" spans="5:5">
      <c r="E21400" s="51"/>
    </row>
    <row r="21401" spans="5:5">
      <c r="E21401" s="51"/>
    </row>
    <row r="21402" spans="5:5">
      <c r="E21402" s="51"/>
    </row>
    <row r="21403" spans="5:5">
      <c r="E21403" s="51"/>
    </row>
    <row r="21404" spans="5:5">
      <c r="E21404" s="51"/>
    </row>
    <row r="21405" spans="5:5">
      <c r="E21405" s="51"/>
    </row>
    <row r="21406" spans="5:5">
      <c r="E21406" s="51"/>
    </row>
    <row r="21407" spans="5:5">
      <c r="E21407" s="51"/>
    </row>
    <row r="21408" spans="5:5">
      <c r="E21408" s="51"/>
    </row>
    <row r="21409" spans="5:5">
      <c r="E21409" s="51"/>
    </row>
    <row r="21410" spans="5:5">
      <c r="E21410" s="51"/>
    </row>
    <row r="21411" spans="5:5">
      <c r="E21411" s="51"/>
    </row>
    <row r="21412" spans="5:5">
      <c r="E21412" s="51"/>
    </row>
    <row r="21413" spans="5:5">
      <c r="E21413" s="51"/>
    </row>
    <row r="21414" spans="5:5">
      <c r="E21414" s="51"/>
    </row>
    <row r="21415" spans="5:5">
      <c r="E21415" s="51"/>
    </row>
    <row r="21416" spans="5:5">
      <c r="E21416" s="51"/>
    </row>
    <row r="21417" spans="5:5">
      <c r="E21417" s="51"/>
    </row>
    <row r="21418" spans="5:5">
      <c r="E21418" s="51"/>
    </row>
    <row r="21419" spans="5:5">
      <c r="E21419" s="51"/>
    </row>
    <row r="21420" spans="5:5">
      <c r="E21420" s="51"/>
    </row>
    <row r="21421" spans="5:5">
      <c r="E21421" s="51"/>
    </row>
    <row r="21422" spans="5:5">
      <c r="E21422" s="51"/>
    </row>
    <row r="21423" spans="5:5">
      <c r="E21423" s="51"/>
    </row>
    <row r="21424" spans="5:5">
      <c r="E21424" s="51"/>
    </row>
    <row r="21425" spans="5:5">
      <c r="E21425" s="51"/>
    </row>
    <row r="21426" spans="5:5">
      <c r="E21426" s="51"/>
    </row>
    <row r="21427" spans="5:5">
      <c r="E21427" s="51"/>
    </row>
    <row r="21428" spans="5:5">
      <c r="E21428" s="51"/>
    </row>
    <row r="21429" spans="5:5">
      <c r="E21429" s="51"/>
    </row>
    <row r="21430" spans="5:5">
      <c r="E21430" s="51"/>
    </row>
    <row r="21431" spans="5:5">
      <c r="E21431" s="51"/>
    </row>
    <row r="21432" spans="5:5">
      <c r="E21432" s="51"/>
    </row>
    <row r="21433" spans="5:5">
      <c r="E21433" s="51"/>
    </row>
    <row r="21434" spans="5:5">
      <c r="E21434" s="51"/>
    </row>
    <row r="21435" spans="5:5">
      <c r="E21435" s="51"/>
    </row>
    <row r="21436" spans="5:5">
      <c r="E21436" s="51"/>
    </row>
    <row r="21437" spans="5:5">
      <c r="E21437" s="51"/>
    </row>
    <row r="21438" spans="5:5">
      <c r="E21438" s="51"/>
    </row>
    <row r="21439" spans="5:5">
      <c r="E21439" s="51"/>
    </row>
    <row r="21440" spans="5:5">
      <c r="E21440" s="51"/>
    </row>
    <row r="21441" spans="5:5">
      <c r="E21441" s="51"/>
    </row>
    <row r="21442" spans="5:5">
      <c r="E21442" s="51"/>
    </row>
    <row r="21443" spans="5:5">
      <c r="E21443" s="51"/>
    </row>
    <row r="21444" spans="5:5">
      <c r="E21444" s="51"/>
    </row>
    <row r="21445" spans="5:5">
      <c r="E21445" s="51"/>
    </row>
    <row r="21446" spans="5:5">
      <c r="E21446" s="51"/>
    </row>
    <row r="21447" spans="5:5">
      <c r="E21447" s="51"/>
    </row>
    <row r="21448" spans="5:5">
      <c r="E21448" s="51"/>
    </row>
    <row r="21449" spans="5:5">
      <c r="E21449" s="51"/>
    </row>
    <row r="21450" spans="5:5">
      <c r="E21450" s="51"/>
    </row>
    <row r="21451" spans="5:5">
      <c r="E21451" s="51"/>
    </row>
    <row r="21452" spans="5:5">
      <c r="E21452" s="51"/>
    </row>
    <row r="21453" spans="5:5">
      <c r="E21453" s="51"/>
    </row>
    <row r="21454" spans="5:5">
      <c r="E21454" s="51"/>
    </row>
    <row r="21455" spans="5:5">
      <c r="E21455" s="51"/>
    </row>
    <row r="21456" spans="5:5">
      <c r="E21456" s="51"/>
    </row>
    <row r="21457" spans="5:5">
      <c r="E21457" s="51"/>
    </row>
    <row r="21458" spans="5:5">
      <c r="E21458" s="51"/>
    </row>
    <row r="21459" spans="5:5">
      <c r="E21459" s="51"/>
    </row>
    <row r="21460" spans="5:5">
      <c r="E21460" s="51"/>
    </row>
    <row r="21461" spans="5:5">
      <c r="E21461" s="51"/>
    </row>
    <row r="21462" spans="5:5">
      <c r="E21462" s="51"/>
    </row>
    <row r="21463" spans="5:5">
      <c r="E21463" s="51"/>
    </row>
    <row r="21464" spans="5:5">
      <c r="E21464" s="51"/>
    </row>
    <row r="21465" spans="5:5">
      <c r="E21465" s="51"/>
    </row>
    <row r="21466" spans="5:5">
      <c r="E21466" s="51"/>
    </row>
    <row r="21467" spans="5:5">
      <c r="E21467" s="51"/>
    </row>
    <row r="21468" spans="5:5">
      <c r="E21468" s="51"/>
    </row>
    <row r="21469" spans="5:5">
      <c r="E21469" s="51"/>
    </row>
    <row r="21470" spans="5:5">
      <c r="E21470" s="51"/>
    </row>
    <row r="21471" spans="5:5">
      <c r="E21471" s="51"/>
    </row>
    <row r="21472" spans="5:5">
      <c r="E21472" s="51"/>
    </row>
    <row r="21473" spans="5:5">
      <c r="E21473" s="51"/>
    </row>
    <row r="21474" spans="5:5">
      <c r="E21474" s="51"/>
    </row>
    <row r="21475" spans="5:5">
      <c r="E21475" s="51"/>
    </row>
    <row r="21476" spans="5:5">
      <c r="E21476" s="51"/>
    </row>
    <row r="21477" spans="5:5">
      <c r="E21477" s="51"/>
    </row>
    <row r="21478" spans="5:5">
      <c r="E21478" s="51"/>
    </row>
    <row r="21479" spans="5:5">
      <c r="E21479" s="51"/>
    </row>
    <row r="21480" spans="5:5">
      <c r="E21480" s="51"/>
    </row>
    <row r="21481" spans="5:5">
      <c r="E21481" s="51"/>
    </row>
    <row r="21482" spans="5:5">
      <c r="E21482" s="51"/>
    </row>
    <row r="21483" spans="5:5">
      <c r="E21483" s="51"/>
    </row>
    <row r="21484" spans="5:5">
      <c r="E21484" s="51"/>
    </row>
    <row r="21485" spans="5:5">
      <c r="E21485" s="51"/>
    </row>
    <row r="21486" spans="5:5">
      <c r="E21486" s="51"/>
    </row>
    <row r="21487" spans="5:5">
      <c r="E21487" s="51"/>
    </row>
    <row r="21488" spans="5:5">
      <c r="E21488" s="51"/>
    </row>
    <row r="21489" spans="5:5">
      <c r="E21489" s="51"/>
    </row>
    <row r="21490" spans="5:5">
      <c r="E21490" s="51"/>
    </row>
    <row r="21491" spans="5:5">
      <c r="E21491" s="51"/>
    </row>
    <row r="21492" spans="5:5">
      <c r="E21492" s="51"/>
    </row>
    <row r="21493" spans="5:5">
      <c r="E21493" s="51"/>
    </row>
    <row r="21494" spans="5:5">
      <c r="E21494" s="51"/>
    </row>
    <row r="21495" spans="5:5">
      <c r="E21495" s="51"/>
    </row>
    <row r="21496" spans="5:5">
      <c r="E21496" s="51"/>
    </row>
    <row r="21497" spans="5:5">
      <c r="E21497" s="51"/>
    </row>
    <row r="21498" spans="5:5">
      <c r="E21498" s="51"/>
    </row>
    <row r="21499" spans="5:5">
      <c r="E21499" s="51"/>
    </row>
    <row r="21500" spans="5:5">
      <c r="E21500" s="51"/>
    </row>
    <row r="21501" spans="5:5">
      <c r="E21501" s="51"/>
    </row>
    <row r="21502" spans="5:5">
      <c r="E21502" s="51"/>
    </row>
    <row r="21503" spans="5:5">
      <c r="E21503" s="51"/>
    </row>
    <row r="21504" spans="5:5">
      <c r="E21504" s="51"/>
    </row>
    <row r="21505" spans="5:5">
      <c r="E21505" s="51"/>
    </row>
    <row r="21506" spans="5:5">
      <c r="E21506" s="51"/>
    </row>
    <row r="21507" spans="5:5">
      <c r="E21507" s="51"/>
    </row>
    <row r="21508" spans="5:5">
      <c r="E21508" s="51"/>
    </row>
    <row r="21509" spans="5:5">
      <c r="E21509" s="51"/>
    </row>
    <row r="21510" spans="5:5">
      <c r="E21510" s="51"/>
    </row>
    <row r="21511" spans="5:5">
      <c r="E21511" s="51"/>
    </row>
    <row r="21512" spans="5:5">
      <c r="E21512" s="51"/>
    </row>
    <row r="21513" spans="5:5">
      <c r="E21513" s="51"/>
    </row>
    <row r="21514" spans="5:5">
      <c r="E21514" s="51"/>
    </row>
    <row r="21515" spans="5:5">
      <c r="E21515" s="51"/>
    </row>
    <row r="21516" spans="5:5">
      <c r="E21516" s="51"/>
    </row>
    <row r="21517" spans="5:5">
      <c r="E21517" s="51"/>
    </row>
    <row r="21518" spans="5:5">
      <c r="E21518" s="51"/>
    </row>
    <row r="21519" spans="5:5">
      <c r="E21519" s="51"/>
    </row>
    <row r="21520" spans="5:5">
      <c r="E21520" s="51"/>
    </row>
    <row r="21521" spans="5:5">
      <c r="E21521" s="51"/>
    </row>
    <row r="21522" spans="5:5">
      <c r="E21522" s="51"/>
    </row>
    <row r="21523" spans="5:5">
      <c r="E21523" s="51"/>
    </row>
    <row r="21524" spans="5:5">
      <c r="E21524" s="51"/>
    </row>
    <row r="21525" spans="5:5">
      <c r="E21525" s="51"/>
    </row>
    <row r="21526" spans="5:5">
      <c r="E21526" s="51"/>
    </row>
    <row r="21527" spans="5:5">
      <c r="E21527" s="51"/>
    </row>
    <row r="21528" spans="5:5">
      <c r="E21528" s="51"/>
    </row>
    <row r="21529" spans="5:5">
      <c r="E21529" s="51"/>
    </row>
    <row r="21530" spans="5:5">
      <c r="E21530" s="51"/>
    </row>
    <row r="21531" spans="5:5">
      <c r="E21531" s="51"/>
    </row>
    <row r="21532" spans="5:5">
      <c r="E21532" s="51"/>
    </row>
    <row r="21533" spans="5:5">
      <c r="E21533" s="51"/>
    </row>
    <row r="21534" spans="5:5">
      <c r="E21534" s="51"/>
    </row>
    <row r="21535" spans="5:5">
      <c r="E21535" s="51"/>
    </row>
    <row r="21536" spans="5:5">
      <c r="E21536" s="51"/>
    </row>
    <row r="21537" spans="5:5">
      <c r="E21537" s="51"/>
    </row>
    <row r="21538" spans="5:5">
      <c r="E21538" s="51"/>
    </row>
    <row r="21539" spans="5:5">
      <c r="E21539" s="51"/>
    </row>
    <row r="21540" spans="5:5">
      <c r="E21540" s="51"/>
    </row>
    <row r="21541" spans="5:5">
      <c r="E21541" s="51"/>
    </row>
    <row r="21542" spans="5:5">
      <c r="E21542" s="51"/>
    </row>
    <row r="21543" spans="5:5">
      <c r="E21543" s="51"/>
    </row>
    <row r="21544" spans="5:5">
      <c r="E21544" s="51"/>
    </row>
    <row r="21545" spans="5:5">
      <c r="E21545" s="51"/>
    </row>
    <row r="21546" spans="5:5">
      <c r="E21546" s="51"/>
    </row>
    <row r="21547" spans="5:5">
      <c r="E21547" s="51"/>
    </row>
    <row r="21548" spans="5:5">
      <c r="E21548" s="51"/>
    </row>
    <row r="21549" spans="5:5">
      <c r="E21549" s="51"/>
    </row>
    <row r="21550" spans="5:5">
      <c r="E21550" s="51"/>
    </row>
    <row r="21551" spans="5:5">
      <c r="E21551" s="51"/>
    </row>
    <row r="21552" spans="5:5">
      <c r="E21552" s="51"/>
    </row>
    <row r="21553" spans="5:5">
      <c r="E21553" s="51"/>
    </row>
    <row r="21554" spans="5:5">
      <c r="E21554" s="51"/>
    </row>
    <row r="21555" spans="5:5">
      <c r="E21555" s="51"/>
    </row>
    <row r="21556" spans="5:5">
      <c r="E21556" s="51"/>
    </row>
    <row r="21557" spans="5:5">
      <c r="E21557" s="51"/>
    </row>
    <row r="21558" spans="5:5">
      <c r="E21558" s="51"/>
    </row>
    <row r="21559" spans="5:5">
      <c r="E21559" s="51"/>
    </row>
    <row r="21560" spans="5:5">
      <c r="E21560" s="51"/>
    </row>
    <row r="21561" spans="5:5">
      <c r="E21561" s="51"/>
    </row>
    <row r="21562" spans="5:5">
      <c r="E21562" s="51"/>
    </row>
    <row r="21563" spans="5:5">
      <c r="E21563" s="51"/>
    </row>
    <row r="21564" spans="5:5">
      <c r="E21564" s="51"/>
    </row>
    <row r="21565" spans="5:5">
      <c r="E21565" s="51"/>
    </row>
    <row r="21566" spans="5:5">
      <c r="E21566" s="51"/>
    </row>
    <row r="21567" spans="5:5">
      <c r="E21567" s="51"/>
    </row>
    <row r="21568" spans="5:5">
      <c r="E21568" s="51"/>
    </row>
    <row r="21569" spans="5:5">
      <c r="E21569" s="51"/>
    </row>
    <row r="21570" spans="5:5">
      <c r="E21570" s="51"/>
    </row>
    <row r="21571" spans="5:5">
      <c r="E21571" s="51"/>
    </row>
    <row r="21572" spans="5:5">
      <c r="E21572" s="51"/>
    </row>
    <row r="21573" spans="5:5">
      <c r="E21573" s="51"/>
    </row>
    <row r="21574" spans="5:5">
      <c r="E21574" s="51"/>
    </row>
    <row r="21575" spans="5:5">
      <c r="E21575" s="51"/>
    </row>
    <row r="21576" spans="5:5">
      <c r="E21576" s="51"/>
    </row>
    <row r="21577" spans="5:5">
      <c r="E21577" s="51"/>
    </row>
    <row r="21578" spans="5:5">
      <c r="E21578" s="51"/>
    </row>
    <row r="21579" spans="5:5">
      <c r="E21579" s="51"/>
    </row>
    <row r="21580" spans="5:5">
      <c r="E21580" s="51"/>
    </row>
    <row r="21581" spans="5:5">
      <c r="E21581" s="51"/>
    </row>
    <row r="21582" spans="5:5">
      <c r="E21582" s="51"/>
    </row>
    <row r="21583" spans="5:5">
      <c r="E21583" s="51"/>
    </row>
    <row r="21584" spans="5:5">
      <c r="E21584" s="51"/>
    </row>
    <row r="21585" spans="5:5">
      <c r="E21585" s="51"/>
    </row>
    <row r="21586" spans="5:5">
      <c r="E21586" s="51"/>
    </row>
    <row r="21587" spans="5:5">
      <c r="E21587" s="51"/>
    </row>
    <row r="21588" spans="5:5">
      <c r="E21588" s="51"/>
    </row>
    <row r="21589" spans="5:5">
      <c r="E21589" s="51"/>
    </row>
    <row r="21590" spans="5:5">
      <c r="E21590" s="51"/>
    </row>
    <row r="21591" spans="5:5">
      <c r="E21591" s="51"/>
    </row>
    <row r="21592" spans="5:5">
      <c r="E21592" s="51"/>
    </row>
    <row r="21593" spans="5:5">
      <c r="E21593" s="51"/>
    </row>
    <row r="21594" spans="5:5">
      <c r="E21594" s="51"/>
    </row>
    <row r="21595" spans="5:5">
      <c r="E21595" s="51"/>
    </row>
    <row r="21596" spans="5:5">
      <c r="E21596" s="51"/>
    </row>
    <row r="21597" spans="5:5">
      <c r="E21597" s="51"/>
    </row>
    <row r="21598" spans="5:5">
      <c r="E21598" s="51"/>
    </row>
    <row r="21599" spans="5:5">
      <c r="E21599" s="51"/>
    </row>
    <row r="21600" spans="5:5">
      <c r="E21600" s="51"/>
    </row>
    <row r="21601" spans="5:5">
      <c r="E21601" s="51"/>
    </row>
    <row r="21602" spans="5:5">
      <c r="E21602" s="51"/>
    </row>
    <row r="21603" spans="5:5">
      <c r="E21603" s="51"/>
    </row>
    <row r="21604" spans="5:5">
      <c r="E21604" s="51"/>
    </row>
    <row r="21605" spans="5:5">
      <c r="E21605" s="51"/>
    </row>
    <row r="21606" spans="5:5">
      <c r="E21606" s="51"/>
    </row>
    <row r="21607" spans="5:5">
      <c r="E21607" s="51"/>
    </row>
    <row r="21608" spans="5:5">
      <c r="E21608" s="51"/>
    </row>
    <row r="21609" spans="5:5">
      <c r="E21609" s="51"/>
    </row>
    <row r="21610" spans="5:5">
      <c r="E21610" s="51"/>
    </row>
    <row r="21611" spans="5:5">
      <c r="E21611" s="51"/>
    </row>
    <row r="21612" spans="5:5">
      <c r="E21612" s="51"/>
    </row>
    <row r="21613" spans="5:5">
      <c r="E21613" s="51"/>
    </row>
    <row r="21614" spans="5:5">
      <c r="E21614" s="51"/>
    </row>
    <row r="21615" spans="5:5">
      <c r="E21615" s="51"/>
    </row>
    <row r="21616" spans="5:5">
      <c r="E21616" s="51"/>
    </row>
    <row r="21617" spans="5:5">
      <c r="E21617" s="51"/>
    </row>
    <row r="21618" spans="5:5">
      <c r="E21618" s="51"/>
    </row>
    <row r="21619" spans="5:5">
      <c r="E21619" s="51"/>
    </row>
    <row r="21620" spans="5:5">
      <c r="E21620" s="51"/>
    </row>
    <row r="21621" spans="5:5">
      <c r="E21621" s="51"/>
    </row>
    <row r="21622" spans="5:5">
      <c r="E21622" s="51"/>
    </row>
    <row r="21623" spans="5:5">
      <c r="E21623" s="51"/>
    </row>
    <row r="21624" spans="5:5">
      <c r="E21624" s="51"/>
    </row>
    <row r="21625" spans="5:5">
      <c r="E21625" s="51"/>
    </row>
    <row r="21626" spans="5:5">
      <c r="E21626" s="51"/>
    </row>
    <row r="21627" spans="5:5">
      <c r="E21627" s="51"/>
    </row>
    <row r="21628" spans="5:5">
      <c r="E21628" s="51"/>
    </row>
    <row r="21629" spans="5:5">
      <c r="E21629" s="51"/>
    </row>
    <row r="21630" spans="5:5">
      <c r="E21630" s="51"/>
    </row>
    <row r="21631" spans="5:5">
      <c r="E21631" s="51"/>
    </row>
    <row r="21632" spans="5:5">
      <c r="E21632" s="51"/>
    </row>
    <row r="21633" spans="5:5">
      <c r="E21633" s="51"/>
    </row>
    <row r="21634" spans="5:5">
      <c r="E21634" s="51"/>
    </row>
    <row r="21635" spans="5:5">
      <c r="E21635" s="51"/>
    </row>
    <row r="21636" spans="5:5">
      <c r="E21636" s="51"/>
    </row>
    <row r="21637" spans="5:5">
      <c r="E21637" s="51"/>
    </row>
    <row r="21638" spans="5:5">
      <c r="E21638" s="51"/>
    </row>
    <row r="21639" spans="5:5">
      <c r="E21639" s="51"/>
    </row>
    <row r="21640" spans="5:5">
      <c r="E21640" s="51"/>
    </row>
    <row r="21641" spans="5:5">
      <c r="E21641" s="51"/>
    </row>
    <row r="21642" spans="5:5">
      <c r="E21642" s="51"/>
    </row>
    <row r="21643" spans="5:5">
      <c r="E21643" s="51"/>
    </row>
    <row r="21644" spans="5:5">
      <c r="E21644" s="51"/>
    </row>
    <row r="21645" spans="5:5">
      <c r="E21645" s="51"/>
    </row>
    <row r="21646" spans="5:5">
      <c r="E21646" s="51"/>
    </row>
    <row r="21647" spans="5:5">
      <c r="E21647" s="51"/>
    </row>
    <row r="21648" spans="5:5">
      <c r="E21648" s="51"/>
    </row>
    <row r="21649" spans="5:5">
      <c r="E21649" s="51"/>
    </row>
    <row r="21650" spans="5:5">
      <c r="E21650" s="51"/>
    </row>
    <row r="21651" spans="5:5">
      <c r="E21651" s="51"/>
    </row>
    <row r="21652" spans="5:5">
      <c r="E21652" s="51"/>
    </row>
    <row r="21653" spans="5:5">
      <c r="E21653" s="51"/>
    </row>
    <row r="21654" spans="5:5">
      <c r="E21654" s="51"/>
    </row>
    <row r="21655" spans="5:5">
      <c r="E21655" s="51"/>
    </row>
    <row r="21656" spans="5:5">
      <c r="E21656" s="51"/>
    </row>
    <row r="21657" spans="5:5">
      <c r="E21657" s="51"/>
    </row>
    <row r="21658" spans="5:5">
      <c r="E21658" s="51"/>
    </row>
    <row r="21659" spans="5:5">
      <c r="E21659" s="51"/>
    </row>
    <row r="21660" spans="5:5">
      <c r="E21660" s="51"/>
    </row>
    <row r="21661" spans="5:5">
      <c r="E21661" s="51"/>
    </row>
    <row r="21662" spans="5:5">
      <c r="E21662" s="51"/>
    </row>
    <row r="21663" spans="5:5">
      <c r="E21663" s="51"/>
    </row>
    <row r="21664" spans="5:5">
      <c r="E21664" s="51"/>
    </row>
    <row r="21665" spans="5:5">
      <c r="E21665" s="51"/>
    </row>
    <row r="21666" spans="5:5">
      <c r="E21666" s="51"/>
    </row>
    <row r="21667" spans="5:5">
      <c r="E21667" s="51"/>
    </row>
    <row r="21668" spans="5:5">
      <c r="E21668" s="51"/>
    </row>
    <row r="21669" spans="5:5">
      <c r="E21669" s="51"/>
    </row>
    <row r="21670" spans="5:5">
      <c r="E21670" s="51"/>
    </row>
    <row r="21671" spans="5:5">
      <c r="E21671" s="51"/>
    </row>
    <row r="21672" spans="5:5">
      <c r="E21672" s="51"/>
    </row>
    <row r="21673" spans="5:5">
      <c r="E21673" s="51"/>
    </row>
    <row r="21674" spans="5:5">
      <c r="E21674" s="51"/>
    </row>
    <row r="21675" spans="5:5">
      <c r="E21675" s="51"/>
    </row>
    <row r="21676" spans="5:5">
      <c r="E21676" s="51"/>
    </row>
    <row r="21677" spans="5:5">
      <c r="E21677" s="51"/>
    </row>
    <row r="21678" spans="5:5">
      <c r="E21678" s="51"/>
    </row>
    <row r="21679" spans="5:5">
      <c r="E21679" s="51"/>
    </row>
    <row r="21680" spans="5:5">
      <c r="E21680" s="51"/>
    </row>
    <row r="21681" spans="5:5">
      <c r="E21681" s="51"/>
    </row>
    <row r="21682" spans="5:5">
      <c r="E21682" s="51"/>
    </row>
    <row r="21683" spans="5:5">
      <c r="E21683" s="51"/>
    </row>
    <row r="21684" spans="5:5">
      <c r="E21684" s="51"/>
    </row>
    <row r="21685" spans="5:5">
      <c r="E21685" s="51"/>
    </row>
    <row r="21686" spans="5:5">
      <c r="E21686" s="51"/>
    </row>
    <row r="21687" spans="5:5">
      <c r="E21687" s="51"/>
    </row>
    <row r="21688" spans="5:5">
      <c r="E21688" s="51"/>
    </row>
    <row r="21689" spans="5:5">
      <c r="E21689" s="51"/>
    </row>
    <row r="21690" spans="5:5">
      <c r="E21690" s="51"/>
    </row>
    <row r="21691" spans="5:5">
      <c r="E21691" s="51"/>
    </row>
    <row r="21692" spans="5:5">
      <c r="E21692" s="51"/>
    </row>
    <row r="21693" spans="5:5">
      <c r="E21693" s="51"/>
    </row>
    <row r="21694" spans="5:5">
      <c r="E21694" s="51"/>
    </row>
    <row r="21695" spans="5:5">
      <c r="E21695" s="51"/>
    </row>
    <row r="21696" spans="5:5">
      <c r="E21696" s="51"/>
    </row>
    <row r="21697" spans="5:5">
      <c r="E21697" s="51"/>
    </row>
    <row r="21698" spans="5:5">
      <c r="E21698" s="51"/>
    </row>
    <row r="21699" spans="5:5">
      <c r="E21699" s="51"/>
    </row>
    <row r="21700" spans="5:5">
      <c r="E21700" s="51"/>
    </row>
    <row r="21701" spans="5:5">
      <c r="E21701" s="51"/>
    </row>
    <row r="21702" spans="5:5">
      <c r="E21702" s="51"/>
    </row>
    <row r="21703" spans="5:5">
      <c r="E21703" s="51"/>
    </row>
    <row r="21704" spans="5:5">
      <c r="E21704" s="51"/>
    </row>
    <row r="21705" spans="5:5">
      <c r="E21705" s="51"/>
    </row>
    <row r="21706" spans="5:5">
      <c r="E21706" s="51"/>
    </row>
    <row r="21707" spans="5:5">
      <c r="E21707" s="51"/>
    </row>
    <row r="21708" spans="5:5">
      <c r="E21708" s="51"/>
    </row>
    <row r="21709" spans="5:5">
      <c r="E21709" s="51"/>
    </row>
    <row r="21710" spans="5:5">
      <c r="E21710" s="51"/>
    </row>
    <row r="21711" spans="5:5">
      <c r="E21711" s="51"/>
    </row>
    <row r="21712" spans="5:5">
      <c r="E21712" s="51"/>
    </row>
    <row r="21713" spans="5:5">
      <c r="E21713" s="51"/>
    </row>
    <row r="21714" spans="5:5">
      <c r="E21714" s="51"/>
    </row>
    <row r="21715" spans="5:5">
      <c r="E21715" s="51"/>
    </row>
    <row r="21716" spans="5:5">
      <c r="E21716" s="51"/>
    </row>
    <row r="21717" spans="5:5">
      <c r="E21717" s="51"/>
    </row>
    <row r="21718" spans="5:5">
      <c r="E21718" s="51"/>
    </row>
    <row r="21719" spans="5:5">
      <c r="E21719" s="51"/>
    </row>
    <row r="21720" spans="5:5">
      <c r="E21720" s="51"/>
    </row>
    <row r="21721" spans="5:5">
      <c r="E21721" s="51"/>
    </row>
    <row r="21722" spans="5:5">
      <c r="E21722" s="51"/>
    </row>
    <row r="21723" spans="5:5">
      <c r="E21723" s="51"/>
    </row>
    <row r="21724" spans="5:5">
      <c r="E21724" s="51"/>
    </row>
    <row r="21725" spans="5:5">
      <c r="E21725" s="51"/>
    </row>
    <row r="21726" spans="5:5">
      <c r="E21726" s="51"/>
    </row>
    <row r="21727" spans="5:5">
      <c r="E21727" s="51"/>
    </row>
    <row r="21728" spans="5:5">
      <c r="E21728" s="51"/>
    </row>
    <row r="21729" spans="5:5">
      <c r="E21729" s="51"/>
    </row>
    <row r="21730" spans="5:5">
      <c r="E21730" s="51"/>
    </row>
    <row r="21731" spans="5:5">
      <c r="E21731" s="51"/>
    </row>
    <row r="21732" spans="5:5">
      <c r="E21732" s="51"/>
    </row>
    <row r="21733" spans="5:5">
      <c r="E21733" s="51"/>
    </row>
    <row r="21734" spans="5:5">
      <c r="E21734" s="51"/>
    </row>
    <row r="21735" spans="5:5">
      <c r="E21735" s="51"/>
    </row>
    <row r="21736" spans="5:5">
      <c r="E21736" s="51"/>
    </row>
    <row r="21737" spans="5:5">
      <c r="E21737" s="51"/>
    </row>
    <row r="21738" spans="5:5">
      <c r="E21738" s="51"/>
    </row>
    <row r="21739" spans="5:5">
      <c r="E21739" s="51"/>
    </row>
    <row r="21740" spans="5:5">
      <c r="E21740" s="51"/>
    </row>
    <row r="21741" spans="5:5">
      <c r="E21741" s="51"/>
    </row>
    <row r="21742" spans="5:5">
      <c r="E21742" s="51"/>
    </row>
    <row r="21743" spans="5:5">
      <c r="E21743" s="51"/>
    </row>
    <row r="21744" spans="5:5">
      <c r="E21744" s="51"/>
    </row>
    <row r="21745" spans="5:5">
      <c r="E21745" s="51"/>
    </row>
    <row r="21746" spans="5:5">
      <c r="E21746" s="51"/>
    </row>
    <row r="21747" spans="5:5">
      <c r="E21747" s="51"/>
    </row>
    <row r="21748" spans="5:5">
      <c r="E21748" s="51"/>
    </row>
    <row r="21749" spans="5:5">
      <c r="E21749" s="51"/>
    </row>
    <row r="21750" spans="5:5">
      <c r="E21750" s="51"/>
    </row>
    <row r="21751" spans="5:5">
      <c r="E21751" s="51"/>
    </row>
    <row r="21752" spans="5:5">
      <c r="E21752" s="51"/>
    </row>
    <row r="21753" spans="5:5">
      <c r="E21753" s="51"/>
    </row>
    <row r="21754" spans="5:5">
      <c r="E21754" s="51"/>
    </row>
    <row r="21755" spans="5:5">
      <c r="E21755" s="51"/>
    </row>
    <row r="21756" spans="5:5">
      <c r="E21756" s="51"/>
    </row>
    <row r="21757" spans="5:5">
      <c r="E21757" s="51"/>
    </row>
    <row r="21758" spans="5:5">
      <c r="E21758" s="51"/>
    </row>
    <row r="21759" spans="5:5">
      <c r="E21759" s="51"/>
    </row>
    <row r="21760" spans="5:5">
      <c r="E21760" s="51"/>
    </row>
    <row r="21761" spans="5:5">
      <c r="E21761" s="51"/>
    </row>
    <row r="21762" spans="5:5">
      <c r="E21762" s="51"/>
    </row>
    <row r="21763" spans="5:5">
      <c r="E21763" s="51"/>
    </row>
    <row r="21764" spans="5:5">
      <c r="E21764" s="51"/>
    </row>
    <row r="21765" spans="5:5">
      <c r="E21765" s="51"/>
    </row>
    <row r="21766" spans="5:5">
      <c r="E21766" s="51"/>
    </row>
    <row r="21767" spans="5:5">
      <c r="E21767" s="51"/>
    </row>
    <row r="21768" spans="5:5">
      <c r="E21768" s="51"/>
    </row>
    <row r="21769" spans="5:5">
      <c r="E21769" s="51"/>
    </row>
    <row r="21770" spans="5:5">
      <c r="E21770" s="51"/>
    </row>
    <row r="21771" spans="5:5">
      <c r="E21771" s="51"/>
    </row>
    <row r="21772" spans="5:5">
      <c r="E21772" s="51"/>
    </row>
    <row r="21773" spans="5:5">
      <c r="E21773" s="51"/>
    </row>
    <row r="21774" spans="5:5">
      <c r="E21774" s="51"/>
    </row>
    <row r="21775" spans="5:5">
      <c r="E21775" s="51"/>
    </row>
    <row r="21776" spans="5:5">
      <c r="E21776" s="51"/>
    </row>
    <row r="21777" spans="5:5">
      <c r="E21777" s="51"/>
    </row>
    <row r="21778" spans="5:5">
      <c r="E21778" s="51"/>
    </row>
    <row r="21779" spans="5:5">
      <c r="E21779" s="51"/>
    </row>
    <row r="21780" spans="5:5">
      <c r="E21780" s="51"/>
    </row>
    <row r="21781" spans="5:5">
      <c r="E21781" s="51"/>
    </row>
    <row r="21782" spans="5:5">
      <c r="E21782" s="51"/>
    </row>
    <row r="21783" spans="5:5">
      <c r="E21783" s="51"/>
    </row>
    <row r="21784" spans="5:5">
      <c r="E21784" s="51"/>
    </row>
    <row r="21785" spans="5:5">
      <c r="E21785" s="51"/>
    </row>
    <row r="21786" spans="5:5">
      <c r="E21786" s="51"/>
    </row>
    <row r="21787" spans="5:5">
      <c r="E21787" s="51"/>
    </row>
    <row r="21788" spans="5:5">
      <c r="E21788" s="51"/>
    </row>
    <row r="21789" spans="5:5">
      <c r="E21789" s="51"/>
    </row>
    <row r="21790" spans="5:5">
      <c r="E21790" s="51"/>
    </row>
    <row r="21791" spans="5:5">
      <c r="E21791" s="51"/>
    </row>
    <row r="21792" spans="5:5">
      <c r="E21792" s="51"/>
    </row>
    <row r="21793" spans="5:5">
      <c r="E21793" s="51"/>
    </row>
    <row r="21794" spans="5:5">
      <c r="E21794" s="51"/>
    </row>
    <row r="21795" spans="5:5">
      <c r="E21795" s="51"/>
    </row>
    <row r="21796" spans="5:5">
      <c r="E21796" s="51"/>
    </row>
    <row r="21797" spans="5:5">
      <c r="E21797" s="51"/>
    </row>
    <row r="21798" spans="5:5">
      <c r="E21798" s="51"/>
    </row>
    <row r="21799" spans="5:5">
      <c r="E21799" s="51"/>
    </row>
    <row r="21800" spans="5:5">
      <c r="E21800" s="51"/>
    </row>
    <row r="21801" spans="5:5">
      <c r="E21801" s="51"/>
    </row>
    <row r="21802" spans="5:5">
      <c r="E21802" s="51"/>
    </row>
    <row r="21803" spans="5:5">
      <c r="E21803" s="51"/>
    </row>
    <row r="21804" spans="5:5">
      <c r="E21804" s="51"/>
    </row>
    <row r="21805" spans="5:5">
      <c r="E21805" s="51"/>
    </row>
    <row r="21806" spans="5:5">
      <c r="E21806" s="51"/>
    </row>
    <row r="21807" spans="5:5">
      <c r="E21807" s="51"/>
    </row>
    <row r="21808" spans="5:5">
      <c r="E21808" s="51"/>
    </row>
    <row r="21809" spans="5:5">
      <c r="E21809" s="51"/>
    </row>
    <row r="21810" spans="5:5">
      <c r="E21810" s="51"/>
    </row>
    <row r="21811" spans="5:5">
      <c r="E21811" s="51"/>
    </row>
    <row r="21812" spans="5:5">
      <c r="E21812" s="51"/>
    </row>
    <row r="21813" spans="5:5">
      <c r="E21813" s="51"/>
    </row>
    <row r="21814" spans="5:5">
      <c r="E21814" s="51"/>
    </row>
    <row r="21815" spans="5:5">
      <c r="E21815" s="51"/>
    </row>
    <row r="21816" spans="5:5">
      <c r="E21816" s="51"/>
    </row>
    <row r="21817" spans="5:5">
      <c r="E21817" s="51"/>
    </row>
    <row r="21818" spans="5:5">
      <c r="E21818" s="51"/>
    </row>
    <row r="21819" spans="5:5">
      <c r="E21819" s="51"/>
    </row>
    <row r="21820" spans="5:5">
      <c r="E21820" s="51"/>
    </row>
    <row r="21821" spans="5:5">
      <c r="E21821" s="51"/>
    </row>
    <row r="21822" spans="5:5">
      <c r="E21822" s="51"/>
    </row>
    <row r="21823" spans="5:5">
      <c r="E21823" s="51"/>
    </row>
    <row r="21824" spans="5:5">
      <c r="E21824" s="51"/>
    </row>
    <row r="21825" spans="5:5">
      <c r="E21825" s="51"/>
    </row>
    <row r="21826" spans="5:5">
      <c r="E21826" s="51"/>
    </row>
    <row r="21827" spans="5:5">
      <c r="E21827" s="51"/>
    </row>
    <row r="21828" spans="5:5">
      <c r="E21828" s="51"/>
    </row>
    <row r="21829" spans="5:5">
      <c r="E21829" s="51"/>
    </row>
    <row r="21830" spans="5:5">
      <c r="E21830" s="51"/>
    </row>
    <row r="21831" spans="5:5">
      <c r="E21831" s="51"/>
    </row>
    <row r="21832" spans="5:5">
      <c r="E21832" s="51"/>
    </row>
    <row r="21833" spans="5:5">
      <c r="E21833" s="51"/>
    </row>
    <row r="21834" spans="5:5">
      <c r="E21834" s="51"/>
    </row>
    <row r="21835" spans="5:5">
      <c r="E21835" s="51"/>
    </row>
    <row r="21836" spans="5:5">
      <c r="E21836" s="51"/>
    </row>
    <row r="21837" spans="5:5">
      <c r="E21837" s="51"/>
    </row>
    <row r="21838" spans="5:5">
      <c r="E21838" s="51"/>
    </row>
    <row r="21839" spans="5:5">
      <c r="E21839" s="51"/>
    </row>
    <row r="21840" spans="5:5">
      <c r="E21840" s="51"/>
    </row>
    <row r="21841" spans="5:5">
      <c r="E21841" s="51"/>
    </row>
    <row r="21842" spans="5:5">
      <c r="E21842" s="51"/>
    </row>
    <row r="21843" spans="5:5">
      <c r="E21843" s="51"/>
    </row>
    <row r="21844" spans="5:5">
      <c r="E21844" s="51"/>
    </row>
    <row r="21845" spans="5:5">
      <c r="E21845" s="51"/>
    </row>
    <row r="21846" spans="5:5">
      <c r="E21846" s="51"/>
    </row>
    <row r="21847" spans="5:5">
      <c r="E21847" s="51"/>
    </row>
    <row r="21848" spans="5:5">
      <c r="E21848" s="51"/>
    </row>
    <row r="21849" spans="5:5">
      <c r="E21849" s="51"/>
    </row>
    <row r="21850" spans="5:5">
      <c r="E21850" s="51"/>
    </row>
    <row r="21851" spans="5:5">
      <c r="E21851" s="51"/>
    </row>
    <row r="21852" spans="5:5">
      <c r="E21852" s="51"/>
    </row>
    <row r="21853" spans="5:5">
      <c r="E21853" s="51"/>
    </row>
    <row r="21854" spans="5:5">
      <c r="E21854" s="51"/>
    </row>
    <row r="21855" spans="5:5">
      <c r="E21855" s="51"/>
    </row>
    <row r="21856" spans="5:5">
      <c r="E21856" s="51"/>
    </row>
    <row r="21857" spans="5:5">
      <c r="E21857" s="51"/>
    </row>
    <row r="21858" spans="5:5">
      <c r="E21858" s="51"/>
    </row>
    <row r="21859" spans="5:5">
      <c r="E21859" s="51"/>
    </row>
    <row r="21860" spans="5:5">
      <c r="E21860" s="51"/>
    </row>
    <row r="21861" spans="5:5">
      <c r="E21861" s="51"/>
    </row>
    <row r="21862" spans="5:5">
      <c r="E21862" s="51"/>
    </row>
    <row r="21863" spans="5:5">
      <c r="E21863" s="51"/>
    </row>
    <row r="21864" spans="5:5">
      <c r="E21864" s="51"/>
    </row>
    <row r="21865" spans="5:5">
      <c r="E21865" s="51"/>
    </row>
    <row r="21866" spans="5:5">
      <c r="E21866" s="51"/>
    </row>
    <row r="21867" spans="5:5">
      <c r="E21867" s="51"/>
    </row>
    <row r="21868" spans="5:5">
      <c r="E21868" s="51"/>
    </row>
    <row r="21869" spans="5:5">
      <c r="E21869" s="51"/>
    </row>
    <row r="21870" spans="5:5">
      <c r="E21870" s="51"/>
    </row>
    <row r="21871" spans="5:5">
      <c r="E21871" s="51"/>
    </row>
    <row r="21872" spans="5:5">
      <c r="E21872" s="51"/>
    </row>
    <row r="21873" spans="5:5">
      <c r="E21873" s="51"/>
    </row>
    <row r="21874" spans="5:5">
      <c r="E21874" s="51"/>
    </row>
    <row r="21875" spans="5:5">
      <c r="E21875" s="51"/>
    </row>
    <row r="21876" spans="5:5">
      <c r="E21876" s="51"/>
    </row>
    <row r="21877" spans="5:5">
      <c r="E21877" s="51"/>
    </row>
    <row r="21878" spans="5:5">
      <c r="E21878" s="51"/>
    </row>
    <row r="21879" spans="5:5">
      <c r="E21879" s="51"/>
    </row>
    <row r="21880" spans="5:5">
      <c r="E21880" s="51"/>
    </row>
    <row r="21881" spans="5:5">
      <c r="E21881" s="51"/>
    </row>
    <row r="21882" spans="5:5">
      <c r="E21882" s="51"/>
    </row>
    <row r="21883" spans="5:5">
      <c r="E21883" s="51"/>
    </row>
    <row r="21884" spans="5:5">
      <c r="E21884" s="51"/>
    </row>
    <row r="21885" spans="5:5">
      <c r="E21885" s="51"/>
    </row>
    <row r="21886" spans="5:5">
      <c r="E21886" s="51"/>
    </row>
    <row r="21887" spans="5:5">
      <c r="E21887" s="51"/>
    </row>
    <row r="21888" spans="5:5">
      <c r="E21888" s="51"/>
    </row>
    <row r="21889" spans="5:5">
      <c r="E21889" s="51"/>
    </row>
    <row r="21890" spans="5:5">
      <c r="E21890" s="51"/>
    </row>
    <row r="21891" spans="5:5">
      <c r="E21891" s="51"/>
    </row>
    <row r="21892" spans="5:5">
      <c r="E21892" s="51"/>
    </row>
    <row r="21893" spans="5:5">
      <c r="E21893" s="51"/>
    </row>
    <row r="21894" spans="5:5">
      <c r="E21894" s="51"/>
    </row>
    <row r="21895" spans="5:5">
      <c r="E21895" s="51"/>
    </row>
    <row r="21896" spans="5:5">
      <c r="E21896" s="51"/>
    </row>
    <row r="21897" spans="5:5">
      <c r="E21897" s="51"/>
    </row>
    <row r="21898" spans="5:5">
      <c r="E21898" s="51"/>
    </row>
    <row r="21899" spans="5:5">
      <c r="E21899" s="51"/>
    </row>
    <row r="21900" spans="5:5">
      <c r="E21900" s="51"/>
    </row>
    <row r="21901" spans="5:5">
      <c r="E21901" s="51"/>
    </row>
    <row r="21902" spans="5:5">
      <c r="E21902" s="51"/>
    </row>
    <row r="21903" spans="5:5">
      <c r="E21903" s="51"/>
    </row>
    <row r="21904" spans="5:5">
      <c r="E21904" s="51"/>
    </row>
    <row r="21905" spans="5:5">
      <c r="E21905" s="51"/>
    </row>
    <row r="21906" spans="5:5">
      <c r="E21906" s="51"/>
    </row>
    <row r="21907" spans="5:5">
      <c r="E21907" s="51"/>
    </row>
    <row r="21908" spans="5:5">
      <c r="E21908" s="51"/>
    </row>
    <row r="21909" spans="5:5">
      <c r="E21909" s="51"/>
    </row>
    <row r="21910" spans="5:5">
      <c r="E21910" s="51"/>
    </row>
    <row r="21911" spans="5:5">
      <c r="E21911" s="51"/>
    </row>
    <row r="21912" spans="5:5">
      <c r="E21912" s="51"/>
    </row>
    <row r="21913" spans="5:5">
      <c r="E21913" s="51"/>
    </row>
    <row r="21914" spans="5:5">
      <c r="E21914" s="51"/>
    </row>
    <row r="21915" spans="5:5">
      <c r="E21915" s="51"/>
    </row>
    <row r="21916" spans="5:5">
      <c r="E21916" s="51"/>
    </row>
    <row r="21917" spans="5:5">
      <c r="E21917" s="51"/>
    </row>
    <row r="21918" spans="5:5">
      <c r="E21918" s="51"/>
    </row>
    <row r="21919" spans="5:5">
      <c r="E21919" s="51"/>
    </row>
    <row r="21920" spans="5:5">
      <c r="E21920" s="51"/>
    </row>
    <row r="21921" spans="5:5">
      <c r="E21921" s="51"/>
    </row>
    <row r="21922" spans="5:5">
      <c r="E21922" s="51"/>
    </row>
    <row r="21923" spans="5:5">
      <c r="E21923" s="51"/>
    </row>
    <row r="21924" spans="5:5">
      <c r="E21924" s="51"/>
    </row>
    <row r="21925" spans="5:5">
      <c r="E21925" s="51"/>
    </row>
    <row r="21926" spans="5:5">
      <c r="E21926" s="51"/>
    </row>
    <row r="21927" spans="5:5">
      <c r="E21927" s="51"/>
    </row>
    <row r="21928" spans="5:5">
      <c r="E21928" s="51"/>
    </row>
    <row r="21929" spans="5:5">
      <c r="E21929" s="51"/>
    </row>
    <row r="21930" spans="5:5">
      <c r="E21930" s="51"/>
    </row>
    <row r="21931" spans="5:5">
      <c r="E21931" s="51"/>
    </row>
    <row r="21932" spans="5:5">
      <c r="E21932" s="51"/>
    </row>
    <row r="21933" spans="5:5">
      <c r="E21933" s="51"/>
    </row>
    <row r="21934" spans="5:5">
      <c r="E21934" s="51"/>
    </row>
    <row r="21935" spans="5:5">
      <c r="E21935" s="51"/>
    </row>
    <row r="21936" spans="5:5">
      <c r="E21936" s="51"/>
    </row>
    <row r="21937" spans="5:5">
      <c r="E21937" s="51"/>
    </row>
    <row r="21938" spans="5:5">
      <c r="E21938" s="51"/>
    </row>
    <row r="21939" spans="5:5">
      <c r="E21939" s="51"/>
    </row>
    <row r="21940" spans="5:5">
      <c r="E21940" s="51"/>
    </row>
    <row r="21941" spans="5:5">
      <c r="E21941" s="51"/>
    </row>
    <row r="21942" spans="5:5">
      <c r="E21942" s="51"/>
    </row>
    <row r="21943" spans="5:5">
      <c r="E21943" s="51"/>
    </row>
    <row r="21944" spans="5:5">
      <c r="E21944" s="51"/>
    </row>
    <row r="21945" spans="5:5">
      <c r="E21945" s="51"/>
    </row>
    <row r="21946" spans="5:5">
      <c r="E21946" s="51"/>
    </row>
    <row r="21947" spans="5:5">
      <c r="E21947" s="51"/>
    </row>
    <row r="21948" spans="5:5">
      <c r="E21948" s="51"/>
    </row>
    <row r="21949" spans="5:5">
      <c r="E21949" s="51"/>
    </row>
    <row r="21950" spans="5:5">
      <c r="E21950" s="51"/>
    </row>
    <row r="21951" spans="5:5">
      <c r="E21951" s="51"/>
    </row>
    <row r="21952" spans="5:5">
      <c r="E21952" s="51"/>
    </row>
    <row r="21953" spans="5:5">
      <c r="E21953" s="51"/>
    </row>
    <row r="21954" spans="5:5">
      <c r="E21954" s="51"/>
    </row>
    <row r="21955" spans="5:5">
      <c r="E21955" s="51"/>
    </row>
    <row r="21956" spans="5:5">
      <c r="E21956" s="51"/>
    </row>
    <row r="21957" spans="5:5">
      <c r="E21957" s="51"/>
    </row>
    <row r="21958" spans="5:5">
      <c r="E21958" s="51"/>
    </row>
    <row r="21959" spans="5:5">
      <c r="E21959" s="51"/>
    </row>
    <row r="21960" spans="5:5">
      <c r="E21960" s="51"/>
    </row>
    <row r="21961" spans="5:5">
      <c r="E21961" s="51"/>
    </row>
    <row r="21962" spans="5:5">
      <c r="E21962" s="51"/>
    </row>
    <row r="21963" spans="5:5">
      <c r="E21963" s="51"/>
    </row>
    <row r="21964" spans="5:5">
      <c r="E21964" s="51"/>
    </row>
    <row r="21965" spans="5:5">
      <c r="E21965" s="51"/>
    </row>
    <row r="21966" spans="5:5">
      <c r="E21966" s="51"/>
    </row>
    <row r="21967" spans="5:5">
      <c r="E21967" s="51"/>
    </row>
    <row r="21968" spans="5:5">
      <c r="E21968" s="51"/>
    </row>
    <row r="21969" spans="5:5">
      <c r="E21969" s="51"/>
    </row>
    <row r="21970" spans="5:5">
      <c r="E21970" s="51"/>
    </row>
    <row r="21971" spans="5:5">
      <c r="E21971" s="51"/>
    </row>
    <row r="21972" spans="5:5">
      <c r="E21972" s="51"/>
    </row>
    <row r="21973" spans="5:5">
      <c r="E21973" s="51"/>
    </row>
    <row r="21974" spans="5:5">
      <c r="E21974" s="51"/>
    </row>
    <row r="21975" spans="5:5">
      <c r="E21975" s="51"/>
    </row>
    <row r="21976" spans="5:5">
      <c r="E21976" s="51"/>
    </row>
    <row r="21977" spans="5:5">
      <c r="E21977" s="51"/>
    </row>
    <row r="21978" spans="5:5">
      <c r="E21978" s="51"/>
    </row>
    <row r="21979" spans="5:5">
      <c r="E21979" s="51"/>
    </row>
    <row r="21980" spans="5:5">
      <c r="E21980" s="51"/>
    </row>
    <row r="21981" spans="5:5">
      <c r="E21981" s="51"/>
    </row>
    <row r="21982" spans="5:5">
      <c r="E21982" s="51"/>
    </row>
    <row r="21983" spans="5:5">
      <c r="E21983" s="51"/>
    </row>
    <row r="21984" spans="5:5">
      <c r="E21984" s="51"/>
    </row>
    <row r="21985" spans="5:5">
      <c r="E21985" s="51"/>
    </row>
    <row r="21986" spans="5:5">
      <c r="E21986" s="51"/>
    </row>
    <row r="21987" spans="5:5">
      <c r="E21987" s="51"/>
    </row>
    <row r="21988" spans="5:5">
      <c r="E21988" s="51"/>
    </row>
    <row r="21989" spans="5:5">
      <c r="E21989" s="51"/>
    </row>
    <row r="21990" spans="5:5">
      <c r="E21990" s="51"/>
    </row>
    <row r="21991" spans="5:5">
      <c r="E21991" s="51"/>
    </row>
    <row r="21992" spans="5:5">
      <c r="E21992" s="51"/>
    </row>
    <row r="21993" spans="5:5">
      <c r="E21993" s="51"/>
    </row>
    <row r="21994" spans="5:5">
      <c r="E21994" s="51"/>
    </row>
    <row r="21995" spans="5:5">
      <c r="E21995" s="51"/>
    </row>
    <row r="21996" spans="5:5">
      <c r="E21996" s="51"/>
    </row>
    <row r="21997" spans="5:5">
      <c r="E21997" s="51"/>
    </row>
    <row r="21998" spans="5:5">
      <c r="E21998" s="51"/>
    </row>
    <row r="21999" spans="5:5">
      <c r="E21999" s="51"/>
    </row>
    <row r="22000" spans="5:5">
      <c r="E22000" s="51"/>
    </row>
    <row r="22001" spans="5:5">
      <c r="E22001" s="51"/>
    </row>
    <row r="22002" spans="5:5">
      <c r="E22002" s="51"/>
    </row>
    <row r="22003" spans="5:5">
      <c r="E22003" s="51"/>
    </row>
    <row r="22004" spans="5:5">
      <c r="E22004" s="51"/>
    </row>
    <row r="22005" spans="5:5">
      <c r="E22005" s="51"/>
    </row>
    <row r="22006" spans="5:5">
      <c r="E22006" s="51"/>
    </row>
    <row r="22007" spans="5:5">
      <c r="E22007" s="51"/>
    </row>
    <row r="22008" spans="5:5">
      <c r="E22008" s="51"/>
    </row>
    <row r="22009" spans="5:5">
      <c r="E22009" s="51"/>
    </row>
    <row r="22010" spans="5:5">
      <c r="E22010" s="51"/>
    </row>
    <row r="22011" spans="5:5">
      <c r="E22011" s="51"/>
    </row>
    <row r="22012" spans="5:5">
      <c r="E22012" s="51"/>
    </row>
    <row r="22013" spans="5:5">
      <c r="E22013" s="51"/>
    </row>
    <row r="22014" spans="5:5">
      <c r="E22014" s="51"/>
    </row>
    <row r="22015" spans="5:5">
      <c r="E22015" s="51"/>
    </row>
    <row r="22016" spans="5:5">
      <c r="E22016" s="51"/>
    </row>
    <row r="22017" spans="5:5">
      <c r="E22017" s="51"/>
    </row>
    <row r="22018" spans="5:5">
      <c r="E22018" s="51"/>
    </row>
    <row r="22019" spans="5:5">
      <c r="E22019" s="51"/>
    </row>
    <row r="22020" spans="5:5">
      <c r="E22020" s="51"/>
    </row>
    <row r="22021" spans="5:5">
      <c r="E22021" s="51"/>
    </row>
    <row r="22022" spans="5:5">
      <c r="E22022" s="51"/>
    </row>
    <row r="22023" spans="5:5">
      <c r="E22023" s="51"/>
    </row>
    <row r="22024" spans="5:5">
      <c r="E22024" s="51"/>
    </row>
    <row r="22025" spans="5:5">
      <c r="E22025" s="51"/>
    </row>
    <row r="22026" spans="5:5">
      <c r="E22026" s="51"/>
    </row>
    <row r="22027" spans="5:5">
      <c r="E22027" s="51"/>
    </row>
    <row r="22028" spans="5:5">
      <c r="E22028" s="51"/>
    </row>
    <row r="22029" spans="5:5">
      <c r="E22029" s="51"/>
    </row>
    <row r="22030" spans="5:5">
      <c r="E22030" s="51"/>
    </row>
    <row r="22031" spans="5:5">
      <c r="E22031" s="51"/>
    </row>
    <row r="22032" spans="5:5">
      <c r="E22032" s="51"/>
    </row>
    <row r="22033" spans="5:5">
      <c r="E22033" s="51"/>
    </row>
    <row r="22034" spans="5:5">
      <c r="E22034" s="51"/>
    </row>
    <row r="22035" spans="5:5">
      <c r="E22035" s="51"/>
    </row>
    <row r="22036" spans="5:5">
      <c r="E22036" s="51"/>
    </row>
    <row r="22037" spans="5:5">
      <c r="E22037" s="51"/>
    </row>
    <row r="22038" spans="5:5">
      <c r="E22038" s="51"/>
    </row>
    <row r="22039" spans="5:5">
      <c r="E22039" s="51"/>
    </row>
    <row r="22040" spans="5:5">
      <c r="E22040" s="51"/>
    </row>
    <row r="22041" spans="5:5">
      <c r="E22041" s="51"/>
    </row>
    <row r="22042" spans="5:5">
      <c r="E22042" s="51"/>
    </row>
    <row r="22043" spans="5:5">
      <c r="E22043" s="51"/>
    </row>
    <row r="22044" spans="5:5">
      <c r="E22044" s="51"/>
    </row>
    <row r="22045" spans="5:5">
      <c r="E22045" s="51"/>
    </row>
    <row r="22046" spans="5:5">
      <c r="E22046" s="51"/>
    </row>
    <row r="22047" spans="5:5">
      <c r="E22047" s="51"/>
    </row>
    <row r="22048" spans="5:5">
      <c r="E22048" s="51"/>
    </row>
    <row r="22049" spans="5:5">
      <c r="E22049" s="51"/>
    </row>
    <row r="22050" spans="5:5">
      <c r="E22050" s="51"/>
    </row>
    <row r="22051" spans="5:5">
      <c r="E22051" s="51"/>
    </row>
    <row r="22052" spans="5:5">
      <c r="E22052" s="51"/>
    </row>
    <row r="22053" spans="5:5">
      <c r="E22053" s="51"/>
    </row>
    <row r="22054" spans="5:5">
      <c r="E22054" s="51"/>
    </row>
    <row r="22055" spans="5:5">
      <c r="E22055" s="51"/>
    </row>
    <row r="22056" spans="5:5">
      <c r="E22056" s="51"/>
    </row>
    <row r="22057" spans="5:5">
      <c r="E22057" s="51"/>
    </row>
    <row r="22058" spans="5:5">
      <c r="E22058" s="51"/>
    </row>
    <row r="22059" spans="5:5">
      <c r="E22059" s="51"/>
    </row>
    <row r="22060" spans="5:5">
      <c r="E22060" s="51"/>
    </row>
    <row r="22061" spans="5:5">
      <c r="E22061" s="51"/>
    </row>
    <row r="22062" spans="5:5">
      <c r="E22062" s="51"/>
    </row>
    <row r="22063" spans="5:5">
      <c r="E22063" s="51"/>
    </row>
    <row r="22064" spans="5:5">
      <c r="E22064" s="51"/>
    </row>
    <row r="22065" spans="5:5">
      <c r="E22065" s="51"/>
    </row>
    <row r="22066" spans="5:5">
      <c r="E22066" s="51"/>
    </row>
    <row r="22067" spans="5:5">
      <c r="E22067" s="51"/>
    </row>
    <row r="22068" spans="5:5">
      <c r="E22068" s="51"/>
    </row>
    <row r="22069" spans="5:5">
      <c r="E22069" s="51"/>
    </row>
    <row r="22070" spans="5:5">
      <c r="E22070" s="51"/>
    </row>
    <row r="22071" spans="5:5">
      <c r="E22071" s="51"/>
    </row>
    <row r="22072" spans="5:5">
      <c r="E22072" s="51"/>
    </row>
    <row r="22073" spans="5:5">
      <c r="E22073" s="51"/>
    </row>
    <row r="22074" spans="5:5">
      <c r="E22074" s="51"/>
    </row>
    <row r="22075" spans="5:5">
      <c r="E22075" s="51"/>
    </row>
    <row r="22076" spans="5:5">
      <c r="E22076" s="51"/>
    </row>
    <row r="22077" spans="5:5">
      <c r="E22077" s="51"/>
    </row>
    <row r="22078" spans="5:5">
      <c r="E22078" s="51"/>
    </row>
    <row r="22079" spans="5:5">
      <c r="E22079" s="51"/>
    </row>
    <row r="22080" spans="5:5">
      <c r="E22080" s="51"/>
    </row>
    <row r="22081" spans="5:5">
      <c r="E22081" s="51"/>
    </row>
    <row r="22082" spans="5:5">
      <c r="E22082" s="51"/>
    </row>
    <row r="22083" spans="5:5">
      <c r="E22083" s="51"/>
    </row>
    <row r="22084" spans="5:5">
      <c r="E22084" s="51"/>
    </row>
    <row r="22085" spans="5:5">
      <c r="E22085" s="51"/>
    </row>
    <row r="22086" spans="5:5">
      <c r="E22086" s="51"/>
    </row>
    <row r="22087" spans="5:5">
      <c r="E22087" s="51"/>
    </row>
    <row r="22088" spans="5:5">
      <c r="E22088" s="51"/>
    </row>
    <row r="22089" spans="5:5">
      <c r="E22089" s="51"/>
    </row>
    <row r="22090" spans="5:5">
      <c r="E22090" s="51"/>
    </row>
    <row r="22091" spans="5:5">
      <c r="E22091" s="51"/>
    </row>
    <row r="22092" spans="5:5">
      <c r="E22092" s="51"/>
    </row>
    <row r="22093" spans="5:5">
      <c r="E22093" s="51"/>
    </row>
    <row r="22094" spans="5:5">
      <c r="E22094" s="51"/>
    </row>
    <row r="22095" spans="5:5">
      <c r="E22095" s="51"/>
    </row>
    <row r="22096" spans="5:5">
      <c r="E22096" s="51"/>
    </row>
    <row r="22097" spans="5:5">
      <c r="E22097" s="51"/>
    </row>
    <row r="22098" spans="5:5">
      <c r="E22098" s="51"/>
    </row>
    <row r="22099" spans="5:5">
      <c r="E22099" s="51"/>
    </row>
    <row r="22100" spans="5:5">
      <c r="E22100" s="51"/>
    </row>
    <row r="22101" spans="5:5">
      <c r="E22101" s="51"/>
    </row>
    <row r="22102" spans="5:5">
      <c r="E22102" s="51"/>
    </row>
    <row r="22103" spans="5:5">
      <c r="E22103" s="51"/>
    </row>
    <row r="22104" spans="5:5">
      <c r="E22104" s="51"/>
    </row>
    <row r="22105" spans="5:5">
      <c r="E22105" s="51"/>
    </row>
    <row r="22106" spans="5:5">
      <c r="E22106" s="51"/>
    </row>
    <row r="22107" spans="5:5">
      <c r="E22107" s="51"/>
    </row>
    <row r="22108" spans="5:5">
      <c r="E22108" s="51"/>
    </row>
    <row r="22109" spans="5:5">
      <c r="E22109" s="51"/>
    </row>
    <row r="22110" spans="5:5">
      <c r="E22110" s="51"/>
    </row>
    <row r="22111" spans="5:5">
      <c r="E22111" s="51"/>
    </row>
    <row r="22112" spans="5:5">
      <c r="E22112" s="51"/>
    </row>
    <row r="22113" spans="5:5">
      <c r="E22113" s="51"/>
    </row>
    <row r="22114" spans="5:5">
      <c r="E22114" s="51"/>
    </row>
    <row r="22115" spans="5:5">
      <c r="E22115" s="51"/>
    </row>
    <row r="22116" spans="5:5">
      <c r="E22116" s="51"/>
    </row>
    <row r="22117" spans="5:5">
      <c r="E22117" s="51"/>
    </row>
    <row r="22118" spans="5:5">
      <c r="E22118" s="51"/>
    </row>
    <row r="22119" spans="5:5">
      <c r="E22119" s="51"/>
    </row>
    <row r="22120" spans="5:5">
      <c r="E22120" s="51"/>
    </row>
    <row r="22121" spans="5:5">
      <c r="E22121" s="51"/>
    </row>
    <row r="22122" spans="5:5">
      <c r="E22122" s="51"/>
    </row>
    <row r="22123" spans="5:5">
      <c r="E22123" s="51"/>
    </row>
    <row r="22124" spans="5:5">
      <c r="E22124" s="51"/>
    </row>
    <row r="22125" spans="5:5">
      <c r="E22125" s="51"/>
    </row>
    <row r="22126" spans="5:5">
      <c r="E22126" s="51"/>
    </row>
    <row r="22127" spans="5:5">
      <c r="E22127" s="51"/>
    </row>
    <row r="22128" spans="5:5">
      <c r="E22128" s="51"/>
    </row>
    <row r="22129" spans="5:5">
      <c r="E22129" s="51"/>
    </row>
    <row r="22130" spans="5:5">
      <c r="E22130" s="51"/>
    </row>
    <row r="22131" spans="5:5">
      <c r="E22131" s="51"/>
    </row>
    <row r="22132" spans="5:5">
      <c r="E22132" s="51"/>
    </row>
    <row r="22133" spans="5:5">
      <c r="E22133" s="51"/>
    </row>
    <row r="22134" spans="5:5">
      <c r="E22134" s="51"/>
    </row>
    <row r="22135" spans="5:5">
      <c r="E22135" s="51"/>
    </row>
    <row r="22136" spans="5:5">
      <c r="E22136" s="51"/>
    </row>
    <row r="22137" spans="5:5">
      <c r="E22137" s="51"/>
    </row>
    <row r="22138" spans="5:5">
      <c r="E22138" s="51"/>
    </row>
    <row r="22139" spans="5:5">
      <c r="E22139" s="51"/>
    </row>
    <row r="22140" spans="5:5">
      <c r="E22140" s="51"/>
    </row>
    <row r="22141" spans="5:5">
      <c r="E22141" s="51"/>
    </row>
    <row r="22142" spans="5:5">
      <c r="E22142" s="51"/>
    </row>
    <row r="22143" spans="5:5">
      <c r="E22143" s="51"/>
    </row>
    <row r="22144" spans="5:5">
      <c r="E22144" s="51"/>
    </row>
    <row r="22145" spans="5:5">
      <c r="E22145" s="51"/>
    </row>
    <row r="22146" spans="5:5">
      <c r="E22146" s="51"/>
    </row>
    <row r="22147" spans="5:5">
      <c r="E22147" s="51"/>
    </row>
    <row r="22148" spans="5:5">
      <c r="E22148" s="51"/>
    </row>
    <row r="22149" spans="5:5">
      <c r="E22149" s="51"/>
    </row>
    <row r="22150" spans="5:5">
      <c r="E22150" s="51"/>
    </row>
    <row r="22151" spans="5:5">
      <c r="E22151" s="51"/>
    </row>
    <row r="22152" spans="5:5">
      <c r="E22152" s="51"/>
    </row>
    <row r="22153" spans="5:5">
      <c r="E22153" s="51"/>
    </row>
    <row r="22154" spans="5:5">
      <c r="E22154" s="51"/>
    </row>
    <row r="22155" spans="5:5">
      <c r="E22155" s="51"/>
    </row>
    <row r="22156" spans="5:5">
      <c r="E22156" s="51"/>
    </row>
    <row r="22157" spans="5:5">
      <c r="E22157" s="51"/>
    </row>
    <row r="22158" spans="5:5">
      <c r="E22158" s="51"/>
    </row>
    <row r="22159" spans="5:5">
      <c r="E22159" s="51"/>
    </row>
    <row r="22160" spans="5:5">
      <c r="E22160" s="51"/>
    </row>
    <row r="22161" spans="5:5">
      <c r="E22161" s="51"/>
    </row>
    <row r="22162" spans="5:5">
      <c r="E22162" s="51"/>
    </row>
    <row r="22163" spans="5:5">
      <c r="E22163" s="51"/>
    </row>
    <row r="22164" spans="5:5">
      <c r="E22164" s="51"/>
    </row>
    <row r="22165" spans="5:5">
      <c r="E22165" s="51"/>
    </row>
    <row r="22166" spans="5:5">
      <c r="E22166" s="51"/>
    </row>
    <row r="22167" spans="5:5">
      <c r="E22167" s="51"/>
    </row>
    <row r="22168" spans="5:5">
      <c r="E22168" s="51"/>
    </row>
    <row r="22169" spans="5:5">
      <c r="E22169" s="51"/>
    </row>
    <row r="22170" spans="5:5">
      <c r="E22170" s="51"/>
    </row>
    <row r="22171" spans="5:5">
      <c r="E22171" s="51"/>
    </row>
    <row r="22172" spans="5:5">
      <c r="E22172" s="51"/>
    </row>
    <row r="22173" spans="5:5">
      <c r="E22173" s="51"/>
    </row>
    <row r="22174" spans="5:5">
      <c r="E22174" s="51"/>
    </row>
    <row r="22175" spans="5:5">
      <c r="E22175" s="51"/>
    </row>
    <row r="22176" spans="5:5">
      <c r="E22176" s="51"/>
    </row>
    <row r="22177" spans="5:5">
      <c r="E22177" s="51"/>
    </row>
    <row r="22178" spans="5:5">
      <c r="E22178" s="51"/>
    </row>
    <row r="22179" spans="5:5">
      <c r="E22179" s="51"/>
    </row>
    <row r="22180" spans="5:5">
      <c r="E22180" s="51"/>
    </row>
    <row r="22181" spans="5:5">
      <c r="E22181" s="51"/>
    </row>
    <row r="22182" spans="5:5">
      <c r="E22182" s="51"/>
    </row>
    <row r="22183" spans="5:5">
      <c r="E22183" s="51"/>
    </row>
    <row r="22184" spans="5:5">
      <c r="E22184" s="51"/>
    </row>
    <row r="22185" spans="5:5">
      <c r="E22185" s="51"/>
    </row>
    <row r="22186" spans="5:5">
      <c r="E22186" s="51"/>
    </row>
    <row r="22187" spans="5:5">
      <c r="E22187" s="51"/>
    </row>
    <row r="22188" spans="5:5">
      <c r="E22188" s="51"/>
    </row>
    <row r="22189" spans="5:5">
      <c r="E22189" s="51"/>
    </row>
    <row r="22190" spans="5:5">
      <c r="E22190" s="51"/>
    </row>
    <row r="22191" spans="5:5">
      <c r="E22191" s="51"/>
    </row>
    <row r="22192" spans="5:5">
      <c r="E22192" s="51"/>
    </row>
    <row r="22193" spans="5:5">
      <c r="E22193" s="51"/>
    </row>
    <row r="22194" spans="5:5">
      <c r="E22194" s="51"/>
    </row>
    <row r="22195" spans="5:5">
      <c r="E22195" s="51"/>
    </row>
    <row r="22196" spans="5:5">
      <c r="E22196" s="51"/>
    </row>
    <row r="22197" spans="5:5">
      <c r="E22197" s="51"/>
    </row>
    <row r="22198" spans="5:5">
      <c r="E22198" s="51"/>
    </row>
    <row r="22199" spans="5:5">
      <c r="E22199" s="51"/>
    </row>
    <row r="22200" spans="5:5">
      <c r="E22200" s="51"/>
    </row>
    <row r="22201" spans="5:5">
      <c r="E22201" s="51"/>
    </row>
    <row r="22202" spans="5:5">
      <c r="E22202" s="51"/>
    </row>
    <row r="22203" spans="5:5">
      <c r="E22203" s="51"/>
    </row>
    <row r="22204" spans="5:5">
      <c r="E22204" s="51"/>
    </row>
    <row r="22205" spans="5:5">
      <c r="E22205" s="51"/>
    </row>
    <row r="22206" spans="5:5">
      <c r="E22206" s="51"/>
    </row>
    <row r="22207" spans="5:5">
      <c r="E22207" s="51"/>
    </row>
    <row r="22208" spans="5:5">
      <c r="E22208" s="51"/>
    </row>
    <row r="22209" spans="5:5">
      <c r="E22209" s="51"/>
    </row>
    <row r="22210" spans="5:5">
      <c r="E22210" s="51"/>
    </row>
    <row r="22211" spans="5:5">
      <c r="E22211" s="51"/>
    </row>
    <row r="22212" spans="5:5">
      <c r="E22212" s="51"/>
    </row>
    <row r="22213" spans="5:5">
      <c r="E22213" s="51"/>
    </row>
    <row r="22214" spans="5:5">
      <c r="E22214" s="51"/>
    </row>
    <row r="22215" spans="5:5">
      <c r="E22215" s="51"/>
    </row>
    <row r="22216" spans="5:5">
      <c r="E22216" s="51"/>
    </row>
    <row r="22217" spans="5:5">
      <c r="E22217" s="51"/>
    </row>
    <row r="22218" spans="5:5">
      <c r="E22218" s="51"/>
    </row>
    <row r="22219" spans="5:5">
      <c r="E22219" s="51"/>
    </row>
    <row r="22220" spans="5:5">
      <c r="E22220" s="51"/>
    </row>
    <row r="22221" spans="5:5">
      <c r="E22221" s="51"/>
    </row>
    <row r="22222" spans="5:5">
      <c r="E22222" s="51"/>
    </row>
    <row r="22223" spans="5:5">
      <c r="E22223" s="51"/>
    </row>
    <row r="22224" spans="5:5">
      <c r="E22224" s="51"/>
    </row>
    <row r="22225" spans="5:5">
      <c r="E22225" s="51"/>
    </row>
    <row r="22226" spans="5:5">
      <c r="E22226" s="51"/>
    </row>
    <row r="22227" spans="5:5">
      <c r="E22227" s="51"/>
    </row>
    <row r="22228" spans="5:5">
      <c r="E22228" s="51"/>
    </row>
    <row r="22229" spans="5:5">
      <c r="E22229" s="51"/>
    </row>
    <row r="22230" spans="5:5">
      <c r="E22230" s="51"/>
    </row>
    <row r="22231" spans="5:5">
      <c r="E22231" s="51"/>
    </row>
    <row r="22232" spans="5:5">
      <c r="E22232" s="51"/>
    </row>
    <row r="22233" spans="5:5">
      <c r="E22233" s="51"/>
    </row>
    <row r="22234" spans="5:5">
      <c r="E22234" s="51"/>
    </row>
    <row r="22235" spans="5:5">
      <c r="E22235" s="51"/>
    </row>
    <row r="22236" spans="5:5">
      <c r="E22236" s="51"/>
    </row>
    <row r="22237" spans="5:5">
      <c r="E22237" s="51"/>
    </row>
    <row r="22238" spans="5:5">
      <c r="E22238" s="51"/>
    </row>
    <row r="22239" spans="5:5">
      <c r="E22239" s="51"/>
    </row>
    <row r="22240" spans="5:5">
      <c r="E22240" s="51"/>
    </row>
    <row r="22241" spans="5:5">
      <c r="E22241" s="51"/>
    </row>
    <row r="22242" spans="5:5">
      <c r="E22242" s="51"/>
    </row>
    <row r="22243" spans="5:5">
      <c r="E22243" s="51"/>
    </row>
    <row r="22244" spans="5:5">
      <c r="E22244" s="51"/>
    </row>
    <row r="22245" spans="5:5">
      <c r="E22245" s="51"/>
    </row>
    <row r="22246" spans="5:5">
      <c r="E22246" s="51"/>
    </row>
    <row r="22247" spans="5:5">
      <c r="E22247" s="51"/>
    </row>
    <row r="22248" spans="5:5">
      <c r="E22248" s="51"/>
    </row>
    <row r="22249" spans="5:5">
      <c r="E22249" s="51"/>
    </row>
    <row r="22250" spans="5:5">
      <c r="E22250" s="51"/>
    </row>
    <row r="22251" spans="5:5">
      <c r="E22251" s="51"/>
    </row>
    <row r="22252" spans="5:5">
      <c r="E22252" s="51"/>
    </row>
    <row r="22253" spans="5:5">
      <c r="E22253" s="51"/>
    </row>
    <row r="22254" spans="5:5">
      <c r="E22254" s="51"/>
    </row>
    <row r="22255" spans="5:5">
      <c r="E22255" s="51"/>
    </row>
    <row r="22256" spans="5:5">
      <c r="E22256" s="51"/>
    </row>
    <row r="22257" spans="5:5">
      <c r="E22257" s="51"/>
    </row>
    <row r="22258" spans="5:5">
      <c r="E22258" s="51"/>
    </row>
    <row r="22259" spans="5:5">
      <c r="E22259" s="51"/>
    </row>
    <row r="22260" spans="5:5">
      <c r="E22260" s="51"/>
    </row>
    <row r="22261" spans="5:5">
      <c r="E22261" s="51"/>
    </row>
    <row r="22262" spans="5:5">
      <c r="E22262" s="51"/>
    </row>
    <row r="22263" spans="5:5">
      <c r="E22263" s="51"/>
    </row>
    <row r="22264" spans="5:5">
      <c r="E22264" s="51"/>
    </row>
    <row r="22265" spans="5:5">
      <c r="E22265" s="51"/>
    </row>
    <row r="22266" spans="5:5">
      <c r="E22266" s="51"/>
    </row>
    <row r="22267" spans="5:5">
      <c r="E22267" s="51"/>
    </row>
    <row r="22268" spans="5:5">
      <c r="E22268" s="51"/>
    </row>
    <row r="22269" spans="5:5">
      <c r="E22269" s="51"/>
    </row>
    <row r="22270" spans="5:5">
      <c r="E22270" s="51"/>
    </row>
    <row r="22271" spans="5:5">
      <c r="E22271" s="51"/>
    </row>
    <row r="22272" spans="5:5">
      <c r="E22272" s="51"/>
    </row>
    <row r="22273" spans="5:5">
      <c r="E22273" s="51"/>
    </row>
    <row r="22274" spans="5:5">
      <c r="E22274" s="51"/>
    </row>
    <row r="22275" spans="5:5">
      <c r="E22275" s="51"/>
    </row>
    <row r="22276" spans="5:5">
      <c r="E22276" s="51"/>
    </row>
    <row r="22277" spans="5:5">
      <c r="E22277" s="51"/>
    </row>
    <row r="22278" spans="5:5">
      <c r="E22278" s="51"/>
    </row>
    <row r="22279" spans="5:5">
      <c r="E22279" s="51"/>
    </row>
    <row r="22280" spans="5:5">
      <c r="E22280" s="51"/>
    </row>
    <row r="22281" spans="5:5">
      <c r="E22281" s="51"/>
    </row>
    <row r="22282" spans="5:5">
      <c r="E22282" s="51"/>
    </row>
    <row r="22283" spans="5:5">
      <c r="E22283" s="51"/>
    </row>
    <row r="22284" spans="5:5">
      <c r="E22284" s="51"/>
    </row>
    <row r="22285" spans="5:5">
      <c r="E22285" s="51"/>
    </row>
    <row r="22286" spans="5:5">
      <c r="E22286" s="51"/>
    </row>
    <row r="22287" spans="5:5">
      <c r="E22287" s="51"/>
    </row>
    <row r="22288" spans="5:5">
      <c r="E22288" s="51"/>
    </row>
    <row r="22289" spans="5:5">
      <c r="E22289" s="51"/>
    </row>
    <row r="22290" spans="5:5">
      <c r="E22290" s="51"/>
    </row>
    <row r="22291" spans="5:5">
      <c r="E22291" s="51"/>
    </row>
    <row r="22292" spans="5:5">
      <c r="E22292" s="51"/>
    </row>
    <row r="22293" spans="5:5">
      <c r="E22293" s="51"/>
    </row>
    <row r="22294" spans="5:5">
      <c r="E22294" s="51"/>
    </row>
    <row r="22295" spans="5:5">
      <c r="E22295" s="51"/>
    </row>
    <row r="22296" spans="5:5">
      <c r="E22296" s="51"/>
    </row>
    <row r="22297" spans="5:5">
      <c r="E22297" s="51"/>
    </row>
    <row r="22298" spans="5:5">
      <c r="E22298" s="51"/>
    </row>
    <row r="22299" spans="5:5">
      <c r="E22299" s="51"/>
    </row>
    <row r="22300" spans="5:5">
      <c r="E22300" s="51"/>
    </row>
    <row r="22301" spans="5:5">
      <c r="E22301" s="51"/>
    </row>
    <row r="22302" spans="5:5">
      <c r="E22302" s="51"/>
    </row>
    <row r="22303" spans="5:5">
      <c r="E22303" s="51"/>
    </row>
    <row r="22304" spans="5:5">
      <c r="E22304" s="51"/>
    </row>
    <row r="22305" spans="5:5">
      <c r="E22305" s="51"/>
    </row>
    <row r="22306" spans="5:5">
      <c r="E22306" s="51"/>
    </row>
    <row r="22307" spans="5:5">
      <c r="E22307" s="51"/>
    </row>
    <row r="22308" spans="5:5">
      <c r="E22308" s="51"/>
    </row>
    <row r="22309" spans="5:5">
      <c r="E22309" s="51"/>
    </row>
    <row r="22310" spans="5:5">
      <c r="E22310" s="51"/>
    </row>
    <row r="22311" spans="5:5">
      <c r="E22311" s="51"/>
    </row>
    <row r="22312" spans="5:5">
      <c r="E22312" s="51"/>
    </row>
    <row r="22313" spans="5:5">
      <c r="E22313" s="51"/>
    </row>
    <row r="22314" spans="5:5">
      <c r="E22314" s="51"/>
    </row>
    <row r="22315" spans="5:5">
      <c r="E22315" s="51"/>
    </row>
    <row r="22316" spans="5:5">
      <c r="E22316" s="51"/>
    </row>
    <row r="22317" spans="5:5">
      <c r="E22317" s="51"/>
    </row>
    <row r="22318" spans="5:5">
      <c r="E22318" s="51"/>
    </row>
    <row r="22319" spans="5:5">
      <c r="E22319" s="51"/>
    </row>
    <row r="22320" spans="5:5">
      <c r="E22320" s="51"/>
    </row>
    <row r="22321" spans="5:5">
      <c r="E22321" s="51"/>
    </row>
    <row r="22322" spans="5:5">
      <c r="E22322" s="51"/>
    </row>
    <row r="22323" spans="5:5">
      <c r="E22323" s="51"/>
    </row>
    <row r="22324" spans="5:5">
      <c r="E22324" s="51"/>
    </row>
    <row r="22325" spans="5:5">
      <c r="E22325" s="51"/>
    </row>
    <row r="22326" spans="5:5">
      <c r="E22326" s="51"/>
    </row>
    <row r="22327" spans="5:5">
      <c r="E22327" s="51"/>
    </row>
    <row r="22328" spans="5:5">
      <c r="E22328" s="51"/>
    </row>
    <row r="22329" spans="5:5">
      <c r="E22329" s="51"/>
    </row>
    <row r="22330" spans="5:5">
      <c r="E22330" s="51"/>
    </row>
    <row r="22331" spans="5:5">
      <c r="E22331" s="51"/>
    </row>
    <row r="22332" spans="5:5">
      <c r="E22332" s="51"/>
    </row>
    <row r="22333" spans="5:5">
      <c r="E22333" s="51"/>
    </row>
    <row r="22334" spans="5:5">
      <c r="E22334" s="51"/>
    </row>
    <row r="22335" spans="5:5">
      <c r="E22335" s="51"/>
    </row>
    <row r="22336" spans="5:5">
      <c r="E22336" s="51"/>
    </row>
    <row r="22337" spans="5:5">
      <c r="E22337" s="51"/>
    </row>
    <row r="22338" spans="5:5">
      <c r="E22338" s="51"/>
    </row>
    <row r="22339" spans="5:5">
      <c r="E22339" s="51"/>
    </row>
    <row r="22340" spans="5:5">
      <c r="E22340" s="51"/>
    </row>
    <row r="22341" spans="5:5">
      <c r="E22341" s="51"/>
    </row>
    <row r="22342" spans="5:5">
      <c r="E22342" s="51"/>
    </row>
    <row r="22343" spans="5:5">
      <c r="E22343" s="51"/>
    </row>
    <row r="22344" spans="5:5">
      <c r="E22344" s="51"/>
    </row>
    <row r="22345" spans="5:5">
      <c r="E22345" s="51"/>
    </row>
    <row r="22346" spans="5:5">
      <c r="E22346" s="51"/>
    </row>
    <row r="22347" spans="5:5">
      <c r="E22347" s="51"/>
    </row>
    <row r="22348" spans="5:5">
      <c r="E22348" s="51"/>
    </row>
    <row r="22349" spans="5:5">
      <c r="E22349" s="51"/>
    </row>
    <row r="22350" spans="5:5">
      <c r="E22350" s="51"/>
    </row>
    <row r="22351" spans="5:5">
      <c r="E22351" s="51"/>
    </row>
    <row r="22352" spans="5:5">
      <c r="E22352" s="51"/>
    </row>
    <row r="22353" spans="5:5">
      <c r="E22353" s="51"/>
    </row>
    <row r="22354" spans="5:5">
      <c r="E22354" s="51"/>
    </row>
    <row r="22355" spans="5:5">
      <c r="E22355" s="51"/>
    </row>
    <row r="22356" spans="5:5">
      <c r="E22356" s="51"/>
    </row>
    <row r="22357" spans="5:5">
      <c r="E22357" s="51"/>
    </row>
    <row r="22358" spans="5:5">
      <c r="E22358" s="51"/>
    </row>
    <row r="22359" spans="5:5">
      <c r="E22359" s="51"/>
    </row>
    <row r="22360" spans="5:5">
      <c r="E22360" s="51"/>
    </row>
    <row r="22361" spans="5:5">
      <c r="E22361" s="51"/>
    </row>
    <row r="22362" spans="5:5">
      <c r="E22362" s="51"/>
    </row>
    <row r="22363" spans="5:5">
      <c r="E22363" s="51"/>
    </row>
    <row r="22364" spans="5:5">
      <c r="E22364" s="51"/>
    </row>
    <row r="22365" spans="5:5">
      <c r="E22365" s="51"/>
    </row>
    <row r="22366" spans="5:5">
      <c r="E22366" s="51"/>
    </row>
    <row r="22367" spans="5:5">
      <c r="E22367" s="51"/>
    </row>
    <row r="22368" spans="5:5">
      <c r="E22368" s="51"/>
    </row>
    <row r="22369" spans="5:5">
      <c r="E22369" s="51"/>
    </row>
    <row r="22370" spans="5:5">
      <c r="E22370" s="51"/>
    </row>
    <row r="22371" spans="5:5">
      <c r="E22371" s="51"/>
    </row>
    <row r="22372" spans="5:5">
      <c r="E22372" s="51"/>
    </row>
    <row r="22373" spans="5:5">
      <c r="E22373" s="51"/>
    </row>
    <row r="22374" spans="5:5">
      <c r="E22374" s="51"/>
    </row>
    <row r="22375" spans="5:5">
      <c r="E22375" s="51"/>
    </row>
    <row r="22376" spans="5:5">
      <c r="E22376" s="51"/>
    </row>
    <row r="22377" spans="5:5">
      <c r="E22377" s="51"/>
    </row>
    <row r="22378" spans="5:5">
      <c r="E22378" s="51"/>
    </row>
    <row r="22379" spans="5:5">
      <c r="E22379" s="51"/>
    </row>
    <row r="22380" spans="5:5">
      <c r="E22380" s="51"/>
    </row>
    <row r="22381" spans="5:5">
      <c r="E22381" s="51"/>
    </row>
    <row r="22382" spans="5:5">
      <c r="E22382" s="51"/>
    </row>
    <row r="22383" spans="5:5">
      <c r="E22383" s="51"/>
    </row>
    <row r="22384" spans="5:5">
      <c r="E22384" s="51"/>
    </row>
    <row r="22385" spans="5:5">
      <c r="E22385" s="51"/>
    </row>
    <row r="22386" spans="5:5">
      <c r="E22386" s="51"/>
    </row>
    <row r="22387" spans="5:5">
      <c r="E22387" s="51"/>
    </row>
    <row r="22388" spans="5:5">
      <c r="E22388" s="51"/>
    </row>
    <row r="22389" spans="5:5">
      <c r="E22389" s="51"/>
    </row>
    <row r="22390" spans="5:5">
      <c r="E22390" s="51"/>
    </row>
    <row r="22391" spans="5:5">
      <c r="E22391" s="51"/>
    </row>
    <row r="22392" spans="5:5">
      <c r="E22392" s="51"/>
    </row>
    <row r="22393" spans="5:5">
      <c r="E22393" s="51"/>
    </row>
    <row r="22394" spans="5:5">
      <c r="E22394" s="51"/>
    </row>
    <row r="22395" spans="5:5">
      <c r="E22395" s="51"/>
    </row>
    <row r="22396" spans="5:5">
      <c r="E22396" s="51"/>
    </row>
    <row r="22397" spans="5:5">
      <c r="E22397" s="51"/>
    </row>
    <row r="22398" spans="5:5">
      <c r="E22398" s="51"/>
    </row>
    <row r="22399" spans="5:5">
      <c r="E22399" s="51"/>
    </row>
    <row r="22400" spans="5:5">
      <c r="E22400" s="51"/>
    </row>
    <row r="22401" spans="5:5">
      <c r="E22401" s="51"/>
    </row>
    <row r="22402" spans="5:5">
      <c r="E22402" s="51"/>
    </row>
    <row r="22403" spans="5:5">
      <c r="E22403" s="51"/>
    </row>
    <row r="22404" spans="5:5">
      <c r="E22404" s="51"/>
    </row>
    <row r="22405" spans="5:5">
      <c r="E22405" s="51"/>
    </row>
    <row r="22406" spans="5:5">
      <c r="E22406" s="51"/>
    </row>
    <row r="22407" spans="5:5">
      <c r="E22407" s="51"/>
    </row>
    <row r="22408" spans="5:5">
      <c r="E22408" s="51"/>
    </row>
    <row r="22409" spans="5:5">
      <c r="E22409" s="51"/>
    </row>
    <row r="22410" spans="5:5">
      <c r="E22410" s="51"/>
    </row>
    <row r="22411" spans="5:5">
      <c r="E22411" s="51"/>
    </row>
    <row r="22412" spans="5:5">
      <c r="E22412" s="51"/>
    </row>
    <row r="22413" spans="5:5">
      <c r="E22413" s="51"/>
    </row>
    <row r="22414" spans="5:5">
      <c r="E22414" s="51"/>
    </row>
    <row r="22415" spans="5:5">
      <c r="E22415" s="51"/>
    </row>
    <row r="22416" spans="5:5">
      <c r="E22416" s="51"/>
    </row>
    <row r="22417" spans="5:5">
      <c r="E22417" s="51"/>
    </row>
    <row r="22418" spans="5:5">
      <c r="E22418" s="51"/>
    </row>
    <row r="22419" spans="5:5">
      <c r="E22419" s="51"/>
    </row>
    <row r="22420" spans="5:5">
      <c r="E22420" s="51"/>
    </row>
    <row r="22421" spans="5:5">
      <c r="E22421" s="51"/>
    </row>
    <row r="22422" spans="5:5">
      <c r="E22422" s="51"/>
    </row>
    <row r="22423" spans="5:5">
      <c r="E22423" s="51"/>
    </row>
    <row r="22424" spans="5:5">
      <c r="E22424" s="51"/>
    </row>
    <row r="22425" spans="5:5">
      <c r="E22425" s="51"/>
    </row>
    <row r="22426" spans="5:5">
      <c r="E22426" s="51"/>
    </row>
    <row r="22427" spans="5:5">
      <c r="E22427" s="51"/>
    </row>
    <row r="22428" spans="5:5">
      <c r="E22428" s="51"/>
    </row>
    <row r="22429" spans="5:5">
      <c r="E22429" s="51"/>
    </row>
    <row r="22430" spans="5:5">
      <c r="E22430" s="51"/>
    </row>
    <row r="22431" spans="5:5">
      <c r="E22431" s="51"/>
    </row>
    <row r="22432" spans="5:5">
      <c r="E22432" s="51"/>
    </row>
    <row r="22433" spans="5:5">
      <c r="E22433" s="51"/>
    </row>
    <row r="22434" spans="5:5">
      <c r="E22434" s="51"/>
    </row>
    <row r="22435" spans="5:5">
      <c r="E22435" s="51"/>
    </row>
    <row r="22436" spans="5:5">
      <c r="E22436" s="51"/>
    </row>
    <row r="22437" spans="5:5">
      <c r="E22437" s="51"/>
    </row>
    <row r="22438" spans="5:5">
      <c r="E22438" s="51"/>
    </row>
    <row r="22439" spans="5:5">
      <c r="E22439" s="51"/>
    </row>
    <row r="22440" spans="5:5">
      <c r="E22440" s="51"/>
    </row>
    <row r="22441" spans="5:5">
      <c r="E22441" s="51"/>
    </row>
    <row r="22442" spans="5:5">
      <c r="E22442" s="51"/>
    </row>
    <row r="22443" spans="5:5">
      <c r="E22443" s="51"/>
    </row>
    <row r="22444" spans="5:5">
      <c r="E22444" s="51"/>
    </row>
    <row r="22445" spans="5:5">
      <c r="E22445" s="51"/>
    </row>
    <row r="22446" spans="5:5">
      <c r="E22446" s="51"/>
    </row>
    <row r="22447" spans="5:5">
      <c r="E22447" s="51"/>
    </row>
    <row r="22448" spans="5:5">
      <c r="E22448" s="51"/>
    </row>
    <row r="22449" spans="5:5">
      <c r="E22449" s="51"/>
    </row>
    <row r="22450" spans="5:5">
      <c r="E22450" s="51"/>
    </row>
    <row r="22451" spans="5:5">
      <c r="E22451" s="51"/>
    </row>
    <row r="22452" spans="5:5">
      <c r="E22452" s="51"/>
    </row>
    <row r="22453" spans="5:5">
      <c r="E22453" s="51"/>
    </row>
    <row r="22454" spans="5:5">
      <c r="E22454" s="51"/>
    </row>
    <row r="22455" spans="5:5">
      <c r="E22455" s="51"/>
    </row>
    <row r="22456" spans="5:5">
      <c r="E22456" s="51"/>
    </row>
    <row r="22457" spans="5:5">
      <c r="E22457" s="51"/>
    </row>
    <row r="22458" spans="5:5">
      <c r="E22458" s="51"/>
    </row>
    <row r="22459" spans="5:5">
      <c r="E22459" s="51"/>
    </row>
    <row r="22460" spans="5:5">
      <c r="E22460" s="51"/>
    </row>
    <row r="22461" spans="5:5">
      <c r="E22461" s="51"/>
    </row>
    <row r="22462" spans="5:5">
      <c r="E22462" s="51"/>
    </row>
    <row r="22463" spans="5:5">
      <c r="E22463" s="51"/>
    </row>
    <row r="22464" spans="5:5">
      <c r="E22464" s="51"/>
    </row>
    <row r="22465" spans="5:5">
      <c r="E22465" s="51"/>
    </row>
    <row r="22466" spans="5:5">
      <c r="E22466" s="51"/>
    </row>
    <row r="22467" spans="5:5">
      <c r="E22467" s="51"/>
    </row>
    <row r="22468" spans="5:5">
      <c r="E22468" s="51"/>
    </row>
    <row r="22469" spans="5:5">
      <c r="E22469" s="51"/>
    </row>
    <row r="22470" spans="5:5">
      <c r="E22470" s="51"/>
    </row>
    <row r="22471" spans="5:5">
      <c r="E22471" s="51"/>
    </row>
    <row r="22472" spans="5:5">
      <c r="E22472" s="51"/>
    </row>
    <row r="22473" spans="5:5">
      <c r="E22473" s="51"/>
    </row>
    <row r="22474" spans="5:5">
      <c r="E22474" s="51"/>
    </row>
    <row r="22475" spans="5:5">
      <c r="E22475" s="51"/>
    </row>
    <row r="22476" spans="5:5">
      <c r="E22476" s="51"/>
    </row>
    <row r="22477" spans="5:5">
      <c r="E22477" s="51"/>
    </row>
    <row r="22478" spans="5:5">
      <c r="E22478" s="51"/>
    </row>
    <row r="22479" spans="5:5">
      <c r="E22479" s="51"/>
    </row>
    <row r="22480" spans="5:5">
      <c r="E22480" s="51"/>
    </row>
    <row r="22481" spans="5:5">
      <c r="E22481" s="51"/>
    </row>
    <row r="22482" spans="5:5">
      <c r="E22482" s="51"/>
    </row>
    <row r="22483" spans="5:5">
      <c r="E22483" s="51"/>
    </row>
    <row r="22484" spans="5:5">
      <c r="E22484" s="51"/>
    </row>
    <row r="22485" spans="5:5">
      <c r="E22485" s="51"/>
    </row>
    <row r="22486" spans="5:5">
      <c r="E22486" s="51"/>
    </row>
    <row r="22487" spans="5:5">
      <c r="E22487" s="51"/>
    </row>
    <row r="22488" spans="5:5">
      <c r="E22488" s="51"/>
    </row>
    <row r="22489" spans="5:5">
      <c r="E22489" s="51"/>
    </row>
    <row r="22490" spans="5:5">
      <c r="E22490" s="51"/>
    </row>
    <row r="22491" spans="5:5">
      <c r="E22491" s="51"/>
    </row>
    <row r="22492" spans="5:5">
      <c r="E22492" s="51"/>
    </row>
    <row r="22493" spans="5:5">
      <c r="E22493" s="51"/>
    </row>
    <row r="22494" spans="5:5">
      <c r="E22494" s="51"/>
    </row>
    <row r="22495" spans="5:5">
      <c r="E22495" s="51"/>
    </row>
    <row r="22496" spans="5:5">
      <c r="E22496" s="51"/>
    </row>
    <row r="22497" spans="5:5">
      <c r="E22497" s="51"/>
    </row>
    <row r="22498" spans="5:5">
      <c r="E22498" s="51"/>
    </row>
    <row r="22499" spans="5:5">
      <c r="E22499" s="51"/>
    </row>
    <row r="22500" spans="5:5">
      <c r="E22500" s="51"/>
    </row>
    <row r="22501" spans="5:5">
      <c r="E22501" s="51"/>
    </row>
    <row r="22502" spans="5:5">
      <c r="E22502" s="51"/>
    </row>
    <row r="22503" spans="5:5">
      <c r="E22503" s="51"/>
    </row>
    <row r="22504" spans="5:5">
      <c r="E22504" s="51"/>
    </row>
    <row r="22505" spans="5:5">
      <c r="E22505" s="51"/>
    </row>
    <row r="22506" spans="5:5">
      <c r="E22506" s="51"/>
    </row>
    <row r="22507" spans="5:5">
      <c r="E22507" s="51"/>
    </row>
    <row r="22508" spans="5:5">
      <c r="E22508" s="51"/>
    </row>
    <row r="22509" spans="5:5">
      <c r="E22509" s="51"/>
    </row>
    <row r="22510" spans="5:5">
      <c r="E22510" s="51"/>
    </row>
    <row r="22511" spans="5:5">
      <c r="E22511" s="51"/>
    </row>
    <row r="22512" spans="5:5">
      <c r="E22512" s="51"/>
    </row>
    <row r="22513" spans="5:5">
      <c r="E22513" s="51"/>
    </row>
    <row r="22514" spans="5:5">
      <c r="E22514" s="51"/>
    </row>
    <row r="22515" spans="5:5">
      <c r="E22515" s="51"/>
    </row>
    <row r="22516" spans="5:5">
      <c r="E22516" s="51"/>
    </row>
    <row r="22517" spans="5:5">
      <c r="E22517" s="51"/>
    </row>
    <row r="22518" spans="5:5">
      <c r="E22518" s="51"/>
    </row>
    <row r="22519" spans="5:5">
      <c r="E22519" s="51"/>
    </row>
    <row r="22520" spans="5:5">
      <c r="E22520" s="51"/>
    </row>
    <row r="22521" spans="5:5">
      <c r="E22521" s="51"/>
    </row>
    <row r="22522" spans="5:5">
      <c r="E22522" s="51"/>
    </row>
    <row r="22523" spans="5:5">
      <c r="E22523" s="51"/>
    </row>
    <row r="22524" spans="5:5">
      <c r="E22524" s="51"/>
    </row>
    <row r="22525" spans="5:5">
      <c r="E22525" s="51"/>
    </row>
    <row r="22526" spans="5:5">
      <c r="E22526" s="51"/>
    </row>
    <row r="22527" spans="5:5">
      <c r="E22527" s="51"/>
    </row>
    <row r="22528" spans="5:5">
      <c r="E22528" s="51"/>
    </row>
    <row r="22529" spans="5:5">
      <c r="E22529" s="51"/>
    </row>
    <row r="22530" spans="5:5">
      <c r="E22530" s="51"/>
    </row>
    <row r="22531" spans="5:5">
      <c r="E22531" s="51"/>
    </row>
    <row r="22532" spans="5:5">
      <c r="E22532" s="51"/>
    </row>
    <row r="22533" spans="5:5">
      <c r="E22533" s="51"/>
    </row>
    <row r="22534" spans="5:5">
      <c r="E22534" s="51"/>
    </row>
    <row r="22535" spans="5:5">
      <c r="E22535" s="51"/>
    </row>
    <row r="22536" spans="5:5">
      <c r="E22536" s="51"/>
    </row>
    <row r="22537" spans="5:5">
      <c r="E22537" s="51"/>
    </row>
    <row r="22538" spans="5:5">
      <c r="E22538" s="51"/>
    </row>
    <row r="22539" spans="5:5">
      <c r="E22539" s="51"/>
    </row>
    <row r="22540" spans="5:5">
      <c r="E22540" s="51"/>
    </row>
    <row r="22541" spans="5:5">
      <c r="E22541" s="51"/>
    </row>
    <row r="22542" spans="5:5">
      <c r="E22542" s="51"/>
    </row>
    <row r="22543" spans="5:5">
      <c r="E22543" s="51"/>
    </row>
    <row r="22544" spans="5:5">
      <c r="E22544" s="51"/>
    </row>
    <row r="22545" spans="5:5">
      <c r="E22545" s="51"/>
    </row>
    <row r="22546" spans="5:5">
      <c r="E22546" s="51"/>
    </row>
    <row r="22547" spans="5:5">
      <c r="E22547" s="51"/>
    </row>
    <row r="22548" spans="5:5">
      <c r="E22548" s="51"/>
    </row>
    <row r="22549" spans="5:5">
      <c r="E22549" s="51"/>
    </row>
    <row r="22550" spans="5:5">
      <c r="E22550" s="51"/>
    </row>
    <row r="22551" spans="5:5">
      <c r="E22551" s="51"/>
    </row>
    <row r="22552" spans="5:5">
      <c r="E22552" s="51"/>
    </row>
    <row r="22553" spans="5:5">
      <c r="E22553" s="51"/>
    </row>
    <row r="22554" spans="5:5">
      <c r="E22554" s="51"/>
    </row>
    <row r="22555" spans="5:5">
      <c r="E22555" s="51"/>
    </row>
    <row r="22556" spans="5:5">
      <c r="E22556" s="51"/>
    </row>
    <row r="22557" spans="5:5">
      <c r="E22557" s="51"/>
    </row>
    <row r="22558" spans="5:5">
      <c r="E22558" s="51"/>
    </row>
    <row r="22559" spans="5:5">
      <c r="E22559" s="51"/>
    </row>
    <row r="22560" spans="5:5">
      <c r="E22560" s="51"/>
    </row>
    <row r="22561" spans="5:5">
      <c r="E22561" s="51"/>
    </row>
    <row r="22562" spans="5:5">
      <c r="E22562" s="51"/>
    </row>
    <row r="22563" spans="5:5">
      <c r="E22563" s="51"/>
    </row>
    <row r="22564" spans="5:5">
      <c r="E22564" s="51"/>
    </row>
    <row r="22565" spans="5:5">
      <c r="E22565" s="51"/>
    </row>
    <row r="22566" spans="5:5">
      <c r="E22566" s="51"/>
    </row>
    <row r="22567" spans="5:5">
      <c r="E22567" s="51"/>
    </row>
    <row r="22568" spans="5:5">
      <c r="E22568" s="51"/>
    </row>
    <row r="22569" spans="5:5">
      <c r="E22569" s="51"/>
    </row>
    <row r="22570" spans="5:5">
      <c r="E22570" s="51"/>
    </row>
    <row r="22571" spans="5:5">
      <c r="E22571" s="51"/>
    </row>
    <row r="22572" spans="5:5">
      <c r="E22572" s="51"/>
    </row>
    <row r="22573" spans="5:5">
      <c r="E22573" s="51"/>
    </row>
    <row r="22574" spans="5:5">
      <c r="E22574" s="51"/>
    </row>
    <row r="22575" spans="5:5">
      <c r="E22575" s="51"/>
    </row>
    <row r="22576" spans="5:5">
      <c r="E22576" s="51"/>
    </row>
    <row r="22577" spans="5:5">
      <c r="E22577" s="51"/>
    </row>
    <row r="22578" spans="5:5">
      <c r="E22578" s="51"/>
    </row>
    <row r="22579" spans="5:5">
      <c r="E22579" s="51"/>
    </row>
    <row r="22580" spans="5:5">
      <c r="E22580" s="51"/>
    </row>
    <row r="22581" spans="5:5">
      <c r="E22581" s="51"/>
    </row>
    <row r="22582" spans="5:5">
      <c r="E22582" s="51"/>
    </row>
    <row r="22583" spans="5:5">
      <c r="E22583" s="51"/>
    </row>
    <row r="22584" spans="5:5">
      <c r="E22584" s="51"/>
    </row>
    <row r="22585" spans="5:5">
      <c r="E22585" s="51"/>
    </row>
    <row r="22586" spans="5:5">
      <c r="E22586" s="51"/>
    </row>
    <row r="22587" spans="5:5">
      <c r="E22587" s="51"/>
    </row>
    <row r="22588" spans="5:5">
      <c r="E22588" s="51"/>
    </row>
    <row r="22589" spans="5:5">
      <c r="E22589" s="51"/>
    </row>
    <row r="22590" spans="5:5">
      <c r="E22590" s="51"/>
    </row>
    <row r="22591" spans="5:5">
      <c r="E22591" s="51"/>
    </row>
    <row r="22592" spans="5:5">
      <c r="E22592" s="51"/>
    </row>
    <row r="22593" spans="5:5">
      <c r="E22593" s="51"/>
    </row>
    <row r="22594" spans="5:5">
      <c r="E22594" s="51"/>
    </row>
    <row r="22595" spans="5:5">
      <c r="E22595" s="51"/>
    </row>
    <row r="22596" spans="5:5">
      <c r="E22596" s="51"/>
    </row>
    <row r="22597" spans="5:5">
      <c r="E22597" s="51"/>
    </row>
    <row r="22598" spans="5:5">
      <c r="E22598" s="51"/>
    </row>
    <row r="22599" spans="5:5">
      <c r="E22599" s="51"/>
    </row>
    <row r="22600" spans="5:5">
      <c r="E22600" s="51"/>
    </row>
    <row r="22601" spans="5:5">
      <c r="E22601" s="51"/>
    </row>
    <row r="22602" spans="5:5">
      <c r="E22602" s="51"/>
    </row>
    <row r="22603" spans="5:5">
      <c r="E22603" s="51"/>
    </row>
    <row r="22604" spans="5:5">
      <c r="E22604" s="51"/>
    </row>
    <row r="22605" spans="5:5">
      <c r="E22605" s="51"/>
    </row>
    <row r="22606" spans="5:5">
      <c r="E22606" s="51"/>
    </row>
    <row r="22607" spans="5:5">
      <c r="E22607" s="51"/>
    </row>
    <row r="22608" spans="5:5">
      <c r="E22608" s="51"/>
    </row>
    <row r="22609" spans="5:5">
      <c r="E22609" s="51"/>
    </row>
    <row r="22610" spans="5:5">
      <c r="E22610" s="51"/>
    </row>
    <row r="22611" spans="5:5">
      <c r="E22611" s="51"/>
    </row>
    <row r="22612" spans="5:5">
      <c r="E22612" s="51"/>
    </row>
    <row r="22613" spans="5:5">
      <c r="E22613" s="51"/>
    </row>
    <row r="22614" spans="5:5">
      <c r="E22614" s="51"/>
    </row>
    <row r="22615" spans="5:5">
      <c r="E22615" s="51"/>
    </row>
    <row r="22616" spans="5:5">
      <c r="E22616" s="51"/>
    </row>
    <row r="22617" spans="5:5">
      <c r="E22617" s="51"/>
    </row>
    <row r="22618" spans="5:5">
      <c r="E22618" s="51"/>
    </row>
    <row r="22619" spans="5:5">
      <c r="E22619" s="51"/>
    </row>
    <row r="22620" spans="5:5">
      <c r="E22620" s="51"/>
    </row>
    <row r="22621" spans="5:5">
      <c r="E22621" s="51"/>
    </row>
    <row r="22622" spans="5:5">
      <c r="E22622" s="51"/>
    </row>
    <row r="22623" spans="5:5">
      <c r="E22623" s="51"/>
    </row>
    <row r="22624" spans="5:5">
      <c r="E22624" s="51"/>
    </row>
    <row r="22625" spans="5:5">
      <c r="E22625" s="51"/>
    </row>
    <row r="22626" spans="5:5">
      <c r="E22626" s="51"/>
    </row>
    <row r="22627" spans="5:5">
      <c r="E22627" s="51"/>
    </row>
    <row r="22628" spans="5:5">
      <c r="E22628" s="51"/>
    </row>
    <row r="22629" spans="5:5">
      <c r="E22629" s="51"/>
    </row>
    <row r="22630" spans="5:5">
      <c r="E22630" s="51"/>
    </row>
    <row r="22631" spans="5:5">
      <c r="E22631" s="51"/>
    </row>
    <row r="22632" spans="5:5">
      <c r="E22632" s="51"/>
    </row>
    <row r="22633" spans="5:5">
      <c r="E22633" s="51"/>
    </row>
    <row r="22634" spans="5:5">
      <c r="E22634" s="51"/>
    </row>
    <row r="22635" spans="5:5">
      <c r="E22635" s="51"/>
    </row>
    <row r="22636" spans="5:5">
      <c r="E22636" s="51"/>
    </row>
    <row r="22637" spans="5:5">
      <c r="E22637" s="51"/>
    </row>
    <row r="22638" spans="5:5">
      <c r="E22638" s="51"/>
    </row>
    <row r="22639" spans="5:5">
      <c r="E22639" s="51"/>
    </row>
    <row r="22640" spans="5:5">
      <c r="E22640" s="51"/>
    </row>
    <row r="22641" spans="5:5">
      <c r="E22641" s="51"/>
    </row>
    <row r="22642" spans="5:5">
      <c r="E22642" s="51"/>
    </row>
    <row r="22643" spans="5:5">
      <c r="E22643" s="51"/>
    </row>
    <row r="22644" spans="5:5">
      <c r="E22644" s="51"/>
    </row>
    <row r="22645" spans="5:5">
      <c r="E22645" s="51"/>
    </row>
    <row r="22646" spans="5:5">
      <c r="E22646" s="51"/>
    </row>
    <row r="22647" spans="5:5">
      <c r="E22647" s="51"/>
    </row>
    <row r="22648" spans="5:5">
      <c r="E22648" s="51"/>
    </row>
    <row r="22649" spans="5:5">
      <c r="E22649" s="51"/>
    </row>
    <row r="22650" spans="5:5">
      <c r="E22650" s="51"/>
    </row>
    <row r="22651" spans="5:5">
      <c r="E22651" s="51"/>
    </row>
    <row r="22652" spans="5:5">
      <c r="E22652" s="51"/>
    </row>
    <row r="22653" spans="5:5">
      <c r="E22653" s="51"/>
    </row>
    <row r="22654" spans="5:5">
      <c r="E22654" s="51"/>
    </row>
    <row r="22655" spans="5:5">
      <c r="E22655" s="51"/>
    </row>
    <row r="22656" spans="5:5">
      <c r="E22656" s="51"/>
    </row>
    <row r="22657" spans="5:5">
      <c r="E22657" s="51"/>
    </row>
    <row r="22658" spans="5:5">
      <c r="E22658" s="51"/>
    </row>
    <row r="22659" spans="5:5">
      <c r="E22659" s="51"/>
    </row>
    <row r="22660" spans="5:5">
      <c r="E22660" s="51"/>
    </row>
    <row r="22661" spans="5:5">
      <c r="E22661" s="51"/>
    </row>
    <row r="22662" spans="5:5">
      <c r="E22662" s="51"/>
    </row>
    <row r="22663" spans="5:5">
      <c r="E22663" s="51"/>
    </row>
    <row r="22664" spans="5:5">
      <c r="E22664" s="51"/>
    </row>
    <row r="22665" spans="5:5">
      <c r="E22665" s="51"/>
    </row>
    <row r="22666" spans="5:5">
      <c r="E22666" s="51"/>
    </row>
    <row r="22667" spans="5:5">
      <c r="E22667" s="51"/>
    </row>
    <row r="22668" spans="5:5">
      <c r="E22668" s="51"/>
    </row>
    <row r="22669" spans="5:5">
      <c r="E22669" s="51"/>
    </row>
    <row r="22670" spans="5:5">
      <c r="E22670" s="51"/>
    </row>
    <row r="22671" spans="5:5">
      <c r="E22671" s="51"/>
    </row>
    <row r="22672" spans="5:5">
      <c r="E22672" s="51"/>
    </row>
    <row r="22673" spans="5:5">
      <c r="E22673" s="51"/>
    </row>
    <row r="22674" spans="5:5">
      <c r="E22674" s="51"/>
    </row>
    <row r="22675" spans="5:5">
      <c r="E22675" s="51"/>
    </row>
    <row r="22676" spans="5:5">
      <c r="E22676" s="51"/>
    </row>
    <row r="22677" spans="5:5">
      <c r="E22677" s="51"/>
    </row>
    <row r="22678" spans="5:5">
      <c r="E22678" s="51"/>
    </row>
    <row r="22679" spans="5:5">
      <c r="E22679" s="51"/>
    </row>
    <row r="22680" spans="5:5">
      <c r="E22680" s="51"/>
    </row>
    <row r="22681" spans="5:5">
      <c r="E22681" s="51"/>
    </row>
    <row r="22682" spans="5:5">
      <c r="E22682" s="51"/>
    </row>
    <row r="22683" spans="5:5">
      <c r="E22683" s="51"/>
    </row>
    <row r="22684" spans="5:5">
      <c r="E22684" s="51"/>
    </row>
    <row r="22685" spans="5:5">
      <c r="E22685" s="51"/>
    </row>
    <row r="22686" spans="5:5">
      <c r="E22686" s="51"/>
    </row>
    <row r="22687" spans="5:5">
      <c r="E22687" s="51"/>
    </row>
    <row r="22688" spans="5:5">
      <c r="E22688" s="51"/>
    </row>
    <row r="22689" spans="5:5">
      <c r="E22689" s="51"/>
    </row>
    <row r="22690" spans="5:5">
      <c r="E22690" s="51"/>
    </row>
    <row r="22691" spans="5:5">
      <c r="E22691" s="51"/>
    </row>
    <row r="22692" spans="5:5">
      <c r="E22692" s="51"/>
    </row>
    <row r="22693" spans="5:5">
      <c r="E22693" s="51"/>
    </row>
    <row r="22694" spans="5:5">
      <c r="E22694" s="51"/>
    </row>
    <row r="22695" spans="5:5">
      <c r="E22695" s="51"/>
    </row>
    <row r="22696" spans="5:5">
      <c r="E22696" s="51"/>
    </row>
    <row r="22697" spans="5:5">
      <c r="E22697" s="51"/>
    </row>
    <row r="22698" spans="5:5">
      <c r="E22698" s="51"/>
    </row>
    <row r="22699" spans="5:5">
      <c r="E22699" s="51"/>
    </row>
    <row r="22700" spans="5:5">
      <c r="E22700" s="51"/>
    </row>
    <row r="22701" spans="5:5">
      <c r="E22701" s="51"/>
    </row>
    <row r="22702" spans="5:5">
      <c r="E22702" s="51"/>
    </row>
    <row r="22703" spans="5:5">
      <c r="E22703" s="51"/>
    </row>
    <row r="22704" spans="5:5">
      <c r="E22704" s="51"/>
    </row>
    <row r="22705" spans="5:5">
      <c r="E22705" s="51"/>
    </row>
    <row r="22706" spans="5:5">
      <c r="E22706" s="51"/>
    </row>
    <row r="22707" spans="5:5">
      <c r="E22707" s="51"/>
    </row>
    <row r="22708" spans="5:5">
      <c r="E22708" s="51"/>
    </row>
    <row r="22709" spans="5:5">
      <c r="E22709" s="51"/>
    </row>
    <row r="22710" spans="5:5">
      <c r="E22710" s="51"/>
    </row>
    <row r="22711" spans="5:5">
      <c r="E22711" s="51"/>
    </row>
    <row r="22712" spans="5:5">
      <c r="E22712" s="51"/>
    </row>
    <row r="22713" spans="5:5">
      <c r="E22713" s="51"/>
    </row>
    <row r="22714" spans="5:5">
      <c r="E22714" s="51"/>
    </row>
    <row r="22715" spans="5:5">
      <c r="E22715" s="51"/>
    </row>
    <row r="22716" spans="5:5">
      <c r="E22716" s="51"/>
    </row>
    <row r="22717" spans="5:5">
      <c r="E22717" s="51"/>
    </row>
    <row r="22718" spans="5:5">
      <c r="E22718" s="51"/>
    </row>
    <row r="22719" spans="5:5">
      <c r="E22719" s="51"/>
    </row>
    <row r="22720" spans="5:5">
      <c r="E22720" s="51"/>
    </row>
    <row r="22721" spans="5:5">
      <c r="E22721" s="51"/>
    </row>
    <row r="22722" spans="5:5">
      <c r="E22722" s="51"/>
    </row>
    <row r="22723" spans="5:5">
      <c r="E22723" s="51"/>
    </row>
    <row r="22724" spans="5:5">
      <c r="E22724" s="51"/>
    </row>
    <row r="22725" spans="5:5">
      <c r="E22725" s="51"/>
    </row>
    <row r="22726" spans="5:5">
      <c r="E22726" s="51"/>
    </row>
    <row r="22727" spans="5:5">
      <c r="E22727" s="51"/>
    </row>
    <row r="22728" spans="5:5">
      <c r="E22728" s="51"/>
    </row>
    <row r="22729" spans="5:5">
      <c r="E22729" s="51"/>
    </row>
    <row r="22730" spans="5:5">
      <c r="E22730" s="51"/>
    </row>
    <row r="22731" spans="5:5">
      <c r="E22731" s="51"/>
    </row>
    <row r="22732" spans="5:5">
      <c r="E22732" s="51"/>
    </row>
    <row r="22733" spans="5:5">
      <c r="E22733" s="51"/>
    </row>
    <row r="22734" spans="5:5">
      <c r="E22734" s="51"/>
    </row>
    <row r="22735" spans="5:5">
      <c r="E22735" s="51"/>
    </row>
    <row r="22736" spans="5:5">
      <c r="E22736" s="51"/>
    </row>
    <row r="22737" spans="5:5">
      <c r="E22737" s="51"/>
    </row>
    <row r="22738" spans="5:5">
      <c r="E22738" s="51"/>
    </row>
    <row r="22739" spans="5:5">
      <c r="E22739" s="51"/>
    </row>
    <row r="22740" spans="5:5">
      <c r="E22740" s="51"/>
    </row>
    <row r="22741" spans="5:5">
      <c r="E22741" s="51"/>
    </row>
    <row r="22742" spans="5:5">
      <c r="E22742" s="51"/>
    </row>
    <row r="22743" spans="5:5">
      <c r="E22743" s="51"/>
    </row>
    <row r="22744" spans="5:5">
      <c r="E22744" s="51"/>
    </row>
    <row r="22745" spans="5:5">
      <c r="E22745" s="51"/>
    </row>
    <row r="22746" spans="5:5">
      <c r="E22746" s="51"/>
    </row>
    <row r="22747" spans="5:5">
      <c r="E22747" s="51"/>
    </row>
    <row r="22748" spans="5:5">
      <c r="E22748" s="51"/>
    </row>
    <row r="22749" spans="5:5">
      <c r="E22749" s="51"/>
    </row>
    <row r="22750" spans="5:5">
      <c r="E22750" s="51"/>
    </row>
    <row r="22751" spans="5:5">
      <c r="E22751" s="51"/>
    </row>
    <row r="22752" spans="5:5">
      <c r="E22752" s="51"/>
    </row>
    <row r="22753" spans="5:5">
      <c r="E22753" s="51"/>
    </row>
    <row r="22754" spans="5:5">
      <c r="E22754" s="51"/>
    </row>
    <row r="22755" spans="5:5">
      <c r="E22755" s="51"/>
    </row>
    <row r="22756" spans="5:5">
      <c r="E22756" s="51"/>
    </row>
    <row r="22757" spans="5:5">
      <c r="E22757" s="51"/>
    </row>
    <row r="22758" spans="5:5">
      <c r="E22758" s="51"/>
    </row>
    <row r="22759" spans="5:5">
      <c r="E22759" s="51"/>
    </row>
    <row r="22760" spans="5:5">
      <c r="E22760" s="51"/>
    </row>
    <row r="22761" spans="5:5">
      <c r="E22761" s="51"/>
    </row>
    <row r="22762" spans="5:5">
      <c r="E22762" s="51"/>
    </row>
    <row r="22763" spans="5:5">
      <c r="E22763" s="51"/>
    </row>
    <row r="22764" spans="5:5">
      <c r="E22764" s="51"/>
    </row>
    <row r="22765" spans="5:5">
      <c r="E22765" s="51"/>
    </row>
    <row r="22766" spans="5:5">
      <c r="E22766" s="51"/>
    </row>
    <row r="22767" spans="5:5">
      <c r="E22767" s="51"/>
    </row>
    <row r="22768" spans="5:5">
      <c r="E22768" s="51"/>
    </row>
    <row r="22769" spans="5:5">
      <c r="E22769" s="51"/>
    </row>
    <row r="22770" spans="5:5">
      <c r="E22770" s="51"/>
    </row>
    <row r="22771" spans="5:5">
      <c r="E22771" s="51"/>
    </row>
    <row r="22772" spans="5:5">
      <c r="E22772" s="51"/>
    </row>
    <row r="22773" spans="5:5">
      <c r="E22773" s="51"/>
    </row>
    <row r="22774" spans="5:5">
      <c r="E22774" s="51"/>
    </row>
    <row r="22775" spans="5:5">
      <c r="E22775" s="51"/>
    </row>
    <row r="22776" spans="5:5">
      <c r="E22776" s="51"/>
    </row>
    <row r="22777" spans="5:5">
      <c r="E22777" s="51"/>
    </row>
    <row r="22778" spans="5:5">
      <c r="E22778" s="51"/>
    </row>
    <row r="22779" spans="5:5">
      <c r="E22779" s="51"/>
    </row>
    <row r="22780" spans="5:5">
      <c r="E22780" s="51"/>
    </row>
    <row r="22781" spans="5:5">
      <c r="E22781" s="51"/>
    </row>
    <row r="22782" spans="5:5">
      <c r="E22782" s="51"/>
    </row>
    <row r="22783" spans="5:5">
      <c r="E22783" s="51"/>
    </row>
    <row r="22784" spans="5:5">
      <c r="E22784" s="51"/>
    </row>
    <row r="22785" spans="5:5">
      <c r="E22785" s="51"/>
    </row>
    <row r="22786" spans="5:5">
      <c r="E22786" s="51"/>
    </row>
    <row r="22787" spans="5:5">
      <c r="E22787" s="51"/>
    </row>
    <row r="22788" spans="5:5">
      <c r="E22788" s="51"/>
    </row>
    <row r="22789" spans="5:5">
      <c r="E22789" s="51"/>
    </row>
    <row r="22790" spans="5:5">
      <c r="E22790" s="51"/>
    </row>
    <row r="22791" spans="5:5">
      <c r="E22791" s="51"/>
    </row>
    <row r="22792" spans="5:5">
      <c r="E22792" s="51"/>
    </row>
    <row r="22793" spans="5:5">
      <c r="E22793" s="51"/>
    </row>
    <row r="22794" spans="5:5">
      <c r="E22794" s="51"/>
    </row>
    <row r="22795" spans="5:5">
      <c r="E22795" s="51"/>
    </row>
    <row r="22796" spans="5:5">
      <c r="E22796" s="51"/>
    </row>
    <row r="22797" spans="5:5">
      <c r="E22797" s="51"/>
    </row>
    <row r="22798" spans="5:5">
      <c r="E22798" s="51"/>
    </row>
    <row r="22799" spans="5:5">
      <c r="E22799" s="51"/>
    </row>
    <row r="22800" spans="5:5">
      <c r="E22800" s="51"/>
    </row>
    <row r="22801" spans="5:5">
      <c r="E22801" s="51"/>
    </row>
    <row r="22802" spans="5:5">
      <c r="E22802" s="51"/>
    </row>
    <row r="22803" spans="5:5">
      <c r="E22803" s="51"/>
    </row>
    <row r="22804" spans="5:5">
      <c r="E22804" s="51"/>
    </row>
    <row r="22805" spans="5:5">
      <c r="E22805" s="51"/>
    </row>
    <row r="22806" spans="5:5">
      <c r="E22806" s="51"/>
    </row>
    <row r="22807" spans="5:5">
      <c r="E22807" s="51"/>
    </row>
    <row r="22808" spans="5:5">
      <c r="E22808" s="51"/>
    </row>
    <row r="22809" spans="5:5">
      <c r="E22809" s="51"/>
    </row>
    <row r="22810" spans="5:5">
      <c r="E22810" s="51"/>
    </row>
    <row r="22811" spans="5:5">
      <c r="E22811" s="51"/>
    </row>
    <row r="22812" spans="5:5">
      <c r="E22812" s="51"/>
    </row>
    <row r="22813" spans="5:5">
      <c r="E22813" s="51"/>
    </row>
    <row r="22814" spans="5:5">
      <c r="E22814" s="51"/>
    </row>
    <row r="22815" spans="5:5">
      <c r="E22815" s="51"/>
    </row>
    <row r="22816" spans="5:5">
      <c r="E22816" s="51"/>
    </row>
    <row r="22817" spans="5:5">
      <c r="E22817" s="51"/>
    </row>
    <row r="22818" spans="5:5">
      <c r="E22818" s="51"/>
    </row>
    <row r="22819" spans="5:5">
      <c r="E22819" s="51"/>
    </row>
    <row r="22820" spans="5:5">
      <c r="E22820" s="51"/>
    </row>
    <row r="22821" spans="5:5">
      <c r="E22821" s="51"/>
    </row>
    <row r="22822" spans="5:5">
      <c r="E22822" s="51"/>
    </row>
    <row r="22823" spans="5:5">
      <c r="E22823" s="51"/>
    </row>
    <row r="22824" spans="5:5">
      <c r="E22824" s="51"/>
    </row>
    <row r="22825" spans="5:5">
      <c r="E22825" s="51"/>
    </row>
    <row r="22826" spans="5:5">
      <c r="E22826" s="51"/>
    </row>
    <row r="22827" spans="5:5">
      <c r="E22827" s="51"/>
    </row>
    <row r="22828" spans="5:5">
      <c r="E22828" s="51"/>
    </row>
    <row r="22829" spans="5:5">
      <c r="E22829" s="51"/>
    </row>
    <row r="22830" spans="5:5">
      <c r="E22830" s="51"/>
    </row>
    <row r="22831" spans="5:5">
      <c r="E22831" s="51"/>
    </row>
    <row r="22832" spans="5:5">
      <c r="E22832" s="51"/>
    </row>
    <row r="22833" spans="5:5">
      <c r="E22833" s="51"/>
    </row>
    <row r="22834" spans="5:5">
      <c r="E22834" s="51"/>
    </row>
    <row r="22835" spans="5:5">
      <c r="E22835" s="51"/>
    </row>
    <row r="22836" spans="5:5">
      <c r="E22836" s="51"/>
    </row>
    <row r="22837" spans="5:5">
      <c r="E22837" s="51"/>
    </row>
    <row r="22838" spans="5:5">
      <c r="E22838" s="51"/>
    </row>
    <row r="22839" spans="5:5">
      <c r="E22839" s="51"/>
    </row>
    <row r="22840" spans="5:5">
      <c r="E22840" s="51"/>
    </row>
    <row r="22841" spans="5:5">
      <c r="E22841" s="51"/>
    </row>
    <row r="22842" spans="5:5">
      <c r="E22842" s="51"/>
    </row>
    <row r="22843" spans="5:5">
      <c r="E22843" s="51"/>
    </row>
    <row r="22844" spans="5:5">
      <c r="E22844" s="51"/>
    </row>
    <row r="22845" spans="5:5">
      <c r="E22845" s="51"/>
    </row>
    <row r="22846" spans="5:5">
      <c r="E22846" s="51"/>
    </row>
    <row r="22847" spans="5:5">
      <c r="E22847" s="51"/>
    </row>
    <row r="22848" spans="5:5">
      <c r="E22848" s="51"/>
    </row>
    <row r="22849" spans="5:5">
      <c r="E22849" s="51"/>
    </row>
    <row r="22850" spans="5:5">
      <c r="E22850" s="51"/>
    </row>
    <row r="22851" spans="5:5">
      <c r="E22851" s="51"/>
    </row>
    <row r="22852" spans="5:5">
      <c r="E22852" s="51"/>
    </row>
    <row r="22853" spans="5:5">
      <c r="E22853" s="51"/>
    </row>
    <row r="22854" spans="5:5">
      <c r="E22854" s="51"/>
    </row>
    <row r="22855" spans="5:5">
      <c r="E22855" s="51"/>
    </row>
    <row r="22856" spans="5:5">
      <c r="E22856" s="51"/>
    </row>
    <row r="22857" spans="5:5">
      <c r="E22857" s="51"/>
    </row>
    <row r="22858" spans="5:5">
      <c r="E22858" s="51"/>
    </row>
    <row r="22859" spans="5:5">
      <c r="E22859" s="51"/>
    </row>
    <row r="22860" spans="5:5">
      <c r="E22860" s="51"/>
    </row>
    <row r="22861" spans="5:5">
      <c r="E22861" s="51"/>
    </row>
    <row r="22862" spans="5:5">
      <c r="E22862" s="51"/>
    </row>
    <row r="22863" spans="5:5">
      <c r="E22863" s="51"/>
    </row>
    <row r="22864" spans="5:5">
      <c r="E22864" s="51"/>
    </row>
    <row r="22865" spans="5:5">
      <c r="E22865" s="51"/>
    </row>
    <row r="22866" spans="5:5">
      <c r="E22866" s="51"/>
    </row>
    <row r="22867" spans="5:5">
      <c r="E22867" s="51"/>
    </row>
    <row r="22868" spans="5:5">
      <c r="E22868" s="51"/>
    </row>
    <row r="22869" spans="5:5">
      <c r="E22869" s="51"/>
    </row>
    <row r="22870" spans="5:5">
      <c r="E22870" s="51"/>
    </row>
    <row r="22871" spans="5:5">
      <c r="E22871" s="51"/>
    </row>
    <row r="22872" spans="5:5">
      <c r="E22872" s="51"/>
    </row>
    <row r="22873" spans="5:5">
      <c r="E22873" s="51"/>
    </row>
    <row r="22874" spans="5:5">
      <c r="E22874" s="51"/>
    </row>
    <row r="22875" spans="5:5">
      <c r="E22875" s="51"/>
    </row>
    <row r="22876" spans="5:5">
      <c r="E22876" s="51"/>
    </row>
    <row r="22877" spans="5:5">
      <c r="E22877" s="51"/>
    </row>
    <row r="22878" spans="5:5">
      <c r="E22878" s="51"/>
    </row>
    <row r="22879" spans="5:5">
      <c r="E22879" s="51"/>
    </row>
    <row r="22880" spans="5:5">
      <c r="E22880" s="51"/>
    </row>
    <row r="22881" spans="5:5">
      <c r="E22881" s="51"/>
    </row>
    <row r="22882" spans="5:5">
      <c r="E22882" s="51"/>
    </row>
    <row r="22883" spans="5:5">
      <c r="E22883" s="51"/>
    </row>
    <row r="22884" spans="5:5">
      <c r="E22884" s="51"/>
    </row>
    <row r="22885" spans="5:5">
      <c r="E22885" s="51"/>
    </row>
    <row r="22886" spans="5:5">
      <c r="E22886" s="51"/>
    </row>
    <row r="22887" spans="5:5">
      <c r="E22887" s="51"/>
    </row>
    <row r="22888" spans="5:5">
      <c r="E22888" s="51"/>
    </row>
    <row r="22889" spans="5:5">
      <c r="E22889" s="51"/>
    </row>
    <row r="22890" spans="5:5">
      <c r="E22890" s="51"/>
    </row>
    <row r="22891" spans="5:5">
      <c r="E22891" s="51"/>
    </row>
    <row r="22892" spans="5:5">
      <c r="E22892" s="51"/>
    </row>
    <row r="22893" spans="5:5">
      <c r="E22893" s="51"/>
    </row>
    <row r="22894" spans="5:5">
      <c r="E22894" s="51"/>
    </row>
    <row r="22895" spans="5:5">
      <c r="E22895" s="51"/>
    </row>
    <row r="22896" spans="5:5">
      <c r="E22896" s="51"/>
    </row>
    <row r="22897" spans="5:5">
      <c r="E22897" s="51"/>
    </row>
    <row r="22898" spans="5:5">
      <c r="E22898" s="51"/>
    </row>
    <row r="22899" spans="5:5">
      <c r="E22899" s="51"/>
    </row>
    <row r="22900" spans="5:5">
      <c r="E22900" s="51"/>
    </row>
    <row r="22901" spans="5:5">
      <c r="E22901" s="51"/>
    </row>
    <row r="22902" spans="5:5">
      <c r="E22902" s="51"/>
    </row>
    <row r="22903" spans="5:5">
      <c r="E22903" s="51"/>
    </row>
    <row r="22904" spans="5:5">
      <c r="E22904" s="51"/>
    </row>
    <row r="22905" spans="5:5">
      <c r="E22905" s="51"/>
    </row>
    <row r="22906" spans="5:5">
      <c r="E22906" s="51"/>
    </row>
    <row r="22907" spans="5:5">
      <c r="E22907" s="51"/>
    </row>
    <row r="22908" spans="5:5">
      <c r="E22908" s="51"/>
    </row>
    <row r="22909" spans="5:5">
      <c r="E22909" s="51"/>
    </row>
    <row r="22910" spans="5:5">
      <c r="E22910" s="51"/>
    </row>
    <row r="22911" spans="5:5">
      <c r="E22911" s="51"/>
    </row>
    <row r="22912" spans="5:5">
      <c r="E22912" s="51"/>
    </row>
    <row r="22913" spans="5:5">
      <c r="E22913" s="51"/>
    </row>
    <row r="22914" spans="5:5">
      <c r="E22914" s="51"/>
    </row>
    <row r="22915" spans="5:5">
      <c r="E22915" s="51"/>
    </row>
    <row r="22916" spans="5:5">
      <c r="E22916" s="51"/>
    </row>
    <row r="22917" spans="5:5">
      <c r="E22917" s="51"/>
    </row>
    <row r="22918" spans="5:5">
      <c r="E22918" s="51"/>
    </row>
    <row r="22919" spans="5:5">
      <c r="E22919" s="51"/>
    </row>
    <row r="22920" spans="5:5">
      <c r="E22920" s="51"/>
    </row>
    <row r="22921" spans="5:5">
      <c r="E22921" s="51"/>
    </row>
    <row r="22922" spans="5:5">
      <c r="E22922" s="51"/>
    </row>
    <row r="22923" spans="5:5">
      <c r="E22923" s="51"/>
    </row>
    <row r="22924" spans="5:5">
      <c r="E22924" s="51"/>
    </row>
    <row r="22925" spans="5:5">
      <c r="E22925" s="51"/>
    </row>
    <row r="22926" spans="5:5">
      <c r="E22926" s="51"/>
    </row>
    <row r="22927" spans="5:5">
      <c r="E22927" s="51"/>
    </row>
    <row r="22928" spans="5:5">
      <c r="E22928" s="51"/>
    </row>
    <row r="22929" spans="5:5">
      <c r="E22929" s="51"/>
    </row>
    <row r="22930" spans="5:5">
      <c r="E22930" s="51"/>
    </row>
    <row r="22931" spans="5:5">
      <c r="E22931" s="51"/>
    </row>
    <row r="22932" spans="5:5">
      <c r="E22932" s="51"/>
    </row>
    <row r="22933" spans="5:5">
      <c r="E22933" s="51"/>
    </row>
    <row r="22934" spans="5:5">
      <c r="E22934" s="51"/>
    </row>
    <row r="22935" spans="5:5">
      <c r="E22935" s="51"/>
    </row>
    <row r="22936" spans="5:5">
      <c r="E22936" s="51"/>
    </row>
    <row r="22937" spans="5:5">
      <c r="E22937" s="51"/>
    </row>
    <row r="22938" spans="5:5">
      <c r="E22938" s="51"/>
    </row>
    <row r="22939" spans="5:5">
      <c r="E22939" s="51"/>
    </row>
    <row r="22940" spans="5:5">
      <c r="E22940" s="51"/>
    </row>
    <row r="22941" spans="5:5">
      <c r="E22941" s="51"/>
    </row>
    <row r="22942" spans="5:5">
      <c r="E22942" s="51"/>
    </row>
    <row r="22943" spans="5:5">
      <c r="E22943" s="51"/>
    </row>
    <row r="22944" spans="5:5">
      <c r="E22944" s="51"/>
    </row>
    <row r="22945" spans="5:5">
      <c r="E22945" s="51"/>
    </row>
    <row r="22946" spans="5:5">
      <c r="E22946" s="51"/>
    </row>
    <row r="22947" spans="5:5">
      <c r="E22947" s="51"/>
    </row>
    <row r="22948" spans="5:5">
      <c r="E22948" s="51"/>
    </row>
    <row r="22949" spans="5:5">
      <c r="E22949" s="51"/>
    </row>
    <row r="22950" spans="5:5">
      <c r="E22950" s="51"/>
    </row>
    <row r="22951" spans="5:5">
      <c r="E22951" s="51"/>
    </row>
    <row r="22952" spans="5:5">
      <c r="E22952" s="51"/>
    </row>
    <row r="22953" spans="5:5">
      <c r="E22953" s="51"/>
    </row>
    <row r="22954" spans="5:5">
      <c r="E22954" s="51"/>
    </row>
    <row r="22955" spans="5:5">
      <c r="E22955" s="51"/>
    </row>
    <row r="22956" spans="5:5">
      <c r="E22956" s="51"/>
    </row>
    <row r="22957" spans="5:5">
      <c r="E22957" s="51"/>
    </row>
    <row r="22958" spans="5:5">
      <c r="E22958" s="51"/>
    </row>
    <row r="22959" spans="5:5">
      <c r="E22959" s="51"/>
    </row>
    <row r="22960" spans="5:5">
      <c r="E22960" s="51"/>
    </row>
    <row r="22961" spans="5:5">
      <c r="E22961" s="51"/>
    </row>
    <row r="22962" spans="5:5">
      <c r="E22962" s="51"/>
    </row>
    <row r="22963" spans="5:5">
      <c r="E22963" s="51"/>
    </row>
    <row r="22964" spans="5:5">
      <c r="E22964" s="51"/>
    </row>
    <row r="22965" spans="5:5">
      <c r="E22965" s="51"/>
    </row>
    <row r="22966" spans="5:5">
      <c r="E22966" s="51"/>
    </row>
    <row r="22967" spans="5:5">
      <c r="E22967" s="51"/>
    </row>
    <row r="22968" spans="5:5">
      <c r="E22968" s="51"/>
    </row>
    <row r="22969" spans="5:5">
      <c r="E22969" s="51"/>
    </row>
    <row r="22970" spans="5:5">
      <c r="E22970" s="51"/>
    </row>
    <row r="22971" spans="5:5">
      <c r="E22971" s="51"/>
    </row>
    <row r="22972" spans="5:5">
      <c r="E22972" s="51"/>
    </row>
    <row r="22973" spans="5:5">
      <c r="E22973" s="51"/>
    </row>
    <row r="22974" spans="5:5">
      <c r="E22974" s="51"/>
    </row>
    <row r="22975" spans="5:5">
      <c r="E22975" s="51"/>
    </row>
    <row r="22976" spans="5:5">
      <c r="E22976" s="51"/>
    </row>
    <row r="22977" spans="5:5">
      <c r="E22977" s="51"/>
    </row>
    <row r="22978" spans="5:5">
      <c r="E22978" s="51"/>
    </row>
    <row r="22979" spans="5:5">
      <c r="E22979" s="51"/>
    </row>
    <row r="22980" spans="5:5">
      <c r="E22980" s="51"/>
    </row>
    <row r="22981" spans="5:5">
      <c r="E22981" s="51"/>
    </row>
    <row r="22982" spans="5:5">
      <c r="E22982" s="51"/>
    </row>
    <row r="22983" spans="5:5">
      <c r="E22983" s="51"/>
    </row>
    <row r="22984" spans="5:5">
      <c r="E22984" s="51"/>
    </row>
    <row r="22985" spans="5:5">
      <c r="E22985" s="51"/>
    </row>
    <row r="22986" spans="5:5">
      <c r="E22986" s="51"/>
    </row>
    <row r="22987" spans="5:5">
      <c r="E22987" s="51"/>
    </row>
    <row r="22988" spans="5:5">
      <c r="E22988" s="51"/>
    </row>
    <row r="22989" spans="5:5">
      <c r="E22989" s="51"/>
    </row>
    <row r="22990" spans="5:5">
      <c r="E22990" s="51"/>
    </row>
    <row r="22991" spans="5:5">
      <c r="E22991" s="51"/>
    </row>
    <row r="22992" spans="5:5">
      <c r="E22992" s="51"/>
    </row>
    <row r="22993" spans="5:5">
      <c r="E22993" s="51"/>
    </row>
    <row r="22994" spans="5:5">
      <c r="E22994" s="51"/>
    </row>
    <row r="22995" spans="5:5">
      <c r="E22995" s="51"/>
    </row>
    <row r="22996" spans="5:5">
      <c r="E22996" s="51"/>
    </row>
    <row r="22997" spans="5:5">
      <c r="E22997" s="51"/>
    </row>
    <row r="22998" spans="5:5">
      <c r="E22998" s="51"/>
    </row>
    <row r="22999" spans="5:5">
      <c r="E22999" s="51"/>
    </row>
    <row r="23000" spans="5:5">
      <c r="E23000" s="51"/>
    </row>
    <row r="23001" spans="5:5">
      <c r="E23001" s="51"/>
    </row>
    <row r="23002" spans="5:5">
      <c r="E23002" s="51"/>
    </row>
    <row r="23003" spans="5:5">
      <c r="E23003" s="51"/>
    </row>
    <row r="23004" spans="5:5">
      <c r="E23004" s="51"/>
    </row>
    <row r="23005" spans="5:5">
      <c r="E23005" s="51"/>
    </row>
    <row r="23006" spans="5:5">
      <c r="E23006" s="51"/>
    </row>
    <row r="23007" spans="5:5">
      <c r="E23007" s="51"/>
    </row>
    <row r="23008" spans="5:5">
      <c r="E23008" s="51"/>
    </row>
    <row r="23009" spans="5:5">
      <c r="E23009" s="51"/>
    </row>
    <row r="23010" spans="5:5">
      <c r="E23010" s="51"/>
    </row>
    <row r="23011" spans="5:5">
      <c r="E23011" s="51"/>
    </row>
    <row r="23012" spans="5:5">
      <c r="E23012" s="51"/>
    </row>
    <row r="23013" spans="5:5">
      <c r="E23013" s="51"/>
    </row>
    <row r="23014" spans="5:5">
      <c r="E23014" s="51"/>
    </row>
    <row r="23015" spans="5:5">
      <c r="E23015" s="51"/>
    </row>
    <row r="23016" spans="5:5">
      <c r="E23016" s="51"/>
    </row>
    <row r="23017" spans="5:5">
      <c r="E23017" s="51"/>
    </row>
    <row r="23018" spans="5:5">
      <c r="E23018" s="51"/>
    </row>
    <row r="23019" spans="5:5">
      <c r="E23019" s="51"/>
    </row>
    <row r="23020" spans="5:5">
      <c r="E23020" s="51"/>
    </row>
    <row r="23021" spans="5:5">
      <c r="E23021" s="51"/>
    </row>
    <row r="23022" spans="5:5">
      <c r="E23022" s="51"/>
    </row>
    <row r="23023" spans="5:5">
      <c r="E23023" s="51"/>
    </row>
    <row r="23024" spans="5:5">
      <c r="E23024" s="51"/>
    </row>
    <row r="23025" spans="5:5">
      <c r="E23025" s="51"/>
    </row>
    <row r="23026" spans="5:5">
      <c r="E23026" s="51"/>
    </row>
    <row r="23027" spans="5:5">
      <c r="E23027" s="51"/>
    </row>
    <row r="23028" spans="5:5">
      <c r="E23028" s="51"/>
    </row>
    <row r="23029" spans="5:5">
      <c r="E23029" s="51"/>
    </row>
    <row r="23030" spans="5:5">
      <c r="E23030" s="51"/>
    </row>
    <row r="23031" spans="5:5">
      <c r="E23031" s="51"/>
    </row>
    <row r="23032" spans="5:5">
      <c r="E23032" s="51"/>
    </row>
    <row r="23033" spans="5:5">
      <c r="E23033" s="51"/>
    </row>
    <row r="23034" spans="5:5">
      <c r="E23034" s="51"/>
    </row>
    <row r="23035" spans="5:5">
      <c r="E23035" s="51"/>
    </row>
    <row r="23036" spans="5:5">
      <c r="E23036" s="51"/>
    </row>
    <row r="23037" spans="5:5">
      <c r="E23037" s="51"/>
    </row>
    <row r="23038" spans="5:5">
      <c r="E23038" s="51"/>
    </row>
    <row r="23039" spans="5:5">
      <c r="E23039" s="51"/>
    </row>
    <row r="23040" spans="5:5">
      <c r="E23040" s="51"/>
    </row>
    <row r="23041" spans="5:5">
      <c r="E23041" s="51"/>
    </row>
    <row r="23042" spans="5:5">
      <c r="E23042" s="51"/>
    </row>
    <row r="23043" spans="5:5">
      <c r="E23043" s="51"/>
    </row>
    <row r="23044" spans="5:5">
      <c r="E23044" s="51"/>
    </row>
    <row r="23045" spans="5:5">
      <c r="E23045" s="51"/>
    </row>
    <row r="23046" spans="5:5">
      <c r="E23046" s="51"/>
    </row>
    <row r="23047" spans="5:5">
      <c r="E23047" s="51"/>
    </row>
    <row r="23048" spans="5:5">
      <c r="E23048" s="51"/>
    </row>
    <row r="23049" spans="5:5">
      <c r="E23049" s="51"/>
    </row>
    <row r="23050" spans="5:5">
      <c r="E23050" s="51"/>
    </row>
    <row r="23051" spans="5:5">
      <c r="E23051" s="51"/>
    </row>
    <row r="23052" spans="5:5">
      <c r="E23052" s="51"/>
    </row>
    <row r="23053" spans="5:5">
      <c r="E23053" s="51"/>
    </row>
    <row r="23054" spans="5:5">
      <c r="E23054" s="51"/>
    </row>
    <row r="23055" spans="5:5">
      <c r="E23055" s="51"/>
    </row>
    <row r="23056" spans="5:5">
      <c r="E23056" s="51"/>
    </row>
    <row r="23057" spans="5:5">
      <c r="E23057" s="51"/>
    </row>
    <row r="23058" spans="5:5">
      <c r="E23058" s="51"/>
    </row>
    <row r="23059" spans="5:5">
      <c r="E23059" s="51"/>
    </row>
    <row r="23060" spans="5:5">
      <c r="E23060" s="51"/>
    </row>
    <row r="23061" spans="5:5">
      <c r="E23061" s="51"/>
    </row>
    <row r="23062" spans="5:5">
      <c r="E23062" s="51"/>
    </row>
    <row r="23063" spans="5:5">
      <c r="E23063" s="51"/>
    </row>
    <row r="23064" spans="5:5">
      <c r="E23064" s="51"/>
    </row>
    <row r="23065" spans="5:5">
      <c r="E23065" s="51"/>
    </row>
    <row r="23066" spans="5:5">
      <c r="E23066" s="51"/>
    </row>
    <row r="23067" spans="5:5">
      <c r="E23067" s="51"/>
    </row>
    <row r="23068" spans="5:5">
      <c r="E23068" s="51"/>
    </row>
    <row r="23069" spans="5:5">
      <c r="E23069" s="51"/>
    </row>
    <row r="23070" spans="5:5">
      <c r="E23070" s="51"/>
    </row>
    <row r="23071" spans="5:5">
      <c r="E23071" s="51"/>
    </row>
    <row r="23072" spans="5:5">
      <c r="E23072" s="51"/>
    </row>
    <row r="23073" spans="5:5">
      <c r="E23073" s="51"/>
    </row>
    <row r="23074" spans="5:5">
      <c r="E23074" s="51"/>
    </row>
    <row r="23075" spans="5:5">
      <c r="E23075" s="51"/>
    </row>
    <row r="23076" spans="5:5">
      <c r="E23076" s="51"/>
    </row>
    <row r="23077" spans="5:5">
      <c r="E23077" s="51"/>
    </row>
    <row r="23078" spans="5:5">
      <c r="E23078" s="51"/>
    </row>
    <row r="23079" spans="5:5">
      <c r="E23079" s="51"/>
    </row>
    <row r="23080" spans="5:5">
      <c r="E23080" s="51"/>
    </row>
    <row r="23081" spans="5:5">
      <c r="E23081" s="51"/>
    </row>
    <row r="23082" spans="5:5">
      <c r="E23082" s="51"/>
    </row>
    <row r="23083" spans="5:5">
      <c r="E23083" s="51"/>
    </row>
    <row r="23084" spans="5:5">
      <c r="E23084" s="51"/>
    </row>
    <row r="23085" spans="5:5">
      <c r="E23085" s="51"/>
    </row>
    <row r="23086" spans="5:5">
      <c r="E23086" s="51"/>
    </row>
    <row r="23087" spans="5:5">
      <c r="E23087" s="51"/>
    </row>
    <row r="23088" spans="5:5">
      <c r="E23088" s="51"/>
    </row>
    <row r="23089" spans="5:5">
      <c r="E23089" s="51"/>
    </row>
    <row r="23090" spans="5:5">
      <c r="E23090" s="51"/>
    </row>
    <row r="23091" spans="5:5">
      <c r="E23091" s="51"/>
    </row>
    <row r="23092" spans="5:5">
      <c r="E23092" s="51"/>
    </row>
    <row r="23093" spans="5:5">
      <c r="E23093" s="51"/>
    </row>
    <row r="23094" spans="5:5">
      <c r="E23094" s="51"/>
    </row>
    <row r="23095" spans="5:5">
      <c r="E23095" s="51"/>
    </row>
    <row r="23096" spans="5:5">
      <c r="E23096" s="51"/>
    </row>
    <row r="23097" spans="5:5">
      <c r="E23097" s="51"/>
    </row>
    <row r="23098" spans="5:5">
      <c r="E23098" s="51"/>
    </row>
    <row r="23099" spans="5:5">
      <c r="E23099" s="51"/>
    </row>
    <row r="23100" spans="5:5">
      <c r="E23100" s="51"/>
    </row>
    <row r="23101" spans="5:5">
      <c r="E23101" s="51"/>
    </row>
    <row r="23102" spans="5:5">
      <c r="E23102" s="51"/>
    </row>
    <row r="23103" spans="5:5">
      <c r="E23103" s="51"/>
    </row>
    <row r="23104" spans="5:5">
      <c r="E23104" s="51"/>
    </row>
    <row r="23105" spans="5:5">
      <c r="E23105" s="51"/>
    </row>
    <row r="23106" spans="5:5">
      <c r="E23106" s="51"/>
    </row>
    <row r="23107" spans="5:5">
      <c r="E23107" s="51"/>
    </row>
    <row r="23108" spans="5:5">
      <c r="E23108" s="51"/>
    </row>
    <row r="23109" spans="5:5">
      <c r="E23109" s="51"/>
    </row>
    <row r="23110" spans="5:5">
      <c r="E23110" s="51"/>
    </row>
    <row r="23111" spans="5:5">
      <c r="E23111" s="51"/>
    </row>
    <row r="23112" spans="5:5">
      <c r="E23112" s="51"/>
    </row>
    <row r="23113" spans="5:5">
      <c r="E23113" s="51"/>
    </row>
    <row r="23114" spans="5:5">
      <c r="E23114" s="51"/>
    </row>
    <row r="23115" spans="5:5">
      <c r="E23115" s="51"/>
    </row>
    <row r="23116" spans="5:5">
      <c r="E23116" s="51"/>
    </row>
    <row r="23117" spans="5:5">
      <c r="E23117" s="51"/>
    </row>
    <row r="23118" spans="5:5">
      <c r="E23118" s="51"/>
    </row>
    <row r="23119" spans="5:5">
      <c r="E23119" s="51"/>
    </row>
    <row r="23120" spans="5:5">
      <c r="E23120" s="51"/>
    </row>
    <row r="23121" spans="5:5">
      <c r="E23121" s="51"/>
    </row>
    <row r="23122" spans="5:5">
      <c r="E23122" s="51"/>
    </row>
    <row r="23123" spans="5:5">
      <c r="E23123" s="51"/>
    </row>
    <row r="23124" spans="5:5">
      <c r="E23124" s="51"/>
    </row>
    <row r="23125" spans="5:5">
      <c r="E23125" s="51"/>
    </row>
    <row r="23126" spans="5:5">
      <c r="E23126" s="51"/>
    </row>
    <row r="23127" spans="5:5">
      <c r="E23127" s="51"/>
    </row>
    <row r="23128" spans="5:5">
      <c r="E23128" s="51"/>
    </row>
    <row r="23129" spans="5:5">
      <c r="E23129" s="51"/>
    </row>
    <row r="23130" spans="5:5">
      <c r="E23130" s="51"/>
    </row>
    <row r="23131" spans="5:5">
      <c r="E23131" s="51"/>
    </row>
    <row r="23132" spans="5:5">
      <c r="E23132" s="51"/>
    </row>
    <row r="23133" spans="5:5">
      <c r="E23133" s="51"/>
    </row>
    <row r="23134" spans="5:5">
      <c r="E23134" s="51"/>
    </row>
    <row r="23135" spans="5:5">
      <c r="E23135" s="51"/>
    </row>
    <row r="23136" spans="5:5">
      <c r="E23136" s="51"/>
    </row>
    <row r="23137" spans="5:5">
      <c r="E23137" s="51"/>
    </row>
    <row r="23138" spans="5:5">
      <c r="E23138" s="51"/>
    </row>
    <row r="23139" spans="5:5">
      <c r="E23139" s="51"/>
    </row>
    <row r="23140" spans="5:5">
      <c r="E23140" s="51"/>
    </row>
    <row r="23141" spans="5:5">
      <c r="E23141" s="51"/>
    </row>
    <row r="23142" spans="5:5">
      <c r="E23142" s="51"/>
    </row>
    <row r="23143" spans="5:5">
      <c r="E23143" s="51"/>
    </row>
    <row r="23144" spans="5:5">
      <c r="E23144" s="51"/>
    </row>
    <row r="23145" spans="5:5">
      <c r="E23145" s="51"/>
    </row>
    <row r="23146" spans="5:5">
      <c r="E23146" s="51"/>
    </row>
    <row r="23147" spans="5:5">
      <c r="E23147" s="51"/>
    </row>
    <row r="23148" spans="5:5">
      <c r="E23148" s="51"/>
    </row>
    <row r="23149" spans="5:5">
      <c r="E23149" s="51"/>
    </row>
    <row r="23150" spans="5:5">
      <c r="E23150" s="51"/>
    </row>
    <row r="23151" spans="5:5">
      <c r="E23151" s="51"/>
    </row>
    <row r="23152" spans="5:5">
      <c r="E23152" s="51"/>
    </row>
    <row r="23153" spans="5:5">
      <c r="E23153" s="51"/>
    </row>
    <row r="23154" spans="5:5">
      <c r="E23154" s="51"/>
    </row>
    <row r="23155" spans="5:5">
      <c r="E23155" s="51"/>
    </row>
    <row r="23156" spans="5:5">
      <c r="E23156" s="51"/>
    </row>
    <row r="23157" spans="5:5">
      <c r="E23157" s="51"/>
    </row>
    <row r="23158" spans="5:5">
      <c r="E23158" s="51"/>
    </row>
    <row r="23159" spans="5:5">
      <c r="E23159" s="51"/>
    </row>
    <row r="23160" spans="5:5">
      <c r="E23160" s="51"/>
    </row>
    <row r="23161" spans="5:5">
      <c r="E23161" s="51"/>
    </row>
    <row r="23162" spans="5:5">
      <c r="E23162" s="51"/>
    </row>
    <row r="23163" spans="5:5">
      <c r="E23163" s="51"/>
    </row>
    <row r="23164" spans="5:5">
      <c r="E23164" s="51"/>
    </row>
    <row r="23165" spans="5:5">
      <c r="E23165" s="51"/>
    </row>
    <row r="23166" spans="5:5">
      <c r="E23166" s="51"/>
    </row>
    <row r="23167" spans="5:5">
      <c r="E23167" s="51"/>
    </row>
    <row r="23168" spans="5:5">
      <c r="E23168" s="51"/>
    </row>
    <row r="23169" spans="5:5">
      <c r="E23169" s="51"/>
    </row>
    <row r="23170" spans="5:5">
      <c r="E23170" s="51"/>
    </row>
    <row r="23171" spans="5:5">
      <c r="E23171" s="51"/>
    </row>
    <row r="23172" spans="5:5">
      <c r="E23172" s="51"/>
    </row>
    <row r="23173" spans="5:5">
      <c r="E23173" s="51"/>
    </row>
    <row r="23174" spans="5:5">
      <c r="E23174" s="51"/>
    </row>
    <row r="23175" spans="5:5">
      <c r="E23175" s="51"/>
    </row>
    <row r="23176" spans="5:5">
      <c r="E23176" s="51"/>
    </row>
    <row r="23177" spans="5:5">
      <c r="E23177" s="51"/>
    </row>
    <row r="23178" spans="5:5">
      <c r="E23178" s="51"/>
    </row>
    <row r="23179" spans="5:5">
      <c r="E23179" s="51"/>
    </row>
    <row r="23180" spans="5:5">
      <c r="E23180" s="51"/>
    </row>
    <row r="23181" spans="5:5">
      <c r="E23181" s="51"/>
    </row>
    <row r="23182" spans="5:5">
      <c r="E23182" s="51"/>
    </row>
    <row r="23183" spans="5:5">
      <c r="E23183" s="51"/>
    </row>
    <row r="23184" spans="5:5">
      <c r="E23184" s="51"/>
    </row>
    <row r="23185" spans="5:5">
      <c r="E23185" s="51"/>
    </row>
    <row r="23186" spans="5:5">
      <c r="E23186" s="51"/>
    </row>
    <row r="23187" spans="5:5">
      <c r="E23187" s="51"/>
    </row>
    <row r="23188" spans="5:5">
      <c r="E23188" s="51"/>
    </row>
    <row r="23189" spans="5:5">
      <c r="E23189" s="51"/>
    </row>
    <row r="23190" spans="5:5">
      <c r="E23190" s="51"/>
    </row>
    <row r="23191" spans="5:5">
      <c r="E23191" s="51"/>
    </row>
    <row r="23192" spans="5:5">
      <c r="E23192" s="51"/>
    </row>
    <row r="23193" spans="5:5">
      <c r="E23193" s="51"/>
    </row>
    <row r="23194" spans="5:5">
      <c r="E23194" s="51"/>
    </row>
    <row r="23195" spans="5:5">
      <c r="E23195" s="51"/>
    </row>
    <row r="23196" spans="5:5">
      <c r="E23196" s="51"/>
    </row>
    <row r="23197" spans="5:5">
      <c r="E23197" s="51"/>
    </row>
    <row r="23198" spans="5:5">
      <c r="E23198" s="51"/>
    </row>
    <row r="23199" spans="5:5">
      <c r="E23199" s="51"/>
    </row>
    <row r="23200" spans="5:5">
      <c r="E23200" s="51"/>
    </row>
    <row r="23201" spans="5:5">
      <c r="E23201" s="51"/>
    </row>
    <row r="23202" spans="5:5">
      <c r="E23202" s="51"/>
    </row>
    <row r="23203" spans="5:5">
      <c r="E23203" s="51"/>
    </row>
    <row r="23204" spans="5:5">
      <c r="E23204" s="51"/>
    </row>
    <row r="23205" spans="5:5">
      <c r="E23205" s="51"/>
    </row>
    <row r="23206" spans="5:5">
      <c r="E23206" s="51"/>
    </row>
    <row r="23207" spans="5:5">
      <c r="E23207" s="51"/>
    </row>
    <row r="23208" spans="5:5">
      <c r="E23208" s="51"/>
    </row>
    <row r="23209" spans="5:5">
      <c r="E23209" s="51"/>
    </row>
    <row r="23210" spans="5:5">
      <c r="E23210" s="51"/>
    </row>
    <row r="23211" spans="5:5">
      <c r="E23211" s="51"/>
    </row>
    <row r="23212" spans="5:5">
      <c r="E23212" s="51"/>
    </row>
    <row r="23213" spans="5:5">
      <c r="E23213" s="51"/>
    </row>
    <row r="23214" spans="5:5">
      <c r="E23214" s="51"/>
    </row>
    <row r="23215" spans="5:5">
      <c r="E23215" s="51"/>
    </row>
    <row r="23216" spans="5:5">
      <c r="E23216" s="51"/>
    </row>
    <row r="23217" spans="5:5">
      <c r="E23217" s="51"/>
    </row>
    <row r="23218" spans="5:5">
      <c r="E23218" s="51"/>
    </row>
    <row r="23219" spans="5:5">
      <c r="E23219" s="51"/>
    </row>
    <row r="23220" spans="5:5">
      <c r="E23220" s="51"/>
    </row>
    <row r="23221" spans="5:5">
      <c r="E23221" s="51"/>
    </row>
    <row r="23222" spans="5:5">
      <c r="E23222" s="51"/>
    </row>
    <row r="23223" spans="5:5">
      <c r="E23223" s="51"/>
    </row>
    <row r="23224" spans="5:5">
      <c r="E23224" s="51"/>
    </row>
    <row r="23225" spans="5:5">
      <c r="E23225" s="51"/>
    </row>
    <row r="23226" spans="5:5">
      <c r="E23226" s="51"/>
    </row>
    <row r="23227" spans="5:5">
      <c r="E23227" s="51"/>
    </row>
    <row r="23228" spans="5:5">
      <c r="E23228" s="51"/>
    </row>
    <row r="23229" spans="5:5">
      <c r="E23229" s="51"/>
    </row>
    <row r="23230" spans="5:5">
      <c r="E23230" s="51"/>
    </row>
    <row r="23231" spans="5:5">
      <c r="E23231" s="51"/>
    </row>
    <row r="23232" spans="5:5">
      <c r="E23232" s="51"/>
    </row>
    <row r="23233" spans="5:5">
      <c r="E23233" s="51"/>
    </row>
    <row r="23234" spans="5:5">
      <c r="E23234" s="51"/>
    </row>
    <row r="23235" spans="5:5">
      <c r="E23235" s="51"/>
    </row>
    <row r="23236" spans="5:5">
      <c r="E23236" s="51"/>
    </row>
    <row r="23237" spans="5:5">
      <c r="E23237" s="51"/>
    </row>
    <row r="23238" spans="5:5">
      <c r="E23238" s="51"/>
    </row>
    <row r="23239" spans="5:5">
      <c r="E23239" s="51"/>
    </row>
    <row r="23240" spans="5:5">
      <c r="E23240" s="51"/>
    </row>
    <row r="23241" spans="5:5">
      <c r="E23241" s="51"/>
    </row>
    <row r="23242" spans="5:5">
      <c r="E23242" s="51"/>
    </row>
    <row r="23243" spans="5:5">
      <c r="E23243" s="51"/>
    </row>
    <row r="23244" spans="5:5">
      <c r="E23244" s="51"/>
    </row>
    <row r="23245" spans="5:5">
      <c r="E23245" s="51"/>
    </row>
    <row r="23246" spans="5:5">
      <c r="E23246" s="51"/>
    </row>
    <row r="23247" spans="5:5">
      <c r="E23247" s="51"/>
    </row>
    <row r="23248" spans="5:5">
      <c r="E23248" s="51"/>
    </row>
    <row r="23249" spans="5:5">
      <c r="E23249" s="51"/>
    </row>
    <row r="23250" spans="5:5">
      <c r="E23250" s="51"/>
    </row>
    <row r="23251" spans="5:5">
      <c r="E23251" s="51"/>
    </row>
    <row r="23252" spans="5:5">
      <c r="E23252" s="51"/>
    </row>
    <row r="23253" spans="5:5">
      <c r="E23253" s="51"/>
    </row>
    <row r="23254" spans="5:5">
      <c r="E23254" s="51"/>
    </row>
    <row r="23255" spans="5:5">
      <c r="E23255" s="51"/>
    </row>
    <row r="23256" spans="5:5">
      <c r="E23256" s="51"/>
    </row>
    <row r="23257" spans="5:5">
      <c r="E23257" s="51"/>
    </row>
    <row r="23258" spans="5:5">
      <c r="E23258" s="51"/>
    </row>
    <row r="23259" spans="5:5">
      <c r="E23259" s="51"/>
    </row>
    <row r="23260" spans="5:5">
      <c r="E23260" s="51"/>
    </row>
    <row r="23261" spans="5:5">
      <c r="E23261" s="51"/>
    </row>
    <row r="23262" spans="5:5">
      <c r="E23262" s="51"/>
    </row>
    <row r="23263" spans="5:5">
      <c r="E23263" s="51"/>
    </row>
    <row r="23264" spans="5:5">
      <c r="E23264" s="51"/>
    </row>
    <row r="23265" spans="5:5">
      <c r="E23265" s="51"/>
    </row>
    <row r="23266" spans="5:5">
      <c r="E23266" s="51"/>
    </row>
    <row r="23267" spans="5:5">
      <c r="E23267" s="51"/>
    </row>
    <row r="23268" spans="5:5">
      <c r="E23268" s="51"/>
    </row>
    <row r="23269" spans="5:5">
      <c r="E23269" s="51"/>
    </row>
    <row r="23270" spans="5:5">
      <c r="E23270" s="51"/>
    </row>
    <row r="23271" spans="5:5">
      <c r="E23271" s="51"/>
    </row>
    <row r="23272" spans="5:5">
      <c r="E23272" s="51"/>
    </row>
    <row r="23273" spans="5:5">
      <c r="E23273" s="51"/>
    </row>
    <row r="23274" spans="5:5">
      <c r="E23274" s="51"/>
    </row>
    <row r="23275" spans="5:5">
      <c r="E23275" s="51"/>
    </row>
    <row r="23276" spans="5:5">
      <c r="E23276" s="51"/>
    </row>
    <row r="23277" spans="5:5">
      <c r="E23277" s="51"/>
    </row>
    <row r="23278" spans="5:5">
      <c r="E23278" s="51"/>
    </row>
    <row r="23279" spans="5:5">
      <c r="E23279" s="51"/>
    </row>
    <row r="23280" spans="5:5">
      <c r="E23280" s="51"/>
    </row>
    <row r="23281" spans="5:5">
      <c r="E23281" s="51"/>
    </row>
    <row r="23282" spans="5:5">
      <c r="E23282" s="51"/>
    </row>
    <row r="23283" spans="5:5">
      <c r="E23283" s="51"/>
    </row>
    <row r="23284" spans="5:5">
      <c r="E23284" s="51"/>
    </row>
    <row r="23285" spans="5:5">
      <c r="E23285" s="51"/>
    </row>
    <row r="23286" spans="5:5">
      <c r="E23286" s="51"/>
    </row>
    <row r="23287" spans="5:5">
      <c r="E23287" s="51"/>
    </row>
    <row r="23288" spans="5:5">
      <c r="E23288" s="51"/>
    </row>
    <row r="23289" spans="5:5">
      <c r="E23289" s="51"/>
    </row>
    <row r="23290" spans="5:5">
      <c r="E23290" s="51"/>
    </row>
    <row r="23291" spans="5:5">
      <c r="E23291" s="51"/>
    </row>
    <row r="23292" spans="5:5">
      <c r="E23292" s="51"/>
    </row>
    <row r="23293" spans="5:5">
      <c r="E23293" s="51"/>
    </row>
    <row r="23294" spans="5:5">
      <c r="E23294" s="51"/>
    </row>
    <row r="23295" spans="5:5">
      <c r="E23295" s="51"/>
    </row>
    <row r="23296" spans="5:5">
      <c r="E23296" s="51"/>
    </row>
    <row r="23297" spans="5:5">
      <c r="E23297" s="51"/>
    </row>
    <row r="23298" spans="5:5">
      <c r="E23298" s="51"/>
    </row>
    <row r="23299" spans="5:5">
      <c r="E23299" s="51"/>
    </row>
    <row r="23300" spans="5:5">
      <c r="E23300" s="51"/>
    </row>
    <row r="23301" spans="5:5">
      <c r="E23301" s="51"/>
    </row>
    <row r="23302" spans="5:5">
      <c r="E23302" s="51"/>
    </row>
    <row r="23303" spans="5:5">
      <c r="E23303" s="51"/>
    </row>
    <row r="23304" spans="5:5">
      <c r="E23304" s="51"/>
    </row>
    <row r="23305" spans="5:5">
      <c r="E23305" s="51"/>
    </row>
    <row r="23306" spans="5:5">
      <c r="E23306" s="51"/>
    </row>
    <row r="23307" spans="5:5">
      <c r="E23307" s="51"/>
    </row>
    <row r="23308" spans="5:5">
      <c r="E23308" s="51"/>
    </row>
    <row r="23309" spans="5:5">
      <c r="E23309" s="51"/>
    </row>
    <row r="23310" spans="5:5">
      <c r="E23310" s="51"/>
    </row>
    <row r="23311" spans="5:5">
      <c r="E23311" s="51"/>
    </row>
    <row r="23312" spans="5:5">
      <c r="E23312" s="51"/>
    </row>
    <row r="23313" spans="5:5">
      <c r="E23313" s="51"/>
    </row>
    <row r="23314" spans="5:5">
      <c r="E23314" s="51"/>
    </row>
    <row r="23315" spans="5:5">
      <c r="E23315" s="51"/>
    </row>
    <row r="23316" spans="5:5">
      <c r="E23316" s="51"/>
    </row>
    <row r="23317" spans="5:5">
      <c r="E23317" s="51"/>
    </row>
    <row r="23318" spans="5:5">
      <c r="E23318" s="51"/>
    </row>
    <row r="23319" spans="5:5">
      <c r="E23319" s="51"/>
    </row>
    <row r="23320" spans="5:5">
      <c r="E23320" s="51"/>
    </row>
    <row r="23321" spans="5:5">
      <c r="E23321" s="51"/>
    </row>
    <row r="23322" spans="5:5">
      <c r="E23322" s="51"/>
    </row>
    <row r="23323" spans="5:5">
      <c r="E23323" s="51"/>
    </row>
    <row r="23324" spans="5:5">
      <c r="E23324" s="51"/>
    </row>
    <row r="23325" spans="5:5">
      <c r="E23325" s="51"/>
    </row>
    <row r="23326" spans="5:5">
      <c r="E23326" s="51"/>
    </row>
    <row r="23327" spans="5:5">
      <c r="E23327" s="51"/>
    </row>
    <row r="23328" spans="5:5">
      <c r="E23328" s="51"/>
    </row>
    <row r="23329" spans="5:5">
      <c r="E23329" s="51"/>
    </row>
    <row r="23330" spans="5:5">
      <c r="E23330" s="51"/>
    </row>
    <row r="23331" spans="5:5">
      <c r="E23331" s="51"/>
    </row>
    <row r="23332" spans="5:5">
      <c r="E23332" s="51"/>
    </row>
    <row r="23333" spans="5:5">
      <c r="E23333" s="51"/>
    </row>
    <row r="23334" spans="5:5">
      <c r="E23334" s="51"/>
    </row>
    <row r="23335" spans="5:5">
      <c r="E23335" s="51"/>
    </row>
    <row r="23336" spans="5:5">
      <c r="E23336" s="51"/>
    </row>
    <row r="23337" spans="5:5">
      <c r="E23337" s="51"/>
    </row>
    <row r="23338" spans="5:5">
      <c r="E23338" s="51"/>
    </row>
    <row r="23339" spans="5:5">
      <c r="E23339" s="51"/>
    </row>
    <row r="23340" spans="5:5">
      <c r="E23340" s="51"/>
    </row>
    <row r="23341" spans="5:5">
      <c r="E23341" s="51"/>
    </row>
    <row r="23342" spans="5:5">
      <c r="E23342" s="51"/>
    </row>
    <row r="23343" spans="5:5">
      <c r="E23343" s="51"/>
    </row>
    <row r="23344" spans="5:5">
      <c r="E23344" s="51"/>
    </row>
    <row r="23345" spans="5:5">
      <c r="E23345" s="51"/>
    </row>
    <row r="23346" spans="5:5">
      <c r="E23346" s="51"/>
    </row>
    <row r="23347" spans="5:5">
      <c r="E23347" s="51"/>
    </row>
    <row r="23348" spans="5:5">
      <c r="E23348" s="51"/>
    </row>
    <row r="23349" spans="5:5">
      <c r="E23349" s="51"/>
    </row>
    <row r="23350" spans="5:5">
      <c r="E23350" s="51"/>
    </row>
    <row r="23351" spans="5:5">
      <c r="E23351" s="51"/>
    </row>
    <row r="23352" spans="5:5">
      <c r="E23352" s="51"/>
    </row>
    <row r="23353" spans="5:5">
      <c r="E23353" s="51"/>
    </row>
    <row r="23354" spans="5:5">
      <c r="E23354" s="51"/>
    </row>
    <row r="23355" spans="5:5">
      <c r="E23355" s="51"/>
    </row>
    <row r="23356" spans="5:5">
      <c r="E23356" s="51"/>
    </row>
    <row r="23357" spans="5:5">
      <c r="E23357" s="51"/>
    </row>
    <row r="23358" spans="5:5">
      <c r="E23358" s="51"/>
    </row>
    <row r="23359" spans="5:5">
      <c r="E23359" s="51"/>
    </row>
    <row r="23360" spans="5:5">
      <c r="E23360" s="51"/>
    </row>
    <row r="23361" spans="5:5">
      <c r="E23361" s="51"/>
    </row>
    <row r="23362" spans="5:5">
      <c r="E23362" s="51"/>
    </row>
    <row r="23363" spans="5:5">
      <c r="E23363" s="51"/>
    </row>
    <row r="23364" spans="5:5">
      <c r="E23364" s="51"/>
    </row>
    <row r="23365" spans="5:5">
      <c r="E23365" s="51"/>
    </row>
    <row r="23366" spans="5:5">
      <c r="E23366" s="51"/>
    </row>
    <row r="23367" spans="5:5">
      <c r="E23367" s="51"/>
    </row>
    <row r="23368" spans="5:5">
      <c r="E23368" s="51"/>
    </row>
    <row r="23369" spans="5:5">
      <c r="E23369" s="51"/>
    </row>
    <row r="23370" spans="5:5">
      <c r="E23370" s="51"/>
    </row>
    <row r="23371" spans="5:5">
      <c r="E23371" s="51"/>
    </row>
    <row r="23372" spans="5:5">
      <c r="E23372" s="51"/>
    </row>
    <row r="23373" spans="5:5">
      <c r="E23373" s="51"/>
    </row>
    <row r="23374" spans="5:5">
      <c r="E23374" s="51"/>
    </row>
    <row r="23375" spans="5:5">
      <c r="E23375" s="51"/>
    </row>
    <row r="23376" spans="5:5">
      <c r="E23376" s="51"/>
    </row>
    <row r="23377" spans="5:5">
      <c r="E23377" s="51"/>
    </row>
    <row r="23378" spans="5:5">
      <c r="E23378" s="51"/>
    </row>
    <row r="23379" spans="5:5">
      <c r="E23379" s="51"/>
    </row>
    <row r="23380" spans="5:5">
      <c r="E23380" s="51"/>
    </row>
    <row r="23381" spans="5:5">
      <c r="E23381" s="51"/>
    </row>
    <row r="23382" spans="5:5">
      <c r="E23382" s="51"/>
    </row>
    <row r="23383" spans="5:5">
      <c r="E23383" s="51"/>
    </row>
    <row r="23384" spans="5:5">
      <c r="E23384" s="51"/>
    </row>
    <row r="23385" spans="5:5">
      <c r="E23385" s="51"/>
    </row>
    <row r="23386" spans="5:5">
      <c r="E23386" s="51"/>
    </row>
    <row r="23387" spans="5:5">
      <c r="E23387" s="51"/>
    </row>
    <row r="23388" spans="5:5">
      <c r="E23388" s="51"/>
    </row>
    <row r="23389" spans="5:5">
      <c r="E23389" s="51"/>
    </row>
    <row r="23390" spans="5:5">
      <c r="E23390" s="51"/>
    </row>
    <row r="23391" spans="5:5">
      <c r="E23391" s="51"/>
    </row>
    <row r="23392" spans="5:5">
      <c r="E23392" s="51"/>
    </row>
    <row r="23393" spans="5:5">
      <c r="E23393" s="51"/>
    </row>
    <row r="23394" spans="5:5">
      <c r="E23394" s="51"/>
    </row>
    <row r="23395" spans="5:5">
      <c r="E23395" s="51"/>
    </row>
    <row r="23396" spans="5:5">
      <c r="E23396" s="51"/>
    </row>
    <row r="23397" spans="5:5">
      <c r="E23397" s="51"/>
    </row>
    <row r="23398" spans="5:5">
      <c r="E23398" s="51"/>
    </row>
    <row r="23399" spans="5:5">
      <c r="E23399" s="51"/>
    </row>
    <row r="23400" spans="5:5">
      <c r="E23400" s="51"/>
    </row>
    <row r="23401" spans="5:5">
      <c r="E23401" s="51"/>
    </row>
    <row r="23402" spans="5:5">
      <c r="E23402" s="51"/>
    </row>
    <row r="23403" spans="5:5">
      <c r="E23403" s="51"/>
    </row>
    <row r="23404" spans="5:5">
      <c r="E23404" s="51"/>
    </row>
    <row r="23405" spans="5:5">
      <c r="E23405" s="51"/>
    </row>
    <row r="23406" spans="5:5">
      <c r="E23406" s="51"/>
    </row>
    <row r="23407" spans="5:5">
      <c r="E23407" s="51"/>
    </row>
    <row r="23408" spans="5:5">
      <c r="E23408" s="51"/>
    </row>
    <row r="23409" spans="5:5">
      <c r="E23409" s="51"/>
    </row>
    <row r="23410" spans="5:5">
      <c r="E23410" s="51"/>
    </row>
    <row r="23411" spans="5:5">
      <c r="E23411" s="51"/>
    </row>
    <row r="23412" spans="5:5">
      <c r="E23412" s="51"/>
    </row>
    <row r="23413" spans="5:5">
      <c r="E23413" s="51"/>
    </row>
    <row r="23414" spans="5:5">
      <c r="E23414" s="51"/>
    </row>
    <row r="23415" spans="5:5">
      <c r="E23415" s="51"/>
    </row>
    <row r="23416" spans="5:5">
      <c r="E23416" s="51"/>
    </row>
    <row r="23417" spans="5:5">
      <c r="E23417" s="51"/>
    </row>
    <row r="23418" spans="5:5">
      <c r="E23418" s="51"/>
    </row>
    <row r="23419" spans="5:5">
      <c r="E23419" s="51"/>
    </row>
    <row r="23420" spans="5:5">
      <c r="E23420" s="51"/>
    </row>
    <row r="23421" spans="5:5">
      <c r="E23421" s="51"/>
    </row>
    <row r="23422" spans="5:5">
      <c r="E23422" s="51"/>
    </row>
    <row r="23423" spans="5:5">
      <c r="E23423" s="51"/>
    </row>
    <row r="23424" spans="5:5">
      <c r="E23424" s="51"/>
    </row>
    <row r="23425" spans="5:5">
      <c r="E23425" s="51"/>
    </row>
    <row r="23426" spans="5:5">
      <c r="E23426" s="51"/>
    </row>
    <row r="23427" spans="5:5">
      <c r="E23427" s="51"/>
    </row>
    <row r="23428" spans="5:5">
      <c r="E23428" s="51"/>
    </row>
    <row r="23429" spans="5:5">
      <c r="E23429" s="51"/>
    </row>
    <row r="23430" spans="5:5">
      <c r="E23430" s="51"/>
    </row>
    <row r="23431" spans="5:5">
      <c r="E23431" s="51"/>
    </row>
    <row r="23432" spans="5:5">
      <c r="E23432" s="51"/>
    </row>
    <row r="23433" spans="5:5">
      <c r="E23433" s="51"/>
    </row>
    <row r="23434" spans="5:5">
      <c r="E23434" s="51"/>
    </row>
    <row r="23435" spans="5:5">
      <c r="E23435" s="51"/>
    </row>
    <row r="23436" spans="5:5">
      <c r="E23436" s="51"/>
    </row>
    <row r="23437" spans="5:5">
      <c r="E23437" s="51"/>
    </row>
    <row r="23438" spans="5:5">
      <c r="E23438" s="51"/>
    </row>
    <row r="23439" spans="5:5">
      <c r="E23439" s="51"/>
    </row>
    <row r="23440" spans="5:5">
      <c r="E23440" s="51"/>
    </row>
    <row r="23441" spans="5:5">
      <c r="E23441" s="51"/>
    </row>
    <row r="23442" spans="5:5">
      <c r="E23442" s="51"/>
    </row>
    <row r="23443" spans="5:5">
      <c r="E23443" s="51"/>
    </row>
    <row r="23444" spans="5:5">
      <c r="E23444" s="51"/>
    </row>
    <row r="23445" spans="5:5">
      <c r="E23445" s="51"/>
    </row>
    <row r="23446" spans="5:5">
      <c r="E23446" s="51"/>
    </row>
    <row r="23447" spans="5:5">
      <c r="E23447" s="51"/>
    </row>
    <row r="23448" spans="5:5">
      <c r="E23448" s="51"/>
    </row>
    <row r="23449" spans="5:5">
      <c r="E23449" s="51"/>
    </row>
    <row r="23450" spans="5:5">
      <c r="E23450" s="51"/>
    </row>
    <row r="23451" spans="5:5">
      <c r="E23451" s="51"/>
    </row>
    <row r="23452" spans="5:5">
      <c r="E23452" s="51"/>
    </row>
    <row r="23453" spans="5:5">
      <c r="E23453" s="51"/>
    </row>
    <row r="23454" spans="5:5">
      <c r="E23454" s="51"/>
    </row>
    <row r="23455" spans="5:5">
      <c r="E23455" s="51"/>
    </row>
    <row r="23456" spans="5:5">
      <c r="E23456" s="51"/>
    </row>
    <row r="23457" spans="5:5">
      <c r="E23457" s="51"/>
    </row>
    <row r="23458" spans="5:5">
      <c r="E23458" s="51"/>
    </row>
    <row r="23459" spans="5:5">
      <c r="E23459" s="51"/>
    </row>
    <row r="23460" spans="5:5">
      <c r="E23460" s="51"/>
    </row>
    <row r="23461" spans="5:5">
      <c r="E23461" s="51"/>
    </row>
    <row r="23462" spans="5:5">
      <c r="E23462" s="51"/>
    </row>
    <row r="23463" spans="5:5">
      <c r="E23463" s="51"/>
    </row>
    <row r="23464" spans="5:5">
      <c r="E23464" s="51"/>
    </row>
    <row r="23465" spans="5:5">
      <c r="E23465" s="51"/>
    </row>
    <row r="23466" spans="5:5">
      <c r="E23466" s="51"/>
    </row>
    <row r="23467" spans="5:5">
      <c r="E23467" s="51"/>
    </row>
    <row r="23468" spans="5:5">
      <c r="E23468" s="51"/>
    </row>
    <row r="23469" spans="5:5">
      <c r="E23469" s="51"/>
    </row>
    <row r="23470" spans="5:5">
      <c r="E23470" s="51"/>
    </row>
    <row r="23471" spans="5:5">
      <c r="E23471" s="51"/>
    </row>
    <row r="23472" spans="5:5">
      <c r="E23472" s="51"/>
    </row>
    <row r="23473" spans="5:5">
      <c r="E23473" s="51"/>
    </row>
    <row r="23474" spans="5:5">
      <c r="E23474" s="51"/>
    </row>
    <row r="23475" spans="5:5">
      <c r="E23475" s="51"/>
    </row>
    <row r="23476" spans="5:5">
      <c r="E23476" s="51"/>
    </row>
    <row r="23477" spans="5:5">
      <c r="E23477" s="51"/>
    </row>
    <row r="23478" spans="5:5">
      <c r="E23478" s="51"/>
    </row>
    <row r="23479" spans="5:5">
      <c r="E23479" s="51"/>
    </row>
    <row r="23480" spans="5:5">
      <c r="E23480" s="51"/>
    </row>
    <row r="23481" spans="5:5">
      <c r="E23481" s="51"/>
    </row>
    <row r="23482" spans="5:5">
      <c r="E23482" s="51"/>
    </row>
    <row r="23483" spans="5:5">
      <c r="E23483" s="51"/>
    </row>
    <row r="23484" spans="5:5">
      <c r="E23484" s="51"/>
    </row>
    <row r="23485" spans="5:5">
      <c r="E23485" s="51"/>
    </row>
    <row r="23486" spans="5:5">
      <c r="E23486" s="51"/>
    </row>
    <row r="23487" spans="5:5">
      <c r="E23487" s="51"/>
    </row>
    <row r="23488" spans="5:5">
      <c r="E23488" s="51"/>
    </row>
    <row r="23489" spans="5:5">
      <c r="E23489" s="51"/>
    </row>
    <row r="23490" spans="5:5">
      <c r="E23490" s="51"/>
    </row>
    <row r="23491" spans="5:5">
      <c r="E23491" s="51"/>
    </row>
    <row r="23492" spans="5:5">
      <c r="E23492" s="51"/>
    </row>
    <row r="23493" spans="5:5">
      <c r="E23493" s="51"/>
    </row>
    <row r="23494" spans="5:5">
      <c r="E23494" s="51"/>
    </row>
    <row r="23495" spans="5:5">
      <c r="E23495" s="51"/>
    </row>
    <row r="23496" spans="5:5">
      <c r="E23496" s="51"/>
    </row>
    <row r="23497" spans="5:5">
      <c r="E23497" s="51"/>
    </row>
    <row r="23498" spans="5:5">
      <c r="E23498" s="51"/>
    </row>
    <row r="23499" spans="5:5">
      <c r="E23499" s="51"/>
    </row>
    <row r="23500" spans="5:5">
      <c r="E23500" s="51"/>
    </row>
    <row r="23501" spans="5:5">
      <c r="E23501" s="51"/>
    </row>
    <row r="23502" spans="5:5">
      <c r="E23502" s="51"/>
    </row>
    <row r="23503" spans="5:5">
      <c r="E23503" s="51"/>
    </row>
    <row r="23504" spans="5:5">
      <c r="E23504" s="51"/>
    </row>
    <row r="23505" spans="5:5">
      <c r="E23505" s="51"/>
    </row>
    <row r="23506" spans="5:5">
      <c r="E23506" s="51"/>
    </row>
    <row r="23507" spans="5:5">
      <c r="E23507" s="51"/>
    </row>
    <row r="23508" spans="5:5">
      <c r="E23508" s="51"/>
    </row>
    <row r="23509" spans="5:5">
      <c r="E23509" s="51"/>
    </row>
    <row r="23510" spans="5:5">
      <c r="E23510" s="51"/>
    </row>
    <row r="23511" spans="5:5">
      <c r="E23511" s="51"/>
    </row>
    <row r="23512" spans="5:5">
      <c r="E23512" s="51"/>
    </row>
    <row r="23513" spans="5:5">
      <c r="E23513" s="51"/>
    </row>
    <row r="23514" spans="5:5">
      <c r="E23514" s="51"/>
    </row>
    <row r="23515" spans="5:5">
      <c r="E23515" s="51"/>
    </row>
    <row r="23516" spans="5:5">
      <c r="E23516" s="51"/>
    </row>
    <row r="23517" spans="5:5">
      <c r="E23517" s="51"/>
    </row>
    <row r="23518" spans="5:5">
      <c r="E23518" s="51"/>
    </row>
    <row r="23519" spans="5:5">
      <c r="E23519" s="51"/>
    </row>
    <row r="23520" spans="5:5">
      <c r="E23520" s="51"/>
    </row>
    <row r="23521" spans="5:5">
      <c r="E23521" s="51"/>
    </row>
    <row r="23522" spans="5:5">
      <c r="E23522" s="51"/>
    </row>
    <row r="23523" spans="5:5">
      <c r="E23523" s="51"/>
    </row>
    <row r="23524" spans="5:5">
      <c r="E23524" s="51"/>
    </row>
    <row r="23525" spans="5:5">
      <c r="E23525" s="51"/>
    </row>
    <row r="23526" spans="5:5">
      <c r="E23526" s="51"/>
    </row>
    <row r="23527" spans="5:5">
      <c r="E23527" s="51"/>
    </row>
    <row r="23528" spans="5:5">
      <c r="E23528" s="51"/>
    </row>
    <row r="23529" spans="5:5">
      <c r="E23529" s="51"/>
    </row>
    <row r="23530" spans="5:5">
      <c r="E23530" s="51"/>
    </row>
    <row r="23531" spans="5:5">
      <c r="E23531" s="51"/>
    </row>
    <row r="23532" spans="5:5">
      <c r="E23532" s="51"/>
    </row>
    <row r="23533" spans="5:5">
      <c r="E23533" s="51"/>
    </row>
    <row r="23534" spans="5:5">
      <c r="E23534" s="51"/>
    </row>
    <row r="23535" spans="5:5">
      <c r="E23535" s="51"/>
    </row>
    <row r="23536" spans="5:5">
      <c r="E23536" s="51"/>
    </row>
    <row r="23537" spans="5:5">
      <c r="E23537" s="51"/>
    </row>
    <row r="23538" spans="5:5">
      <c r="E23538" s="51"/>
    </row>
    <row r="23539" spans="5:5">
      <c r="E23539" s="51"/>
    </row>
    <row r="23540" spans="5:5">
      <c r="E23540" s="51"/>
    </row>
    <row r="23541" spans="5:5">
      <c r="E23541" s="51"/>
    </row>
    <row r="23542" spans="5:5">
      <c r="E23542" s="51"/>
    </row>
    <row r="23543" spans="5:5">
      <c r="E23543" s="51"/>
    </row>
    <row r="23544" spans="5:5">
      <c r="E23544" s="51"/>
    </row>
    <row r="23545" spans="5:5">
      <c r="E23545" s="51"/>
    </row>
    <row r="23546" spans="5:5">
      <c r="E23546" s="51"/>
    </row>
    <row r="23547" spans="5:5">
      <c r="E23547" s="51"/>
    </row>
    <row r="23548" spans="5:5">
      <c r="E23548" s="51"/>
    </row>
    <row r="23549" spans="5:5">
      <c r="E23549" s="51"/>
    </row>
    <row r="23550" spans="5:5">
      <c r="E23550" s="51"/>
    </row>
    <row r="23551" spans="5:5">
      <c r="E23551" s="51"/>
    </row>
    <row r="23552" spans="5:5">
      <c r="E23552" s="51"/>
    </row>
    <row r="23553" spans="5:5">
      <c r="E23553" s="51"/>
    </row>
    <row r="23554" spans="5:5">
      <c r="E23554" s="51"/>
    </row>
    <row r="23555" spans="5:5">
      <c r="E23555" s="51"/>
    </row>
    <row r="23556" spans="5:5">
      <c r="E23556" s="51"/>
    </row>
    <row r="23557" spans="5:5">
      <c r="E23557" s="51"/>
    </row>
    <row r="23558" spans="5:5">
      <c r="E23558" s="51"/>
    </row>
    <row r="23559" spans="5:5">
      <c r="E23559" s="51"/>
    </row>
    <row r="23560" spans="5:5">
      <c r="E23560" s="51"/>
    </row>
    <row r="23561" spans="5:5">
      <c r="E23561" s="51"/>
    </row>
    <row r="23562" spans="5:5">
      <c r="E23562" s="51"/>
    </row>
    <row r="23563" spans="5:5">
      <c r="E23563" s="51"/>
    </row>
    <row r="23564" spans="5:5">
      <c r="E23564" s="51"/>
    </row>
    <row r="23565" spans="5:5">
      <c r="E23565" s="51"/>
    </row>
    <row r="23566" spans="5:5">
      <c r="E23566" s="51"/>
    </row>
    <row r="23567" spans="5:5">
      <c r="E23567" s="51"/>
    </row>
    <row r="23568" spans="5:5">
      <c r="E23568" s="51"/>
    </row>
    <row r="23569" spans="5:5">
      <c r="E23569" s="51"/>
    </row>
    <row r="23570" spans="5:5">
      <c r="E23570" s="51"/>
    </row>
    <row r="23571" spans="5:5">
      <c r="E23571" s="51"/>
    </row>
    <row r="23572" spans="5:5">
      <c r="E23572" s="51"/>
    </row>
    <row r="23573" spans="5:5">
      <c r="E23573" s="51"/>
    </row>
    <row r="23574" spans="5:5">
      <c r="E23574" s="51"/>
    </row>
    <row r="23575" spans="5:5">
      <c r="E23575" s="51"/>
    </row>
    <row r="23576" spans="5:5">
      <c r="E23576" s="51"/>
    </row>
    <row r="23577" spans="5:5">
      <c r="E23577" s="51"/>
    </row>
    <row r="23578" spans="5:5">
      <c r="E23578" s="51"/>
    </row>
    <row r="23579" spans="5:5">
      <c r="E23579" s="51"/>
    </row>
    <row r="23580" spans="5:5">
      <c r="E23580" s="51"/>
    </row>
    <row r="23581" spans="5:5">
      <c r="E23581" s="51"/>
    </row>
    <row r="23582" spans="5:5">
      <c r="E23582" s="51"/>
    </row>
    <row r="23583" spans="5:5">
      <c r="E23583" s="51"/>
    </row>
    <row r="23584" spans="5:5">
      <c r="E23584" s="51"/>
    </row>
    <row r="23585" spans="5:5">
      <c r="E23585" s="51"/>
    </row>
    <row r="23586" spans="5:5">
      <c r="E23586" s="51"/>
    </row>
    <row r="23587" spans="5:5">
      <c r="E23587" s="51"/>
    </row>
    <row r="23588" spans="5:5">
      <c r="E23588" s="51"/>
    </row>
    <row r="23589" spans="5:5">
      <c r="E23589" s="51"/>
    </row>
    <row r="23590" spans="5:5">
      <c r="E23590" s="51"/>
    </row>
    <row r="23591" spans="5:5">
      <c r="E23591" s="51"/>
    </row>
    <row r="23592" spans="5:5">
      <c r="E23592" s="51"/>
    </row>
    <row r="23593" spans="5:5">
      <c r="E23593" s="51"/>
    </row>
    <row r="23594" spans="5:5">
      <c r="E23594" s="51"/>
    </row>
    <row r="23595" spans="5:5">
      <c r="E23595" s="51"/>
    </row>
    <row r="23596" spans="5:5">
      <c r="E23596" s="51"/>
    </row>
    <row r="23597" spans="5:5">
      <c r="E23597" s="51"/>
    </row>
    <row r="23598" spans="5:5">
      <c r="E23598" s="51"/>
    </row>
    <row r="23599" spans="5:5">
      <c r="E23599" s="51"/>
    </row>
    <row r="23600" spans="5:5">
      <c r="E23600" s="51"/>
    </row>
    <row r="23601" spans="5:5">
      <c r="E23601" s="51"/>
    </row>
    <row r="23602" spans="5:5">
      <c r="E23602" s="51"/>
    </row>
    <row r="23603" spans="5:5">
      <c r="E23603" s="51"/>
    </row>
    <row r="23604" spans="5:5">
      <c r="E23604" s="51"/>
    </row>
    <row r="23605" spans="5:5">
      <c r="E23605" s="51"/>
    </row>
    <row r="23606" spans="5:5">
      <c r="E23606" s="51"/>
    </row>
    <row r="23607" spans="5:5">
      <c r="E23607" s="51"/>
    </row>
    <row r="23608" spans="5:5">
      <c r="E23608" s="51"/>
    </row>
    <row r="23609" spans="5:5">
      <c r="E23609" s="51"/>
    </row>
    <row r="23610" spans="5:5">
      <c r="E23610" s="51"/>
    </row>
    <row r="23611" spans="5:5">
      <c r="E23611" s="51"/>
    </row>
    <row r="23612" spans="5:5">
      <c r="E23612" s="51"/>
    </row>
    <row r="23613" spans="5:5">
      <c r="E23613" s="51"/>
    </row>
    <row r="23614" spans="5:5">
      <c r="E23614" s="51"/>
    </row>
    <row r="23615" spans="5:5">
      <c r="E23615" s="51"/>
    </row>
    <row r="23616" spans="5:5">
      <c r="E23616" s="51"/>
    </row>
    <row r="23617" spans="5:5">
      <c r="E23617" s="51"/>
    </row>
    <row r="23618" spans="5:5">
      <c r="E23618" s="51"/>
    </row>
    <row r="23619" spans="5:5">
      <c r="E23619" s="51"/>
    </row>
    <row r="23620" spans="5:5">
      <c r="E23620" s="51"/>
    </row>
    <row r="23621" spans="5:5">
      <c r="E23621" s="51"/>
    </row>
    <row r="23622" spans="5:5">
      <c r="E23622" s="51"/>
    </row>
    <row r="23623" spans="5:5">
      <c r="E23623" s="51"/>
    </row>
    <row r="23624" spans="5:5">
      <c r="E23624" s="51"/>
    </row>
    <row r="23625" spans="5:5">
      <c r="E23625" s="51"/>
    </row>
    <row r="23626" spans="5:5">
      <c r="E23626" s="51"/>
    </row>
    <row r="23627" spans="5:5">
      <c r="E23627" s="51"/>
    </row>
    <row r="23628" spans="5:5">
      <c r="E23628" s="51"/>
    </row>
    <row r="23629" spans="5:5">
      <c r="E23629" s="51"/>
    </row>
    <row r="23630" spans="5:5">
      <c r="E23630" s="51"/>
    </row>
    <row r="23631" spans="5:5">
      <c r="E23631" s="51"/>
    </row>
    <row r="23632" spans="5:5">
      <c r="E23632" s="51"/>
    </row>
    <row r="23633" spans="5:5">
      <c r="E23633" s="51"/>
    </row>
    <row r="23634" spans="5:5">
      <c r="E23634" s="51"/>
    </row>
    <row r="23635" spans="5:5">
      <c r="E23635" s="51"/>
    </row>
    <row r="23636" spans="5:5">
      <c r="E23636" s="51"/>
    </row>
    <row r="23637" spans="5:5">
      <c r="E23637" s="51"/>
    </row>
    <row r="23638" spans="5:5">
      <c r="E23638" s="51"/>
    </row>
    <row r="23639" spans="5:5">
      <c r="E23639" s="51"/>
    </row>
    <row r="23640" spans="5:5">
      <c r="E23640" s="51"/>
    </row>
    <row r="23641" spans="5:5">
      <c r="E23641" s="51"/>
    </row>
    <row r="23642" spans="5:5">
      <c r="E23642" s="51"/>
    </row>
    <row r="23643" spans="5:5">
      <c r="E23643" s="51"/>
    </row>
    <row r="23644" spans="5:5">
      <c r="E23644" s="51"/>
    </row>
    <row r="23645" spans="5:5">
      <c r="E23645" s="51"/>
    </row>
    <row r="23646" spans="5:5">
      <c r="E23646" s="51"/>
    </row>
    <row r="23647" spans="5:5">
      <c r="E23647" s="51"/>
    </row>
    <row r="23648" spans="5:5">
      <c r="E23648" s="51"/>
    </row>
    <row r="23649" spans="5:5">
      <c r="E23649" s="51"/>
    </row>
    <row r="23650" spans="5:5">
      <c r="E23650" s="51"/>
    </row>
    <row r="23651" spans="5:5">
      <c r="E23651" s="51"/>
    </row>
    <row r="23652" spans="5:5">
      <c r="E23652" s="51"/>
    </row>
    <row r="23653" spans="5:5">
      <c r="E23653" s="51"/>
    </row>
    <row r="23654" spans="5:5">
      <c r="E23654" s="51"/>
    </row>
    <row r="23655" spans="5:5">
      <c r="E23655" s="51"/>
    </row>
    <row r="23656" spans="5:5">
      <c r="E23656" s="51"/>
    </row>
    <row r="23657" spans="5:5">
      <c r="E23657" s="51"/>
    </row>
    <row r="23658" spans="5:5">
      <c r="E23658" s="51"/>
    </row>
    <row r="23659" spans="5:5">
      <c r="E23659" s="51"/>
    </row>
    <row r="23660" spans="5:5">
      <c r="E23660" s="51"/>
    </row>
    <row r="23661" spans="5:5">
      <c r="E23661" s="51"/>
    </row>
    <row r="23662" spans="5:5">
      <c r="E23662" s="51"/>
    </row>
    <row r="23663" spans="5:5">
      <c r="E23663" s="51"/>
    </row>
    <row r="23664" spans="5:5">
      <c r="E23664" s="51"/>
    </row>
    <row r="23665" spans="5:5">
      <c r="E23665" s="51"/>
    </row>
    <row r="23666" spans="5:5">
      <c r="E23666" s="51"/>
    </row>
    <row r="23667" spans="5:5">
      <c r="E23667" s="51"/>
    </row>
    <row r="23668" spans="5:5">
      <c r="E23668" s="51"/>
    </row>
    <row r="23669" spans="5:5">
      <c r="E23669" s="51"/>
    </row>
    <row r="23670" spans="5:5">
      <c r="E23670" s="51"/>
    </row>
    <row r="23671" spans="5:5">
      <c r="E23671" s="51"/>
    </row>
    <row r="23672" spans="5:5">
      <c r="E23672" s="51"/>
    </row>
    <row r="23673" spans="5:5">
      <c r="E23673" s="51"/>
    </row>
    <row r="23674" spans="5:5">
      <c r="E23674" s="51"/>
    </row>
    <row r="23675" spans="5:5">
      <c r="E23675" s="51"/>
    </row>
    <row r="23676" spans="5:5">
      <c r="E23676" s="51"/>
    </row>
    <row r="23677" spans="5:5">
      <c r="E23677" s="51"/>
    </row>
    <row r="23678" spans="5:5">
      <c r="E23678" s="51"/>
    </row>
    <row r="23679" spans="5:5">
      <c r="E23679" s="51"/>
    </row>
    <row r="23680" spans="5:5">
      <c r="E23680" s="51"/>
    </row>
    <row r="23681" spans="5:5">
      <c r="E23681" s="51"/>
    </row>
    <row r="23682" spans="5:5">
      <c r="E23682" s="51"/>
    </row>
    <row r="23683" spans="5:5">
      <c r="E23683" s="51"/>
    </row>
    <row r="23684" spans="5:5">
      <c r="E23684" s="51"/>
    </row>
    <row r="23685" spans="5:5">
      <c r="E23685" s="51"/>
    </row>
    <row r="23686" spans="5:5">
      <c r="E23686" s="51"/>
    </row>
    <row r="23687" spans="5:5">
      <c r="E23687" s="51"/>
    </row>
    <row r="23688" spans="5:5">
      <c r="E23688" s="51"/>
    </row>
    <row r="23689" spans="5:5">
      <c r="E23689" s="51"/>
    </row>
    <row r="23690" spans="5:5">
      <c r="E23690" s="51"/>
    </row>
    <row r="23691" spans="5:5">
      <c r="E23691" s="51"/>
    </row>
    <row r="23692" spans="5:5">
      <c r="E23692" s="51"/>
    </row>
    <row r="23693" spans="5:5">
      <c r="E23693" s="51"/>
    </row>
    <row r="23694" spans="5:5">
      <c r="E23694" s="51"/>
    </row>
    <row r="23695" spans="5:5">
      <c r="E23695" s="51"/>
    </row>
    <row r="23696" spans="5:5">
      <c r="E23696" s="51"/>
    </row>
    <row r="23697" spans="5:5">
      <c r="E23697" s="51"/>
    </row>
    <row r="23698" spans="5:5">
      <c r="E23698" s="51"/>
    </row>
    <row r="23699" spans="5:5">
      <c r="E23699" s="51"/>
    </row>
    <row r="23700" spans="5:5">
      <c r="E23700" s="51"/>
    </row>
    <row r="23701" spans="5:5">
      <c r="E23701" s="51"/>
    </row>
    <row r="23702" spans="5:5">
      <c r="E23702" s="51"/>
    </row>
    <row r="23703" spans="5:5">
      <c r="E23703" s="51"/>
    </row>
    <row r="23704" spans="5:5">
      <c r="E23704" s="51"/>
    </row>
    <row r="23705" spans="5:5">
      <c r="E23705" s="51"/>
    </row>
    <row r="23706" spans="5:5">
      <c r="E23706" s="51"/>
    </row>
    <row r="23707" spans="5:5">
      <c r="E23707" s="51"/>
    </row>
    <row r="23708" spans="5:5">
      <c r="E23708" s="51"/>
    </row>
    <row r="23709" spans="5:5">
      <c r="E23709" s="51"/>
    </row>
    <row r="23710" spans="5:5">
      <c r="E23710" s="51"/>
    </row>
    <row r="23711" spans="5:5">
      <c r="E23711" s="51"/>
    </row>
    <row r="23712" spans="5:5">
      <c r="E23712" s="51"/>
    </row>
    <row r="23713" spans="5:5">
      <c r="E23713" s="51"/>
    </row>
    <row r="23714" spans="5:5">
      <c r="E23714" s="51"/>
    </row>
    <row r="23715" spans="5:5">
      <c r="E23715" s="51"/>
    </row>
    <row r="23716" spans="5:5">
      <c r="E23716" s="51"/>
    </row>
    <row r="23717" spans="5:5">
      <c r="E23717" s="51"/>
    </row>
    <row r="23718" spans="5:5">
      <c r="E23718" s="51"/>
    </row>
    <row r="23719" spans="5:5">
      <c r="E23719" s="51"/>
    </row>
    <row r="23720" spans="5:5">
      <c r="E23720" s="51"/>
    </row>
    <row r="23721" spans="5:5">
      <c r="E23721" s="51"/>
    </row>
    <row r="23722" spans="5:5">
      <c r="E23722" s="51"/>
    </row>
    <row r="23723" spans="5:5">
      <c r="E23723" s="51"/>
    </row>
    <row r="23724" spans="5:5">
      <c r="E23724" s="51"/>
    </row>
    <row r="23725" spans="5:5">
      <c r="E23725" s="51"/>
    </row>
    <row r="23726" spans="5:5">
      <c r="E23726" s="51"/>
    </row>
    <row r="23727" spans="5:5">
      <c r="E23727" s="51"/>
    </row>
    <row r="23728" spans="5:5">
      <c r="E23728" s="51"/>
    </row>
    <row r="23729" spans="5:5">
      <c r="E23729" s="51"/>
    </row>
    <row r="23730" spans="5:5">
      <c r="E23730" s="51"/>
    </row>
    <row r="23731" spans="5:5">
      <c r="E23731" s="51"/>
    </row>
    <row r="23732" spans="5:5">
      <c r="E23732" s="51"/>
    </row>
    <row r="23733" spans="5:5">
      <c r="E23733" s="51"/>
    </row>
    <row r="23734" spans="5:5">
      <c r="E23734" s="51"/>
    </row>
    <row r="23735" spans="5:5">
      <c r="E23735" s="51"/>
    </row>
    <row r="23736" spans="5:5">
      <c r="E23736" s="51"/>
    </row>
    <row r="23737" spans="5:5">
      <c r="E23737" s="51"/>
    </row>
    <row r="23738" spans="5:5">
      <c r="E23738" s="51"/>
    </row>
    <row r="23739" spans="5:5">
      <c r="E23739" s="51"/>
    </row>
    <row r="23740" spans="5:5">
      <c r="E23740" s="51"/>
    </row>
    <row r="23741" spans="5:5">
      <c r="E23741" s="51"/>
    </row>
    <row r="23742" spans="5:5">
      <c r="E23742" s="51"/>
    </row>
    <row r="23743" spans="5:5">
      <c r="E23743" s="51"/>
    </row>
    <row r="23744" spans="5:5">
      <c r="E23744" s="51"/>
    </row>
    <row r="23745" spans="5:5">
      <c r="E23745" s="51"/>
    </row>
    <row r="23746" spans="5:5">
      <c r="E23746" s="51"/>
    </row>
    <row r="23747" spans="5:5">
      <c r="E23747" s="51"/>
    </row>
    <row r="23748" spans="5:5">
      <c r="E23748" s="51"/>
    </row>
    <row r="23749" spans="5:5">
      <c r="E23749" s="51"/>
    </row>
    <row r="23750" spans="5:5">
      <c r="E23750" s="51"/>
    </row>
    <row r="23751" spans="5:5">
      <c r="E23751" s="51"/>
    </row>
    <row r="23752" spans="5:5">
      <c r="E23752" s="51"/>
    </row>
    <row r="23753" spans="5:5">
      <c r="E23753" s="51"/>
    </row>
    <row r="23754" spans="5:5">
      <c r="E23754" s="51"/>
    </row>
    <row r="23755" spans="5:5">
      <c r="E23755" s="51"/>
    </row>
    <row r="23756" spans="5:5">
      <c r="E23756" s="51"/>
    </row>
    <row r="23757" spans="5:5">
      <c r="E23757" s="51"/>
    </row>
    <row r="23758" spans="5:5">
      <c r="E23758" s="51"/>
    </row>
    <row r="23759" spans="5:5">
      <c r="E23759" s="51"/>
    </row>
    <row r="23760" spans="5:5">
      <c r="E23760" s="51"/>
    </row>
    <row r="23761" spans="5:5">
      <c r="E23761" s="51"/>
    </row>
    <row r="23762" spans="5:5">
      <c r="E23762" s="51"/>
    </row>
    <row r="23763" spans="5:5">
      <c r="E23763" s="51"/>
    </row>
    <row r="23764" spans="5:5">
      <c r="E23764" s="51"/>
    </row>
    <row r="23765" spans="5:5">
      <c r="E23765" s="51"/>
    </row>
    <row r="23766" spans="5:5">
      <c r="E23766" s="51"/>
    </row>
    <row r="23767" spans="5:5">
      <c r="E23767" s="51"/>
    </row>
    <row r="23768" spans="5:5">
      <c r="E23768" s="51"/>
    </row>
    <row r="23769" spans="5:5">
      <c r="E23769" s="51"/>
    </row>
    <row r="23770" spans="5:5">
      <c r="E23770" s="51"/>
    </row>
    <row r="23771" spans="5:5">
      <c r="E23771" s="51"/>
    </row>
    <row r="23772" spans="5:5">
      <c r="E23772" s="51"/>
    </row>
    <row r="23773" spans="5:5">
      <c r="E23773" s="51"/>
    </row>
    <row r="23774" spans="5:5">
      <c r="E23774" s="51"/>
    </row>
    <row r="23775" spans="5:5">
      <c r="E23775" s="51"/>
    </row>
    <row r="23776" spans="5:5">
      <c r="E23776" s="51"/>
    </row>
    <row r="23777" spans="5:5">
      <c r="E23777" s="51"/>
    </row>
    <row r="23778" spans="5:5">
      <c r="E23778" s="51"/>
    </row>
    <row r="23779" spans="5:5">
      <c r="E23779" s="51"/>
    </row>
    <row r="23780" spans="5:5">
      <c r="E23780" s="51"/>
    </row>
    <row r="23781" spans="5:5">
      <c r="E23781" s="51"/>
    </row>
    <row r="23782" spans="5:5">
      <c r="E23782" s="51"/>
    </row>
    <row r="23783" spans="5:5">
      <c r="E23783" s="51"/>
    </row>
    <row r="23784" spans="5:5">
      <c r="E23784" s="51"/>
    </row>
    <row r="23785" spans="5:5">
      <c r="E23785" s="51"/>
    </row>
    <row r="23786" spans="5:5">
      <c r="E23786" s="51"/>
    </row>
    <row r="23787" spans="5:5">
      <c r="E23787" s="51"/>
    </row>
    <row r="23788" spans="5:5">
      <c r="E23788" s="51"/>
    </row>
    <row r="23789" spans="5:5">
      <c r="E23789" s="51"/>
    </row>
    <row r="23790" spans="5:5">
      <c r="E23790" s="51"/>
    </row>
    <row r="23791" spans="5:5">
      <c r="E23791" s="51"/>
    </row>
    <row r="23792" spans="5:5">
      <c r="E23792" s="51"/>
    </row>
    <row r="23793" spans="5:5">
      <c r="E23793" s="51"/>
    </row>
    <row r="23794" spans="5:5">
      <c r="E23794" s="51"/>
    </row>
    <row r="23795" spans="5:5">
      <c r="E23795" s="51"/>
    </row>
    <row r="23796" spans="5:5">
      <c r="E23796" s="51"/>
    </row>
    <row r="23797" spans="5:5">
      <c r="E23797" s="51"/>
    </row>
    <row r="23798" spans="5:5">
      <c r="E23798" s="51"/>
    </row>
    <row r="23799" spans="5:5">
      <c r="E23799" s="51"/>
    </row>
    <row r="23800" spans="5:5">
      <c r="E23800" s="51"/>
    </row>
    <row r="23801" spans="5:5">
      <c r="E23801" s="51"/>
    </row>
    <row r="23802" spans="5:5">
      <c r="E23802" s="51"/>
    </row>
    <row r="23803" spans="5:5">
      <c r="E23803" s="51"/>
    </row>
    <row r="23804" spans="5:5">
      <c r="E23804" s="51"/>
    </row>
    <row r="23805" spans="5:5">
      <c r="E23805" s="51"/>
    </row>
    <row r="23806" spans="5:5">
      <c r="E23806" s="51"/>
    </row>
    <row r="23807" spans="5:5">
      <c r="E23807" s="51"/>
    </row>
    <row r="23808" spans="5:5">
      <c r="E23808" s="51"/>
    </row>
    <row r="23809" spans="5:5">
      <c r="E23809" s="51"/>
    </row>
    <row r="23810" spans="5:5">
      <c r="E23810" s="51"/>
    </row>
    <row r="23811" spans="5:5">
      <c r="E23811" s="51"/>
    </row>
    <row r="23812" spans="5:5">
      <c r="E23812" s="51"/>
    </row>
    <row r="23813" spans="5:5">
      <c r="E23813" s="51"/>
    </row>
    <row r="23814" spans="5:5">
      <c r="E23814" s="51"/>
    </row>
    <row r="23815" spans="5:5">
      <c r="E23815" s="51"/>
    </row>
    <row r="23816" spans="5:5">
      <c r="E23816" s="51"/>
    </row>
    <row r="23817" spans="5:5">
      <c r="E23817" s="51"/>
    </row>
    <row r="23818" spans="5:5">
      <c r="E23818" s="51"/>
    </row>
    <row r="23819" spans="5:5">
      <c r="E23819" s="51"/>
    </row>
    <row r="23820" spans="5:5">
      <c r="E23820" s="51"/>
    </row>
    <row r="23821" spans="5:5">
      <c r="E23821" s="51"/>
    </row>
    <row r="23822" spans="5:5">
      <c r="E23822" s="51"/>
    </row>
    <row r="23823" spans="5:5">
      <c r="E23823" s="51"/>
    </row>
    <row r="23824" spans="5:5">
      <c r="E23824" s="51"/>
    </row>
    <row r="23825" spans="5:5">
      <c r="E23825" s="51"/>
    </row>
    <row r="23826" spans="5:5">
      <c r="E23826" s="51"/>
    </row>
    <row r="23827" spans="5:5">
      <c r="E23827" s="51"/>
    </row>
    <row r="23828" spans="5:5">
      <c r="E23828" s="51"/>
    </row>
    <row r="23829" spans="5:5">
      <c r="E23829" s="51"/>
    </row>
    <row r="23830" spans="5:5">
      <c r="E23830" s="51"/>
    </row>
    <row r="23831" spans="5:5">
      <c r="E23831" s="51"/>
    </row>
    <row r="23832" spans="5:5">
      <c r="E23832" s="51"/>
    </row>
    <row r="23833" spans="5:5">
      <c r="E23833" s="51"/>
    </row>
    <row r="23834" spans="5:5">
      <c r="E23834" s="51"/>
    </row>
    <row r="23835" spans="5:5">
      <c r="E23835" s="51"/>
    </row>
    <row r="23836" spans="5:5">
      <c r="E23836" s="51"/>
    </row>
    <row r="23837" spans="5:5">
      <c r="E23837" s="51"/>
    </row>
    <row r="23838" spans="5:5">
      <c r="E23838" s="51"/>
    </row>
    <row r="23839" spans="5:5">
      <c r="E23839" s="51"/>
    </row>
    <row r="23840" spans="5:5">
      <c r="E23840" s="51"/>
    </row>
    <row r="23841" spans="5:5">
      <c r="E23841" s="51"/>
    </row>
    <row r="23842" spans="5:5">
      <c r="E23842" s="51"/>
    </row>
    <row r="23843" spans="5:5">
      <c r="E23843" s="51"/>
    </row>
    <row r="23844" spans="5:5">
      <c r="E23844" s="51"/>
    </row>
    <row r="23845" spans="5:5">
      <c r="E23845" s="51"/>
    </row>
    <row r="23846" spans="5:5">
      <c r="E23846" s="51"/>
    </row>
    <row r="23847" spans="5:5">
      <c r="E23847" s="51"/>
    </row>
    <row r="23848" spans="5:5">
      <c r="E23848" s="51"/>
    </row>
    <row r="23849" spans="5:5">
      <c r="E23849" s="51"/>
    </row>
    <row r="23850" spans="5:5">
      <c r="E23850" s="51"/>
    </row>
    <row r="23851" spans="5:5">
      <c r="E23851" s="51"/>
    </row>
    <row r="23852" spans="5:5">
      <c r="E23852" s="51"/>
    </row>
    <row r="23853" spans="5:5">
      <c r="E23853" s="51"/>
    </row>
    <row r="23854" spans="5:5">
      <c r="E23854" s="51"/>
    </row>
    <row r="23855" spans="5:5">
      <c r="E23855" s="51"/>
    </row>
    <row r="23856" spans="5:5">
      <c r="E23856" s="51"/>
    </row>
    <row r="23857" spans="5:5">
      <c r="E23857" s="51"/>
    </row>
    <row r="23858" spans="5:5">
      <c r="E23858" s="51"/>
    </row>
    <row r="23859" spans="5:5">
      <c r="E23859" s="51"/>
    </row>
    <row r="23860" spans="5:5">
      <c r="E23860" s="51"/>
    </row>
    <row r="23861" spans="5:5">
      <c r="E23861" s="51"/>
    </row>
    <row r="23862" spans="5:5">
      <c r="E23862" s="51"/>
    </row>
    <row r="23863" spans="5:5">
      <c r="E23863" s="51"/>
    </row>
    <row r="23864" spans="5:5">
      <c r="E23864" s="51"/>
    </row>
    <row r="23865" spans="5:5">
      <c r="E23865" s="51"/>
    </row>
    <row r="23866" spans="5:5">
      <c r="E23866" s="51"/>
    </row>
    <row r="23867" spans="5:5">
      <c r="E23867" s="51"/>
    </row>
    <row r="23868" spans="5:5">
      <c r="E23868" s="51"/>
    </row>
    <row r="23869" spans="5:5">
      <c r="E23869" s="51"/>
    </row>
    <row r="23870" spans="5:5">
      <c r="E23870" s="51"/>
    </row>
    <row r="23871" spans="5:5">
      <c r="E23871" s="51"/>
    </row>
    <row r="23872" spans="5:5">
      <c r="E23872" s="51"/>
    </row>
    <row r="23873" spans="5:5">
      <c r="E23873" s="51"/>
    </row>
    <row r="23874" spans="5:5">
      <c r="E23874" s="51"/>
    </row>
    <row r="23875" spans="5:5">
      <c r="E23875" s="51"/>
    </row>
    <row r="23876" spans="5:5">
      <c r="E23876" s="51"/>
    </row>
    <row r="23877" spans="5:5">
      <c r="E23877" s="51"/>
    </row>
    <row r="23878" spans="5:5">
      <c r="E23878" s="51"/>
    </row>
    <row r="23879" spans="5:5">
      <c r="E23879" s="51"/>
    </row>
    <row r="23880" spans="5:5">
      <c r="E23880" s="51"/>
    </row>
    <row r="23881" spans="5:5">
      <c r="E23881" s="51"/>
    </row>
    <row r="23882" spans="5:5">
      <c r="E23882" s="51"/>
    </row>
    <row r="23883" spans="5:5">
      <c r="E23883" s="51"/>
    </row>
    <row r="23884" spans="5:5">
      <c r="E23884" s="51"/>
    </row>
    <row r="23885" spans="5:5">
      <c r="E23885" s="51"/>
    </row>
    <row r="23886" spans="5:5">
      <c r="E23886" s="51"/>
    </row>
    <row r="23887" spans="5:5">
      <c r="E23887" s="51"/>
    </row>
    <row r="23888" spans="5:5">
      <c r="E23888" s="51"/>
    </row>
    <row r="23889" spans="5:5">
      <c r="E23889" s="51"/>
    </row>
    <row r="23890" spans="5:5">
      <c r="E23890" s="51"/>
    </row>
    <row r="23891" spans="5:5">
      <c r="E23891" s="51"/>
    </row>
    <row r="23892" spans="5:5">
      <c r="E23892" s="51"/>
    </row>
    <row r="23893" spans="5:5">
      <c r="E23893" s="51"/>
    </row>
    <row r="23894" spans="5:5">
      <c r="E23894" s="51"/>
    </row>
    <row r="23895" spans="5:5">
      <c r="E23895" s="51"/>
    </row>
    <row r="23896" spans="5:5">
      <c r="E23896" s="51"/>
    </row>
    <row r="23897" spans="5:5">
      <c r="E23897" s="51"/>
    </row>
    <row r="23898" spans="5:5">
      <c r="E23898" s="51"/>
    </row>
    <row r="23899" spans="5:5">
      <c r="E23899" s="51"/>
    </row>
    <row r="23900" spans="5:5">
      <c r="E23900" s="51"/>
    </row>
    <row r="23901" spans="5:5">
      <c r="E23901" s="51"/>
    </row>
    <row r="23902" spans="5:5">
      <c r="E23902" s="51"/>
    </row>
    <row r="23903" spans="5:5">
      <c r="E23903" s="51"/>
    </row>
    <row r="23904" spans="5:5">
      <c r="E23904" s="51"/>
    </row>
    <row r="23905" spans="5:5">
      <c r="E23905" s="51"/>
    </row>
    <row r="23906" spans="5:5">
      <c r="E23906" s="51"/>
    </row>
    <row r="23907" spans="5:5">
      <c r="E23907" s="51"/>
    </row>
    <row r="23908" spans="5:5">
      <c r="E23908" s="51"/>
    </row>
    <row r="23909" spans="5:5">
      <c r="E23909" s="51"/>
    </row>
    <row r="23910" spans="5:5">
      <c r="E23910" s="51"/>
    </row>
    <row r="23911" spans="5:5">
      <c r="E23911" s="51"/>
    </row>
    <row r="23912" spans="5:5">
      <c r="E23912" s="51"/>
    </row>
    <row r="23913" spans="5:5">
      <c r="E23913" s="51"/>
    </row>
    <row r="23914" spans="5:5">
      <c r="E23914" s="51"/>
    </row>
    <row r="23915" spans="5:5">
      <c r="E23915" s="51"/>
    </row>
    <row r="23916" spans="5:5">
      <c r="E23916" s="51"/>
    </row>
    <row r="23917" spans="5:5">
      <c r="E23917" s="51"/>
    </row>
    <row r="23918" spans="5:5">
      <c r="E23918" s="51"/>
    </row>
    <row r="23919" spans="5:5">
      <c r="E23919" s="51"/>
    </row>
    <row r="23920" spans="5:5">
      <c r="E23920" s="51"/>
    </row>
    <row r="23921" spans="5:5">
      <c r="E23921" s="51"/>
    </row>
    <row r="23922" spans="5:5">
      <c r="E23922" s="51"/>
    </row>
    <row r="23923" spans="5:5">
      <c r="E23923" s="51"/>
    </row>
    <row r="23924" spans="5:5">
      <c r="E23924" s="51"/>
    </row>
    <row r="23925" spans="5:5">
      <c r="E23925" s="51"/>
    </row>
    <row r="23926" spans="5:5">
      <c r="E23926" s="51"/>
    </row>
    <row r="23927" spans="5:5">
      <c r="E23927" s="51"/>
    </row>
    <row r="23928" spans="5:5">
      <c r="E23928" s="51"/>
    </row>
    <row r="23929" spans="5:5">
      <c r="E23929" s="51"/>
    </row>
    <row r="23930" spans="5:5">
      <c r="E23930" s="51"/>
    </row>
    <row r="23931" spans="5:5">
      <c r="E23931" s="51"/>
    </row>
    <row r="23932" spans="5:5">
      <c r="E23932" s="51"/>
    </row>
    <row r="23933" spans="5:5">
      <c r="E23933" s="51"/>
    </row>
    <row r="23934" spans="5:5">
      <c r="E23934" s="51"/>
    </row>
    <row r="23935" spans="5:5">
      <c r="E23935" s="51"/>
    </row>
    <row r="23936" spans="5:5">
      <c r="E23936" s="51"/>
    </row>
    <row r="23937" spans="5:5">
      <c r="E23937" s="51"/>
    </row>
    <row r="23938" spans="5:5">
      <c r="E23938" s="51"/>
    </row>
    <row r="23939" spans="5:5">
      <c r="E23939" s="51"/>
    </row>
    <row r="23940" spans="5:5">
      <c r="E23940" s="51"/>
    </row>
    <row r="23941" spans="5:5">
      <c r="E23941" s="51"/>
    </row>
    <row r="23942" spans="5:5">
      <c r="E23942" s="51"/>
    </row>
    <row r="23943" spans="5:5">
      <c r="E23943" s="51"/>
    </row>
    <row r="23944" spans="5:5">
      <c r="E23944" s="51"/>
    </row>
    <row r="23945" spans="5:5">
      <c r="E23945" s="51"/>
    </row>
    <row r="23946" spans="5:5">
      <c r="E23946" s="51"/>
    </row>
    <row r="23947" spans="5:5">
      <c r="E23947" s="51"/>
    </row>
    <row r="23948" spans="5:5">
      <c r="E23948" s="51"/>
    </row>
    <row r="23949" spans="5:5">
      <c r="E23949" s="51"/>
    </row>
    <row r="23950" spans="5:5">
      <c r="E23950" s="51"/>
    </row>
    <row r="23951" spans="5:5">
      <c r="E23951" s="51"/>
    </row>
    <row r="23952" spans="5:5">
      <c r="E23952" s="51"/>
    </row>
    <row r="23953" spans="5:5">
      <c r="E23953" s="51"/>
    </row>
    <row r="23954" spans="5:5">
      <c r="E23954" s="51"/>
    </row>
    <row r="23955" spans="5:5">
      <c r="E23955" s="51"/>
    </row>
    <row r="23956" spans="5:5">
      <c r="E23956" s="51"/>
    </row>
    <row r="23957" spans="5:5">
      <c r="E23957" s="51"/>
    </row>
    <row r="23958" spans="5:5">
      <c r="E23958" s="51"/>
    </row>
    <row r="23959" spans="5:5">
      <c r="E23959" s="51"/>
    </row>
    <row r="23960" spans="5:5">
      <c r="E23960" s="51"/>
    </row>
    <row r="23961" spans="5:5">
      <c r="E23961" s="51"/>
    </row>
    <row r="23962" spans="5:5">
      <c r="E23962" s="51"/>
    </row>
    <row r="23963" spans="5:5">
      <c r="E23963" s="51"/>
    </row>
    <row r="23964" spans="5:5">
      <c r="E23964" s="51"/>
    </row>
    <row r="23965" spans="5:5">
      <c r="E23965" s="51"/>
    </row>
    <row r="23966" spans="5:5">
      <c r="E23966" s="51"/>
    </row>
    <row r="23967" spans="5:5">
      <c r="E23967" s="51"/>
    </row>
    <row r="23968" spans="5:5">
      <c r="E23968" s="51"/>
    </row>
    <row r="23969" spans="5:5">
      <c r="E23969" s="51"/>
    </row>
    <row r="23970" spans="5:5">
      <c r="E23970" s="51"/>
    </row>
    <row r="23971" spans="5:5">
      <c r="E23971" s="51"/>
    </row>
    <row r="23972" spans="5:5">
      <c r="E23972" s="51"/>
    </row>
    <row r="23973" spans="5:5">
      <c r="E23973" s="51"/>
    </row>
    <row r="23974" spans="5:5">
      <c r="E23974" s="51"/>
    </row>
    <row r="23975" spans="5:5">
      <c r="E23975" s="51"/>
    </row>
    <row r="23976" spans="5:5">
      <c r="E23976" s="51"/>
    </row>
    <row r="23977" spans="5:5">
      <c r="E23977" s="51"/>
    </row>
    <row r="23978" spans="5:5">
      <c r="E23978" s="51"/>
    </row>
    <row r="23979" spans="5:5">
      <c r="E23979" s="51"/>
    </row>
    <row r="23980" spans="5:5">
      <c r="E23980" s="51"/>
    </row>
    <row r="23981" spans="5:5">
      <c r="E23981" s="51"/>
    </row>
    <row r="23982" spans="5:5">
      <c r="E23982" s="51"/>
    </row>
    <row r="23983" spans="5:5">
      <c r="E23983" s="51"/>
    </row>
    <row r="23984" spans="5:5">
      <c r="E23984" s="51"/>
    </row>
    <row r="23985" spans="5:5">
      <c r="E23985" s="51"/>
    </row>
    <row r="23986" spans="5:5">
      <c r="E23986" s="51"/>
    </row>
    <row r="23987" spans="5:5">
      <c r="E23987" s="51"/>
    </row>
    <row r="23988" spans="5:5">
      <c r="E23988" s="51"/>
    </row>
    <row r="23989" spans="5:5">
      <c r="E23989" s="51"/>
    </row>
    <row r="23990" spans="5:5">
      <c r="E23990" s="51"/>
    </row>
    <row r="23991" spans="5:5">
      <c r="E23991" s="51"/>
    </row>
    <row r="23992" spans="5:5">
      <c r="E23992" s="51"/>
    </row>
    <row r="23993" spans="5:5">
      <c r="E23993" s="51"/>
    </row>
    <row r="23994" spans="5:5">
      <c r="E23994" s="51"/>
    </row>
    <row r="23995" spans="5:5">
      <c r="E23995" s="51"/>
    </row>
    <row r="23996" spans="5:5">
      <c r="E23996" s="51"/>
    </row>
    <row r="23997" spans="5:5">
      <c r="E23997" s="51"/>
    </row>
    <row r="23998" spans="5:5">
      <c r="E23998" s="51"/>
    </row>
    <row r="23999" spans="5:5">
      <c r="E23999" s="51"/>
    </row>
    <row r="24000" spans="5:5">
      <c r="E24000" s="51"/>
    </row>
    <row r="24001" spans="5:5">
      <c r="E24001" s="51"/>
    </row>
    <row r="24002" spans="5:5">
      <c r="E24002" s="51"/>
    </row>
    <row r="24003" spans="5:5">
      <c r="E24003" s="51"/>
    </row>
    <row r="24004" spans="5:5">
      <c r="E24004" s="51"/>
    </row>
    <row r="24005" spans="5:5">
      <c r="E24005" s="51"/>
    </row>
    <row r="24006" spans="5:5">
      <c r="E24006" s="51"/>
    </row>
    <row r="24007" spans="5:5">
      <c r="E24007" s="51"/>
    </row>
    <row r="24008" spans="5:5">
      <c r="E24008" s="51"/>
    </row>
    <row r="24009" spans="5:5">
      <c r="E24009" s="51"/>
    </row>
    <row r="24010" spans="5:5">
      <c r="E24010" s="51"/>
    </row>
    <row r="24011" spans="5:5">
      <c r="E24011" s="51"/>
    </row>
    <row r="24012" spans="5:5">
      <c r="E24012" s="51"/>
    </row>
    <row r="24013" spans="5:5">
      <c r="E24013" s="51"/>
    </row>
    <row r="24014" spans="5:5">
      <c r="E24014" s="51"/>
    </row>
    <row r="24015" spans="5:5">
      <c r="E24015" s="51"/>
    </row>
    <row r="24016" spans="5:5">
      <c r="E24016" s="51"/>
    </row>
    <row r="24017" spans="5:5">
      <c r="E24017" s="51"/>
    </row>
    <row r="24018" spans="5:5">
      <c r="E24018" s="51"/>
    </row>
    <row r="24019" spans="5:5">
      <c r="E24019" s="51"/>
    </row>
    <row r="24020" spans="5:5">
      <c r="E24020" s="51"/>
    </row>
    <row r="24021" spans="5:5">
      <c r="E24021" s="51"/>
    </row>
    <row r="24022" spans="5:5">
      <c r="E24022" s="51"/>
    </row>
    <row r="24023" spans="5:5">
      <c r="E24023" s="51"/>
    </row>
    <row r="24024" spans="5:5">
      <c r="E24024" s="51"/>
    </row>
    <row r="24025" spans="5:5">
      <c r="E24025" s="51"/>
    </row>
    <row r="24026" spans="5:5">
      <c r="E24026" s="51"/>
    </row>
    <row r="24027" spans="5:5">
      <c r="E24027" s="51"/>
    </row>
    <row r="24028" spans="5:5">
      <c r="E24028" s="51"/>
    </row>
    <row r="24029" spans="5:5">
      <c r="E24029" s="51"/>
    </row>
    <row r="24030" spans="5:5">
      <c r="E24030" s="51"/>
    </row>
    <row r="24031" spans="5:5">
      <c r="E24031" s="51"/>
    </row>
    <row r="24032" spans="5:5">
      <c r="E24032" s="51"/>
    </row>
    <row r="24033" spans="5:5">
      <c r="E24033" s="51"/>
    </row>
    <row r="24034" spans="5:5">
      <c r="E24034" s="51"/>
    </row>
    <row r="24035" spans="5:5">
      <c r="E24035" s="51"/>
    </row>
    <row r="24036" spans="5:5">
      <c r="E24036" s="51"/>
    </row>
    <row r="24037" spans="5:5">
      <c r="E24037" s="51"/>
    </row>
    <row r="24038" spans="5:5">
      <c r="E24038" s="51"/>
    </row>
    <row r="24039" spans="5:5">
      <c r="E24039" s="51"/>
    </row>
    <row r="24040" spans="5:5">
      <c r="E24040" s="51"/>
    </row>
    <row r="24041" spans="5:5">
      <c r="E24041" s="51"/>
    </row>
    <row r="24042" spans="5:5">
      <c r="E24042" s="51"/>
    </row>
    <row r="24043" spans="5:5">
      <c r="E24043" s="51"/>
    </row>
    <row r="24044" spans="5:5">
      <c r="E24044" s="51"/>
    </row>
    <row r="24045" spans="5:5">
      <c r="E24045" s="51"/>
    </row>
    <row r="24046" spans="5:5">
      <c r="E24046" s="51"/>
    </row>
    <row r="24047" spans="5:5">
      <c r="E24047" s="51"/>
    </row>
    <row r="24048" spans="5:5">
      <c r="E24048" s="51"/>
    </row>
    <row r="24049" spans="5:5">
      <c r="E24049" s="51"/>
    </row>
    <row r="24050" spans="5:5">
      <c r="E24050" s="51"/>
    </row>
    <row r="24051" spans="5:5">
      <c r="E24051" s="51"/>
    </row>
    <row r="24052" spans="5:5">
      <c r="E24052" s="51"/>
    </row>
    <row r="24053" spans="5:5">
      <c r="E24053" s="51"/>
    </row>
    <row r="24054" spans="5:5">
      <c r="E24054" s="51"/>
    </row>
    <row r="24055" spans="5:5">
      <c r="E24055" s="51"/>
    </row>
    <row r="24056" spans="5:5">
      <c r="E24056" s="51"/>
    </row>
    <row r="24057" spans="5:5">
      <c r="E24057" s="51"/>
    </row>
    <row r="24058" spans="5:5">
      <c r="E24058" s="51"/>
    </row>
    <row r="24059" spans="5:5">
      <c r="E24059" s="51"/>
    </row>
    <row r="24060" spans="5:5">
      <c r="E24060" s="51"/>
    </row>
    <row r="24061" spans="5:5">
      <c r="E24061" s="51"/>
    </row>
    <row r="24062" spans="5:5">
      <c r="E24062" s="51"/>
    </row>
    <row r="24063" spans="5:5">
      <c r="E24063" s="51"/>
    </row>
    <row r="24064" spans="5:5">
      <c r="E24064" s="51"/>
    </row>
    <row r="24065" spans="5:5">
      <c r="E24065" s="51"/>
    </row>
    <row r="24066" spans="5:5">
      <c r="E24066" s="51"/>
    </row>
    <row r="24067" spans="5:5">
      <c r="E24067" s="51"/>
    </row>
    <row r="24068" spans="5:5">
      <c r="E24068" s="51"/>
    </row>
    <row r="24069" spans="5:5">
      <c r="E24069" s="51"/>
    </row>
    <row r="24070" spans="5:5">
      <c r="E24070" s="51"/>
    </row>
    <row r="24071" spans="5:5">
      <c r="E24071" s="51"/>
    </row>
    <row r="24072" spans="5:5">
      <c r="E24072" s="51"/>
    </row>
    <row r="24073" spans="5:5">
      <c r="E24073" s="51"/>
    </row>
    <row r="24074" spans="5:5">
      <c r="E24074" s="51"/>
    </row>
    <row r="24075" spans="5:5">
      <c r="E24075" s="51"/>
    </row>
    <row r="24076" spans="5:5">
      <c r="E24076" s="51"/>
    </row>
    <row r="24077" spans="5:5">
      <c r="E24077" s="51"/>
    </row>
    <row r="24078" spans="5:5">
      <c r="E24078" s="51"/>
    </row>
    <row r="24079" spans="5:5">
      <c r="E24079" s="51"/>
    </row>
    <row r="24080" spans="5:5">
      <c r="E24080" s="51"/>
    </row>
    <row r="24081" spans="5:5">
      <c r="E24081" s="51"/>
    </row>
    <row r="24082" spans="5:5">
      <c r="E24082" s="51"/>
    </row>
    <row r="24083" spans="5:5">
      <c r="E24083" s="51"/>
    </row>
    <row r="24084" spans="5:5">
      <c r="E24084" s="51"/>
    </row>
    <row r="24085" spans="5:5">
      <c r="E24085" s="51"/>
    </row>
    <row r="24086" spans="5:5">
      <c r="E24086" s="51"/>
    </row>
    <row r="24087" spans="5:5">
      <c r="E24087" s="51"/>
    </row>
    <row r="24088" spans="5:5">
      <c r="E24088" s="51"/>
    </row>
    <row r="24089" spans="5:5">
      <c r="E24089" s="51"/>
    </row>
    <row r="24090" spans="5:5">
      <c r="E24090" s="51"/>
    </row>
    <row r="24091" spans="5:5">
      <c r="E24091" s="51"/>
    </row>
    <row r="24092" spans="5:5">
      <c r="E24092" s="51"/>
    </row>
    <row r="24093" spans="5:5">
      <c r="E24093" s="51"/>
    </row>
    <row r="24094" spans="5:5">
      <c r="E24094" s="51"/>
    </row>
    <row r="24095" spans="5:5">
      <c r="E24095" s="51"/>
    </row>
    <row r="24096" spans="5:5">
      <c r="E24096" s="51"/>
    </row>
    <row r="24097" spans="5:5">
      <c r="E24097" s="51"/>
    </row>
    <row r="24098" spans="5:5">
      <c r="E24098" s="51"/>
    </row>
    <row r="24099" spans="5:5">
      <c r="E24099" s="51"/>
    </row>
    <row r="24100" spans="5:5">
      <c r="E24100" s="51"/>
    </row>
    <row r="24101" spans="5:5">
      <c r="E24101" s="51"/>
    </row>
    <row r="24102" spans="5:5">
      <c r="E24102" s="51"/>
    </row>
    <row r="24103" spans="5:5">
      <c r="E24103" s="51"/>
    </row>
    <row r="24104" spans="5:5">
      <c r="E24104" s="51"/>
    </row>
    <row r="24105" spans="5:5">
      <c r="E24105" s="51"/>
    </row>
    <row r="24106" spans="5:5">
      <c r="E24106" s="51"/>
    </row>
    <row r="24107" spans="5:5">
      <c r="E24107" s="51"/>
    </row>
    <row r="24108" spans="5:5">
      <c r="E24108" s="51"/>
    </row>
    <row r="24109" spans="5:5">
      <c r="E24109" s="51"/>
    </row>
    <row r="24110" spans="5:5">
      <c r="E24110" s="51"/>
    </row>
    <row r="24111" spans="5:5">
      <c r="E24111" s="51"/>
    </row>
    <row r="24112" spans="5:5">
      <c r="E24112" s="51"/>
    </row>
    <row r="24113" spans="5:5">
      <c r="E24113" s="51"/>
    </row>
    <row r="24114" spans="5:5">
      <c r="E24114" s="51"/>
    </row>
    <row r="24115" spans="5:5">
      <c r="E24115" s="51"/>
    </row>
    <row r="24116" spans="5:5">
      <c r="E24116" s="51"/>
    </row>
    <row r="24117" spans="5:5">
      <c r="E24117" s="51"/>
    </row>
    <row r="24118" spans="5:5">
      <c r="E24118" s="51"/>
    </row>
    <row r="24119" spans="5:5">
      <c r="E24119" s="51"/>
    </row>
    <row r="24120" spans="5:5">
      <c r="E24120" s="51"/>
    </row>
    <row r="24121" spans="5:5">
      <c r="E24121" s="51"/>
    </row>
    <row r="24122" spans="5:5">
      <c r="E24122" s="51"/>
    </row>
    <row r="24123" spans="5:5">
      <c r="E24123" s="51"/>
    </row>
    <row r="24124" spans="5:5">
      <c r="E24124" s="51"/>
    </row>
    <row r="24125" spans="5:5">
      <c r="E24125" s="51"/>
    </row>
    <row r="24126" spans="5:5">
      <c r="E24126" s="51"/>
    </row>
    <row r="24127" spans="5:5">
      <c r="E24127" s="51"/>
    </row>
    <row r="24128" spans="5:5">
      <c r="E24128" s="51"/>
    </row>
    <row r="24129" spans="5:5">
      <c r="E24129" s="51"/>
    </row>
    <row r="24130" spans="5:5">
      <c r="E24130" s="51"/>
    </row>
    <row r="24131" spans="5:5">
      <c r="E24131" s="51"/>
    </row>
    <row r="24132" spans="5:5">
      <c r="E24132" s="51"/>
    </row>
    <row r="24133" spans="5:5">
      <c r="E24133" s="51"/>
    </row>
    <row r="24134" spans="5:5">
      <c r="E24134" s="51"/>
    </row>
    <row r="24135" spans="5:5">
      <c r="E24135" s="51"/>
    </row>
    <row r="24136" spans="5:5">
      <c r="E24136" s="51"/>
    </row>
    <row r="24137" spans="5:5">
      <c r="E24137" s="51"/>
    </row>
    <row r="24138" spans="5:5">
      <c r="E24138" s="51"/>
    </row>
    <row r="24139" spans="5:5">
      <c r="E24139" s="51"/>
    </row>
    <row r="24140" spans="5:5">
      <c r="E24140" s="51"/>
    </row>
    <row r="24141" spans="5:5">
      <c r="E24141" s="51"/>
    </row>
    <row r="24142" spans="5:5">
      <c r="E24142" s="51"/>
    </row>
    <row r="24143" spans="5:5">
      <c r="E24143" s="51"/>
    </row>
    <row r="24144" spans="5:5">
      <c r="E24144" s="51"/>
    </row>
    <row r="24145" spans="5:5">
      <c r="E24145" s="51"/>
    </row>
    <row r="24146" spans="5:5">
      <c r="E24146" s="51"/>
    </row>
    <row r="24147" spans="5:5">
      <c r="E24147" s="51"/>
    </row>
    <row r="24148" spans="5:5">
      <c r="E24148" s="51"/>
    </row>
    <row r="24149" spans="5:5">
      <c r="E24149" s="51"/>
    </row>
    <row r="24150" spans="5:5">
      <c r="E24150" s="51"/>
    </row>
    <row r="24151" spans="5:5">
      <c r="E24151" s="51"/>
    </row>
    <row r="24152" spans="5:5">
      <c r="E24152" s="51"/>
    </row>
    <row r="24153" spans="5:5">
      <c r="E24153" s="51"/>
    </row>
    <row r="24154" spans="5:5">
      <c r="E24154" s="51"/>
    </row>
    <row r="24155" spans="5:5">
      <c r="E24155" s="51"/>
    </row>
    <row r="24156" spans="5:5">
      <c r="E24156" s="51"/>
    </row>
    <row r="24157" spans="5:5">
      <c r="E24157" s="51"/>
    </row>
    <row r="24158" spans="5:5">
      <c r="E24158" s="51"/>
    </row>
    <row r="24159" spans="5:5">
      <c r="E24159" s="51"/>
    </row>
    <row r="24160" spans="5:5">
      <c r="E24160" s="51"/>
    </row>
    <row r="24161" spans="5:5">
      <c r="E24161" s="51"/>
    </row>
    <row r="24162" spans="5:5">
      <c r="E24162" s="51"/>
    </row>
    <row r="24163" spans="5:5">
      <c r="E24163" s="51"/>
    </row>
    <row r="24164" spans="5:5">
      <c r="E24164" s="51"/>
    </row>
    <row r="24165" spans="5:5">
      <c r="E24165" s="51"/>
    </row>
    <row r="24166" spans="5:5">
      <c r="E24166" s="51"/>
    </row>
    <row r="24167" spans="5:5">
      <c r="E24167" s="51"/>
    </row>
    <row r="24168" spans="5:5">
      <c r="E24168" s="51"/>
    </row>
    <row r="24169" spans="5:5">
      <c r="E24169" s="51"/>
    </row>
    <row r="24170" spans="5:5">
      <c r="E24170" s="51"/>
    </row>
    <row r="24171" spans="5:5">
      <c r="E24171" s="51"/>
    </row>
    <row r="24172" spans="5:5">
      <c r="E24172" s="51"/>
    </row>
    <row r="24173" spans="5:5">
      <c r="E24173" s="51"/>
    </row>
    <row r="24174" spans="5:5">
      <c r="E24174" s="51"/>
    </row>
    <row r="24175" spans="5:5">
      <c r="E24175" s="51"/>
    </row>
    <row r="24176" spans="5:5">
      <c r="E24176" s="51"/>
    </row>
    <row r="24177" spans="5:5">
      <c r="E24177" s="51"/>
    </row>
    <row r="24178" spans="5:5">
      <c r="E24178" s="51"/>
    </row>
    <row r="24179" spans="5:5">
      <c r="E24179" s="51"/>
    </row>
    <row r="24180" spans="5:5">
      <c r="E24180" s="51"/>
    </row>
    <row r="24181" spans="5:5">
      <c r="E24181" s="51"/>
    </row>
    <row r="24182" spans="5:5">
      <c r="E24182" s="51"/>
    </row>
    <row r="24183" spans="5:5">
      <c r="E24183" s="51"/>
    </row>
    <row r="24184" spans="5:5">
      <c r="E24184" s="51"/>
    </row>
    <row r="24185" spans="5:5">
      <c r="E24185" s="51"/>
    </row>
    <row r="24186" spans="5:5">
      <c r="E24186" s="51"/>
    </row>
    <row r="24187" spans="5:5">
      <c r="E24187" s="51"/>
    </row>
    <row r="24188" spans="5:5">
      <c r="E24188" s="51"/>
    </row>
    <row r="24189" spans="5:5">
      <c r="E24189" s="51"/>
    </row>
    <row r="24190" spans="5:5">
      <c r="E24190" s="51"/>
    </row>
    <row r="24191" spans="5:5">
      <c r="E24191" s="51"/>
    </row>
    <row r="24192" spans="5:5">
      <c r="E24192" s="51"/>
    </row>
    <row r="24193" spans="5:5">
      <c r="E24193" s="51"/>
    </row>
    <row r="24194" spans="5:5">
      <c r="E24194" s="51"/>
    </row>
    <row r="24195" spans="5:5">
      <c r="E24195" s="51"/>
    </row>
    <row r="24196" spans="5:5">
      <c r="E24196" s="51"/>
    </row>
    <row r="24197" spans="5:5">
      <c r="E24197" s="51"/>
    </row>
    <row r="24198" spans="5:5">
      <c r="E24198" s="51"/>
    </row>
    <row r="24199" spans="5:5">
      <c r="E24199" s="51"/>
    </row>
    <row r="24200" spans="5:5">
      <c r="E24200" s="51"/>
    </row>
    <row r="24201" spans="5:5">
      <c r="E24201" s="51"/>
    </row>
    <row r="24202" spans="5:5">
      <c r="E24202" s="51"/>
    </row>
    <row r="24203" spans="5:5">
      <c r="E24203" s="51"/>
    </row>
    <row r="24204" spans="5:5">
      <c r="E24204" s="51"/>
    </row>
    <row r="24205" spans="5:5">
      <c r="E24205" s="51"/>
    </row>
    <row r="24206" spans="5:5">
      <c r="E24206" s="51"/>
    </row>
    <row r="24207" spans="5:5">
      <c r="E24207" s="51"/>
    </row>
    <row r="24208" spans="5:5">
      <c r="E24208" s="51"/>
    </row>
    <row r="24209" spans="5:5">
      <c r="E24209" s="51"/>
    </row>
    <row r="24210" spans="5:5">
      <c r="E24210" s="51"/>
    </row>
    <row r="24211" spans="5:5">
      <c r="E24211" s="51"/>
    </row>
    <row r="24212" spans="5:5">
      <c r="E24212" s="51"/>
    </row>
    <row r="24213" spans="5:5">
      <c r="E24213" s="51"/>
    </row>
    <row r="24214" spans="5:5">
      <c r="E24214" s="51"/>
    </row>
    <row r="24215" spans="5:5">
      <c r="E24215" s="51"/>
    </row>
    <row r="24216" spans="5:5">
      <c r="E24216" s="51"/>
    </row>
    <row r="24217" spans="5:5">
      <c r="E24217" s="51"/>
    </row>
    <row r="24218" spans="5:5">
      <c r="E24218" s="51"/>
    </row>
    <row r="24219" spans="5:5">
      <c r="E24219" s="51"/>
    </row>
    <row r="24220" spans="5:5">
      <c r="E24220" s="51"/>
    </row>
    <row r="24221" spans="5:5">
      <c r="E24221" s="51"/>
    </row>
    <row r="24222" spans="5:5">
      <c r="E24222" s="51"/>
    </row>
    <row r="24223" spans="5:5">
      <c r="E24223" s="51"/>
    </row>
    <row r="24224" spans="5:5">
      <c r="E24224" s="51"/>
    </row>
    <row r="24225" spans="5:5">
      <c r="E24225" s="51"/>
    </row>
    <row r="24226" spans="5:5">
      <c r="E24226" s="51"/>
    </row>
    <row r="24227" spans="5:5">
      <c r="E24227" s="51"/>
    </row>
    <row r="24228" spans="5:5">
      <c r="E24228" s="51"/>
    </row>
    <row r="24229" spans="5:5">
      <c r="E24229" s="51"/>
    </row>
    <row r="24230" spans="5:5">
      <c r="E24230" s="51"/>
    </row>
    <row r="24231" spans="5:5">
      <c r="E24231" s="51"/>
    </row>
    <row r="24232" spans="5:5">
      <c r="E24232" s="51"/>
    </row>
    <row r="24233" spans="5:5">
      <c r="E24233" s="51"/>
    </row>
    <row r="24234" spans="5:5">
      <c r="E24234" s="51"/>
    </row>
    <row r="24235" spans="5:5">
      <c r="E24235" s="51"/>
    </row>
    <row r="24236" spans="5:5">
      <c r="E24236" s="51"/>
    </row>
    <row r="24237" spans="5:5">
      <c r="E24237" s="51"/>
    </row>
    <row r="24238" spans="5:5">
      <c r="E24238" s="51"/>
    </row>
    <row r="24239" spans="5:5">
      <c r="E24239" s="51"/>
    </row>
    <row r="24240" spans="5:5">
      <c r="E24240" s="51"/>
    </row>
    <row r="24241" spans="5:5">
      <c r="E24241" s="51"/>
    </row>
    <row r="24242" spans="5:5">
      <c r="E24242" s="51"/>
    </row>
    <row r="24243" spans="5:5">
      <c r="E24243" s="51"/>
    </row>
    <row r="24244" spans="5:5">
      <c r="E24244" s="51"/>
    </row>
    <row r="24245" spans="5:5">
      <c r="E24245" s="51"/>
    </row>
    <row r="24246" spans="5:5">
      <c r="E24246" s="51"/>
    </row>
    <row r="24247" spans="5:5">
      <c r="E24247" s="51"/>
    </row>
    <row r="24248" spans="5:5">
      <c r="E24248" s="51"/>
    </row>
    <row r="24249" spans="5:5">
      <c r="E24249" s="51"/>
    </row>
    <row r="24250" spans="5:5">
      <c r="E24250" s="51"/>
    </row>
    <row r="24251" spans="5:5">
      <c r="E24251" s="51"/>
    </row>
    <row r="24252" spans="5:5">
      <c r="E24252" s="51"/>
    </row>
    <row r="24253" spans="5:5">
      <c r="E24253" s="51"/>
    </row>
    <row r="24254" spans="5:5">
      <c r="E24254" s="51"/>
    </row>
    <row r="24255" spans="5:5">
      <c r="E24255" s="51"/>
    </row>
    <row r="24256" spans="5:5">
      <c r="E24256" s="51"/>
    </row>
    <row r="24257" spans="5:5">
      <c r="E24257" s="51"/>
    </row>
    <row r="24258" spans="5:5">
      <c r="E24258" s="51"/>
    </row>
    <row r="24259" spans="5:5">
      <c r="E24259" s="51"/>
    </row>
    <row r="24260" spans="5:5">
      <c r="E24260" s="51"/>
    </row>
    <row r="24261" spans="5:5">
      <c r="E24261" s="51"/>
    </row>
    <row r="24262" spans="5:5">
      <c r="E24262" s="51"/>
    </row>
    <row r="24263" spans="5:5">
      <c r="E24263" s="51"/>
    </row>
    <row r="24264" spans="5:5">
      <c r="E24264" s="51"/>
    </row>
    <row r="24265" spans="5:5">
      <c r="E24265" s="51"/>
    </row>
    <row r="24266" spans="5:5">
      <c r="E24266" s="51"/>
    </row>
    <row r="24267" spans="5:5">
      <c r="E24267" s="51"/>
    </row>
    <row r="24268" spans="5:5">
      <c r="E24268" s="51"/>
    </row>
    <row r="24269" spans="5:5">
      <c r="E24269" s="51"/>
    </row>
    <row r="24270" spans="5:5">
      <c r="E24270" s="51"/>
    </row>
    <row r="24271" spans="5:5">
      <c r="E24271" s="51"/>
    </row>
    <row r="24272" spans="5:5">
      <c r="E24272" s="51"/>
    </row>
    <row r="24273" spans="5:5">
      <c r="E24273" s="51"/>
    </row>
    <row r="24274" spans="5:5">
      <c r="E24274" s="51"/>
    </row>
    <row r="24275" spans="5:5">
      <c r="E24275" s="51"/>
    </row>
    <row r="24276" spans="5:5">
      <c r="E24276" s="51"/>
    </row>
    <row r="24277" spans="5:5">
      <c r="E24277" s="51"/>
    </row>
    <row r="24278" spans="5:5">
      <c r="E24278" s="51"/>
    </row>
    <row r="24279" spans="5:5">
      <c r="E24279" s="51"/>
    </row>
    <row r="24280" spans="5:5">
      <c r="E24280" s="51"/>
    </row>
    <row r="24281" spans="5:5">
      <c r="E24281" s="51"/>
    </row>
    <row r="24282" spans="5:5">
      <c r="E24282" s="51"/>
    </row>
    <row r="24283" spans="5:5">
      <c r="E24283" s="51"/>
    </row>
    <row r="24284" spans="5:5">
      <c r="E24284" s="51"/>
    </row>
    <row r="24285" spans="5:5">
      <c r="E24285" s="51"/>
    </row>
    <row r="24286" spans="5:5">
      <c r="E24286" s="51"/>
    </row>
    <row r="24287" spans="5:5">
      <c r="E24287" s="51"/>
    </row>
    <row r="24288" spans="5:5">
      <c r="E24288" s="51"/>
    </row>
    <row r="24289" spans="5:5">
      <c r="E24289" s="51"/>
    </row>
    <row r="24290" spans="5:5">
      <c r="E24290" s="51"/>
    </row>
    <row r="24291" spans="5:5">
      <c r="E24291" s="51"/>
    </row>
    <row r="24292" spans="5:5">
      <c r="E24292" s="51"/>
    </row>
    <row r="24293" spans="5:5">
      <c r="E24293" s="51"/>
    </row>
    <row r="24294" spans="5:5">
      <c r="E24294" s="51"/>
    </row>
    <row r="24295" spans="5:5">
      <c r="E24295" s="51"/>
    </row>
    <row r="24296" spans="5:5">
      <c r="E24296" s="51"/>
    </row>
    <row r="24297" spans="5:5">
      <c r="E24297" s="51"/>
    </row>
    <row r="24298" spans="5:5">
      <c r="E24298" s="51"/>
    </row>
    <row r="24299" spans="5:5">
      <c r="E24299" s="51"/>
    </row>
    <row r="24300" spans="5:5">
      <c r="E24300" s="51"/>
    </row>
    <row r="24301" spans="5:5">
      <c r="E24301" s="51"/>
    </row>
    <row r="24302" spans="5:5">
      <c r="E24302" s="51"/>
    </row>
    <row r="24303" spans="5:5">
      <c r="E24303" s="51"/>
    </row>
    <row r="24304" spans="5:5">
      <c r="E24304" s="51"/>
    </row>
    <row r="24305" spans="5:5">
      <c r="E24305" s="51"/>
    </row>
    <row r="24306" spans="5:5">
      <c r="E24306" s="51"/>
    </row>
    <row r="24307" spans="5:5">
      <c r="E24307" s="51"/>
    </row>
    <row r="24308" spans="5:5">
      <c r="E24308" s="51"/>
    </row>
    <row r="24309" spans="5:5">
      <c r="E24309" s="51"/>
    </row>
    <row r="24310" spans="5:5">
      <c r="E24310" s="51"/>
    </row>
    <row r="24311" spans="5:5">
      <c r="E24311" s="51"/>
    </row>
    <row r="24312" spans="5:5">
      <c r="E24312" s="51"/>
    </row>
    <row r="24313" spans="5:5">
      <c r="E24313" s="51"/>
    </row>
    <row r="24314" spans="5:5">
      <c r="E24314" s="51"/>
    </row>
    <row r="24315" spans="5:5">
      <c r="E24315" s="51"/>
    </row>
    <row r="24316" spans="5:5">
      <c r="E24316" s="51"/>
    </row>
    <row r="24317" spans="5:5">
      <c r="E24317" s="51"/>
    </row>
    <row r="24318" spans="5:5">
      <c r="E24318" s="51"/>
    </row>
    <row r="24319" spans="5:5">
      <c r="E24319" s="51"/>
    </row>
    <row r="24320" spans="5:5">
      <c r="E24320" s="51"/>
    </row>
    <row r="24321" spans="5:5">
      <c r="E24321" s="51"/>
    </row>
    <row r="24322" spans="5:5">
      <c r="E24322" s="51"/>
    </row>
    <row r="24323" spans="5:5">
      <c r="E24323" s="51"/>
    </row>
    <row r="24324" spans="5:5">
      <c r="E24324" s="51"/>
    </row>
    <row r="24325" spans="5:5">
      <c r="E24325" s="51"/>
    </row>
    <row r="24326" spans="5:5">
      <c r="E24326" s="51"/>
    </row>
    <row r="24327" spans="5:5">
      <c r="E24327" s="51"/>
    </row>
    <row r="24328" spans="5:5">
      <c r="E24328" s="51"/>
    </row>
    <row r="24329" spans="5:5">
      <c r="E24329" s="51"/>
    </row>
    <row r="24330" spans="5:5">
      <c r="E24330" s="51"/>
    </row>
    <row r="24331" spans="5:5">
      <c r="E24331" s="51"/>
    </row>
    <row r="24332" spans="5:5">
      <c r="E24332" s="51"/>
    </row>
    <row r="24333" spans="5:5">
      <c r="E24333" s="51"/>
    </row>
    <row r="24334" spans="5:5">
      <c r="E24334" s="51"/>
    </row>
    <row r="24335" spans="5:5">
      <c r="E24335" s="51"/>
    </row>
    <row r="24336" spans="5:5">
      <c r="E24336" s="51"/>
    </row>
    <row r="24337" spans="5:5">
      <c r="E24337" s="51"/>
    </row>
    <row r="24338" spans="5:5">
      <c r="E24338" s="51"/>
    </row>
    <row r="24339" spans="5:5">
      <c r="E24339" s="51"/>
    </row>
    <row r="24340" spans="5:5">
      <c r="E24340" s="51"/>
    </row>
    <row r="24341" spans="5:5">
      <c r="E24341" s="51"/>
    </row>
    <row r="24342" spans="5:5">
      <c r="E24342" s="51"/>
    </row>
    <row r="24343" spans="5:5">
      <c r="E24343" s="51"/>
    </row>
    <row r="24344" spans="5:5">
      <c r="E24344" s="51"/>
    </row>
    <row r="24345" spans="5:5">
      <c r="E24345" s="51"/>
    </row>
    <row r="24346" spans="5:5">
      <c r="E24346" s="51"/>
    </row>
    <row r="24347" spans="5:5">
      <c r="E24347" s="51"/>
    </row>
    <row r="24348" spans="5:5">
      <c r="E24348" s="51"/>
    </row>
    <row r="24349" spans="5:5">
      <c r="E24349" s="51"/>
    </row>
    <row r="24350" spans="5:5">
      <c r="E24350" s="51"/>
    </row>
    <row r="24351" spans="5:5">
      <c r="E24351" s="51"/>
    </row>
    <row r="24352" spans="5:5">
      <c r="E24352" s="51"/>
    </row>
    <row r="24353" spans="5:5">
      <c r="E24353" s="51"/>
    </row>
    <row r="24354" spans="5:5">
      <c r="E24354" s="51"/>
    </row>
    <row r="24355" spans="5:5">
      <c r="E24355" s="51"/>
    </row>
    <row r="24356" spans="5:5">
      <c r="E24356" s="51"/>
    </row>
    <row r="24357" spans="5:5">
      <c r="E24357" s="51"/>
    </row>
    <row r="24358" spans="5:5">
      <c r="E24358" s="51"/>
    </row>
    <row r="24359" spans="5:5">
      <c r="E24359" s="51"/>
    </row>
    <row r="24360" spans="5:5">
      <c r="E24360" s="51"/>
    </row>
    <row r="24361" spans="5:5">
      <c r="E24361" s="51"/>
    </row>
    <row r="24362" spans="5:5">
      <c r="E24362" s="51"/>
    </row>
    <row r="24363" spans="5:5">
      <c r="E24363" s="51"/>
    </row>
    <row r="24364" spans="5:5">
      <c r="E24364" s="51"/>
    </row>
    <row r="24365" spans="5:5">
      <c r="E24365" s="51"/>
    </row>
    <row r="24366" spans="5:5">
      <c r="E24366" s="51"/>
    </row>
    <row r="24367" spans="5:5">
      <c r="E24367" s="51"/>
    </row>
    <row r="24368" spans="5:5">
      <c r="E24368" s="51"/>
    </row>
    <row r="24369" spans="5:5">
      <c r="E24369" s="51"/>
    </row>
    <row r="24370" spans="5:5">
      <c r="E24370" s="51"/>
    </row>
    <row r="24371" spans="5:5">
      <c r="E24371" s="51"/>
    </row>
    <row r="24372" spans="5:5">
      <c r="E24372" s="51"/>
    </row>
    <row r="24373" spans="5:5">
      <c r="E24373" s="51"/>
    </row>
    <row r="24374" spans="5:5">
      <c r="E24374" s="51"/>
    </row>
    <row r="24375" spans="5:5">
      <c r="E24375" s="51"/>
    </row>
    <row r="24376" spans="5:5">
      <c r="E24376" s="51"/>
    </row>
    <row r="24377" spans="5:5">
      <c r="E24377" s="51"/>
    </row>
    <row r="24378" spans="5:5">
      <c r="E24378" s="51"/>
    </row>
    <row r="24379" spans="5:5">
      <c r="E24379" s="51"/>
    </row>
    <row r="24380" spans="5:5">
      <c r="E24380" s="51"/>
    </row>
    <row r="24381" spans="5:5">
      <c r="E24381" s="51"/>
    </row>
    <row r="24382" spans="5:5">
      <c r="E24382" s="51"/>
    </row>
    <row r="24383" spans="5:5">
      <c r="E24383" s="51"/>
    </row>
    <row r="24384" spans="5:5">
      <c r="E24384" s="51"/>
    </row>
    <row r="24385" spans="5:5">
      <c r="E24385" s="51"/>
    </row>
    <row r="24386" spans="5:5">
      <c r="E24386" s="51"/>
    </row>
    <row r="24387" spans="5:5">
      <c r="E24387" s="51"/>
    </row>
    <row r="24388" spans="5:5">
      <c r="E24388" s="51"/>
    </row>
    <row r="24389" spans="5:5">
      <c r="E24389" s="51"/>
    </row>
    <row r="24390" spans="5:5">
      <c r="E24390" s="51"/>
    </row>
    <row r="24391" spans="5:5">
      <c r="E24391" s="51"/>
    </row>
    <row r="24392" spans="5:5">
      <c r="E24392" s="51"/>
    </row>
    <row r="24393" spans="5:5">
      <c r="E24393" s="51"/>
    </row>
    <row r="24394" spans="5:5">
      <c r="E24394" s="51"/>
    </row>
    <row r="24395" spans="5:5">
      <c r="E24395" s="51"/>
    </row>
    <row r="24396" spans="5:5">
      <c r="E24396" s="51"/>
    </row>
    <row r="24397" spans="5:5">
      <c r="E24397" s="51"/>
    </row>
    <row r="24398" spans="5:5">
      <c r="E24398" s="51"/>
    </row>
    <row r="24399" spans="5:5">
      <c r="E24399" s="51"/>
    </row>
    <row r="24400" spans="5:5">
      <c r="E24400" s="51"/>
    </row>
    <row r="24401" spans="5:5">
      <c r="E24401" s="51"/>
    </row>
    <row r="24402" spans="5:5">
      <c r="E24402" s="51"/>
    </row>
    <row r="24403" spans="5:5">
      <c r="E24403" s="51"/>
    </row>
    <row r="24404" spans="5:5">
      <c r="E24404" s="51"/>
    </row>
    <row r="24405" spans="5:5">
      <c r="E24405" s="51"/>
    </row>
    <row r="24406" spans="5:5">
      <c r="E24406" s="51"/>
    </row>
    <row r="24407" spans="5:5">
      <c r="E24407" s="51"/>
    </row>
    <row r="24408" spans="5:5">
      <c r="E24408" s="51"/>
    </row>
    <row r="24409" spans="5:5">
      <c r="E24409" s="51"/>
    </row>
    <row r="24410" spans="5:5">
      <c r="E24410" s="51"/>
    </row>
    <row r="24411" spans="5:5">
      <c r="E24411" s="51"/>
    </row>
    <row r="24412" spans="5:5">
      <c r="E24412" s="51"/>
    </row>
    <row r="24413" spans="5:5">
      <c r="E24413" s="51"/>
    </row>
    <row r="24414" spans="5:5">
      <c r="E24414" s="51"/>
    </row>
    <row r="24415" spans="5:5">
      <c r="E24415" s="51"/>
    </row>
    <row r="24416" spans="5:5">
      <c r="E24416" s="51"/>
    </row>
    <row r="24417" spans="5:5">
      <c r="E24417" s="51"/>
    </row>
    <row r="24418" spans="5:5">
      <c r="E24418" s="51"/>
    </row>
    <row r="24419" spans="5:5">
      <c r="E24419" s="51"/>
    </row>
    <row r="24420" spans="5:5">
      <c r="E24420" s="51"/>
    </row>
    <row r="24421" spans="5:5">
      <c r="E24421" s="51"/>
    </row>
    <row r="24422" spans="5:5">
      <c r="E24422" s="51"/>
    </row>
    <row r="24423" spans="5:5">
      <c r="E24423" s="51"/>
    </row>
    <row r="24424" spans="5:5">
      <c r="E24424" s="51"/>
    </row>
    <row r="24425" spans="5:5">
      <c r="E24425" s="51"/>
    </row>
    <row r="24426" spans="5:5">
      <c r="E24426" s="51"/>
    </row>
    <row r="24427" spans="5:5">
      <c r="E24427" s="51"/>
    </row>
    <row r="24428" spans="5:5">
      <c r="E24428" s="51"/>
    </row>
    <row r="24429" spans="5:5">
      <c r="E24429" s="51"/>
    </row>
    <row r="24430" spans="5:5">
      <c r="E24430" s="51"/>
    </row>
    <row r="24431" spans="5:5">
      <c r="E24431" s="51"/>
    </row>
    <row r="24432" spans="5:5">
      <c r="E24432" s="51"/>
    </row>
    <row r="24433" spans="5:5">
      <c r="E24433" s="51"/>
    </row>
    <row r="24434" spans="5:5">
      <c r="E24434" s="51"/>
    </row>
    <row r="24435" spans="5:5">
      <c r="E24435" s="51"/>
    </row>
    <row r="24436" spans="5:5">
      <c r="E24436" s="51"/>
    </row>
    <row r="24437" spans="5:5">
      <c r="E24437" s="51"/>
    </row>
    <row r="24438" spans="5:5">
      <c r="E24438" s="51"/>
    </row>
    <row r="24439" spans="5:5">
      <c r="E24439" s="51"/>
    </row>
    <row r="24440" spans="5:5">
      <c r="E24440" s="51"/>
    </row>
    <row r="24441" spans="5:5">
      <c r="E24441" s="51"/>
    </row>
    <row r="24442" spans="5:5">
      <c r="E24442" s="51"/>
    </row>
    <row r="24443" spans="5:5">
      <c r="E24443" s="51"/>
    </row>
    <row r="24444" spans="5:5">
      <c r="E24444" s="51"/>
    </row>
    <row r="24445" spans="5:5">
      <c r="E24445" s="51"/>
    </row>
    <row r="24446" spans="5:5">
      <c r="E24446" s="51"/>
    </row>
    <row r="24447" spans="5:5">
      <c r="E24447" s="51"/>
    </row>
    <row r="24448" spans="5:5">
      <c r="E24448" s="51"/>
    </row>
    <row r="24449" spans="5:5">
      <c r="E24449" s="51"/>
    </row>
    <row r="24450" spans="5:5">
      <c r="E24450" s="51"/>
    </row>
    <row r="24451" spans="5:5">
      <c r="E24451" s="51"/>
    </row>
    <row r="24452" spans="5:5">
      <c r="E24452" s="51"/>
    </row>
    <row r="24453" spans="5:5">
      <c r="E24453" s="51"/>
    </row>
    <row r="24454" spans="5:5">
      <c r="E24454" s="51"/>
    </row>
    <row r="24455" spans="5:5">
      <c r="E24455" s="51"/>
    </row>
    <row r="24456" spans="5:5">
      <c r="E24456" s="51"/>
    </row>
    <row r="24457" spans="5:5">
      <c r="E24457" s="51"/>
    </row>
    <row r="24458" spans="5:5">
      <c r="E24458" s="51"/>
    </row>
    <row r="24459" spans="5:5">
      <c r="E24459" s="51"/>
    </row>
    <row r="24460" spans="5:5">
      <c r="E24460" s="51"/>
    </row>
    <row r="24461" spans="5:5">
      <c r="E24461" s="51"/>
    </row>
    <row r="24462" spans="5:5">
      <c r="E24462" s="51"/>
    </row>
    <row r="24463" spans="5:5">
      <c r="E24463" s="51"/>
    </row>
    <row r="24464" spans="5:5">
      <c r="E24464" s="51"/>
    </row>
    <row r="24465" spans="5:5">
      <c r="E24465" s="51"/>
    </row>
    <row r="24466" spans="5:5">
      <c r="E24466" s="51"/>
    </row>
    <row r="24467" spans="5:5">
      <c r="E24467" s="51"/>
    </row>
    <row r="24468" spans="5:5">
      <c r="E24468" s="51"/>
    </row>
    <row r="24469" spans="5:5">
      <c r="E24469" s="51"/>
    </row>
    <row r="24470" spans="5:5">
      <c r="E24470" s="51"/>
    </row>
    <row r="24471" spans="5:5">
      <c r="E24471" s="51"/>
    </row>
    <row r="24472" spans="5:5">
      <c r="E24472" s="51"/>
    </row>
    <row r="24473" spans="5:5">
      <c r="E24473" s="51"/>
    </row>
    <row r="24474" spans="5:5">
      <c r="E24474" s="51"/>
    </row>
    <row r="24475" spans="5:5">
      <c r="E24475" s="51"/>
    </row>
    <row r="24476" spans="5:5">
      <c r="E24476" s="51"/>
    </row>
    <row r="24477" spans="5:5">
      <c r="E24477" s="51"/>
    </row>
    <row r="24478" spans="5:5">
      <c r="E24478" s="51"/>
    </row>
    <row r="24479" spans="5:5">
      <c r="E24479" s="51"/>
    </row>
    <row r="24480" spans="5:5">
      <c r="E24480" s="51"/>
    </row>
    <row r="24481" spans="5:5">
      <c r="E24481" s="51"/>
    </row>
    <row r="24482" spans="5:5">
      <c r="E24482" s="51"/>
    </row>
    <row r="24483" spans="5:5">
      <c r="E24483" s="51"/>
    </row>
    <row r="24484" spans="5:5">
      <c r="E24484" s="51"/>
    </row>
    <row r="24485" spans="5:5">
      <c r="E24485" s="51"/>
    </row>
    <row r="24486" spans="5:5">
      <c r="E24486" s="51"/>
    </row>
    <row r="24487" spans="5:5">
      <c r="E24487" s="51"/>
    </row>
    <row r="24488" spans="5:5">
      <c r="E24488" s="51"/>
    </row>
    <row r="24489" spans="5:5">
      <c r="E24489" s="51"/>
    </row>
    <row r="24490" spans="5:5">
      <c r="E24490" s="51"/>
    </row>
    <row r="24491" spans="5:5">
      <c r="E24491" s="51"/>
    </row>
    <row r="24492" spans="5:5">
      <c r="E24492" s="51"/>
    </row>
    <row r="24493" spans="5:5">
      <c r="E24493" s="51"/>
    </row>
    <row r="24494" spans="5:5">
      <c r="E24494" s="51"/>
    </row>
    <row r="24495" spans="5:5">
      <c r="E24495" s="51"/>
    </row>
    <row r="24496" spans="5:5">
      <c r="E24496" s="51"/>
    </row>
    <row r="24497" spans="5:5">
      <c r="E24497" s="51"/>
    </row>
    <row r="24498" spans="5:5">
      <c r="E24498" s="51"/>
    </row>
    <row r="24499" spans="5:5">
      <c r="E24499" s="51"/>
    </row>
    <row r="24500" spans="5:5">
      <c r="E24500" s="51"/>
    </row>
    <row r="24501" spans="5:5">
      <c r="E24501" s="51"/>
    </row>
    <row r="24502" spans="5:5">
      <c r="E24502" s="51"/>
    </row>
    <row r="24503" spans="5:5">
      <c r="E24503" s="51"/>
    </row>
    <row r="24504" spans="5:5">
      <c r="E24504" s="51"/>
    </row>
    <row r="24505" spans="5:5">
      <c r="E24505" s="51"/>
    </row>
    <row r="24506" spans="5:5">
      <c r="E24506" s="51"/>
    </row>
    <row r="24507" spans="5:5">
      <c r="E24507" s="51"/>
    </row>
    <row r="24508" spans="5:5">
      <c r="E24508" s="51"/>
    </row>
    <row r="24509" spans="5:5">
      <c r="E24509" s="51"/>
    </row>
    <row r="24510" spans="5:5">
      <c r="E24510" s="51"/>
    </row>
    <row r="24511" spans="5:5">
      <c r="E24511" s="51"/>
    </row>
    <row r="24512" spans="5:5">
      <c r="E24512" s="51"/>
    </row>
    <row r="24513" spans="5:5">
      <c r="E24513" s="51"/>
    </row>
    <row r="24514" spans="5:5">
      <c r="E24514" s="51"/>
    </row>
    <row r="24515" spans="5:5">
      <c r="E24515" s="51"/>
    </row>
    <row r="24516" spans="5:5">
      <c r="E24516" s="51"/>
    </row>
    <row r="24517" spans="5:5">
      <c r="E24517" s="51"/>
    </row>
    <row r="24518" spans="5:5">
      <c r="E24518" s="51"/>
    </row>
    <row r="24519" spans="5:5">
      <c r="E24519" s="51"/>
    </row>
    <row r="24520" spans="5:5">
      <c r="E24520" s="51"/>
    </row>
    <row r="24521" spans="5:5">
      <c r="E24521" s="51"/>
    </row>
    <row r="24522" spans="5:5">
      <c r="E24522" s="51"/>
    </row>
    <row r="24523" spans="5:5">
      <c r="E24523" s="51"/>
    </row>
    <row r="24524" spans="5:5">
      <c r="E24524" s="51"/>
    </row>
    <row r="24525" spans="5:5">
      <c r="E24525" s="51"/>
    </row>
    <row r="24526" spans="5:5">
      <c r="E24526" s="51"/>
    </row>
    <row r="24527" spans="5:5">
      <c r="E24527" s="51"/>
    </row>
    <row r="24528" spans="5:5">
      <c r="E24528" s="51"/>
    </row>
    <row r="24529" spans="5:5">
      <c r="E24529" s="51"/>
    </row>
    <row r="24530" spans="5:5">
      <c r="E24530" s="51"/>
    </row>
    <row r="24531" spans="5:5">
      <c r="E24531" s="51"/>
    </row>
    <row r="24532" spans="5:5">
      <c r="E24532" s="51"/>
    </row>
    <row r="24533" spans="5:5">
      <c r="E24533" s="51"/>
    </row>
    <row r="24534" spans="5:5">
      <c r="E24534" s="51"/>
    </row>
    <row r="24535" spans="5:5">
      <c r="E24535" s="51"/>
    </row>
    <row r="24536" spans="5:5">
      <c r="E24536" s="51"/>
    </row>
    <row r="24537" spans="5:5">
      <c r="E24537" s="51"/>
    </row>
    <row r="24538" spans="5:5">
      <c r="E24538" s="51"/>
    </row>
    <row r="24539" spans="5:5">
      <c r="E24539" s="51"/>
    </row>
    <row r="24540" spans="5:5">
      <c r="E24540" s="51"/>
    </row>
    <row r="24541" spans="5:5">
      <c r="E24541" s="51"/>
    </row>
    <row r="24542" spans="5:5">
      <c r="E24542" s="51"/>
    </row>
    <row r="24543" spans="5:5">
      <c r="E24543" s="51"/>
    </row>
    <row r="24544" spans="5:5">
      <c r="E24544" s="51"/>
    </row>
    <row r="24545" spans="5:5">
      <c r="E24545" s="51"/>
    </row>
    <row r="24546" spans="5:5">
      <c r="E24546" s="51"/>
    </row>
    <row r="24547" spans="5:5">
      <c r="E24547" s="51"/>
    </row>
    <row r="24548" spans="5:5">
      <c r="E24548" s="51"/>
    </row>
    <row r="24549" spans="5:5">
      <c r="E24549" s="51"/>
    </row>
    <row r="24550" spans="5:5">
      <c r="E24550" s="51"/>
    </row>
    <row r="24551" spans="5:5">
      <c r="E24551" s="51"/>
    </row>
    <row r="24552" spans="5:5">
      <c r="E24552" s="51"/>
    </row>
    <row r="24553" spans="5:5">
      <c r="E24553" s="51"/>
    </row>
    <row r="24554" spans="5:5">
      <c r="E24554" s="51"/>
    </row>
    <row r="24555" spans="5:5">
      <c r="E24555" s="51"/>
    </row>
    <row r="24556" spans="5:5">
      <c r="E24556" s="51"/>
    </row>
    <row r="24557" spans="5:5">
      <c r="E24557" s="51"/>
    </row>
    <row r="24558" spans="5:5">
      <c r="E24558" s="51"/>
    </row>
    <row r="24559" spans="5:5">
      <c r="E24559" s="51"/>
    </row>
    <row r="24560" spans="5:5">
      <c r="E24560" s="51"/>
    </row>
    <row r="24561" spans="5:5">
      <c r="E24561" s="51"/>
    </row>
    <row r="24562" spans="5:5">
      <c r="E24562" s="51"/>
    </row>
    <row r="24563" spans="5:5">
      <c r="E24563" s="51"/>
    </row>
    <row r="24564" spans="5:5">
      <c r="E24564" s="51"/>
    </row>
    <row r="24565" spans="5:5">
      <c r="E24565" s="51"/>
    </row>
    <row r="24566" spans="5:5">
      <c r="E24566" s="51"/>
    </row>
    <row r="24567" spans="5:5">
      <c r="E24567" s="51"/>
    </row>
    <row r="24568" spans="5:5">
      <c r="E24568" s="51"/>
    </row>
    <row r="24569" spans="5:5">
      <c r="E24569" s="51"/>
    </row>
    <row r="24570" spans="5:5">
      <c r="E24570" s="51"/>
    </row>
    <row r="24571" spans="5:5">
      <c r="E24571" s="51"/>
    </row>
    <row r="24572" spans="5:5">
      <c r="E24572" s="51"/>
    </row>
    <row r="24573" spans="5:5">
      <c r="E24573" s="51"/>
    </row>
    <row r="24574" spans="5:5">
      <c r="E24574" s="51"/>
    </row>
    <row r="24575" spans="5:5">
      <c r="E24575" s="51"/>
    </row>
    <row r="24576" spans="5:5">
      <c r="E24576" s="51"/>
    </row>
    <row r="24577" spans="5:5">
      <c r="E24577" s="51"/>
    </row>
    <row r="24578" spans="5:5">
      <c r="E24578" s="51"/>
    </row>
    <row r="24579" spans="5:5">
      <c r="E24579" s="51"/>
    </row>
    <row r="24580" spans="5:5">
      <c r="E24580" s="51"/>
    </row>
    <row r="24581" spans="5:5">
      <c r="E24581" s="51"/>
    </row>
    <row r="24582" spans="5:5">
      <c r="E24582" s="51"/>
    </row>
    <row r="24583" spans="5:5">
      <c r="E24583" s="51"/>
    </row>
    <row r="24584" spans="5:5">
      <c r="E24584" s="51"/>
    </row>
    <row r="24585" spans="5:5">
      <c r="E24585" s="51"/>
    </row>
    <row r="24586" spans="5:5">
      <c r="E24586" s="51"/>
    </row>
    <row r="24587" spans="5:5">
      <c r="E24587" s="51"/>
    </row>
    <row r="24588" spans="5:5">
      <c r="E24588" s="51"/>
    </row>
    <row r="24589" spans="5:5">
      <c r="E24589" s="51"/>
    </row>
    <row r="24590" spans="5:5">
      <c r="E24590" s="51"/>
    </row>
    <row r="24591" spans="5:5">
      <c r="E24591" s="51"/>
    </row>
    <row r="24592" spans="5:5">
      <c r="E24592" s="51"/>
    </row>
    <row r="24593" spans="5:5">
      <c r="E24593" s="51"/>
    </row>
    <row r="24594" spans="5:5">
      <c r="E24594" s="51"/>
    </row>
    <row r="24595" spans="5:5">
      <c r="E24595" s="51"/>
    </row>
    <row r="24596" spans="5:5">
      <c r="E24596" s="51"/>
    </row>
    <row r="24597" spans="5:5">
      <c r="E24597" s="51"/>
    </row>
    <row r="24598" spans="5:5">
      <c r="E24598" s="51"/>
    </row>
    <row r="24599" spans="5:5">
      <c r="E24599" s="51"/>
    </row>
    <row r="24600" spans="5:5">
      <c r="E24600" s="51"/>
    </row>
    <row r="24601" spans="5:5">
      <c r="E24601" s="51"/>
    </row>
    <row r="24602" spans="5:5">
      <c r="E24602" s="51"/>
    </row>
    <row r="24603" spans="5:5">
      <c r="E24603" s="51"/>
    </row>
    <row r="24604" spans="5:5">
      <c r="E24604" s="51"/>
    </row>
    <row r="24605" spans="5:5">
      <c r="E24605" s="51"/>
    </row>
    <row r="24606" spans="5:5">
      <c r="E24606" s="51"/>
    </row>
    <row r="24607" spans="5:5">
      <c r="E24607" s="51"/>
    </row>
    <row r="24608" spans="5:5">
      <c r="E24608" s="51"/>
    </row>
    <row r="24609" spans="5:5">
      <c r="E24609" s="51"/>
    </row>
    <row r="24610" spans="5:5">
      <c r="E24610" s="51"/>
    </row>
    <row r="24611" spans="5:5">
      <c r="E24611" s="51"/>
    </row>
    <row r="24612" spans="5:5">
      <c r="E24612" s="51"/>
    </row>
    <row r="24613" spans="5:5">
      <c r="E24613" s="51"/>
    </row>
    <row r="24614" spans="5:5">
      <c r="E24614" s="51"/>
    </row>
    <row r="24615" spans="5:5">
      <c r="E24615" s="51"/>
    </row>
    <row r="24616" spans="5:5">
      <c r="E24616" s="51"/>
    </row>
    <row r="24617" spans="5:5">
      <c r="E24617" s="51"/>
    </row>
    <row r="24618" spans="5:5">
      <c r="E24618" s="51"/>
    </row>
    <row r="24619" spans="5:5">
      <c r="E24619" s="51"/>
    </row>
    <row r="24620" spans="5:5">
      <c r="E24620" s="51"/>
    </row>
    <row r="24621" spans="5:5">
      <c r="E24621" s="51"/>
    </row>
    <row r="24622" spans="5:5">
      <c r="E24622" s="51"/>
    </row>
    <row r="24623" spans="5:5">
      <c r="E24623" s="51"/>
    </row>
    <row r="24624" spans="5:5">
      <c r="E24624" s="51"/>
    </row>
    <row r="24625" spans="5:5">
      <c r="E24625" s="51"/>
    </row>
    <row r="24626" spans="5:5">
      <c r="E24626" s="51"/>
    </row>
    <row r="24627" spans="5:5">
      <c r="E24627" s="51"/>
    </row>
    <row r="24628" spans="5:5">
      <c r="E24628" s="51"/>
    </row>
    <row r="24629" spans="5:5">
      <c r="E24629" s="51"/>
    </row>
    <row r="24630" spans="5:5">
      <c r="E24630" s="51"/>
    </row>
    <row r="24631" spans="5:5">
      <c r="E24631" s="51"/>
    </row>
    <row r="24632" spans="5:5">
      <c r="E24632" s="51"/>
    </row>
    <row r="24633" spans="5:5">
      <c r="E24633" s="51"/>
    </row>
    <row r="24634" spans="5:5">
      <c r="E24634" s="51"/>
    </row>
    <row r="24635" spans="5:5">
      <c r="E24635" s="51"/>
    </row>
    <row r="24636" spans="5:5">
      <c r="E24636" s="51"/>
    </row>
    <row r="24637" spans="5:5">
      <c r="E24637" s="51"/>
    </row>
    <row r="24638" spans="5:5">
      <c r="E24638" s="51"/>
    </row>
    <row r="24639" spans="5:5">
      <c r="E24639" s="51"/>
    </row>
    <row r="24640" spans="5:5">
      <c r="E24640" s="51"/>
    </row>
    <row r="24641" spans="5:5">
      <c r="E24641" s="51"/>
    </row>
    <row r="24642" spans="5:5">
      <c r="E24642" s="51"/>
    </row>
    <row r="24643" spans="5:5">
      <c r="E24643" s="51"/>
    </row>
    <row r="24644" spans="5:5">
      <c r="E24644" s="51"/>
    </row>
    <row r="24645" spans="5:5">
      <c r="E24645" s="51"/>
    </row>
    <row r="24646" spans="5:5">
      <c r="E24646" s="51"/>
    </row>
    <row r="24647" spans="5:5">
      <c r="E24647" s="51"/>
    </row>
    <row r="24648" spans="5:5">
      <c r="E24648" s="51"/>
    </row>
    <row r="24649" spans="5:5">
      <c r="E24649" s="51"/>
    </row>
    <row r="24650" spans="5:5">
      <c r="E24650" s="51"/>
    </row>
    <row r="24651" spans="5:5">
      <c r="E24651" s="51"/>
    </row>
    <row r="24652" spans="5:5">
      <c r="E24652" s="51"/>
    </row>
    <row r="24653" spans="5:5">
      <c r="E24653" s="51"/>
    </row>
    <row r="24654" spans="5:5">
      <c r="E24654" s="51"/>
    </row>
    <row r="24655" spans="5:5">
      <c r="E24655" s="51"/>
    </row>
    <row r="24656" spans="5:5">
      <c r="E24656" s="51"/>
    </row>
    <row r="24657" spans="5:5">
      <c r="E24657" s="51"/>
    </row>
    <row r="24658" spans="5:5">
      <c r="E24658" s="51"/>
    </row>
    <row r="24659" spans="5:5">
      <c r="E24659" s="51"/>
    </row>
    <row r="24660" spans="5:5">
      <c r="E24660" s="51"/>
    </row>
    <row r="24661" spans="5:5">
      <c r="E24661" s="51"/>
    </row>
    <row r="24662" spans="5:5">
      <c r="E24662" s="51"/>
    </row>
    <row r="24663" spans="5:5">
      <c r="E24663" s="51"/>
    </row>
    <row r="24664" spans="5:5">
      <c r="E24664" s="51"/>
    </row>
    <row r="24665" spans="5:5">
      <c r="E24665" s="51"/>
    </row>
    <row r="24666" spans="5:5">
      <c r="E24666" s="51"/>
    </row>
    <row r="24667" spans="5:5">
      <c r="E24667" s="51"/>
    </row>
    <row r="24668" spans="5:5">
      <c r="E24668" s="51"/>
    </row>
    <row r="24669" spans="5:5">
      <c r="E24669" s="51"/>
    </row>
    <row r="24670" spans="5:5">
      <c r="E24670" s="51"/>
    </row>
    <row r="24671" spans="5:5">
      <c r="E24671" s="51"/>
    </row>
    <row r="24672" spans="5:5">
      <c r="E24672" s="51"/>
    </row>
    <row r="24673" spans="5:5">
      <c r="E24673" s="51"/>
    </row>
    <row r="24674" spans="5:5">
      <c r="E24674" s="51"/>
    </row>
    <row r="24675" spans="5:5">
      <c r="E24675" s="51"/>
    </row>
    <row r="24676" spans="5:5">
      <c r="E24676" s="51"/>
    </row>
    <row r="24677" spans="5:5">
      <c r="E24677" s="51"/>
    </row>
    <row r="24678" spans="5:5">
      <c r="E24678" s="51"/>
    </row>
    <row r="24679" spans="5:5">
      <c r="E24679" s="51"/>
    </row>
    <row r="24680" spans="5:5">
      <c r="E24680" s="51"/>
    </row>
    <row r="24681" spans="5:5">
      <c r="E24681" s="51"/>
    </row>
    <row r="24682" spans="5:5">
      <c r="E24682" s="51"/>
    </row>
    <row r="24683" spans="5:5">
      <c r="E24683" s="51"/>
    </row>
    <row r="24684" spans="5:5">
      <c r="E24684" s="51"/>
    </row>
    <row r="24685" spans="5:5">
      <c r="E24685" s="51"/>
    </row>
    <row r="24686" spans="5:5">
      <c r="E24686" s="51"/>
    </row>
    <row r="24687" spans="5:5">
      <c r="E24687" s="51"/>
    </row>
    <row r="24688" spans="5:5">
      <c r="E24688" s="51"/>
    </row>
    <row r="24689" spans="5:5">
      <c r="E24689" s="51"/>
    </row>
    <row r="24690" spans="5:5">
      <c r="E24690" s="51"/>
    </row>
    <row r="24691" spans="5:5">
      <c r="E24691" s="51"/>
    </row>
    <row r="24692" spans="5:5">
      <c r="E24692" s="51"/>
    </row>
    <row r="24693" spans="5:5">
      <c r="E24693" s="51"/>
    </row>
    <row r="24694" spans="5:5">
      <c r="E24694" s="51"/>
    </row>
    <row r="24695" spans="5:5">
      <c r="E24695" s="51"/>
    </row>
    <row r="24696" spans="5:5">
      <c r="E24696" s="51"/>
    </row>
    <row r="24697" spans="5:5">
      <c r="E24697" s="51"/>
    </row>
    <row r="24698" spans="5:5">
      <c r="E24698" s="51"/>
    </row>
    <row r="24699" spans="5:5">
      <c r="E24699" s="51"/>
    </row>
    <row r="24700" spans="5:5">
      <c r="E24700" s="51"/>
    </row>
    <row r="24701" spans="5:5">
      <c r="E24701" s="51"/>
    </row>
    <row r="24702" spans="5:5">
      <c r="E24702" s="51"/>
    </row>
    <row r="24703" spans="5:5">
      <c r="E24703" s="51"/>
    </row>
    <row r="24704" spans="5:5">
      <c r="E24704" s="51"/>
    </row>
    <row r="24705" spans="5:5">
      <c r="E24705" s="51"/>
    </row>
    <row r="24706" spans="5:5">
      <c r="E24706" s="51"/>
    </row>
    <row r="24707" spans="5:5">
      <c r="E24707" s="51"/>
    </row>
    <row r="24708" spans="5:5">
      <c r="E24708" s="51"/>
    </row>
    <row r="24709" spans="5:5">
      <c r="E24709" s="51"/>
    </row>
    <row r="24710" spans="5:5">
      <c r="E24710" s="51"/>
    </row>
    <row r="24711" spans="5:5">
      <c r="E24711" s="51"/>
    </row>
    <row r="24712" spans="5:5">
      <c r="E24712" s="51"/>
    </row>
    <row r="24713" spans="5:5">
      <c r="E24713" s="51"/>
    </row>
    <row r="24714" spans="5:5">
      <c r="E24714" s="51"/>
    </row>
    <row r="24715" spans="5:5">
      <c r="E24715" s="51"/>
    </row>
    <row r="24716" spans="5:5">
      <c r="E24716" s="51"/>
    </row>
    <row r="24717" spans="5:5">
      <c r="E24717" s="51"/>
    </row>
    <row r="24718" spans="5:5">
      <c r="E24718" s="51"/>
    </row>
    <row r="24719" spans="5:5">
      <c r="E24719" s="51"/>
    </row>
    <row r="24720" spans="5:5">
      <c r="E24720" s="51"/>
    </row>
    <row r="24721" spans="5:5">
      <c r="E24721" s="51"/>
    </row>
    <row r="24722" spans="5:5">
      <c r="E24722" s="51"/>
    </row>
    <row r="24723" spans="5:5">
      <c r="E24723" s="51"/>
    </row>
    <row r="24724" spans="5:5">
      <c r="E24724" s="51"/>
    </row>
    <row r="24725" spans="5:5">
      <c r="E24725" s="51"/>
    </row>
    <row r="24726" spans="5:5">
      <c r="E24726" s="51"/>
    </row>
    <row r="24727" spans="5:5">
      <c r="E24727" s="51"/>
    </row>
    <row r="24728" spans="5:5">
      <c r="E24728" s="51"/>
    </row>
    <row r="24729" spans="5:5">
      <c r="E24729" s="51"/>
    </row>
    <row r="24730" spans="5:5">
      <c r="E24730" s="51"/>
    </row>
    <row r="24731" spans="5:5">
      <c r="E24731" s="51"/>
    </row>
    <row r="24732" spans="5:5">
      <c r="E24732" s="51"/>
    </row>
    <row r="24733" spans="5:5">
      <c r="E24733" s="51"/>
    </row>
    <row r="24734" spans="5:5">
      <c r="E24734" s="51"/>
    </row>
    <row r="24735" spans="5:5">
      <c r="E24735" s="51"/>
    </row>
    <row r="24736" spans="5:5">
      <c r="E24736" s="51"/>
    </row>
    <row r="24737" spans="5:5">
      <c r="E24737" s="51"/>
    </row>
    <row r="24738" spans="5:5">
      <c r="E24738" s="51"/>
    </row>
    <row r="24739" spans="5:5">
      <c r="E24739" s="51"/>
    </row>
    <row r="24740" spans="5:5">
      <c r="E24740" s="51"/>
    </row>
    <row r="24741" spans="5:5">
      <c r="E24741" s="51"/>
    </row>
    <row r="24742" spans="5:5">
      <c r="E24742" s="51"/>
    </row>
    <row r="24743" spans="5:5">
      <c r="E24743" s="51"/>
    </row>
    <row r="24744" spans="5:5">
      <c r="E24744" s="51"/>
    </row>
    <row r="24745" spans="5:5">
      <c r="E24745" s="51"/>
    </row>
    <row r="24746" spans="5:5">
      <c r="E24746" s="51"/>
    </row>
    <row r="24747" spans="5:5">
      <c r="E24747" s="51"/>
    </row>
    <row r="24748" spans="5:5">
      <c r="E24748" s="51"/>
    </row>
    <row r="24749" spans="5:5">
      <c r="E24749" s="51"/>
    </row>
    <row r="24750" spans="5:5">
      <c r="E24750" s="51"/>
    </row>
    <row r="24751" spans="5:5">
      <c r="E24751" s="51"/>
    </row>
    <row r="24752" spans="5:5">
      <c r="E24752" s="51"/>
    </row>
    <row r="24753" spans="5:5">
      <c r="E24753" s="51"/>
    </row>
    <row r="24754" spans="5:5">
      <c r="E24754" s="51"/>
    </row>
    <row r="24755" spans="5:5">
      <c r="E24755" s="51"/>
    </row>
    <row r="24756" spans="5:5">
      <c r="E24756" s="51"/>
    </row>
    <row r="24757" spans="5:5">
      <c r="E24757" s="51"/>
    </row>
    <row r="24758" spans="5:5">
      <c r="E24758" s="51"/>
    </row>
    <row r="24759" spans="5:5">
      <c r="E24759" s="51"/>
    </row>
    <row r="24760" spans="5:5">
      <c r="E24760" s="51"/>
    </row>
    <row r="24761" spans="5:5">
      <c r="E24761" s="51"/>
    </row>
    <row r="24762" spans="5:5">
      <c r="E24762" s="51"/>
    </row>
    <row r="24763" spans="5:5">
      <c r="E24763" s="51"/>
    </row>
    <row r="24764" spans="5:5">
      <c r="E24764" s="51"/>
    </row>
    <row r="24765" spans="5:5">
      <c r="E24765" s="51"/>
    </row>
    <row r="24766" spans="5:5">
      <c r="E24766" s="51"/>
    </row>
    <row r="24767" spans="5:5">
      <c r="E24767" s="51"/>
    </row>
    <row r="24768" spans="5:5">
      <c r="E24768" s="51"/>
    </row>
    <row r="24769" spans="5:5">
      <c r="E24769" s="51"/>
    </row>
    <row r="24770" spans="5:5">
      <c r="E24770" s="51"/>
    </row>
    <row r="24771" spans="5:5">
      <c r="E24771" s="51"/>
    </row>
    <row r="24772" spans="5:5">
      <c r="E24772" s="51"/>
    </row>
    <row r="24773" spans="5:5">
      <c r="E24773" s="51"/>
    </row>
    <row r="24774" spans="5:5">
      <c r="E24774" s="51"/>
    </row>
    <row r="24775" spans="5:5">
      <c r="E24775" s="51"/>
    </row>
    <row r="24776" spans="5:5">
      <c r="E24776" s="51"/>
    </row>
    <row r="24777" spans="5:5">
      <c r="E24777" s="51"/>
    </row>
    <row r="24778" spans="5:5">
      <c r="E24778" s="51"/>
    </row>
    <row r="24779" spans="5:5">
      <c r="E24779" s="51"/>
    </row>
    <row r="24780" spans="5:5">
      <c r="E24780" s="51"/>
    </row>
    <row r="24781" spans="5:5">
      <c r="E24781" s="51"/>
    </row>
    <row r="24782" spans="5:5">
      <c r="E24782" s="51"/>
    </row>
    <row r="24783" spans="5:5">
      <c r="E24783" s="51"/>
    </row>
    <row r="24784" spans="5:5">
      <c r="E24784" s="51"/>
    </row>
    <row r="24785" spans="5:5">
      <c r="E24785" s="51"/>
    </row>
    <row r="24786" spans="5:5">
      <c r="E24786" s="51"/>
    </row>
    <row r="24787" spans="5:5">
      <c r="E24787" s="51"/>
    </row>
    <row r="24788" spans="5:5">
      <c r="E24788" s="51"/>
    </row>
    <row r="24789" spans="5:5">
      <c r="E24789" s="51"/>
    </row>
    <row r="24790" spans="5:5">
      <c r="E24790" s="51"/>
    </row>
    <row r="24791" spans="5:5">
      <c r="E24791" s="51"/>
    </row>
    <row r="24792" spans="5:5">
      <c r="E24792" s="51"/>
    </row>
    <row r="24793" spans="5:5">
      <c r="E24793" s="51"/>
    </row>
    <row r="24794" spans="5:5">
      <c r="E24794" s="51"/>
    </row>
    <row r="24795" spans="5:5">
      <c r="E24795" s="51"/>
    </row>
    <row r="24796" spans="5:5">
      <c r="E24796" s="51"/>
    </row>
    <row r="24797" spans="5:5">
      <c r="E24797" s="51"/>
    </row>
    <row r="24798" spans="5:5">
      <c r="E24798" s="51"/>
    </row>
    <row r="24799" spans="5:5">
      <c r="E24799" s="51"/>
    </row>
    <row r="24800" spans="5:5">
      <c r="E24800" s="51"/>
    </row>
    <row r="24801" spans="5:5">
      <c r="E24801" s="51"/>
    </row>
    <row r="24802" spans="5:5">
      <c r="E24802" s="51"/>
    </row>
    <row r="24803" spans="5:5">
      <c r="E24803" s="51"/>
    </row>
    <row r="24804" spans="5:5">
      <c r="E24804" s="51"/>
    </row>
    <row r="24805" spans="5:5">
      <c r="E24805" s="51"/>
    </row>
    <row r="24806" spans="5:5">
      <c r="E24806" s="51"/>
    </row>
    <row r="24807" spans="5:5">
      <c r="E24807" s="51"/>
    </row>
    <row r="24808" spans="5:5">
      <c r="E24808" s="51"/>
    </row>
    <row r="24809" spans="5:5">
      <c r="E24809" s="51"/>
    </row>
    <row r="24810" spans="5:5">
      <c r="E24810" s="51"/>
    </row>
    <row r="24811" spans="5:5">
      <c r="E24811" s="51"/>
    </row>
    <row r="24812" spans="5:5">
      <c r="E24812" s="51"/>
    </row>
    <row r="24813" spans="5:5">
      <c r="E24813" s="51"/>
    </row>
    <row r="24814" spans="5:5">
      <c r="E24814" s="51"/>
    </row>
    <row r="24815" spans="5:5">
      <c r="E24815" s="51"/>
    </row>
    <row r="24816" spans="5:5">
      <c r="E24816" s="51"/>
    </row>
    <row r="24817" spans="5:5">
      <c r="E24817" s="51"/>
    </row>
    <row r="24818" spans="5:5">
      <c r="E24818" s="51"/>
    </row>
    <row r="24819" spans="5:5">
      <c r="E24819" s="51"/>
    </row>
    <row r="24820" spans="5:5">
      <c r="E24820" s="51"/>
    </row>
    <row r="24821" spans="5:5">
      <c r="E24821" s="51"/>
    </row>
    <row r="24822" spans="5:5">
      <c r="E24822" s="51"/>
    </row>
    <row r="24823" spans="5:5">
      <c r="E24823" s="51"/>
    </row>
    <row r="24824" spans="5:5">
      <c r="E24824" s="51"/>
    </row>
    <row r="24825" spans="5:5">
      <c r="E24825" s="51"/>
    </row>
    <row r="24826" spans="5:5">
      <c r="E24826" s="51"/>
    </row>
    <row r="24827" spans="5:5">
      <c r="E24827" s="51"/>
    </row>
    <row r="24828" spans="5:5">
      <c r="E24828" s="51"/>
    </row>
    <row r="24829" spans="5:5">
      <c r="E24829" s="51"/>
    </row>
    <row r="24830" spans="5:5">
      <c r="E24830" s="51"/>
    </row>
    <row r="24831" spans="5:5">
      <c r="E24831" s="51"/>
    </row>
    <row r="24832" spans="5:5">
      <c r="E24832" s="51"/>
    </row>
    <row r="24833" spans="5:5">
      <c r="E24833" s="51"/>
    </row>
    <row r="24834" spans="5:5">
      <c r="E24834" s="51"/>
    </row>
    <row r="24835" spans="5:5">
      <c r="E24835" s="51"/>
    </row>
    <row r="24836" spans="5:5">
      <c r="E24836" s="51"/>
    </row>
    <row r="24837" spans="5:5">
      <c r="E24837" s="51"/>
    </row>
    <row r="24838" spans="5:5">
      <c r="E24838" s="51"/>
    </row>
    <row r="24839" spans="5:5">
      <c r="E24839" s="51"/>
    </row>
    <row r="24840" spans="5:5">
      <c r="E24840" s="51"/>
    </row>
    <row r="24841" spans="5:5">
      <c r="E24841" s="51"/>
    </row>
    <row r="24842" spans="5:5">
      <c r="E24842" s="51"/>
    </row>
    <row r="24843" spans="5:5">
      <c r="E24843" s="51"/>
    </row>
    <row r="24844" spans="5:5">
      <c r="E24844" s="51"/>
    </row>
    <row r="24845" spans="5:5">
      <c r="E24845" s="51"/>
    </row>
    <row r="24846" spans="5:5">
      <c r="E24846" s="51"/>
    </row>
    <row r="24847" spans="5:5">
      <c r="E24847" s="51"/>
    </row>
    <row r="24848" spans="5:5">
      <c r="E24848" s="51"/>
    </row>
    <row r="24849" spans="5:5">
      <c r="E24849" s="51"/>
    </row>
    <row r="24850" spans="5:5">
      <c r="E24850" s="51"/>
    </row>
    <row r="24851" spans="5:5">
      <c r="E24851" s="51"/>
    </row>
    <row r="24852" spans="5:5">
      <c r="E24852" s="51"/>
    </row>
    <row r="24853" spans="5:5">
      <c r="E24853" s="51"/>
    </row>
    <row r="24854" spans="5:5">
      <c r="E24854" s="51"/>
    </row>
    <row r="24855" spans="5:5">
      <c r="E24855" s="51"/>
    </row>
    <row r="24856" spans="5:5">
      <c r="E24856" s="51"/>
    </row>
    <row r="24857" spans="5:5">
      <c r="E24857" s="51"/>
    </row>
    <row r="24858" spans="5:5">
      <c r="E24858" s="51"/>
    </row>
    <row r="24859" spans="5:5">
      <c r="E24859" s="51"/>
    </row>
    <row r="24860" spans="5:5">
      <c r="E24860" s="51"/>
    </row>
    <row r="24861" spans="5:5">
      <c r="E24861" s="51"/>
    </row>
    <row r="24862" spans="5:5">
      <c r="E24862" s="51"/>
    </row>
    <row r="24863" spans="5:5">
      <c r="E24863" s="51"/>
    </row>
    <row r="24864" spans="5:5">
      <c r="E24864" s="51"/>
    </row>
    <row r="24865" spans="5:5">
      <c r="E24865" s="51"/>
    </row>
    <row r="24866" spans="5:5">
      <c r="E24866" s="51"/>
    </row>
    <row r="24867" spans="5:5">
      <c r="E24867" s="51"/>
    </row>
    <row r="24868" spans="5:5">
      <c r="E24868" s="51"/>
    </row>
    <row r="24869" spans="5:5">
      <c r="E24869" s="51"/>
    </row>
    <row r="24870" spans="5:5">
      <c r="E24870" s="51"/>
    </row>
    <row r="24871" spans="5:5">
      <c r="E24871" s="51"/>
    </row>
    <row r="24872" spans="5:5">
      <c r="E24872" s="51"/>
    </row>
    <row r="24873" spans="5:5">
      <c r="E24873" s="51"/>
    </row>
    <row r="24874" spans="5:5">
      <c r="E24874" s="51"/>
    </row>
    <row r="24875" spans="5:5">
      <c r="E24875" s="51"/>
    </row>
    <row r="24876" spans="5:5">
      <c r="E24876" s="51"/>
    </row>
    <row r="24877" spans="5:5">
      <c r="E24877" s="51"/>
    </row>
    <row r="24878" spans="5:5">
      <c r="E24878" s="51"/>
    </row>
    <row r="24879" spans="5:5">
      <c r="E24879" s="51"/>
    </row>
    <row r="24880" spans="5:5">
      <c r="E24880" s="51"/>
    </row>
    <row r="24881" spans="5:5">
      <c r="E24881" s="51"/>
    </row>
    <row r="24882" spans="5:5">
      <c r="E24882" s="51"/>
    </row>
    <row r="24883" spans="5:5">
      <c r="E24883" s="51"/>
    </row>
    <row r="24884" spans="5:5">
      <c r="E24884" s="51"/>
    </row>
    <row r="24885" spans="5:5">
      <c r="E24885" s="51"/>
    </row>
    <row r="24886" spans="5:5">
      <c r="E24886" s="51"/>
    </row>
    <row r="24887" spans="5:5">
      <c r="E24887" s="51"/>
    </row>
    <row r="24888" spans="5:5">
      <c r="E24888" s="51"/>
    </row>
    <row r="24889" spans="5:5">
      <c r="E24889" s="51"/>
    </row>
    <row r="24890" spans="5:5">
      <c r="E24890" s="51"/>
    </row>
    <row r="24891" spans="5:5">
      <c r="E24891" s="51"/>
    </row>
    <row r="24892" spans="5:5">
      <c r="E24892" s="51"/>
    </row>
    <row r="24893" spans="5:5">
      <c r="E24893" s="51"/>
    </row>
    <row r="24894" spans="5:5">
      <c r="E24894" s="51"/>
    </row>
    <row r="24895" spans="5:5">
      <c r="E24895" s="51"/>
    </row>
    <row r="24896" spans="5:5">
      <c r="E24896" s="51"/>
    </row>
    <row r="24897" spans="5:5">
      <c r="E24897" s="51"/>
    </row>
    <row r="24898" spans="5:5">
      <c r="E24898" s="51"/>
    </row>
    <row r="24899" spans="5:5">
      <c r="E24899" s="51"/>
    </row>
    <row r="24900" spans="5:5">
      <c r="E24900" s="51"/>
    </row>
    <row r="24901" spans="5:5">
      <c r="E24901" s="51"/>
    </row>
    <row r="24902" spans="5:5">
      <c r="E24902" s="51"/>
    </row>
    <row r="24903" spans="5:5">
      <c r="E24903" s="51"/>
    </row>
    <row r="24904" spans="5:5">
      <c r="E24904" s="51"/>
    </row>
    <row r="24905" spans="5:5">
      <c r="E24905" s="51"/>
    </row>
    <row r="24906" spans="5:5">
      <c r="E24906" s="51"/>
    </row>
    <row r="24907" spans="5:5">
      <c r="E24907" s="51"/>
    </row>
    <row r="24908" spans="5:5">
      <c r="E24908" s="51"/>
    </row>
    <row r="24909" spans="5:5">
      <c r="E24909" s="51"/>
    </row>
    <row r="24910" spans="5:5">
      <c r="E24910" s="51"/>
    </row>
    <row r="24911" spans="5:5">
      <c r="E24911" s="51"/>
    </row>
    <row r="24912" spans="5:5">
      <c r="E24912" s="51"/>
    </row>
    <row r="24913" spans="5:5">
      <c r="E24913" s="51"/>
    </row>
    <row r="24914" spans="5:5">
      <c r="E24914" s="51"/>
    </row>
    <row r="24915" spans="5:5">
      <c r="E24915" s="51"/>
    </row>
    <row r="24916" spans="5:5">
      <c r="E24916" s="51"/>
    </row>
    <row r="24917" spans="5:5">
      <c r="E24917" s="51"/>
    </row>
    <row r="24918" spans="5:5">
      <c r="E24918" s="51"/>
    </row>
    <row r="24919" spans="5:5">
      <c r="E24919" s="51"/>
    </row>
    <row r="24920" spans="5:5">
      <c r="E24920" s="51"/>
    </row>
    <row r="24921" spans="5:5">
      <c r="E24921" s="51"/>
    </row>
    <row r="24922" spans="5:5">
      <c r="E24922" s="51"/>
    </row>
    <row r="24923" spans="5:5">
      <c r="E24923" s="51"/>
    </row>
    <row r="24924" spans="5:5">
      <c r="E24924" s="51"/>
    </row>
    <row r="24925" spans="5:5">
      <c r="E24925" s="51"/>
    </row>
    <row r="24926" spans="5:5">
      <c r="E24926" s="51"/>
    </row>
    <row r="24927" spans="5:5">
      <c r="E24927" s="51"/>
    </row>
    <row r="24928" spans="5:5">
      <c r="E24928" s="51"/>
    </row>
    <row r="24929" spans="5:5">
      <c r="E24929" s="51"/>
    </row>
    <row r="24930" spans="5:5">
      <c r="E24930" s="51"/>
    </row>
    <row r="24931" spans="5:5">
      <c r="E24931" s="51"/>
    </row>
    <row r="24932" spans="5:5">
      <c r="E24932" s="51"/>
    </row>
    <row r="24933" spans="5:5">
      <c r="E24933" s="51"/>
    </row>
    <row r="24934" spans="5:5">
      <c r="E24934" s="51"/>
    </row>
    <row r="24935" spans="5:5">
      <c r="E24935" s="51"/>
    </row>
    <row r="24936" spans="5:5">
      <c r="E24936" s="51"/>
    </row>
    <row r="24937" spans="5:5">
      <c r="E24937" s="51"/>
    </row>
    <row r="24938" spans="5:5">
      <c r="E24938" s="51"/>
    </row>
    <row r="24939" spans="5:5">
      <c r="E24939" s="51"/>
    </row>
    <row r="24940" spans="5:5">
      <c r="E24940" s="51"/>
    </row>
    <row r="24941" spans="5:5">
      <c r="E24941" s="51"/>
    </row>
    <row r="24942" spans="5:5">
      <c r="E24942" s="51"/>
    </row>
    <row r="24943" spans="5:5">
      <c r="E24943" s="51"/>
    </row>
    <row r="24944" spans="5:5">
      <c r="E24944" s="51"/>
    </row>
    <row r="24945" spans="5:5">
      <c r="E24945" s="51"/>
    </row>
    <row r="24946" spans="5:5">
      <c r="E24946" s="51"/>
    </row>
    <row r="24947" spans="5:5">
      <c r="E24947" s="51"/>
    </row>
    <row r="24948" spans="5:5">
      <c r="E24948" s="51"/>
    </row>
    <row r="24949" spans="5:5">
      <c r="E24949" s="51"/>
    </row>
    <row r="24950" spans="5:5">
      <c r="E24950" s="51"/>
    </row>
    <row r="24951" spans="5:5">
      <c r="E24951" s="51"/>
    </row>
    <row r="24952" spans="5:5">
      <c r="E24952" s="51"/>
    </row>
    <row r="24953" spans="5:5">
      <c r="E24953" s="51"/>
    </row>
    <row r="24954" spans="5:5">
      <c r="E24954" s="51"/>
    </row>
    <row r="24955" spans="5:5">
      <c r="E24955" s="51"/>
    </row>
    <row r="24956" spans="5:5">
      <c r="E24956" s="51"/>
    </row>
    <row r="24957" spans="5:5">
      <c r="E24957" s="51"/>
    </row>
    <row r="24958" spans="5:5">
      <c r="E24958" s="51"/>
    </row>
    <row r="24959" spans="5:5">
      <c r="E24959" s="51"/>
    </row>
    <row r="24960" spans="5:5">
      <c r="E24960" s="51"/>
    </row>
    <row r="24961" spans="5:5">
      <c r="E24961" s="51"/>
    </row>
    <row r="24962" spans="5:5">
      <c r="E24962" s="51"/>
    </row>
    <row r="24963" spans="5:5">
      <c r="E24963" s="51"/>
    </row>
    <row r="24964" spans="5:5">
      <c r="E24964" s="51"/>
    </row>
    <row r="24965" spans="5:5">
      <c r="E24965" s="51"/>
    </row>
    <row r="24966" spans="5:5">
      <c r="E24966" s="51"/>
    </row>
    <row r="24967" spans="5:5">
      <c r="E24967" s="51"/>
    </row>
    <row r="24968" spans="5:5">
      <c r="E24968" s="51"/>
    </row>
    <row r="24969" spans="5:5">
      <c r="E24969" s="51"/>
    </row>
    <row r="24970" spans="5:5">
      <c r="E24970" s="51"/>
    </row>
    <row r="24971" spans="5:5">
      <c r="E24971" s="51"/>
    </row>
    <row r="24972" spans="5:5">
      <c r="E24972" s="51"/>
    </row>
    <row r="24973" spans="5:5">
      <c r="E24973" s="51"/>
    </row>
    <row r="24974" spans="5:5">
      <c r="E24974" s="51"/>
    </row>
    <row r="24975" spans="5:5">
      <c r="E24975" s="51"/>
    </row>
    <row r="24976" spans="5:5">
      <c r="E24976" s="51"/>
    </row>
    <row r="24977" spans="5:5">
      <c r="E24977" s="51"/>
    </row>
    <row r="24978" spans="5:5">
      <c r="E24978" s="51"/>
    </row>
    <row r="24979" spans="5:5">
      <c r="E24979" s="51"/>
    </row>
    <row r="24980" spans="5:5">
      <c r="E24980" s="51"/>
    </row>
    <row r="24981" spans="5:5">
      <c r="E24981" s="51"/>
    </row>
    <row r="24982" spans="5:5">
      <c r="E24982" s="51"/>
    </row>
    <row r="24983" spans="5:5">
      <c r="E24983" s="51"/>
    </row>
    <row r="24984" spans="5:5">
      <c r="E24984" s="51"/>
    </row>
    <row r="24985" spans="5:5">
      <c r="E24985" s="51"/>
    </row>
    <row r="24986" spans="5:5">
      <c r="E24986" s="51"/>
    </row>
    <row r="24987" spans="5:5">
      <c r="E24987" s="51"/>
    </row>
    <row r="24988" spans="5:5">
      <c r="E24988" s="51"/>
    </row>
    <row r="24989" spans="5:5">
      <c r="E24989" s="51"/>
    </row>
    <row r="24990" spans="5:5">
      <c r="E24990" s="51"/>
    </row>
    <row r="24991" spans="5:5">
      <c r="E24991" s="51"/>
    </row>
    <row r="24992" spans="5:5">
      <c r="E24992" s="51"/>
    </row>
    <row r="24993" spans="5:5">
      <c r="E24993" s="51"/>
    </row>
    <row r="24994" spans="5:5">
      <c r="E24994" s="51"/>
    </row>
    <row r="24995" spans="5:5">
      <c r="E24995" s="51"/>
    </row>
    <row r="24996" spans="5:5">
      <c r="E24996" s="51"/>
    </row>
    <row r="24997" spans="5:5">
      <c r="E24997" s="51"/>
    </row>
    <row r="24998" spans="5:5">
      <c r="E24998" s="51"/>
    </row>
    <row r="24999" spans="5:5">
      <c r="E24999" s="51"/>
    </row>
    <row r="25000" spans="5:5">
      <c r="E25000" s="51"/>
    </row>
    <row r="25001" spans="5:5">
      <c r="E25001" s="51"/>
    </row>
    <row r="25002" spans="5:5">
      <c r="E25002" s="51"/>
    </row>
    <row r="25003" spans="5:5">
      <c r="E25003" s="51"/>
    </row>
    <row r="25004" spans="5:5">
      <c r="E25004" s="51"/>
    </row>
    <row r="25005" spans="5:5">
      <c r="E25005" s="51"/>
    </row>
    <row r="25006" spans="5:5">
      <c r="E25006" s="51"/>
    </row>
    <row r="25007" spans="5:5">
      <c r="E25007" s="51"/>
    </row>
    <row r="25008" spans="5:5">
      <c r="E25008" s="51"/>
    </row>
    <row r="25009" spans="5:5">
      <c r="E25009" s="51"/>
    </row>
    <row r="25010" spans="5:5">
      <c r="E25010" s="51"/>
    </row>
    <row r="25011" spans="5:5">
      <c r="E25011" s="51"/>
    </row>
    <row r="25012" spans="5:5">
      <c r="E25012" s="51"/>
    </row>
    <row r="25013" spans="5:5">
      <c r="E25013" s="51"/>
    </row>
    <row r="25014" spans="5:5">
      <c r="E25014" s="51"/>
    </row>
    <row r="25015" spans="5:5">
      <c r="E25015" s="51"/>
    </row>
    <row r="25016" spans="5:5">
      <c r="E25016" s="51"/>
    </row>
    <row r="25017" spans="5:5">
      <c r="E25017" s="51"/>
    </row>
    <row r="25018" spans="5:5">
      <c r="E25018" s="51"/>
    </row>
    <row r="25019" spans="5:5">
      <c r="E25019" s="51"/>
    </row>
    <row r="25020" spans="5:5">
      <c r="E25020" s="51"/>
    </row>
    <row r="25021" spans="5:5">
      <c r="E25021" s="51"/>
    </row>
    <row r="25022" spans="5:5">
      <c r="E25022" s="51"/>
    </row>
    <row r="25023" spans="5:5">
      <c r="E25023" s="51"/>
    </row>
    <row r="25024" spans="5:5">
      <c r="E25024" s="51"/>
    </row>
    <row r="25025" spans="5:5">
      <c r="E25025" s="51"/>
    </row>
    <row r="25026" spans="5:5">
      <c r="E25026" s="51"/>
    </row>
    <row r="25027" spans="5:5">
      <c r="E25027" s="51"/>
    </row>
    <row r="25028" spans="5:5">
      <c r="E25028" s="51"/>
    </row>
    <row r="25029" spans="5:5">
      <c r="E25029" s="51"/>
    </row>
    <row r="25030" spans="5:5">
      <c r="E25030" s="51"/>
    </row>
    <row r="25031" spans="5:5">
      <c r="E25031" s="51"/>
    </row>
    <row r="25032" spans="5:5">
      <c r="E25032" s="51"/>
    </row>
    <row r="25033" spans="5:5">
      <c r="E25033" s="51"/>
    </row>
    <row r="25034" spans="5:5">
      <c r="E25034" s="51"/>
    </row>
    <row r="25035" spans="5:5">
      <c r="E25035" s="51"/>
    </row>
    <row r="25036" spans="5:5">
      <c r="E25036" s="51"/>
    </row>
    <row r="25037" spans="5:5">
      <c r="E25037" s="51"/>
    </row>
    <row r="25038" spans="5:5">
      <c r="E25038" s="51"/>
    </row>
    <row r="25039" spans="5:5">
      <c r="E25039" s="51"/>
    </row>
    <row r="25040" spans="5:5">
      <c r="E25040" s="51"/>
    </row>
    <row r="25041" spans="5:5">
      <c r="E25041" s="51"/>
    </row>
    <row r="25042" spans="5:5">
      <c r="E25042" s="51"/>
    </row>
    <row r="25043" spans="5:5">
      <c r="E25043" s="51"/>
    </row>
    <row r="25044" spans="5:5">
      <c r="E25044" s="51"/>
    </row>
    <row r="25045" spans="5:5">
      <c r="E25045" s="51"/>
    </row>
    <row r="25046" spans="5:5">
      <c r="E25046" s="51"/>
    </row>
    <row r="25047" spans="5:5">
      <c r="E25047" s="51"/>
    </row>
    <row r="25048" spans="5:5">
      <c r="E25048" s="51"/>
    </row>
    <row r="25049" spans="5:5">
      <c r="E25049" s="51"/>
    </row>
    <row r="25050" spans="5:5">
      <c r="E25050" s="51"/>
    </row>
    <row r="25051" spans="5:5">
      <c r="E25051" s="51"/>
    </row>
    <row r="25052" spans="5:5">
      <c r="E25052" s="51"/>
    </row>
    <row r="25053" spans="5:5">
      <c r="E25053" s="51"/>
    </row>
    <row r="25054" spans="5:5">
      <c r="E25054" s="51"/>
    </row>
    <row r="25055" spans="5:5">
      <c r="E25055" s="51"/>
    </row>
    <row r="25056" spans="5:5">
      <c r="E25056" s="51"/>
    </row>
    <row r="25057" spans="5:5">
      <c r="E25057" s="51"/>
    </row>
    <row r="25058" spans="5:5">
      <c r="E25058" s="51"/>
    </row>
    <row r="25059" spans="5:5">
      <c r="E25059" s="51"/>
    </row>
    <row r="25060" spans="5:5">
      <c r="E25060" s="51"/>
    </row>
    <row r="25061" spans="5:5">
      <c r="E25061" s="51"/>
    </row>
    <row r="25062" spans="5:5">
      <c r="E25062" s="51"/>
    </row>
    <row r="25063" spans="5:5">
      <c r="E25063" s="51"/>
    </row>
    <row r="25064" spans="5:5">
      <c r="E25064" s="51"/>
    </row>
    <row r="25065" spans="5:5">
      <c r="E25065" s="51"/>
    </row>
    <row r="25066" spans="5:5">
      <c r="E25066" s="51"/>
    </row>
    <row r="25067" spans="5:5">
      <c r="E25067" s="51"/>
    </row>
    <row r="25068" spans="5:5">
      <c r="E25068" s="51"/>
    </row>
    <row r="25069" spans="5:5">
      <c r="E25069" s="51"/>
    </row>
    <row r="25070" spans="5:5">
      <c r="E25070" s="51"/>
    </row>
    <row r="25071" spans="5:5">
      <c r="E25071" s="51"/>
    </row>
    <row r="25072" spans="5:5">
      <c r="E25072" s="51"/>
    </row>
    <row r="25073" spans="5:5">
      <c r="E25073" s="51"/>
    </row>
    <row r="25074" spans="5:5">
      <c r="E25074" s="51"/>
    </row>
    <row r="25075" spans="5:5">
      <c r="E25075" s="51"/>
    </row>
    <row r="25076" spans="5:5">
      <c r="E25076" s="51"/>
    </row>
    <row r="25077" spans="5:5">
      <c r="E25077" s="51"/>
    </row>
    <row r="25078" spans="5:5">
      <c r="E25078" s="51"/>
    </row>
    <row r="25079" spans="5:5">
      <c r="E25079" s="51"/>
    </row>
    <row r="25080" spans="5:5">
      <c r="E25080" s="51"/>
    </row>
    <row r="25081" spans="5:5">
      <c r="E25081" s="51"/>
    </row>
    <row r="25082" spans="5:5">
      <c r="E25082" s="51"/>
    </row>
    <row r="25083" spans="5:5">
      <c r="E25083" s="51"/>
    </row>
    <row r="25084" spans="5:5">
      <c r="E25084" s="51"/>
    </row>
    <row r="25085" spans="5:5">
      <c r="E25085" s="51"/>
    </row>
    <row r="25086" spans="5:5">
      <c r="E25086" s="51"/>
    </row>
    <row r="25087" spans="5:5">
      <c r="E25087" s="51"/>
    </row>
    <row r="25088" spans="5:5">
      <c r="E25088" s="51"/>
    </row>
    <row r="25089" spans="5:5">
      <c r="E25089" s="51"/>
    </row>
    <row r="25090" spans="5:5">
      <c r="E25090" s="51"/>
    </row>
    <row r="25091" spans="5:5">
      <c r="E25091" s="51"/>
    </row>
    <row r="25092" spans="5:5">
      <c r="E25092" s="51"/>
    </row>
    <row r="25093" spans="5:5">
      <c r="E25093" s="51"/>
    </row>
    <row r="25094" spans="5:5">
      <c r="E25094" s="51"/>
    </row>
    <row r="25095" spans="5:5">
      <c r="E25095" s="51"/>
    </row>
    <row r="25096" spans="5:5">
      <c r="E25096" s="51"/>
    </row>
    <row r="25097" spans="5:5">
      <c r="E25097" s="51"/>
    </row>
    <row r="25098" spans="5:5">
      <c r="E25098" s="51"/>
    </row>
    <row r="25099" spans="5:5">
      <c r="E25099" s="51"/>
    </row>
    <row r="25100" spans="5:5">
      <c r="E25100" s="51"/>
    </row>
    <row r="25101" spans="5:5">
      <c r="E25101" s="51"/>
    </row>
    <row r="25102" spans="5:5">
      <c r="E25102" s="51"/>
    </row>
    <row r="25103" spans="5:5">
      <c r="E25103" s="51"/>
    </row>
    <row r="25104" spans="5:5">
      <c r="E25104" s="51"/>
    </row>
    <row r="25105" spans="5:5">
      <c r="E25105" s="51"/>
    </row>
    <row r="25106" spans="5:5">
      <c r="E25106" s="51"/>
    </row>
    <row r="25107" spans="5:5">
      <c r="E25107" s="51"/>
    </row>
    <row r="25108" spans="5:5">
      <c r="E25108" s="51"/>
    </row>
    <row r="25109" spans="5:5">
      <c r="E25109" s="51"/>
    </row>
    <row r="25110" spans="5:5">
      <c r="E25110" s="51"/>
    </row>
    <row r="25111" spans="5:5">
      <c r="E25111" s="51"/>
    </row>
    <row r="25112" spans="5:5">
      <c r="E25112" s="51"/>
    </row>
    <row r="25113" spans="5:5">
      <c r="E25113" s="51"/>
    </row>
    <row r="25114" spans="5:5">
      <c r="E25114" s="51"/>
    </row>
    <row r="25115" spans="5:5">
      <c r="E25115" s="51"/>
    </row>
    <row r="25116" spans="5:5">
      <c r="E25116" s="51"/>
    </row>
    <row r="25117" spans="5:5">
      <c r="E25117" s="51"/>
    </row>
    <row r="25118" spans="5:5">
      <c r="E25118" s="51"/>
    </row>
    <row r="25119" spans="5:5">
      <c r="E25119" s="51"/>
    </row>
    <row r="25120" spans="5:5">
      <c r="E25120" s="51"/>
    </row>
    <row r="25121" spans="5:5">
      <c r="E25121" s="51"/>
    </row>
    <row r="25122" spans="5:5">
      <c r="E25122" s="51"/>
    </row>
    <row r="25123" spans="5:5">
      <c r="E25123" s="51"/>
    </row>
    <row r="25124" spans="5:5">
      <c r="E25124" s="51"/>
    </row>
    <row r="25125" spans="5:5">
      <c r="E25125" s="51"/>
    </row>
    <row r="25126" spans="5:5">
      <c r="E25126" s="51"/>
    </row>
    <row r="25127" spans="5:5">
      <c r="E25127" s="51"/>
    </row>
    <row r="25128" spans="5:5">
      <c r="E25128" s="51"/>
    </row>
    <row r="25129" spans="5:5">
      <c r="E25129" s="51"/>
    </row>
    <row r="25130" spans="5:5">
      <c r="E25130" s="51"/>
    </row>
    <row r="25131" spans="5:5">
      <c r="E25131" s="51"/>
    </row>
    <row r="25132" spans="5:5">
      <c r="E25132" s="51"/>
    </row>
    <row r="25133" spans="5:5">
      <c r="E25133" s="51"/>
    </row>
    <row r="25134" spans="5:5">
      <c r="E25134" s="51"/>
    </row>
    <row r="25135" spans="5:5">
      <c r="E25135" s="51"/>
    </row>
    <row r="25136" spans="5:5">
      <c r="E25136" s="51"/>
    </row>
    <row r="25137" spans="5:5">
      <c r="E25137" s="51"/>
    </row>
    <row r="25138" spans="5:5">
      <c r="E25138" s="51"/>
    </row>
    <row r="25139" spans="5:5">
      <c r="E25139" s="51"/>
    </row>
    <row r="25140" spans="5:5">
      <c r="E25140" s="51"/>
    </row>
    <row r="25141" spans="5:5">
      <c r="E25141" s="51"/>
    </row>
    <row r="25142" spans="5:5">
      <c r="E25142" s="51"/>
    </row>
    <row r="25143" spans="5:5">
      <c r="E25143" s="51"/>
    </row>
    <row r="25144" spans="5:5">
      <c r="E25144" s="51"/>
    </row>
    <row r="25145" spans="5:5">
      <c r="E25145" s="51"/>
    </row>
    <row r="25146" spans="5:5">
      <c r="E25146" s="51"/>
    </row>
    <row r="25147" spans="5:5">
      <c r="E25147" s="51"/>
    </row>
    <row r="25148" spans="5:5">
      <c r="E25148" s="51"/>
    </row>
    <row r="25149" spans="5:5">
      <c r="E25149" s="51"/>
    </row>
    <row r="25150" spans="5:5">
      <c r="E25150" s="51"/>
    </row>
    <row r="25151" spans="5:5">
      <c r="E25151" s="51"/>
    </row>
    <row r="25152" spans="5:5">
      <c r="E25152" s="51"/>
    </row>
    <row r="25153" spans="5:5">
      <c r="E25153" s="51"/>
    </row>
    <row r="25154" spans="5:5">
      <c r="E25154" s="51"/>
    </row>
    <row r="25155" spans="5:5">
      <c r="E25155" s="51"/>
    </row>
    <row r="25156" spans="5:5">
      <c r="E25156" s="51"/>
    </row>
    <row r="25157" spans="5:5">
      <c r="E25157" s="51"/>
    </row>
    <row r="25158" spans="5:5">
      <c r="E25158" s="51"/>
    </row>
    <row r="25159" spans="5:5">
      <c r="E25159" s="51"/>
    </row>
    <row r="25160" spans="5:5">
      <c r="E25160" s="51"/>
    </row>
    <row r="25161" spans="5:5">
      <c r="E25161" s="51"/>
    </row>
    <row r="25162" spans="5:5">
      <c r="E25162" s="51"/>
    </row>
    <row r="25163" spans="5:5">
      <c r="E25163" s="51"/>
    </row>
    <row r="25164" spans="5:5">
      <c r="E25164" s="51"/>
    </row>
    <row r="25165" spans="5:5">
      <c r="E25165" s="51"/>
    </row>
    <row r="25166" spans="5:5">
      <c r="E25166" s="51"/>
    </row>
    <row r="25167" spans="5:5">
      <c r="E25167" s="51"/>
    </row>
    <row r="25168" spans="5:5">
      <c r="E25168" s="51"/>
    </row>
    <row r="25169" spans="5:5">
      <c r="E25169" s="51"/>
    </row>
    <row r="25170" spans="5:5">
      <c r="E25170" s="51"/>
    </row>
    <row r="25171" spans="5:5">
      <c r="E25171" s="51"/>
    </row>
    <row r="25172" spans="5:5">
      <c r="E25172" s="51"/>
    </row>
    <row r="25173" spans="5:5">
      <c r="E25173" s="51"/>
    </row>
    <row r="25174" spans="5:5">
      <c r="E25174" s="51"/>
    </row>
    <row r="25175" spans="5:5">
      <c r="E25175" s="51"/>
    </row>
    <row r="25176" spans="5:5">
      <c r="E25176" s="51"/>
    </row>
    <row r="25177" spans="5:5">
      <c r="E25177" s="51"/>
    </row>
    <row r="25178" spans="5:5">
      <c r="E25178" s="51"/>
    </row>
    <row r="25179" spans="5:5">
      <c r="E25179" s="51"/>
    </row>
    <row r="25180" spans="5:5">
      <c r="E25180" s="51"/>
    </row>
    <row r="25181" spans="5:5">
      <c r="E25181" s="51"/>
    </row>
    <row r="25182" spans="5:5">
      <c r="E25182" s="51"/>
    </row>
    <row r="25183" spans="5:5">
      <c r="E25183" s="51"/>
    </row>
    <row r="25184" spans="5:5">
      <c r="E25184" s="51"/>
    </row>
    <row r="25185" spans="5:5">
      <c r="E25185" s="51"/>
    </row>
    <row r="25186" spans="5:5">
      <c r="E25186" s="51"/>
    </row>
    <row r="25187" spans="5:5">
      <c r="E25187" s="51"/>
    </row>
    <row r="25188" spans="5:5">
      <c r="E25188" s="51"/>
    </row>
    <row r="25189" spans="5:5">
      <c r="E25189" s="51"/>
    </row>
    <row r="25190" spans="5:5">
      <c r="E25190" s="51"/>
    </row>
    <row r="25191" spans="5:5">
      <c r="E25191" s="51"/>
    </row>
    <row r="25192" spans="5:5">
      <c r="E25192" s="51"/>
    </row>
    <row r="25193" spans="5:5">
      <c r="E25193" s="51"/>
    </row>
    <row r="25194" spans="5:5">
      <c r="E25194" s="51"/>
    </row>
    <row r="25195" spans="5:5">
      <c r="E25195" s="51"/>
    </row>
    <row r="25196" spans="5:5">
      <c r="E25196" s="51"/>
    </row>
    <row r="25197" spans="5:5">
      <c r="E25197" s="51"/>
    </row>
    <row r="25198" spans="5:5">
      <c r="E25198" s="51"/>
    </row>
    <row r="25199" spans="5:5">
      <c r="E25199" s="51"/>
    </row>
    <row r="25200" spans="5:5">
      <c r="E25200" s="51"/>
    </row>
    <row r="25201" spans="5:5">
      <c r="E25201" s="51"/>
    </row>
    <row r="25202" spans="5:5">
      <c r="E25202" s="51"/>
    </row>
    <row r="25203" spans="5:5">
      <c r="E25203" s="51"/>
    </row>
    <row r="25204" spans="5:5">
      <c r="E25204" s="51"/>
    </row>
    <row r="25205" spans="5:5">
      <c r="E25205" s="51"/>
    </row>
    <row r="25206" spans="5:5">
      <c r="E25206" s="51"/>
    </row>
    <row r="25207" spans="5:5">
      <c r="E25207" s="51"/>
    </row>
    <row r="25208" spans="5:5">
      <c r="E25208" s="51"/>
    </row>
    <row r="25209" spans="5:5">
      <c r="E25209" s="51"/>
    </row>
    <row r="25210" spans="5:5">
      <c r="E25210" s="51"/>
    </row>
    <row r="25211" spans="5:5">
      <c r="E25211" s="51"/>
    </row>
    <row r="25212" spans="5:5">
      <c r="E25212" s="51"/>
    </row>
    <row r="25213" spans="5:5">
      <c r="E25213" s="51"/>
    </row>
    <row r="25214" spans="5:5">
      <c r="E25214" s="51"/>
    </row>
    <row r="25215" spans="5:5">
      <c r="E25215" s="51"/>
    </row>
    <row r="25216" spans="5:5">
      <c r="E25216" s="51"/>
    </row>
    <row r="25217" spans="5:5">
      <c r="E25217" s="51"/>
    </row>
    <row r="25218" spans="5:5">
      <c r="E25218" s="51"/>
    </row>
    <row r="25219" spans="5:5">
      <c r="E25219" s="51"/>
    </row>
    <row r="25220" spans="5:5">
      <c r="E25220" s="51"/>
    </row>
    <row r="25221" spans="5:5">
      <c r="E25221" s="51"/>
    </row>
    <row r="25222" spans="5:5">
      <c r="E25222" s="51"/>
    </row>
    <row r="25223" spans="5:5">
      <c r="E25223" s="51"/>
    </row>
    <row r="25224" spans="5:5">
      <c r="E25224" s="51"/>
    </row>
    <row r="25225" spans="5:5">
      <c r="E25225" s="51"/>
    </row>
    <row r="25226" spans="5:5">
      <c r="E25226" s="51"/>
    </row>
    <row r="25227" spans="5:5">
      <c r="E25227" s="51"/>
    </row>
    <row r="25228" spans="5:5">
      <c r="E25228" s="51"/>
    </row>
    <row r="25229" spans="5:5">
      <c r="E25229" s="51"/>
    </row>
    <row r="25230" spans="5:5">
      <c r="E25230" s="51"/>
    </row>
    <row r="25231" spans="5:5">
      <c r="E25231" s="51"/>
    </row>
    <row r="25232" spans="5:5">
      <c r="E25232" s="51"/>
    </row>
    <row r="25233" spans="5:5">
      <c r="E25233" s="51"/>
    </row>
    <row r="25234" spans="5:5">
      <c r="E25234" s="51"/>
    </row>
    <row r="25235" spans="5:5">
      <c r="E25235" s="51"/>
    </row>
    <row r="25236" spans="5:5">
      <c r="E25236" s="51"/>
    </row>
    <row r="25237" spans="5:5">
      <c r="E25237" s="51"/>
    </row>
    <row r="25238" spans="5:5">
      <c r="E25238" s="51"/>
    </row>
    <row r="25239" spans="5:5">
      <c r="E25239" s="51"/>
    </row>
    <row r="25240" spans="5:5">
      <c r="E25240" s="51"/>
    </row>
    <row r="25241" spans="5:5">
      <c r="E25241" s="51"/>
    </row>
    <row r="25242" spans="5:5">
      <c r="E25242" s="51"/>
    </row>
    <row r="25243" spans="5:5">
      <c r="E25243" s="51"/>
    </row>
    <row r="25244" spans="5:5">
      <c r="E25244" s="51"/>
    </row>
    <row r="25245" spans="5:5">
      <c r="E25245" s="51"/>
    </row>
    <row r="25246" spans="5:5">
      <c r="E25246" s="51"/>
    </row>
    <row r="25247" spans="5:5">
      <c r="E25247" s="51"/>
    </row>
    <row r="25248" spans="5:5">
      <c r="E25248" s="51"/>
    </row>
    <row r="25249" spans="5:5">
      <c r="E25249" s="51"/>
    </row>
    <row r="25250" spans="5:5">
      <c r="E25250" s="51"/>
    </row>
    <row r="25251" spans="5:5">
      <c r="E25251" s="51"/>
    </row>
    <row r="25252" spans="5:5">
      <c r="E25252" s="51"/>
    </row>
    <row r="25253" spans="5:5">
      <c r="E25253" s="51"/>
    </row>
    <row r="25254" spans="5:5">
      <c r="E25254" s="51"/>
    </row>
    <row r="25255" spans="5:5">
      <c r="E25255" s="51"/>
    </row>
    <row r="25256" spans="5:5">
      <c r="E25256" s="51"/>
    </row>
    <row r="25257" spans="5:5">
      <c r="E25257" s="51"/>
    </row>
    <row r="25258" spans="5:5">
      <c r="E25258" s="51"/>
    </row>
    <row r="25259" spans="5:5">
      <c r="E25259" s="51"/>
    </row>
    <row r="25260" spans="5:5">
      <c r="E25260" s="51"/>
    </row>
    <row r="25261" spans="5:5">
      <c r="E25261" s="51"/>
    </row>
    <row r="25262" spans="5:5">
      <c r="E25262" s="51"/>
    </row>
    <row r="25263" spans="5:5">
      <c r="E25263" s="51"/>
    </row>
    <row r="25264" spans="5:5">
      <c r="E25264" s="51"/>
    </row>
    <row r="25265" spans="5:5">
      <c r="E25265" s="51"/>
    </row>
    <row r="25266" spans="5:5">
      <c r="E25266" s="51"/>
    </row>
    <row r="25267" spans="5:5">
      <c r="E25267" s="51"/>
    </row>
    <row r="25268" spans="5:5">
      <c r="E25268" s="51"/>
    </row>
    <row r="25269" spans="5:5">
      <c r="E25269" s="51"/>
    </row>
    <row r="25270" spans="5:5">
      <c r="E25270" s="51"/>
    </row>
    <row r="25271" spans="5:5">
      <c r="E25271" s="51"/>
    </row>
    <row r="25272" spans="5:5">
      <c r="E25272" s="51"/>
    </row>
    <row r="25273" spans="5:5">
      <c r="E25273" s="51"/>
    </row>
    <row r="25274" spans="5:5">
      <c r="E25274" s="51"/>
    </row>
    <row r="25275" spans="5:5">
      <c r="E25275" s="51"/>
    </row>
    <row r="25276" spans="5:5">
      <c r="E25276" s="51"/>
    </row>
    <row r="25277" spans="5:5">
      <c r="E25277" s="51"/>
    </row>
    <row r="25278" spans="5:5">
      <c r="E25278" s="51"/>
    </row>
    <row r="25279" spans="5:5">
      <c r="E25279" s="51"/>
    </row>
    <row r="25280" spans="5:5">
      <c r="E25280" s="51"/>
    </row>
    <row r="25281" spans="5:5">
      <c r="E25281" s="51"/>
    </row>
    <row r="25282" spans="5:5">
      <c r="E25282" s="51"/>
    </row>
    <row r="25283" spans="5:5">
      <c r="E25283" s="51"/>
    </row>
    <row r="25284" spans="5:5">
      <c r="E25284" s="51"/>
    </row>
    <row r="25285" spans="5:5">
      <c r="E25285" s="51"/>
    </row>
    <row r="25286" spans="5:5">
      <c r="E25286" s="51"/>
    </row>
    <row r="25287" spans="5:5">
      <c r="E25287" s="51"/>
    </row>
    <row r="25288" spans="5:5">
      <c r="E25288" s="51"/>
    </row>
    <row r="25289" spans="5:5">
      <c r="E25289" s="51"/>
    </row>
    <row r="25290" spans="5:5">
      <c r="E25290" s="51"/>
    </row>
    <row r="25291" spans="5:5">
      <c r="E25291" s="51"/>
    </row>
    <row r="25292" spans="5:5">
      <c r="E25292" s="51"/>
    </row>
    <row r="25293" spans="5:5">
      <c r="E25293" s="51"/>
    </row>
    <row r="25294" spans="5:5">
      <c r="E25294" s="51"/>
    </row>
    <row r="25295" spans="5:5">
      <c r="E25295" s="51"/>
    </row>
    <row r="25296" spans="5:5">
      <c r="E25296" s="51"/>
    </row>
    <row r="25297" spans="5:5">
      <c r="E25297" s="51"/>
    </row>
    <row r="25298" spans="5:5">
      <c r="E25298" s="51"/>
    </row>
    <row r="25299" spans="5:5">
      <c r="E25299" s="51"/>
    </row>
    <row r="25300" spans="5:5">
      <c r="E25300" s="51"/>
    </row>
    <row r="25301" spans="5:5">
      <c r="E25301" s="51"/>
    </row>
    <row r="25302" spans="5:5">
      <c r="E25302" s="51"/>
    </row>
    <row r="25303" spans="5:5">
      <c r="E25303" s="51"/>
    </row>
    <row r="25304" spans="5:5">
      <c r="E25304" s="51"/>
    </row>
    <row r="25305" spans="5:5">
      <c r="E25305" s="51"/>
    </row>
    <row r="25306" spans="5:5">
      <c r="E25306" s="51"/>
    </row>
    <row r="25307" spans="5:5">
      <c r="E25307" s="51"/>
    </row>
    <row r="25308" spans="5:5">
      <c r="E25308" s="51"/>
    </row>
    <row r="25309" spans="5:5">
      <c r="E25309" s="51"/>
    </row>
    <row r="25310" spans="5:5">
      <c r="E25310" s="51"/>
    </row>
    <row r="25311" spans="5:5">
      <c r="E25311" s="51"/>
    </row>
    <row r="25312" spans="5:5">
      <c r="E25312" s="51"/>
    </row>
    <row r="25313" spans="5:5">
      <c r="E25313" s="51"/>
    </row>
    <row r="25314" spans="5:5">
      <c r="E25314" s="51"/>
    </row>
    <row r="25315" spans="5:5">
      <c r="E25315" s="51"/>
    </row>
    <row r="25316" spans="5:5">
      <c r="E25316" s="51"/>
    </row>
    <row r="25317" spans="5:5">
      <c r="E25317" s="51"/>
    </row>
    <row r="25318" spans="5:5">
      <c r="E25318" s="51"/>
    </row>
    <row r="25319" spans="5:5">
      <c r="E25319" s="51"/>
    </row>
    <row r="25320" spans="5:5">
      <c r="E25320" s="51"/>
    </row>
    <row r="25321" spans="5:5">
      <c r="E25321" s="51"/>
    </row>
    <row r="25322" spans="5:5">
      <c r="E25322" s="51"/>
    </row>
    <row r="25323" spans="5:5">
      <c r="E25323" s="51"/>
    </row>
    <row r="25324" spans="5:5">
      <c r="E25324" s="51"/>
    </row>
    <row r="25325" spans="5:5">
      <c r="E25325" s="51"/>
    </row>
    <row r="25326" spans="5:5">
      <c r="E25326" s="51"/>
    </row>
    <row r="25327" spans="5:5">
      <c r="E25327" s="51"/>
    </row>
    <row r="25328" spans="5:5">
      <c r="E25328" s="51"/>
    </row>
    <row r="25329" spans="5:5">
      <c r="E25329" s="51"/>
    </row>
    <row r="25330" spans="5:5">
      <c r="E25330" s="51"/>
    </row>
    <row r="25331" spans="5:5">
      <c r="E25331" s="51"/>
    </row>
    <row r="25332" spans="5:5">
      <c r="E25332" s="51"/>
    </row>
    <row r="25333" spans="5:5">
      <c r="E25333" s="51"/>
    </row>
    <row r="25334" spans="5:5">
      <c r="E25334" s="51"/>
    </row>
    <row r="25335" spans="5:5">
      <c r="E25335" s="51"/>
    </row>
    <row r="25336" spans="5:5">
      <c r="E25336" s="51"/>
    </row>
    <row r="25337" spans="5:5">
      <c r="E25337" s="51"/>
    </row>
    <row r="25338" spans="5:5">
      <c r="E25338" s="51"/>
    </row>
    <row r="25339" spans="5:5">
      <c r="E25339" s="51"/>
    </row>
    <row r="25340" spans="5:5">
      <c r="E25340" s="51"/>
    </row>
    <row r="25341" spans="5:5">
      <c r="E25341" s="51"/>
    </row>
    <row r="25342" spans="5:5">
      <c r="E25342" s="51"/>
    </row>
    <row r="25343" spans="5:5">
      <c r="E25343" s="51"/>
    </row>
    <row r="25344" spans="5:5">
      <c r="E25344" s="51"/>
    </row>
    <row r="25345" spans="5:5">
      <c r="E25345" s="51"/>
    </row>
    <row r="25346" spans="5:5">
      <c r="E25346" s="51"/>
    </row>
    <row r="25347" spans="5:5">
      <c r="E25347" s="51"/>
    </row>
    <row r="25348" spans="5:5">
      <c r="E25348" s="51"/>
    </row>
    <row r="25349" spans="5:5">
      <c r="E25349" s="51"/>
    </row>
    <row r="25350" spans="5:5">
      <c r="E25350" s="51"/>
    </row>
    <row r="25351" spans="5:5">
      <c r="E25351" s="51"/>
    </row>
    <row r="25352" spans="5:5">
      <c r="E25352" s="51"/>
    </row>
    <row r="25353" spans="5:5">
      <c r="E25353" s="51"/>
    </row>
    <row r="25354" spans="5:5">
      <c r="E25354" s="51"/>
    </row>
    <row r="25355" spans="5:5">
      <c r="E25355" s="51"/>
    </row>
    <row r="25356" spans="5:5">
      <c r="E25356" s="51"/>
    </row>
    <row r="25357" spans="5:5">
      <c r="E25357" s="51"/>
    </row>
    <row r="25358" spans="5:5">
      <c r="E25358" s="51"/>
    </row>
    <row r="25359" spans="5:5">
      <c r="E25359" s="51"/>
    </row>
    <row r="25360" spans="5:5">
      <c r="E25360" s="51"/>
    </row>
    <row r="25361" spans="5:5">
      <c r="E25361" s="51"/>
    </row>
    <row r="25362" spans="5:5">
      <c r="E25362" s="51"/>
    </row>
    <row r="25363" spans="5:5">
      <c r="E25363" s="51"/>
    </row>
    <row r="25364" spans="5:5">
      <c r="E25364" s="51"/>
    </row>
    <row r="25365" spans="5:5">
      <c r="E25365" s="51"/>
    </row>
    <row r="25366" spans="5:5">
      <c r="E25366" s="51"/>
    </row>
    <row r="25367" spans="5:5">
      <c r="E25367" s="51"/>
    </row>
    <row r="25368" spans="5:5">
      <c r="E25368" s="51"/>
    </row>
    <row r="25369" spans="5:5">
      <c r="E25369" s="51"/>
    </row>
    <row r="25370" spans="5:5">
      <c r="E25370" s="51"/>
    </row>
    <row r="25371" spans="5:5">
      <c r="E25371" s="51"/>
    </row>
    <row r="25372" spans="5:5">
      <c r="E25372" s="51"/>
    </row>
    <row r="25373" spans="5:5">
      <c r="E25373" s="51"/>
    </row>
    <row r="25374" spans="5:5">
      <c r="E25374" s="51"/>
    </row>
    <row r="25375" spans="5:5">
      <c r="E25375" s="51"/>
    </row>
    <row r="25376" spans="5:5">
      <c r="E25376" s="51"/>
    </row>
    <row r="25377" spans="5:5">
      <c r="E25377" s="51"/>
    </row>
    <row r="25378" spans="5:5">
      <c r="E25378" s="51"/>
    </row>
    <row r="25379" spans="5:5">
      <c r="E25379" s="51"/>
    </row>
    <row r="25380" spans="5:5">
      <c r="E25380" s="51"/>
    </row>
    <row r="25381" spans="5:5">
      <c r="E25381" s="51"/>
    </row>
    <row r="25382" spans="5:5">
      <c r="E25382" s="51"/>
    </row>
    <row r="25383" spans="5:5">
      <c r="E25383" s="51"/>
    </row>
    <row r="25384" spans="5:5">
      <c r="E25384" s="51"/>
    </row>
    <row r="25385" spans="5:5">
      <c r="E25385" s="51"/>
    </row>
    <row r="25386" spans="5:5">
      <c r="E25386" s="51"/>
    </row>
    <row r="25387" spans="5:5">
      <c r="E25387" s="51"/>
    </row>
    <row r="25388" spans="5:5">
      <c r="E25388" s="51"/>
    </row>
    <row r="25389" spans="5:5">
      <c r="E25389" s="51"/>
    </row>
    <row r="25390" spans="5:5">
      <c r="E25390" s="51"/>
    </row>
    <row r="25391" spans="5:5">
      <c r="E25391" s="51"/>
    </row>
    <row r="25392" spans="5:5">
      <c r="E25392" s="51"/>
    </row>
    <row r="25393" spans="5:5">
      <c r="E25393" s="51"/>
    </row>
    <row r="25394" spans="5:5">
      <c r="E25394" s="51"/>
    </row>
    <row r="25395" spans="5:5">
      <c r="E25395" s="51"/>
    </row>
    <row r="25396" spans="5:5">
      <c r="E25396" s="51"/>
    </row>
    <row r="25397" spans="5:5">
      <c r="E25397" s="51"/>
    </row>
    <row r="25398" spans="5:5">
      <c r="E25398" s="51"/>
    </row>
    <row r="25399" spans="5:5">
      <c r="E25399" s="51"/>
    </row>
    <row r="25400" spans="5:5">
      <c r="E25400" s="51"/>
    </row>
    <row r="25401" spans="5:5">
      <c r="E25401" s="51"/>
    </row>
    <row r="25402" spans="5:5">
      <c r="E25402" s="51"/>
    </row>
    <row r="25403" spans="5:5">
      <c r="E25403" s="51"/>
    </row>
    <row r="25404" spans="5:5">
      <c r="E25404" s="51"/>
    </row>
    <row r="25405" spans="5:5">
      <c r="E25405" s="51"/>
    </row>
    <row r="25406" spans="5:5">
      <c r="E25406" s="51"/>
    </row>
    <row r="25407" spans="5:5">
      <c r="E25407" s="51"/>
    </row>
    <row r="25408" spans="5:5">
      <c r="E25408" s="51"/>
    </row>
    <row r="25409" spans="5:5">
      <c r="E25409" s="51"/>
    </row>
    <row r="25410" spans="5:5">
      <c r="E25410" s="51"/>
    </row>
    <row r="25411" spans="5:5">
      <c r="E25411" s="51"/>
    </row>
    <row r="25412" spans="5:5">
      <c r="E25412" s="51"/>
    </row>
    <row r="25413" spans="5:5">
      <c r="E25413" s="51"/>
    </row>
    <row r="25414" spans="5:5">
      <c r="E25414" s="51"/>
    </row>
    <row r="25415" spans="5:5">
      <c r="E25415" s="51"/>
    </row>
    <row r="25416" spans="5:5">
      <c r="E25416" s="51"/>
    </row>
    <row r="25417" spans="5:5">
      <c r="E25417" s="51"/>
    </row>
    <row r="25418" spans="5:5">
      <c r="E25418" s="51"/>
    </row>
    <row r="25419" spans="5:5">
      <c r="E25419" s="51"/>
    </row>
    <row r="25420" spans="5:5">
      <c r="E25420" s="51"/>
    </row>
    <row r="25421" spans="5:5">
      <c r="E25421" s="51"/>
    </row>
    <row r="25422" spans="5:5">
      <c r="E25422" s="51"/>
    </row>
    <row r="25423" spans="5:5">
      <c r="E25423" s="51"/>
    </row>
    <row r="25424" spans="5:5">
      <c r="E25424" s="51"/>
    </row>
    <row r="25425" spans="5:5">
      <c r="E25425" s="51"/>
    </row>
    <row r="25426" spans="5:5">
      <c r="E25426" s="51"/>
    </row>
    <row r="25427" spans="5:5">
      <c r="E25427" s="51"/>
    </row>
    <row r="25428" spans="5:5">
      <c r="E25428" s="51"/>
    </row>
    <row r="25429" spans="5:5">
      <c r="E25429" s="51"/>
    </row>
    <row r="25430" spans="5:5">
      <c r="E25430" s="51"/>
    </row>
    <row r="25431" spans="5:5">
      <c r="E25431" s="51"/>
    </row>
    <row r="25432" spans="5:5">
      <c r="E25432" s="51"/>
    </row>
    <row r="25433" spans="5:5">
      <c r="E25433" s="51"/>
    </row>
    <row r="25434" spans="5:5">
      <c r="E25434" s="51"/>
    </row>
    <row r="25435" spans="5:5">
      <c r="E25435" s="51"/>
    </row>
    <row r="25436" spans="5:5">
      <c r="E25436" s="51"/>
    </row>
    <row r="25437" spans="5:5">
      <c r="E25437" s="51"/>
    </row>
    <row r="25438" spans="5:5">
      <c r="E25438" s="51"/>
    </row>
    <row r="25439" spans="5:5">
      <c r="E25439" s="51"/>
    </row>
    <row r="25440" spans="5:5">
      <c r="E25440" s="51"/>
    </row>
    <row r="25441" spans="5:5">
      <c r="E25441" s="51"/>
    </row>
    <row r="25442" spans="5:5">
      <c r="E25442" s="51"/>
    </row>
    <row r="25443" spans="5:5">
      <c r="E25443" s="51"/>
    </row>
    <row r="25444" spans="5:5">
      <c r="E25444" s="51"/>
    </row>
    <row r="25445" spans="5:5">
      <c r="E25445" s="51"/>
    </row>
    <row r="25446" spans="5:5">
      <c r="E25446" s="51"/>
    </row>
    <row r="25447" spans="5:5">
      <c r="E25447" s="51"/>
    </row>
    <row r="25448" spans="5:5">
      <c r="E25448" s="51"/>
    </row>
    <row r="25449" spans="5:5">
      <c r="E25449" s="51"/>
    </row>
    <row r="25450" spans="5:5">
      <c r="E25450" s="51"/>
    </row>
    <row r="25451" spans="5:5">
      <c r="E25451" s="51"/>
    </row>
    <row r="25452" spans="5:5">
      <c r="E25452" s="51"/>
    </row>
    <row r="25453" spans="5:5">
      <c r="E25453" s="51"/>
    </row>
    <row r="25454" spans="5:5">
      <c r="E25454" s="51"/>
    </row>
    <row r="25455" spans="5:5">
      <c r="E25455" s="51"/>
    </row>
    <row r="25456" spans="5:5">
      <c r="E25456" s="51"/>
    </row>
    <row r="25457" spans="5:5">
      <c r="E25457" s="51"/>
    </row>
    <row r="25458" spans="5:5">
      <c r="E25458" s="51"/>
    </row>
    <row r="25459" spans="5:5">
      <c r="E25459" s="51"/>
    </row>
    <row r="25460" spans="5:5">
      <c r="E25460" s="51"/>
    </row>
    <row r="25461" spans="5:5">
      <c r="E25461" s="51"/>
    </row>
    <row r="25462" spans="5:5">
      <c r="E25462" s="51"/>
    </row>
    <row r="25463" spans="5:5">
      <c r="E25463" s="51"/>
    </row>
    <row r="25464" spans="5:5">
      <c r="E25464" s="51"/>
    </row>
    <row r="25465" spans="5:5">
      <c r="E25465" s="51"/>
    </row>
    <row r="25466" spans="5:5">
      <c r="E25466" s="51"/>
    </row>
    <row r="25467" spans="5:5">
      <c r="E25467" s="51"/>
    </row>
    <row r="25468" spans="5:5">
      <c r="E25468" s="51"/>
    </row>
    <row r="25469" spans="5:5">
      <c r="E25469" s="51"/>
    </row>
    <row r="25470" spans="5:5">
      <c r="E25470" s="51"/>
    </row>
    <row r="25471" spans="5:5">
      <c r="E25471" s="51"/>
    </row>
    <row r="25472" spans="5:5">
      <c r="E25472" s="51"/>
    </row>
    <row r="25473" spans="5:5">
      <c r="E25473" s="51"/>
    </row>
    <row r="25474" spans="5:5">
      <c r="E25474" s="51"/>
    </row>
    <row r="25475" spans="5:5">
      <c r="E25475" s="51"/>
    </row>
    <row r="25476" spans="5:5">
      <c r="E25476" s="51"/>
    </row>
    <row r="25477" spans="5:5">
      <c r="E25477" s="51"/>
    </row>
    <row r="25478" spans="5:5">
      <c r="E25478" s="51"/>
    </row>
    <row r="25479" spans="5:5">
      <c r="E25479" s="51"/>
    </row>
    <row r="25480" spans="5:5">
      <c r="E25480" s="51"/>
    </row>
    <row r="25481" spans="5:5">
      <c r="E25481" s="51"/>
    </row>
    <row r="25482" spans="5:5">
      <c r="E25482" s="51"/>
    </row>
    <row r="25483" spans="5:5">
      <c r="E25483" s="51"/>
    </row>
    <row r="25484" spans="5:5">
      <c r="E25484" s="51"/>
    </row>
    <row r="25485" spans="5:5">
      <c r="E25485" s="51"/>
    </row>
    <row r="25486" spans="5:5">
      <c r="E25486" s="51"/>
    </row>
    <row r="25487" spans="5:5">
      <c r="E25487" s="51"/>
    </row>
    <row r="25488" spans="5:5">
      <c r="E25488" s="51"/>
    </row>
    <row r="25489" spans="5:5">
      <c r="E25489" s="51"/>
    </row>
    <row r="25490" spans="5:5">
      <c r="E25490" s="51"/>
    </row>
    <row r="25491" spans="5:5">
      <c r="E25491" s="51"/>
    </row>
    <row r="25492" spans="5:5">
      <c r="E25492" s="51"/>
    </row>
    <row r="25493" spans="5:5">
      <c r="E25493" s="51"/>
    </row>
    <row r="25494" spans="5:5">
      <c r="E25494" s="51"/>
    </row>
    <row r="25495" spans="5:5">
      <c r="E25495" s="51"/>
    </row>
    <row r="25496" spans="5:5">
      <c r="E25496" s="51"/>
    </row>
    <row r="25497" spans="5:5">
      <c r="E25497" s="51"/>
    </row>
    <row r="25498" spans="5:5">
      <c r="E25498" s="51"/>
    </row>
    <row r="25499" spans="5:5">
      <c r="E25499" s="51"/>
    </row>
    <row r="25500" spans="5:5">
      <c r="E25500" s="51"/>
    </row>
    <row r="25501" spans="5:5">
      <c r="E25501" s="51"/>
    </row>
    <row r="25502" spans="5:5">
      <c r="E25502" s="51"/>
    </row>
    <row r="25503" spans="5:5">
      <c r="E25503" s="51"/>
    </row>
    <row r="25504" spans="5:5">
      <c r="E25504" s="51"/>
    </row>
    <row r="25505" spans="5:5">
      <c r="E25505" s="51"/>
    </row>
    <row r="25506" spans="5:5">
      <c r="E25506" s="51"/>
    </row>
    <row r="25507" spans="5:5">
      <c r="E25507" s="51"/>
    </row>
    <row r="25508" spans="5:5">
      <c r="E25508" s="51"/>
    </row>
    <row r="25509" spans="5:5">
      <c r="E25509" s="51"/>
    </row>
    <row r="25510" spans="5:5">
      <c r="E25510" s="51"/>
    </row>
    <row r="25511" spans="5:5">
      <c r="E25511" s="51"/>
    </row>
    <row r="25512" spans="5:5">
      <c r="E25512" s="51"/>
    </row>
    <row r="25513" spans="5:5">
      <c r="E25513" s="51"/>
    </row>
    <row r="25514" spans="5:5">
      <c r="E25514" s="51"/>
    </row>
    <row r="25515" spans="5:5">
      <c r="E25515" s="51"/>
    </row>
    <row r="25516" spans="5:5">
      <c r="E25516" s="51"/>
    </row>
    <row r="25517" spans="5:5">
      <c r="E25517" s="51"/>
    </row>
    <row r="25518" spans="5:5">
      <c r="E25518" s="51"/>
    </row>
    <row r="25519" spans="5:5">
      <c r="E25519" s="51"/>
    </row>
    <row r="25520" spans="5:5">
      <c r="E25520" s="51"/>
    </row>
    <row r="25521" spans="5:5">
      <c r="E25521" s="51"/>
    </row>
    <row r="25522" spans="5:5">
      <c r="E25522" s="51"/>
    </row>
    <row r="25523" spans="5:5">
      <c r="E25523" s="51"/>
    </row>
    <row r="25524" spans="5:5">
      <c r="E25524" s="51"/>
    </row>
    <row r="25525" spans="5:5">
      <c r="E25525" s="51"/>
    </row>
    <row r="25526" spans="5:5">
      <c r="E25526" s="51"/>
    </row>
    <row r="25527" spans="5:5">
      <c r="E25527" s="51"/>
    </row>
    <row r="25528" spans="5:5">
      <c r="E25528" s="51"/>
    </row>
    <row r="25529" spans="5:5">
      <c r="E25529" s="51"/>
    </row>
    <row r="25530" spans="5:5">
      <c r="E25530" s="51"/>
    </row>
    <row r="25531" spans="5:5">
      <c r="E25531" s="51"/>
    </row>
    <row r="25532" spans="5:5">
      <c r="E25532" s="51"/>
    </row>
    <row r="25533" spans="5:5">
      <c r="E25533" s="51"/>
    </row>
    <row r="25534" spans="5:5">
      <c r="E25534" s="51"/>
    </row>
    <row r="25535" spans="5:5">
      <c r="E25535" s="51"/>
    </row>
    <row r="25536" spans="5:5">
      <c r="E25536" s="51"/>
    </row>
    <row r="25537" spans="5:5">
      <c r="E25537" s="51"/>
    </row>
    <row r="25538" spans="5:5">
      <c r="E25538" s="51"/>
    </row>
    <row r="25539" spans="5:5">
      <c r="E25539" s="51"/>
    </row>
    <row r="25540" spans="5:5">
      <c r="E25540" s="51"/>
    </row>
    <row r="25541" spans="5:5">
      <c r="E25541" s="51"/>
    </row>
    <row r="25542" spans="5:5">
      <c r="E25542" s="51"/>
    </row>
    <row r="25543" spans="5:5">
      <c r="E25543" s="51"/>
    </row>
    <row r="25544" spans="5:5">
      <c r="E25544" s="51"/>
    </row>
    <row r="25545" spans="5:5">
      <c r="E25545" s="51"/>
    </row>
    <row r="25546" spans="5:5">
      <c r="E25546" s="51"/>
    </row>
    <row r="25547" spans="5:5">
      <c r="E25547" s="51"/>
    </row>
    <row r="25548" spans="5:5">
      <c r="E25548" s="51"/>
    </row>
    <row r="25549" spans="5:5">
      <c r="E25549" s="51"/>
    </row>
    <row r="25550" spans="5:5">
      <c r="E25550" s="51"/>
    </row>
    <row r="25551" spans="5:5">
      <c r="E25551" s="51"/>
    </row>
    <row r="25552" spans="5:5">
      <c r="E25552" s="51"/>
    </row>
    <row r="25553" spans="5:5">
      <c r="E25553" s="51"/>
    </row>
    <row r="25554" spans="5:5">
      <c r="E25554" s="51"/>
    </row>
    <row r="25555" spans="5:5">
      <c r="E25555" s="51"/>
    </row>
    <row r="25556" spans="5:5">
      <c r="E25556" s="51"/>
    </row>
    <row r="25557" spans="5:5">
      <c r="E25557" s="51"/>
    </row>
    <row r="25558" spans="5:5">
      <c r="E25558" s="51"/>
    </row>
    <row r="25559" spans="5:5">
      <c r="E25559" s="51"/>
    </row>
    <row r="25560" spans="5:5">
      <c r="E25560" s="51"/>
    </row>
    <row r="25561" spans="5:5">
      <c r="E25561" s="51"/>
    </row>
    <row r="25562" spans="5:5">
      <c r="E25562" s="51"/>
    </row>
    <row r="25563" spans="5:5">
      <c r="E25563" s="51"/>
    </row>
    <row r="25564" spans="5:5">
      <c r="E25564" s="51"/>
    </row>
    <row r="25565" spans="5:5">
      <c r="E25565" s="51"/>
    </row>
    <row r="25566" spans="5:5">
      <c r="E25566" s="51"/>
    </row>
    <row r="25567" spans="5:5">
      <c r="E25567" s="51"/>
    </row>
    <row r="25568" spans="5:5">
      <c r="E25568" s="51"/>
    </row>
    <row r="25569" spans="5:5">
      <c r="E25569" s="51"/>
    </row>
    <row r="25570" spans="5:5">
      <c r="E25570" s="51"/>
    </row>
    <row r="25571" spans="5:5">
      <c r="E25571" s="51"/>
    </row>
    <row r="25572" spans="5:5">
      <c r="E25572" s="51"/>
    </row>
    <row r="25573" spans="5:5">
      <c r="E25573" s="51"/>
    </row>
    <row r="25574" spans="5:5">
      <c r="E25574" s="51"/>
    </row>
    <row r="25575" spans="5:5">
      <c r="E25575" s="51"/>
    </row>
    <row r="25576" spans="5:5">
      <c r="E25576" s="51"/>
    </row>
    <row r="25577" spans="5:5">
      <c r="E25577" s="51"/>
    </row>
    <row r="25578" spans="5:5">
      <c r="E25578" s="51"/>
    </row>
    <row r="25579" spans="5:5">
      <c r="E25579" s="51"/>
    </row>
    <row r="25580" spans="5:5">
      <c r="E25580" s="51"/>
    </row>
    <row r="25581" spans="5:5">
      <c r="E25581" s="51"/>
    </row>
    <row r="25582" spans="5:5">
      <c r="E25582" s="51"/>
    </row>
    <row r="25583" spans="5:5">
      <c r="E25583" s="51"/>
    </row>
    <row r="25584" spans="5:5">
      <c r="E25584" s="51"/>
    </row>
    <row r="25585" spans="5:5">
      <c r="E25585" s="51"/>
    </row>
    <row r="25586" spans="5:5">
      <c r="E25586" s="51"/>
    </row>
    <row r="25587" spans="5:5">
      <c r="E25587" s="51"/>
    </row>
    <row r="25588" spans="5:5">
      <c r="E25588" s="51"/>
    </row>
    <row r="25589" spans="5:5">
      <c r="E25589" s="51"/>
    </row>
    <row r="25590" spans="5:5">
      <c r="E25590" s="51"/>
    </row>
    <row r="25591" spans="5:5">
      <c r="E25591" s="51"/>
    </row>
    <row r="25592" spans="5:5">
      <c r="E25592" s="51"/>
    </row>
    <row r="25593" spans="5:5">
      <c r="E25593" s="51"/>
    </row>
    <row r="25594" spans="5:5">
      <c r="E25594" s="51"/>
    </row>
    <row r="25595" spans="5:5">
      <c r="E25595" s="51"/>
    </row>
    <row r="25596" spans="5:5">
      <c r="E25596" s="51"/>
    </row>
    <row r="25597" spans="5:5">
      <c r="E25597" s="51"/>
    </row>
    <row r="25598" spans="5:5">
      <c r="E25598" s="51"/>
    </row>
    <row r="25599" spans="5:5">
      <c r="E25599" s="51"/>
    </row>
    <row r="25600" spans="5:5">
      <c r="E25600" s="51"/>
    </row>
    <row r="25601" spans="5:5">
      <c r="E25601" s="51"/>
    </row>
    <row r="25602" spans="5:5">
      <c r="E25602" s="51"/>
    </row>
    <row r="25603" spans="5:5">
      <c r="E25603" s="51"/>
    </row>
    <row r="25604" spans="5:5">
      <c r="E25604" s="51"/>
    </row>
    <row r="25605" spans="5:5">
      <c r="E25605" s="51"/>
    </row>
    <row r="25606" spans="5:5">
      <c r="E25606" s="51"/>
    </row>
    <row r="25607" spans="5:5">
      <c r="E25607" s="51"/>
    </row>
    <row r="25608" spans="5:5">
      <c r="E25608" s="51"/>
    </row>
    <row r="25609" spans="5:5">
      <c r="E25609" s="51"/>
    </row>
    <row r="25610" spans="5:5">
      <c r="E25610" s="51"/>
    </row>
    <row r="25611" spans="5:5">
      <c r="E25611" s="51"/>
    </row>
    <row r="25612" spans="5:5">
      <c r="E25612" s="51"/>
    </row>
    <row r="25613" spans="5:5">
      <c r="E25613" s="51"/>
    </row>
    <row r="25614" spans="5:5">
      <c r="E25614" s="51"/>
    </row>
    <row r="25615" spans="5:5">
      <c r="E25615" s="51"/>
    </row>
    <row r="25616" spans="5:5">
      <c r="E25616" s="51"/>
    </row>
    <row r="25617" spans="5:5">
      <c r="E25617" s="51"/>
    </row>
    <row r="25618" spans="5:5">
      <c r="E25618" s="51"/>
    </row>
    <row r="25619" spans="5:5">
      <c r="E25619" s="51"/>
    </row>
    <row r="25620" spans="5:5">
      <c r="E25620" s="51"/>
    </row>
    <row r="25621" spans="5:5">
      <c r="E25621" s="51"/>
    </row>
    <row r="25622" spans="5:5">
      <c r="E25622" s="51"/>
    </row>
    <row r="25623" spans="5:5">
      <c r="E25623" s="51"/>
    </row>
    <row r="25624" spans="5:5">
      <c r="E25624" s="51"/>
    </row>
    <row r="25625" spans="5:5">
      <c r="E25625" s="51"/>
    </row>
    <row r="25626" spans="5:5">
      <c r="E25626" s="51"/>
    </row>
    <row r="25627" spans="5:5">
      <c r="E25627" s="51"/>
    </row>
    <row r="25628" spans="5:5">
      <c r="E25628" s="51"/>
    </row>
    <row r="25629" spans="5:5">
      <c r="E25629" s="51"/>
    </row>
    <row r="25630" spans="5:5">
      <c r="E25630" s="51"/>
    </row>
    <row r="25631" spans="5:5">
      <c r="E25631" s="51"/>
    </row>
    <row r="25632" spans="5:5">
      <c r="E25632" s="51"/>
    </row>
    <row r="25633" spans="5:5">
      <c r="E25633" s="51"/>
    </row>
    <row r="25634" spans="5:5">
      <c r="E25634" s="51"/>
    </row>
    <row r="25635" spans="5:5">
      <c r="E25635" s="51"/>
    </row>
    <row r="25636" spans="5:5">
      <c r="E25636" s="51"/>
    </row>
    <row r="25637" spans="5:5">
      <c r="E25637" s="51"/>
    </row>
    <row r="25638" spans="5:5">
      <c r="E25638" s="51"/>
    </row>
    <row r="25639" spans="5:5">
      <c r="E25639" s="51"/>
    </row>
    <row r="25640" spans="5:5">
      <c r="E25640" s="51"/>
    </row>
    <row r="25641" spans="5:5">
      <c r="E25641" s="51"/>
    </row>
    <row r="25642" spans="5:5">
      <c r="E25642" s="51"/>
    </row>
    <row r="25643" spans="5:5">
      <c r="E25643" s="51"/>
    </row>
    <row r="25644" spans="5:5">
      <c r="E25644" s="51"/>
    </row>
    <row r="25645" spans="5:5">
      <c r="E25645" s="51"/>
    </row>
    <row r="25646" spans="5:5">
      <c r="E25646" s="51"/>
    </row>
    <row r="25647" spans="5:5">
      <c r="E25647" s="51"/>
    </row>
    <row r="25648" spans="5:5">
      <c r="E25648" s="51"/>
    </row>
    <row r="25649" spans="5:5">
      <c r="E25649" s="51"/>
    </row>
    <row r="25650" spans="5:5">
      <c r="E25650" s="51"/>
    </row>
    <row r="25651" spans="5:5">
      <c r="E25651" s="51"/>
    </row>
    <row r="25652" spans="5:5">
      <c r="E25652" s="51"/>
    </row>
    <row r="25653" spans="5:5">
      <c r="E25653" s="51"/>
    </row>
    <row r="25654" spans="5:5">
      <c r="E25654" s="51"/>
    </row>
    <row r="25655" spans="5:5">
      <c r="E25655" s="51"/>
    </row>
    <row r="25656" spans="5:5">
      <c r="E25656" s="51"/>
    </row>
    <row r="25657" spans="5:5">
      <c r="E25657" s="51"/>
    </row>
    <row r="25658" spans="5:5">
      <c r="E25658" s="51"/>
    </row>
    <row r="25659" spans="5:5">
      <c r="E25659" s="51"/>
    </row>
    <row r="25660" spans="5:5">
      <c r="E25660" s="51"/>
    </row>
    <row r="25661" spans="5:5">
      <c r="E25661" s="51"/>
    </row>
    <row r="25662" spans="5:5">
      <c r="E25662" s="51"/>
    </row>
    <row r="25663" spans="5:5">
      <c r="E25663" s="51"/>
    </row>
    <row r="25664" spans="5:5">
      <c r="E25664" s="51"/>
    </row>
    <row r="25665" spans="5:5">
      <c r="E25665" s="51"/>
    </row>
    <row r="25666" spans="5:5">
      <c r="E25666" s="51"/>
    </row>
    <row r="25667" spans="5:5">
      <c r="E25667" s="51"/>
    </row>
    <row r="25668" spans="5:5">
      <c r="E25668" s="51"/>
    </row>
    <row r="25669" spans="5:5">
      <c r="E25669" s="51"/>
    </row>
    <row r="25670" spans="5:5">
      <c r="E25670" s="51"/>
    </row>
    <row r="25671" spans="5:5">
      <c r="E25671" s="51"/>
    </row>
    <row r="25672" spans="5:5">
      <c r="E25672" s="51"/>
    </row>
    <row r="25673" spans="5:5">
      <c r="E25673" s="51"/>
    </row>
    <row r="25674" spans="5:5">
      <c r="E25674" s="51"/>
    </row>
    <row r="25675" spans="5:5">
      <c r="E25675" s="51"/>
    </row>
    <row r="25676" spans="5:5">
      <c r="E25676" s="51"/>
    </row>
    <row r="25677" spans="5:5">
      <c r="E25677" s="51"/>
    </row>
    <row r="25678" spans="5:5">
      <c r="E25678" s="51"/>
    </row>
    <row r="25679" spans="5:5">
      <c r="E25679" s="51"/>
    </row>
    <row r="25680" spans="5:5">
      <c r="E25680" s="51"/>
    </row>
    <row r="25681" spans="5:5">
      <c r="E25681" s="51"/>
    </row>
    <row r="25682" spans="5:5">
      <c r="E25682" s="51"/>
    </row>
    <row r="25683" spans="5:5">
      <c r="E25683" s="51"/>
    </row>
    <row r="25684" spans="5:5">
      <c r="E25684" s="51"/>
    </row>
    <row r="25685" spans="5:5">
      <c r="E25685" s="51"/>
    </row>
    <row r="25686" spans="5:5">
      <c r="E25686" s="51"/>
    </row>
    <row r="25687" spans="5:5">
      <c r="E25687" s="51"/>
    </row>
    <row r="25688" spans="5:5">
      <c r="E25688" s="51"/>
    </row>
    <row r="25689" spans="5:5">
      <c r="E25689" s="51"/>
    </row>
    <row r="25690" spans="5:5">
      <c r="E25690" s="51"/>
    </row>
    <row r="25691" spans="5:5">
      <c r="E25691" s="51"/>
    </row>
    <row r="25692" spans="5:5">
      <c r="E25692" s="51"/>
    </row>
    <row r="25693" spans="5:5">
      <c r="E25693" s="51"/>
    </row>
    <row r="25694" spans="5:5">
      <c r="E25694" s="51"/>
    </row>
    <row r="25695" spans="5:5">
      <c r="E25695" s="51"/>
    </row>
    <row r="25696" spans="5:5">
      <c r="E25696" s="51"/>
    </row>
    <row r="25697" spans="5:5">
      <c r="E25697" s="51"/>
    </row>
    <row r="25698" spans="5:5">
      <c r="E25698" s="51"/>
    </row>
    <row r="25699" spans="5:5">
      <c r="E25699" s="51"/>
    </row>
    <row r="25700" spans="5:5">
      <c r="E25700" s="51"/>
    </row>
    <row r="25701" spans="5:5">
      <c r="E25701" s="51"/>
    </row>
    <row r="25702" spans="5:5">
      <c r="E25702" s="51"/>
    </row>
    <row r="25703" spans="5:5">
      <c r="E25703" s="51"/>
    </row>
    <row r="25704" spans="5:5">
      <c r="E25704" s="51"/>
    </row>
    <row r="25705" spans="5:5">
      <c r="E25705" s="51"/>
    </row>
    <row r="25706" spans="5:5">
      <c r="E25706" s="51"/>
    </row>
    <row r="25707" spans="5:5">
      <c r="E25707" s="51"/>
    </row>
    <row r="25708" spans="5:5">
      <c r="E25708" s="51"/>
    </row>
    <row r="25709" spans="5:5">
      <c r="E25709" s="51"/>
    </row>
    <row r="25710" spans="5:5">
      <c r="E25710" s="51"/>
    </row>
    <row r="25711" spans="5:5">
      <c r="E25711" s="51"/>
    </row>
    <row r="25712" spans="5:5">
      <c r="E25712" s="51"/>
    </row>
    <row r="25713" spans="5:5">
      <c r="E25713" s="51"/>
    </row>
    <row r="25714" spans="5:5">
      <c r="E25714" s="51"/>
    </row>
    <row r="25715" spans="5:5">
      <c r="E25715" s="51"/>
    </row>
    <row r="25716" spans="5:5">
      <c r="E25716" s="51"/>
    </row>
    <row r="25717" spans="5:5">
      <c r="E25717" s="51"/>
    </row>
    <row r="25718" spans="5:5">
      <c r="E25718" s="51"/>
    </row>
    <row r="25719" spans="5:5">
      <c r="E25719" s="51"/>
    </row>
    <row r="25720" spans="5:5">
      <c r="E25720" s="51"/>
    </row>
    <row r="25721" spans="5:5">
      <c r="E25721" s="51"/>
    </row>
    <row r="25722" spans="5:5">
      <c r="E25722" s="51"/>
    </row>
    <row r="25723" spans="5:5">
      <c r="E25723" s="51"/>
    </row>
    <row r="25724" spans="5:5">
      <c r="E25724" s="51"/>
    </row>
    <row r="25725" spans="5:5">
      <c r="E25725" s="51"/>
    </row>
    <row r="25726" spans="5:5">
      <c r="E25726" s="51"/>
    </row>
    <row r="25727" spans="5:5">
      <c r="E25727" s="51"/>
    </row>
    <row r="25728" spans="5:5">
      <c r="E25728" s="51"/>
    </row>
    <row r="25729" spans="5:5">
      <c r="E25729" s="51"/>
    </row>
    <row r="25730" spans="5:5">
      <c r="E25730" s="51"/>
    </row>
    <row r="25731" spans="5:5">
      <c r="E25731" s="51"/>
    </row>
    <row r="25732" spans="5:5">
      <c r="E25732" s="51"/>
    </row>
    <row r="25733" spans="5:5">
      <c r="E25733" s="51"/>
    </row>
    <row r="25734" spans="5:5">
      <c r="E25734" s="51"/>
    </row>
    <row r="25735" spans="5:5">
      <c r="E25735" s="51"/>
    </row>
    <row r="25736" spans="5:5">
      <c r="E25736" s="51"/>
    </row>
    <row r="25737" spans="5:5">
      <c r="E25737" s="51"/>
    </row>
    <row r="25738" spans="5:5">
      <c r="E25738" s="51"/>
    </row>
    <row r="25739" spans="5:5">
      <c r="E25739" s="51"/>
    </row>
    <row r="25740" spans="5:5">
      <c r="E25740" s="51"/>
    </row>
    <row r="25741" spans="5:5">
      <c r="E25741" s="51"/>
    </row>
    <row r="25742" spans="5:5">
      <c r="E25742" s="51"/>
    </row>
    <row r="25743" spans="5:5">
      <c r="E25743" s="51"/>
    </row>
    <row r="25744" spans="5:5">
      <c r="E25744" s="51"/>
    </row>
    <row r="25745" spans="5:5">
      <c r="E25745" s="51"/>
    </row>
    <row r="25746" spans="5:5">
      <c r="E25746" s="51"/>
    </row>
    <row r="25747" spans="5:5">
      <c r="E25747" s="51"/>
    </row>
    <row r="25748" spans="5:5">
      <c r="E25748" s="51"/>
    </row>
    <row r="25749" spans="5:5">
      <c r="E25749" s="51"/>
    </row>
    <row r="25750" spans="5:5">
      <c r="E25750" s="51"/>
    </row>
    <row r="25751" spans="5:5">
      <c r="E25751" s="51"/>
    </row>
    <row r="25752" spans="5:5">
      <c r="E25752" s="51"/>
    </row>
    <row r="25753" spans="5:5">
      <c r="E25753" s="51"/>
    </row>
    <row r="25754" spans="5:5">
      <c r="E25754" s="51"/>
    </row>
    <row r="25755" spans="5:5">
      <c r="E25755" s="51"/>
    </row>
    <row r="25756" spans="5:5">
      <c r="E25756" s="51"/>
    </row>
    <row r="25757" spans="5:5">
      <c r="E25757" s="51"/>
    </row>
    <row r="25758" spans="5:5">
      <c r="E25758" s="51"/>
    </row>
    <row r="25759" spans="5:5">
      <c r="E25759" s="51"/>
    </row>
    <row r="25760" spans="5:5">
      <c r="E25760" s="51"/>
    </row>
    <row r="25761" spans="5:5">
      <c r="E25761" s="51"/>
    </row>
    <row r="25762" spans="5:5">
      <c r="E25762" s="51"/>
    </row>
    <row r="25763" spans="5:5">
      <c r="E25763" s="51"/>
    </row>
    <row r="25764" spans="5:5">
      <c r="E25764" s="51"/>
    </row>
    <row r="25765" spans="5:5">
      <c r="E25765" s="51"/>
    </row>
    <row r="25766" spans="5:5">
      <c r="E25766" s="51"/>
    </row>
    <row r="25767" spans="5:5">
      <c r="E25767" s="51"/>
    </row>
    <row r="25768" spans="5:5">
      <c r="E25768" s="51"/>
    </row>
    <row r="25769" spans="5:5">
      <c r="E25769" s="51"/>
    </row>
    <row r="25770" spans="5:5">
      <c r="E25770" s="51"/>
    </row>
    <row r="25771" spans="5:5">
      <c r="E25771" s="51"/>
    </row>
    <row r="25772" spans="5:5">
      <c r="E25772" s="51"/>
    </row>
    <row r="25773" spans="5:5">
      <c r="E25773" s="51"/>
    </row>
    <row r="25774" spans="5:5">
      <c r="E25774" s="51"/>
    </row>
    <row r="25775" spans="5:5">
      <c r="E25775" s="51"/>
    </row>
    <row r="25776" spans="5:5">
      <c r="E25776" s="51"/>
    </row>
    <row r="25777" spans="5:5">
      <c r="E25777" s="51"/>
    </row>
    <row r="25778" spans="5:5">
      <c r="E25778" s="51"/>
    </row>
    <row r="25779" spans="5:5">
      <c r="E25779" s="51"/>
    </row>
    <row r="25780" spans="5:5">
      <c r="E25780" s="51"/>
    </row>
    <row r="25781" spans="5:5">
      <c r="E25781" s="51"/>
    </row>
    <row r="25782" spans="5:5">
      <c r="E25782" s="51"/>
    </row>
    <row r="25783" spans="5:5">
      <c r="E25783" s="51"/>
    </row>
    <row r="25784" spans="5:5">
      <c r="E25784" s="51"/>
    </row>
    <row r="25785" spans="5:5">
      <c r="E25785" s="51"/>
    </row>
    <row r="25786" spans="5:5">
      <c r="E25786" s="51"/>
    </row>
    <row r="25787" spans="5:5">
      <c r="E25787" s="51"/>
    </row>
    <row r="25788" spans="5:5">
      <c r="E25788" s="51"/>
    </row>
    <row r="25789" spans="5:5">
      <c r="E25789" s="51"/>
    </row>
    <row r="25790" spans="5:5">
      <c r="E25790" s="51"/>
    </row>
    <row r="25791" spans="5:5">
      <c r="E25791" s="51"/>
    </row>
    <row r="25792" spans="5:5">
      <c r="E25792" s="51"/>
    </row>
    <row r="25793" spans="5:5">
      <c r="E25793" s="51"/>
    </row>
    <row r="25794" spans="5:5">
      <c r="E25794" s="51"/>
    </row>
    <row r="25795" spans="5:5">
      <c r="E25795" s="51"/>
    </row>
    <row r="25796" spans="5:5">
      <c r="E25796" s="51"/>
    </row>
    <row r="25797" spans="5:5">
      <c r="E25797" s="51"/>
    </row>
    <row r="25798" spans="5:5">
      <c r="E25798" s="51"/>
    </row>
    <row r="25799" spans="5:5">
      <c r="E25799" s="51"/>
    </row>
    <row r="25800" spans="5:5">
      <c r="E25800" s="51"/>
    </row>
    <row r="25801" spans="5:5">
      <c r="E25801" s="51"/>
    </row>
    <row r="25802" spans="5:5">
      <c r="E25802" s="51"/>
    </row>
    <row r="25803" spans="5:5">
      <c r="E25803" s="51"/>
    </row>
    <row r="25804" spans="5:5">
      <c r="E25804" s="51"/>
    </row>
    <row r="25805" spans="5:5">
      <c r="E25805" s="51"/>
    </row>
    <row r="25806" spans="5:5">
      <c r="E25806" s="51"/>
    </row>
    <row r="25807" spans="5:5">
      <c r="E25807" s="51"/>
    </row>
    <row r="25808" spans="5:5">
      <c r="E25808" s="51"/>
    </row>
    <row r="25809" spans="5:5">
      <c r="E25809" s="51"/>
    </row>
    <row r="25810" spans="5:5">
      <c r="E25810" s="51"/>
    </row>
    <row r="25811" spans="5:5">
      <c r="E25811" s="51"/>
    </row>
    <row r="25812" spans="5:5">
      <c r="E25812" s="51"/>
    </row>
    <row r="25813" spans="5:5">
      <c r="E25813" s="51"/>
    </row>
    <row r="25814" spans="5:5">
      <c r="E25814" s="51"/>
    </row>
    <row r="25815" spans="5:5">
      <c r="E25815" s="51"/>
    </row>
    <row r="25816" spans="5:5">
      <c r="E25816" s="51"/>
    </row>
    <row r="25817" spans="5:5">
      <c r="E25817" s="51"/>
    </row>
    <row r="25818" spans="5:5">
      <c r="E25818" s="51"/>
    </row>
    <row r="25819" spans="5:5">
      <c r="E25819" s="51"/>
    </row>
    <row r="25820" spans="5:5">
      <c r="E25820" s="51"/>
    </row>
    <row r="25821" spans="5:5">
      <c r="E25821" s="51"/>
    </row>
    <row r="25822" spans="5:5">
      <c r="E25822" s="51"/>
    </row>
    <row r="25823" spans="5:5">
      <c r="E25823" s="51"/>
    </row>
    <row r="25824" spans="5:5">
      <c r="E25824" s="51"/>
    </row>
    <row r="25825" spans="5:5">
      <c r="E25825" s="51"/>
    </row>
    <row r="25826" spans="5:5">
      <c r="E25826" s="51"/>
    </row>
    <row r="25827" spans="5:5">
      <c r="E25827" s="51"/>
    </row>
    <row r="25828" spans="5:5">
      <c r="E25828" s="51"/>
    </row>
    <row r="25829" spans="5:5">
      <c r="E25829" s="51"/>
    </row>
    <row r="25830" spans="5:5">
      <c r="E25830" s="51"/>
    </row>
    <row r="25831" spans="5:5">
      <c r="E25831" s="51"/>
    </row>
    <row r="25832" spans="5:5">
      <c r="E25832" s="51"/>
    </row>
    <row r="25833" spans="5:5">
      <c r="E25833" s="51"/>
    </row>
    <row r="25834" spans="5:5">
      <c r="E25834" s="51"/>
    </row>
    <row r="25835" spans="5:5">
      <c r="E25835" s="51"/>
    </row>
    <row r="25836" spans="5:5">
      <c r="E25836" s="51"/>
    </row>
    <row r="25837" spans="5:5">
      <c r="E25837" s="51"/>
    </row>
    <row r="25838" spans="5:5">
      <c r="E25838" s="51"/>
    </row>
    <row r="25839" spans="5:5">
      <c r="E25839" s="51"/>
    </row>
    <row r="25840" spans="5:5">
      <c r="E25840" s="51"/>
    </row>
    <row r="25841" spans="5:5">
      <c r="E25841" s="51"/>
    </row>
    <row r="25842" spans="5:5">
      <c r="E25842" s="51"/>
    </row>
    <row r="25843" spans="5:5">
      <c r="E25843" s="51"/>
    </row>
    <row r="25844" spans="5:5">
      <c r="E25844" s="51"/>
    </row>
    <row r="25845" spans="5:5">
      <c r="E25845" s="51"/>
    </row>
    <row r="25846" spans="5:5">
      <c r="E25846" s="51"/>
    </row>
    <row r="25847" spans="5:5">
      <c r="E25847" s="51"/>
    </row>
    <row r="25848" spans="5:5">
      <c r="E25848" s="51"/>
    </row>
    <row r="25849" spans="5:5">
      <c r="E25849" s="51"/>
    </row>
    <row r="25850" spans="5:5">
      <c r="E25850" s="51"/>
    </row>
    <row r="25851" spans="5:5">
      <c r="E25851" s="51"/>
    </row>
    <row r="25852" spans="5:5">
      <c r="E25852" s="51"/>
    </row>
    <row r="25853" spans="5:5">
      <c r="E25853" s="51"/>
    </row>
    <row r="25854" spans="5:5">
      <c r="E25854" s="51"/>
    </row>
    <row r="25855" spans="5:5">
      <c r="E25855" s="51"/>
    </row>
    <row r="25856" spans="5:5">
      <c r="E25856" s="51"/>
    </row>
    <row r="25857" spans="5:5">
      <c r="E25857" s="51"/>
    </row>
    <row r="25858" spans="5:5">
      <c r="E25858" s="51"/>
    </row>
    <row r="25859" spans="5:5">
      <c r="E25859" s="51"/>
    </row>
    <row r="25860" spans="5:5">
      <c r="E25860" s="51"/>
    </row>
    <row r="25861" spans="5:5">
      <c r="E25861" s="51"/>
    </row>
    <row r="25862" spans="5:5">
      <c r="E25862" s="51"/>
    </row>
    <row r="25863" spans="5:5">
      <c r="E25863" s="51"/>
    </row>
    <row r="25864" spans="5:5">
      <c r="E25864" s="51"/>
    </row>
    <row r="25865" spans="5:5">
      <c r="E25865" s="51"/>
    </row>
    <row r="25866" spans="5:5">
      <c r="E25866" s="51"/>
    </row>
    <row r="25867" spans="5:5">
      <c r="E25867" s="51"/>
    </row>
    <row r="25868" spans="5:5">
      <c r="E25868" s="51"/>
    </row>
    <row r="25869" spans="5:5">
      <c r="E25869" s="51"/>
    </row>
    <row r="25870" spans="5:5">
      <c r="E25870" s="51"/>
    </row>
    <row r="25871" spans="5:5">
      <c r="E25871" s="51"/>
    </row>
    <row r="25872" spans="5:5">
      <c r="E25872" s="51"/>
    </row>
    <row r="25873" spans="5:5">
      <c r="E25873" s="51"/>
    </row>
    <row r="25874" spans="5:5">
      <c r="E25874" s="51"/>
    </row>
    <row r="25875" spans="5:5">
      <c r="E25875" s="51"/>
    </row>
    <row r="25876" spans="5:5">
      <c r="E25876" s="51"/>
    </row>
    <row r="25877" spans="5:5">
      <c r="E25877" s="51"/>
    </row>
    <row r="25878" spans="5:5">
      <c r="E25878" s="51"/>
    </row>
    <row r="25879" spans="5:5">
      <c r="E25879" s="51"/>
    </row>
    <row r="25880" spans="5:5">
      <c r="E25880" s="51"/>
    </row>
    <row r="25881" spans="5:5">
      <c r="E25881" s="51"/>
    </row>
    <row r="25882" spans="5:5">
      <c r="E25882" s="51"/>
    </row>
    <row r="25883" spans="5:5">
      <c r="E25883" s="51"/>
    </row>
    <row r="25884" spans="5:5">
      <c r="E25884" s="51"/>
    </row>
    <row r="25885" spans="5:5">
      <c r="E25885" s="51"/>
    </row>
    <row r="25886" spans="5:5">
      <c r="E25886" s="51"/>
    </row>
    <row r="25887" spans="5:5">
      <c r="E25887" s="51"/>
    </row>
    <row r="25888" spans="5:5">
      <c r="E25888" s="51"/>
    </row>
    <row r="25889" spans="5:5">
      <c r="E25889" s="51"/>
    </row>
    <row r="25890" spans="5:5">
      <c r="E25890" s="51"/>
    </row>
    <row r="25891" spans="5:5">
      <c r="E25891" s="51"/>
    </row>
    <row r="25892" spans="5:5">
      <c r="E25892" s="51"/>
    </row>
    <row r="25893" spans="5:5">
      <c r="E25893" s="51"/>
    </row>
    <row r="25894" spans="5:5">
      <c r="E25894" s="51"/>
    </row>
    <row r="25895" spans="5:5">
      <c r="E25895" s="51"/>
    </row>
    <row r="25896" spans="5:5">
      <c r="E25896" s="51"/>
    </row>
    <row r="25897" spans="5:5">
      <c r="E25897" s="51"/>
    </row>
    <row r="25898" spans="5:5">
      <c r="E25898" s="51"/>
    </row>
    <row r="25899" spans="5:5">
      <c r="E25899" s="51"/>
    </row>
    <row r="25900" spans="5:5">
      <c r="E25900" s="51"/>
    </row>
    <row r="25901" spans="5:5">
      <c r="E25901" s="51"/>
    </row>
    <row r="25902" spans="5:5">
      <c r="E25902" s="51"/>
    </row>
    <row r="25903" spans="5:5">
      <c r="E25903" s="51"/>
    </row>
    <row r="25904" spans="5:5">
      <c r="E25904" s="51"/>
    </row>
    <row r="25905" spans="5:5">
      <c r="E25905" s="51"/>
    </row>
    <row r="25906" spans="5:5">
      <c r="E25906" s="51"/>
    </row>
    <row r="25907" spans="5:5">
      <c r="E25907" s="51"/>
    </row>
    <row r="25908" spans="5:5">
      <c r="E25908" s="51"/>
    </row>
    <row r="25909" spans="5:5">
      <c r="E25909" s="51"/>
    </row>
    <row r="25910" spans="5:5">
      <c r="E25910" s="51"/>
    </row>
    <row r="25911" spans="5:5">
      <c r="E25911" s="51"/>
    </row>
    <row r="25912" spans="5:5">
      <c r="E25912" s="51"/>
    </row>
    <row r="25913" spans="5:5">
      <c r="E25913" s="51"/>
    </row>
    <row r="25914" spans="5:5">
      <c r="E25914" s="51"/>
    </row>
    <row r="25915" spans="5:5">
      <c r="E25915" s="51"/>
    </row>
    <row r="25916" spans="5:5">
      <c r="E25916" s="51"/>
    </row>
    <row r="25917" spans="5:5">
      <c r="E25917" s="51"/>
    </row>
    <row r="25918" spans="5:5">
      <c r="E25918" s="51"/>
    </row>
    <row r="25919" spans="5:5">
      <c r="E25919" s="51"/>
    </row>
    <row r="25920" spans="5:5">
      <c r="E25920" s="51"/>
    </row>
    <row r="25921" spans="5:5">
      <c r="E25921" s="51"/>
    </row>
    <row r="25922" spans="5:5">
      <c r="E25922" s="51"/>
    </row>
    <row r="25923" spans="5:5">
      <c r="E25923" s="51"/>
    </row>
    <row r="25924" spans="5:5">
      <c r="E25924" s="51"/>
    </row>
    <row r="25925" spans="5:5">
      <c r="E25925" s="51"/>
    </row>
    <row r="25926" spans="5:5">
      <c r="E25926" s="51"/>
    </row>
    <row r="25927" spans="5:5">
      <c r="E25927" s="51"/>
    </row>
    <row r="25928" spans="5:5">
      <c r="E25928" s="51"/>
    </row>
    <row r="25929" spans="5:5">
      <c r="E25929" s="51"/>
    </row>
    <row r="25930" spans="5:5">
      <c r="E25930" s="51"/>
    </row>
    <row r="25931" spans="5:5">
      <c r="E25931" s="51"/>
    </row>
    <row r="25932" spans="5:5">
      <c r="E25932" s="51"/>
    </row>
    <row r="25933" spans="5:5">
      <c r="E25933" s="51"/>
    </row>
    <row r="25934" spans="5:5">
      <c r="E25934" s="51"/>
    </row>
    <row r="25935" spans="5:5">
      <c r="E25935" s="51"/>
    </row>
    <row r="25936" spans="5:5">
      <c r="E25936" s="51"/>
    </row>
    <row r="25937" spans="5:5">
      <c r="E25937" s="51"/>
    </row>
    <row r="25938" spans="5:5">
      <c r="E25938" s="51"/>
    </row>
    <row r="25939" spans="5:5">
      <c r="E25939" s="51"/>
    </row>
    <row r="25940" spans="5:5">
      <c r="E25940" s="51"/>
    </row>
    <row r="25941" spans="5:5">
      <c r="E25941" s="51"/>
    </row>
    <row r="25942" spans="5:5">
      <c r="E25942" s="51"/>
    </row>
    <row r="25943" spans="5:5">
      <c r="E25943" s="51"/>
    </row>
    <row r="25944" spans="5:5">
      <c r="E25944" s="51"/>
    </row>
    <row r="25945" spans="5:5">
      <c r="E25945" s="51"/>
    </row>
    <row r="25946" spans="5:5">
      <c r="E25946" s="51"/>
    </row>
    <row r="25947" spans="5:5">
      <c r="E25947" s="51"/>
    </row>
    <row r="25948" spans="5:5">
      <c r="E25948" s="51"/>
    </row>
    <row r="25949" spans="5:5">
      <c r="E25949" s="51"/>
    </row>
    <row r="25950" spans="5:5">
      <c r="E25950" s="51"/>
    </row>
    <row r="25951" spans="5:5">
      <c r="E25951" s="51"/>
    </row>
    <row r="25952" spans="5:5">
      <c r="E25952" s="51"/>
    </row>
    <row r="25953" spans="5:5">
      <c r="E25953" s="51"/>
    </row>
    <row r="25954" spans="5:5">
      <c r="E25954" s="51"/>
    </row>
    <row r="25955" spans="5:5">
      <c r="E25955" s="51"/>
    </row>
    <row r="25956" spans="5:5">
      <c r="E25956" s="51"/>
    </row>
    <row r="25957" spans="5:5">
      <c r="E25957" s="51"/>
    </row>
    <row r="25958" spans="5:5">
      <c r="E25958" s="51"/>
    </row>
    <row r="25959" spans="5:5">
      <c r="E25959" s="51"/>
    </row>
    <row r="25960" spans="5:5">
      <c r="E25960" s="51"/>
    </row>
    <row r="25961" spans="5:5">
      <c r="E25961" s="51"/>
    </row>
    <row r="25962" spans="5:5">
      <c r="E25962" s="51"/>
    </row>
    <row r="25963" spans="5:5">
      <c r="E25963" s="51"/>
    </row>
    <row r="25964" spans="5:5">
      <c r="E25964" s="51"/>
    </row>
    <row r="25965" spans="5:5">
      <c r="E25965" s="51"/>
    </row>
    <row r="25966" spans="5:5">
      <c r="E25966" s="51"/>
    </row>
    <row r="25967" spans="5:5">
      <c r="E25967" s="51"/>
    </row>
    <row r="25968" spans="5:5">
      <c r="E25968" s="51"/>
    </row>
    <row r="25969" spans="5:5">
      <c r="E25969" s="51"/>
    </row>
    <row r="25970" spans="5:5">
      <c r="E25970" s="51"/>
    </row>
    <row r="25971" spans="5:5">
      <c r="E25971" s="51"/>
    </row>
    <row r="25972" spans="5:5">
      <c r="E25972" s="51"/>
    </row>
    <row r="25973" spans="5:5">
      <c r="E25973" s="51"/>
    </row>
    <row r="25974" spans="5:5">
      <c r="E25974" s="51"/>
    </row>
    <row r="25975" spans="5:5">
      <c r="E25975" s="51"/>
    </row>
    <row r="25976" spans="5:5">
      <c r="E25976" s="51"/>
    </row>
    <row r="25977" spans="5:5">
      <c r="E25977" s="51"/>
    </row>
    <row r="25978" spans="5:5">
      <c r="E25978" s="51"/>
    </row>
    <row r="25979" spans="5:5">
      <c r="E25979" s="51"/>
    </row>
    <row r="25980" spans="5:5">
      <c r="E25980" s="51"/>
    </row>
    <row r="25981" spans="5:5">
      <c r="E25981" s="51"/>
    </row>
    <row r="25982" spans="5:5">
      <c r="E25982" s="51"/>
    </row>
    <row r="25983" spans="5:5">
      <c r="E25983" s="51"/>
    </row>
    <row r="25984" spans="5:5">
      <c r="E25984" s="51"/>
    </row>
    <row r="25985" spans="5:5">
      <c r="E25985" s="51"/>
    </row>
    <row r="25986" spans="5:5">
      <c r="E25986" s="51"/>
    </row>
    <row r="25987" spans="5:5">
      <c r="E25987" s="51"/>
    </row>
    <row r="25988" spans="5:5">
      <c r="E25988" s="51"/>
    </row>
    <row r="25989" spans="5:5">
      <c r="E25989" s="51"/>
    </row>
    <row r="25990" spans="5:5">
      <c r="E25990" s="51"/>
    </row>
    <row r="25991" spans="5:5">
      <c r="E25991" s="51"/>
    </row>
    <row r="25992" spans="5:5">
      <c r="E25992" s="51"/>
    </row>
    <row r="25993" spans="5:5">
      <c r="E25993" s="51"/>
    </row>
    <row r="25994" spans="5:5">
      <c r="E25994" s="51"/>
    </row>
    <row r="25995" spans="5:5">
      <c r="E25995" s="51"/>
    </row>
    <row r="25996" spans="5:5">
      <c r="E25996" s="51"/>
    </row>
    <row r="25997" spans="5:5">
      <c r="E25997" s="51"/>
    </row>
    <row r="25998" spans="5:5">
      <c r="E25998" s="51"/>
    </row>
    <row r="25999" spans="5:5">
      <c r="E25999" s="51"/>
    </row>
    <row r="26000" spans="5:5">
      <c r="E26000" s="51"/>
    </row>
    <row r="26001" spans="5:5">
      <c r="E26001" s="51"/>
    </row>
    <row r="26002" spans="5:5">
      <c r="E26002" s="51"/>
    </row>
    <row r="26003" spans="5:5">
      <c r="E26003" s="51"/>
    </row>
    <row r="26004" spans="5:5">
      <c r="E26004" s="51"/>
    </row>
    <row r="26005" spans="5:5">
      <c r="E26005" s="51"/>
    </row>
    <row r="26006" spans="5:5">
      <c r="E26006" s="51"/>
    </row>
    <row r="26007" spans="5:5">
      <c r="E26007" s="51"/>
    </row>
    <row r="26008" spans="5:5">
      <c r="E26008" s="51"/>
    </row>
    <row r="26009" spans="5:5">
      <c r="E26009" s="51"/>
    </row>
    <row r="26010" spans="5:5">
      <c r="E26010" s="51"/>
    </row>
    <row r="26011" spans="5:5">
      <c r="E26011" s="51"/>
    </row>
    <row r="26012" spans="5:5">
      <c r="E26012" s="51"/>
    </row>
    <row r="26013" spans="5:5">
      <c r="E26013" s="51"/>
    </row>
    <row r="26014" spans="5:5">
      <c r="E26014" s="51"/>
    </row>
    <row r="26015" spans="5:5">
      <c r="E26015" s="51"/>
    </row>
    <row r="26016" spans="5:5">
      <c r="E26016" s="51"/>
    </row>
    <row r="26017" spans="5:5">
      <c r="E26017" s="51"/>
    </row>
    <row r="26018" spans="5:5">
      <c r="E26018" s="51"/>
    </row>
    <row r="26019" spans="5:5">
      <c r="E26019" s="51"/>
    </row>
    <row r="26020" spans="5:5">
      <c r="E26020" s="51"/>
    </row>
    <row r="26021" spans="5:5">
      <c r="E26021" s="51"/>
    </row>
    <row r="26022" spans="5:5">
      <c r="E26022" s="51"/>
    </row>
    <row r="26023" spans="5:5">
      <c r="E26023" s="51"/>
    </row>
    <row r="26024" spans="5:5">
      <c r="E26024" s="51"/>
    </row>
    <row r="26025" spans="5:5">
      <c r="E26025" s="51"/>
    </row>
    <row r="26026" spans="5:5">
      <c r="E26026" s="51"/>
    </row>
    <row r="26027" spans="5:5">
      <c r="E26027" s="51"/>
    </row>
    <row r="26028" spans="5:5">
      <c r="E26028" s="51"/>
    </row>
    <row r="26029" spans="5:5">
      <c r="E26029" s="51"/>
    </row>
    <row r="26030" spans="5:5">
      <c r="E26030" s="51"/>
    </row>
    <row r="26031" spans="5:5">
      <c r="E26031" s="51"/>
    </row>
    <row r="26032" spans="5:5">
      <c r="E26032" s="51"/>
    </row>
    <row r="26033" spans="5:5">
      <c r="E26033" s="51"/>
    </row>
    <row r="26034" spans="5:5">
      <c r="E26034" s="51"/>
    </row>
    <row r="26035" spans="5:5">
      <c r="E26035" s="51"/>
    </row>
    <row r="26036" spans="5:5">
      <c r="E26036" s="51"/>
    </row>
    <row r="26037" spans="5:5">
      <c r="E26037" s="51"/>
    </row>
    <row r="26038" spans="5:5">
      <c r="E26038" s="51"/>
    </row>
    <row r="26039" spans="5:5">
      <c r="E26039" s="51"/>
    </row>
    <row r="26040" spans="5:5">
      <c r="E26040" s="51"/>
    </row>
    <row r="26041" spans="5:5">
      <c r="E26041" s="51"/>
    </row>
    <row r="26042" spans="5:5">
      <c r="E26042" s="51"/>
    </row>
    <row r="26043" spans="5:5">
      <c r="E26043" s="51"/>
    </row>
    <row r="26044" spans="5:5">
      <c r="E26044" s="51"/>
    </row>
    <row r="26045" spans="5:5">
      <c r="E26045" s="51"/>
    </row>
    <row r="26046" spans="5:5">
      <c r="E26046" s="51"/>
    </row>
    <row r="26047" spans="5:5">
      <c r="E26047" s="51"/>
    </row>
    <row r="26048" spans="5:5">
      <c r="E26048" s="51"/>
    </row>
    <row r="26049" spans="5:5">
      <c r="E26049" s="51"/>
    </row>
    <row r="26050" spans="5:5">
      <c r="E26050" s="51"/>
    </row>
    <row r="26051" spans="5:5">
      <c r="E26051" s="51"/>
    </row>
    <row r="26052" spans="5:5">
      <c r="E26052" s="51"/>
    </row>
    <row r="26053" spans="5:5">
      <c r="E26053" s="51"/>
    </row>
    <row r="26054" spans="5:5">
      <c r="E26054" s="51"/>
    </row>
    <row r="26055" spans="5:5">
      <c r="E26055" s="51"/>
    </row>
    <row r="26056" spans="5:5">
      <c r="E26056" s="51"/>
    </row>
    <row r="26057" spans="5:5">
      <c r="E26057" s="51"/>
    </row>
    <row r="26058" spans="5:5">
      <c r="E26058" s="51"/>
    </row>
    <row r="26059" spans="5:5">
      <c r="E26059" s="51"/>
    </row>
    <row r="26060" spans="5:5">
      <c r="E26060" s="51"/>
    </row>
    <row r="26061" spans="5:5">
      <c r="E26061" s="51"/>
    </row>
    <row r="26062" spans="5:5">
      <c r="E26062" s="51"/>
    </row>
    <row r="26063" spans="5:5">
      <c r="E26063" s="51"/>
    </row>
    <row r="26064" spans="5:5">
      <c r="E26064" s="51"/>
    </row>
    <row r="26065" spans="5:5">
      <c r="E26065" s="51"/>
    </row>
    <row r="26066" spans="5:5">
      <c r="E26066" s="51"/>
    </row>
    <row r="26067" spans="5:5">
      <c r="E26067" s="51"/>
    </row>
    <row r="26068" spans="5:5">
      <c r="E26068" s="51"/>
    </row>
    <row r="26069" spans="5:5">
      <c r="E26069" s="51"/>
    </row>
    <row r="26070" spans="5:5">
      <c r="E26070" s="51"/>
    </row>
    <row r="26071" spans="5:5">
      <c r="E26071" s="51"/>
    </row>
    <row r="26072" spans="5:5">
      <c r="E26072" s="51"/>
    </row>
    <row r="26073" spans="5:5">
      <c r="E26073" s="51"/>
    </row>
    <row r="26074" spans="5:5">
      <c r="E26074" s="51"/>
    </row>
    <row r="26075" spans="5:5">
      <c r="E26075" s="51"/>
    </row>
    <row r="26076" spans="5:5">
      <c r="E26076" s="51"/>
    </row>
    <row r="26077" spans="5:5">
      <c r="E26077" s="51"/>
    </row>
    <row r="26078" spans="5:5">
      <c r="E26078" s="51"/>
    </row>
    <row r="26079" spans="5:5">
      <c r="E26079" s="51"/>
    </row>
    <row r="26080" spans="5:5">
      <c r="E26080" s="51"/>
    </row>
    <row r="26081" spans="5:5">
      <c r="E26081" s="51"/>
    </row>
    <row r="26082" spans="5:5">
      <c r="E26082" s="51"/>
    </row>
    <row r="26083" spans="5:5">
      <c r="E26083" s="51"/>
    </row>
    <row r="26084" spans="5:5">
      <c r="E26084" s="51"/>
    </row>
    <row r="26085" spans="5:5">
      <c r="E26085" s="51"/>
    </row>
    <row r="26086" spans="5:5">
      <c r="E26086" s="51"/>
    </row>
    <row r="26087" spans="5:5">
      <c r="E26087" s="51"/>
    </row>
    <row r="26088" spans="5:5">
      <c r="E26088" s="51"/>
    </row>
    <row r="26089" spans="5:5">
      <c r="E26089" s="51"/>
    </row>
    <row r="26090" spans="5:5">
      <c r="E26090" s="51"/>
    </row>
    <row r="26091" spans="5:5">
      <c r="E26091" s="51"/>
    </row>
    <row r="26092" spans="5:5">
      <c r="E26092" s="51"/>
    </row>
    <row r="26093" spans="5:5">
      <c r="E26093" s="51"/>
    </row>
    <row r="26094" spans="5:5">
      <c r="E26094" s="51"/>
    </row>
    <row r="26095" spans="5:5">
      <c r="E26095" s="51"/>
    </row>
    <row r="26096" spans="5:5">
      <c r="E26096" s="51"/>
    </row>
    <row r="26097" spans="5:5">
      <c r="E26097" s="51"/>
    </row>
    <row r="26098" spans="5:5">
      <c r="E26098" s="51"/>
    </row>
    <row r="26099" spans="5:5">
      <c r="E26099" s="51"/>
    </row>
    <row r="26100" spans="5:5">
      <c r="E26100" s="51"/>
    </row>
    <row r="26101" spans="5:5">
      <c r="E26101" s="51"/>
    </row>
    <row r="26102" spans="5:5">
      <c r="E26102" s="51"/>
    </row>
    <row r="26103" spans="5:5">
      <c r="E26103" s="51"/>
    </row>
    <row r="26104" spans="5:5">
      <c r="E26104" s="51"/>
    </row>
    <row r="26105" spans="5:5">
      <c r="E26105" s="51"/>
    </row>
    <row r="26106" spans="5:5">
      <c r="E26106" s="51"/>
    </row>
    <row r="26107" spans="5:5">
      <c r="E26107" s="51"/>
    </row>
    <row r="26108" spans="5:5">
      <c r="E26108" s="51"/>
    </row>
    <row r="26109" spans="5:5">
      <c r="E26109" s="51"/>
    </row>
    <row r="26110" spans="5:5">
      <c r="E26110" s="51"/>
    </row>
    <row r="26111" spans="5:5">
      <c r="E26111" s="51"/>
    </row>
    <row r="26112" spans="5:5">
      <c r="E26112" s="51"/>
    </row>
    <row r="26113" spans="5:5">
      <c r="E26113" s="51"/>
    </row>
    <row r="26114" spans="5:5">
      <c r="E26114" s="51"/>
    </row>
    <row r="26115" spans="5:5">
      <c r="E26115" s="51"/>
    </row>
    <row r="26116" spans="5:5">
      <c r="E26116" s="51"/>
    </row>
    <row r="26117" spans="5:5">
      <c r="E26117" s="51"/>
    </row>
    <row r="26118" spans="5:5">
      <c r="E26118" s="51"/>
    </row>
    <row r="26119" spans="5:5">
      <c r="E26119" s="51"/>
    </row>
    <row r="26120" spans="5:5">
      <c r="E26120" s="51"/>
    </row>
    <row r="26121" spans="5:5">
      <c r="E26121" s="51"/>
    </row>
    <row r="26122" spans="5:5">
      <c r="E26122" s="51"/>
    </row>
    <row r="26123" spans="5:5">
      <c r="E26123" s="51"/>
    </row>
    <row r="26124" spans="5:5">
      <c r="E26124" s="51"/>
    </row>
    <row r="26125" spans="5:5">
      <c r="E26125" s="51"/>
    </row>
    <row r="26126" spans="5:5">
      <c r="E26126" s="51"/>
    </row>
    <row r="26127" spans="5:5">
      <c r="E26127" s="51"/>
    </row>
    <row r="26128" spans="5:5">
      <c r="E26128" s="51"/>
    </row>
    <row r="26129" spans="5:5">
      <c r="E26129" s="51"/>
    </row>
    <row r="26130" spans="5:5">
      <c r="E26130" s="51"/>
    </row>
    <row r="26131" spans="5:5">
      <c r="E26131" s="51"/>
    </row>
    <row r="26132" spans="5:5">
      <c r="E26132" s="51"/>
    </row>
    <row r="26133" spans="5:5">
      <c r="E26133" s="51"/>
    </row>
    <row r="26134" spans="5:5">
      <c r="E26134" s="51"/>
    </row>
    <row r="26135" spans="5:5">
      <c r="E26135" s="51"/>
    </row>
    <row r="26136" spans="5:5">
      <c r="E26136" s="51"/>
    </row>
    <row r="26137" spans="5:5">
      <c r="E26137" s="51"/>
    </row>
    <row r="26138" spans="5:5">
      <c r="E26138" s="51"/>
    </row>
    <row r="26139" spans="5:5">
      <c r="E26139" s="51"/>
    </row>
    <row r="26140" spans="5:5">
      <c r="E26140" s="51"/>
    </row>
    <row r="26141" spans="5:5">
      <c r="E26141" s="51"/>
    </row>
    <row r="26142" spans="5:5">
      <c r="E26142" s="51"/>
    </row>
    <row r="26143" spans="5:5">
      <c r="E26143" s="51"/>
    </row>
    <row r="26144" spans="5:5">
      <c r="E26144" s="51"/>
    </row>
    <row r="26145" spans="5:5">
      <c r="E26145" s="51"/>
    </row>
    <row r="26146" spans="5:5">
      <c r="E26146" s="51"/>
    </row>
    <row r="26147" spans="5:5">
      <c r="E26147" s="51"/>
    </row>
    <row r="26148" spans="5:5">
      <c r="E26148" s="51"/>
    </row>
    <row r="26149" spans="5:5">
      <c r="E26149" s="51"/>
    </row>
    <row r="26150" spans="5:5">
      <c r="E26150" s="51"/>
    </row>
    <row r="26151" spans="5:5">
      <c r="E26151" s="51"/>
    </row>
    <row r="26152" spans="5:5">
      <c r="E26152" s="51"/>
    </row>
    <row r="26153" spans="5:5">
      <c r="E26153" s="51"/>
    </row>
    <row r="26154" spans="5:5">
      <c r="E26154" s="51"/>
    </row>
    <row r="26155" spans="5:5">
      <c r="E26155" s="51"/>
    </row>
    <row r="26156" spans="5:5">
      <c r="E26156" s="51"/>
    </row>
    <row r="26157" spans="5:5">
      <c r="E26157" s="51"/>
    </row>
    <row r="26158" spans="5:5">
      <c r="E26158" s="51"/>
    </row>
    <row r="26159" spans="5:5">
      <c r="E26159" s="51"/>
    </row>
    <row r="26160" spans="5:5">
      <c r="E26160" s="51"/>
    </row>
    <row r="26161" spans="5:5">
      <c r="E26161" s="51"/>
    </row>
    <row r="26162" spans="5:5">
      <c r="E26162" s="51"/>
    </row>
    <row r="26163" spans="5:5">
      <c r="E26163" s="51"/>
    </row>
    <row r="26164" spans="5:5">
      <c r="E26164" s="51"/>
    </row>
    <row r="26165" spans="5:5">
      <c r="E26165" s="51"/>
    </row>
    <row r="26166" spans="5:5">
      <c r="E26166" s="51"/>
    </row>
    <row r="26167" spans="5:5">
      <c r="E26167" s="51"/>
    </row>
    <row r="26168" spans="5:5">
      <c r="E26168" s="51"/>
    </row>
    <row r="26169" spans="5:5">
      <c r="E26169" s="51"/>
    </row>
    <row r="26170" spans="5:5">
      <c r="E26170" s="51"/>
    </row>
    <row r="26171" spans="5:5">
      <c r="E26171" s="51"/>
    </row>
    <row r="26172" spans="5:5">
      <c r="E26172" s="51"/>
    </row>
    <row r="26173" spans="5:5">
      <c r="E26173" s="51"/>
    </row>
    <row r="26174" spans="5:5">
      <c r="E26174" s="51"/>
    </row>
    <row r="26175" spans="5:5">
      <c r="E26175" s="51"/>
    </row>
    <row r="26176" spans="5:5">
      <c r="E26176" s="51"/>
    </row>
    <row r="26177" spans="5:5">
      <c r="E26177" s="51"/>
    </row>
    <row r="26178" spans="5:5">
      <c r="E26178" s="51"/>
    </row>
    <row r="26179" spans="5:5">
      <c r="E26179" s="51"/>
    </row>
    <row r="26180" spans="5:5">
      <c r="E26180" s="51"/>
    </row>
    <row r="26181" spans="5:5">
      <c r="E26181" s="51"/>
    </row>
    <row r="26182" spans="5:5">
      <c r="E26182" s="51"/>
    </row>
    <row r="26183" spans="5:5">
      <c r="E26183" s="51"/>
    </row>
    <row r="26184" spans="5:5">
      <c r="E26184" s="51"/>
    </row>
    <row r="26185" spans="5:5">
      <c r="E26185" s="51"/>
    </row>
    <row r="26186" spans="5:5">
      <c r="E26186" s="51"/>
    </row>
    <row r="26187" spans="5:5">
      <c r="E26187" s="51"/>
    </row>
    <row r="26188" spans="5:5">
      <c r="E26188" s="51"/>
    </row>
    <row r="26189" spans="5:5">
      <c r="E26189" s="51"/>
    </row>
    <row r="26190" spans="5:5">
      <c r="E26190" s="51"/>
    </row>
    <row r="26191" spans="5:5">
      <c r="E26191" s="51"/>
    </row>
    <row r="26192" spans="5:5">
      <c r="E26192" s="51"/>
    </row>
    <row r="26193" spans="5:5">
      <c r="E26193" s="51"/>
    </row>
    <row r="26194" spans="5:5">
      <c r="E26194" s="51"/>
    </row>
    <row r="26195" spans="5:5">
      <c r="E26195" s="51"/>
    </row>
    <row r="26196" spans="5:5">
      <c r="E26196" s="51"/>
    </row>
    <row r="26197" spans="5:5">
      <c r="E26197" s="51"/>
    </row>
    <row r="26198" spans="5:5">
      <c r="E26198" s="51"/>
    </row>
    <row r="26199" spans="5:5">
      <c r="E26199" s="51"/>
    </row>
    <row r="26200" spans="5:5">
      <c r="E26200" s="51"/>
    </row>
    <row r="26201" spans="5:5">
      <c r="E26201" s="51"/>
    </row>
    <row r="26202" spans="5:5">
      <c r="E26202" s="51"/>
    </row>
    <row r="26203" spans="5:5">
      <c r="E26203" s="51"/>
    </row>
    <row r="26204" spans="5:5">
      <c r="E26204" s="51"/>
    </row>
    <row r="26205" spans="5:5">
      <c r="E26205" s="51"/>
    </row>
    <row r="26206" spans="5:5">
      <c r="E26206" s="51"/>
    </row>
    <row r="26207" spans="5:5">
      <c r="E26207" s="51"/>
    </row>
    <row r="26208" spans="5:5">
      <c r="E26208" s="51"/>
    </row>
    <row r="26209" spans="5:5">
      <c r="E26209" s="51"/>
    </row>
    <row r="26210" spans="5:5">
      <c r="E26210" s="51"/>
    </row>
    <row r="26211" spans="5:5">
      <c r="E26211" s="51"/>
    </row>
    <row r="26212" spans="5:5">
      <c r="E26212" s="51"/>
    </row>
    <row r="26213" spans="5:5">
      <c r="E26213" s="51"/>
    </row>
    <row r="26214" spans="5:5">
      <c r="E26214" s="51"/>
    </row>
    <row r="26215" spans="5:5">
      <c r="E26215" s="51"/>
    </row>
    <row r="26216" spans="5:5">
      <c r="E26216" s="51"/>
    </row>
    <row r="26217" spans="5:5">
      <c r="E26217" s="51"/>
    </row>
    <row r="26218" spans="5:5">
      <c r="E26218" s="51"/>
    </row>
    <row r="26219" spans="5:5">
      <c r="E26219" s="51"/>
    </row>
    <row r="26220" spans="5:5">
      <c r="E26220" s="51"/>
    </row>
    <row r="26221" spans="5:5">
      <c r="E26221" s="51"/>
    </row>
    <row r="26222" spans="5:5">
      <c r="E26222" s="51"/>
    </row>
    <row r="26223" spans="5:5">
      <c r="E26223" s="51"/>
    </row>
    <row r="26224" spans="5:5">
      <c r="E26224" s="51"/>
    </row>
    <row r="26225" spans="5:5">
      <c r="E26225" s="51"/>
    </row>
    <row r="26226" spans="5:5">
      <c r="E26226" s="51"/>
    </row>
    <row r="26227" spans="5:5">
      <c r="E26227" s="51"/>
    </row>
    <row r="26228" spans="5:5">
      <c r="E26228" s="51"/>
    </row>
    <row r="26229" spans="5:5">
      <c r="E26229" s="51"/>
    </row>
    <row r="26230" spans="5:5">
      <c r="E26230" s="51"/>
    </row>
    <row r="26231" spans="5:5">
      <c r="E26231" s="51"/>
    </row>
    <row r="26232" spans="5:5">
      <c r="E26232" s="51"/>
    </row>
    <row r="26233" spans="5:5">
      <c r="E26233" s="51"/>
    </row>
    <row r="26234" spans="5:5">
      <c r="E26234" s="51"/>
    </row>
    <row r="26235" spans="5:5">
      <c r="E26235" s="51"/>
    </row>
    <row r="26236" spans="5:5">
      <c r="E26236" s="51"/>
    </row>
    <row r="26237" spans="5:5">
      <c r="E26237" s="51"/>
    </row>
    <row r="26238" spans="5:5">
      <c r="E26238" s="51"/>
    </row>
    <row r="26239" spans="5:5">
      <c r="E26239" s="51"/>
    </row>
    <row r="26240" spans="5:5">
      <c r="E26240" s="51"/>
    </row>
    <row r="26241" spans="5:5">
      <c r="E26241" s="51"/>
    </row>
    <row r="26242" spans="5:5">
      <c r="E26242" s="51"/>
    </row>
    <row r="26243" spans="5:5">
      <c r="E26243" s="51"/>
    </row>
    <row r="26244" spans="5:5">
      <c r="E26244" s="51"/>
    </row>
    <row r="26245" spans="5:5">
      <c r="E26245" s="51"/>
    </row>
    <row r="26246" spans="5:5">
      <c r="E26246" s="51"/>
    </row>
    <row r="26247" spans="5:5">
      <c r="E26247" s="51"/>
    </row>
    <row r="26248" spans="5:5">
      <c r="E26248" s="51"/>
    </row>
    <row r="26249" spans="5:5">
      <c r="E26249" s="51"/>
    </row>
    <row r="26250" spans="5:5">
      <c r="E26250" s="51"/>
    </row>
    <row r="26251" spans="5:5">
      <c r="E26251" s="51"/>
    </row>
    <row r="26252" spans="5:5">
      <c r="E26252" s="51"/>
    </row>
    <row r="26253" spans="5:5">
      <c r="E26253" s="51"/>
    </row>
    <row r="26254" spans="5:5">
      <c r="E26254" s="51"/>
    </row>
    <row r="26255" spans="5:5">
      <c r="E26255" s="51"/>
    </row>
    <row r="26256" spans="5:5">
      <c r="E26256" s="51"/>
    </row>
    <row r="26257" spans="5:5">
      <c r="E26257" s="51"/>
    </row>
    <row r="26258" spans="5:5">
      <c r="E26258" s="51"/>
    </row>
    <row r="26259" spans="5:5">
      <c r="E26259" s="51"/>
    </row>
    <row r="26260" spans="5:5">
      <c r="E26260" s="51"/>
    </row>
    <row r="26261" spans="5:5">
      <c r="E26261" s="51"/>
    </row>
    <row r="26262" spans="5:5">
      <c r="E26262" s="51"/>
    </row>
    <row r="26263" spans="5:5">
      <c r="E26263" s="51"/>
    </row>
    <row r="26264" spans="5:5">
      <c r="E26264" s="51"/>
    </row>
    <row r="26265" spans="5:5">
      <c r="E26265" s="51"/>
    </row>
    <row r="26266" spans="5:5">
      <c r="E26266" s="51"/>
    </row>
    <row r="26267" spans="5:5">
      <c r="E26267" s="51"/>
    </row>
    <row r="26268" spans="5:5">
      <c r="E26268" s="51"/>
    </row>
    <row r="26269" spans="5:5">
      <c r="E26269" s="51"/>
    </row>
    <row r="26270" spans="5:5">
      <c r="E26270" s="51"/>
    </row>
    <row r="26271" spans="5:5">
      <c r="E26271" s="51"/>
    </row>
    <row r="26272" spans="5:5">
      <c r="E26272" s="51"/>
    </row>
    <row r="26273" spans="5:5">
      <c r="E26273" s="51"/>
    </row>
    <row r="26274" spans="5:5">
      <c r="E26274" s="51"/>
    </row>
    <row r="26275" spans="5:5">
      <c r="E26275" s="51"/>
    </row>
    <row r="26276" spans="5:5">
      <c r="E26276" s="51"/>
    </row>
    <row r="26277" spans="5:5">
      <c r="E26277" s="51"/>
    </row>
    <row r="26278" spans="5:5">
      <c r="E26278" s="51"/>
    </row>
    <row r="26279" spans="5:5">
      <c r="E26279" s="51"/>
    </row>
    <row r="26280" spans="5:5">
      <c r="E26280" s="51"/>
    </row>
    <row r="26281" spans="5:5">
      <c r="E26281" s="51"/>
    </row>
    <row r="26282" spans="5:5">
      <c r="E26282" s="51"/>
    </row>
    <row r="26283" spans="5:5">
      <c r="E26283" s="51"/>
    </row>
    <row r="26284" spans="5:5">
      <c r="E26284" s="51"/>
    </row>
    <row r="26285" spans="5:5">
      <c r="E26285" s="51"/>
    </row>
    <row r="26286" spans="5:5">
      <c r="E26286" s="51"/>
    </row>
    <row r="26287" spans="5:5">
      <c r="E26287" s="51"/>
    </row>
    <row r="26288" spans="5:5">
      <c r="E26288" s="51"/>
    </row>
    <row r="26289" spans="5:5">
      <c r="E26289" s="51"/>
    </row>
    <row r="26290" spans="5:5">
      <c r="E26290" s="51"/>
    </row>
    <row r="26291" spans="5:5">
      <c r="E26291" s="51"/>
    </row>
    <row r="26292" spans="5:5">
      <c r="E26292" s="51"/>
    </row>
    <row r="26293" spans="5:5">
      <c r="E26293" s="51"/>
    </row>
    <row r="26294" spans="5:5">
      <c r="E26294" s="51"/>
    </row>
    <row r="26295" spans="5:5">
      <c r="E26295" s="51"/>
    </row>
    <row r="26296" spans="5:5">
      <c r="E26296" s="51"/>
    </row>
    <row r="26297" spans="5:5">
      <c r="E26297" s="51"/>
    </row>
    <row r="26298" spans="5:5">
      <c r="E26298" s="51"/>
    </row>
    <row r="26299" spans="5:5">
      <c r="E26299" s="51"/>
    </row>
    <row r="26300" spans="5:5">
      <c r="E26300" s="51"/>
    </row>
    <row r="26301" spans="5:5">
      <c r="E26301" s="51"/>
    </row>
    <row r="26302" spans="5:5">
      <c r="E26302" s="51"/>
    </row>
    <row r="26303" spans="5:5">
      <c r="E26303" s="51"/>
    </row>
    <row r="26304" spans="5:5">
      <c r="E26304" s="51"/>
    </row>
    <row r="26305" spans="5:5">
      <c r="E26305" s="51"/>
    </row>
    <row r="26306" spans="5:5">
      <c r="E26306" s="51"/>
    </row>
    <row r="26307" spans="5:5">
      <c r="E26307" s="51"/>
    </row>
    <row r="26308" spans="5:5">
      <c r="E26308" s="51"/>
    </row>
    <row r="26309" spans="5:5">
      <c r="E26309" s="51"/>
    </row>
    <row r="26310" spans="5:5">
      <c r="E26310" s="51"/>
    </row>
    <row r="26311" spans="5:5">
      <c r="E26311" s="51"/>
    </row>
    <row r="26312" spans="5:5">
      <c r="E26312" s="51"/>
    </row>
    <row r="26313" spans="5:5">
      <c r="E26313" s="51"/>
    </row>
    <row r="26314" spans="5:5">
      <c r="E26314" s="51"/>
    </row>
    <row r="26315" spans="5:5">
      <c r="E26315" s="51"/>
    </row>
    <row r="26316" spans="5:5">
      <c r="E26316" s="51"/>
    </row>
    <row r="26317" spans="5:5">
      <c r="E26317" s="51"/>
    </row>
    <row r="26318" spans="5:5">
      <c r="E26318" s="51"/>
    </row>
    <row r="26319" spans="5:5">
      <c r="E26319" s="51"/>
    </row>
    <row r="26320" spans="5:5">
      <c r="E26320" s="51"/>
    </row>
    <row r="26321" spans="5:5">
      <c r="E26321" s="51"/>
    </row>
    <row r="26322" spans="5:5">
      <c r="E26322" s="51"/>
    </row>
    <row r="26323" spans="5:5">
      <c r="E26323" s="51"/>
    </row>
    <row r="26324" spans="5:5">
      <c r="E26324" s="51"/>
    </row>
    <row r="26325" spans="5:5">
      <c r="E26325" s="51"/>
    </row>
    <row r="26326" spans="5:5">
      <c r="E26326" s="51"/>
    </row>
    <row r="26327" spans="5:5">
      <c r="E26327" s="51"/>
    </row>
    <row r="26328" spans="5:5">
      <c r="E26328" s="51"/>
    </row>
    <row r="26329" spans="5:5">
      <c r="E26329" s="51"/>
    </row>
    <row r="26330" spans="5:5">
      <c r="E26330" s="51"/>
    </row>
    <row r="26331" spans="5:5">
      <c r="E26331" s="51"/>
    </row>
    <row r="26332" spans="5:5">
      <c r="E26332" s="51"/>
    </row>
    <row r="26333" spans="5:5">
      <c r="E26333" s="51"/>
    </row>
    <row r="26334" spans="5:5">
      <c r="E26334" s="51"/>
    </row>
    <row r="26335" spans="5:5">
      <c r="E26335" s="51"/>
    </row>
    <row r="26336" spans="5:5">
      <c r="E26336" s="51"/>
    </row>
    <row r="26337" spans="5:5">
      <c r="E26337" s="51"/>
    </row>
    <row r="26338" spans="5:5">
      <c r="E26338" s="51"/>
    </row>
    <row r="26339" spans="5:5">
      <c r="E26339" s="51"/>
    </row>
    <row r="26340" spans="5:5">
      <c r="E26340" s="51"/>
    </row>
    <row r="26341" spans="5:5">
      <c r="E26341" s="51"/>
    </row>
    <row r="26342" spans="5:5">
      <c r="E26342" s="51"/>
    </row>
    <row r="26343" spans="5:5">
      <c r="E26343" s="51"/>
    </row>
    <row r="26344" spans="5:5">
      <c r="E26344" s="51"/>
    </row>
    <row r="26345" spans="5:5">
      <c r="E26345" s="51"/>
    </row>
    <row r="26346" spans="5:5">
      <c r="E26346" s="51"/>
    </row>
    <row r="26347" spans="5:5">
      <c r="E26347" s="51"/>
    </row>
    <row r="26348" spans="5:5">
      <c r="E26348" s="51"/>
    </row>
    <row r="26349" spans="5:5">
      <c r="E26349" s="51"/>
    </row>
    <row r="26350" spans="5:5">
      <c r="E26350" s="51"/>
    </row>
    <row r="26351" spans="5:5">
      <c r="E26351" s="51"/>
    </row>
    <row r="26352" spans="5:5">
      <c r="E26352" s="51"/>
    </row>
    <row r="26353" spans="5:5">
      <c r="E26353" s="51"/>
    </row>
    <row r="26354" spans="5:5">
      <c r="E26354" s="51"/>
    </row>
    <row r="26355" spans="5:5">
      <c r="E26355" s="51"/>
    </row>
    <row r="26356" spans="5:5">
      <c r="E26356" s="51"/>
    </row>
    <row r="26357" spans="5:5">
      <c r="E26357" s="51"/>
    </row>
    <row r="26358" spans="5:5">
      <c r="E26358" s="51"/>
    </row>
    <row r="26359" spans="5:5">
      <c r="E26359" s="51"/>
    </row>
    <row r="26360" spans="5:5">
      <c r="E26360" s="51"/>
    </row>
    <row r="26361" spans="5:5">
      <c r="E26361" s="51"/>
    </row>
    <row r="26362" spans="5:5">
      <c r="E26362" s="51"/>
    </row>
    <row r="26363" spans="5:5">
      <c r="E26363" s="51"/>
    </row>
    <row r="26364" spans="5:5">
      <c r="E26364" s="51"/>
    </row>
    <row r="26365" spans="5:5">
      <c r="E26365" s="51"/>
    </row>
    <row r="26366" spans="5:5">
      <c r="E26366" s="51"/>
    </row>
    <row r="26367" spans="5:5">
      <c r="E26367" s="51"/>
    </row>
    <row r="26368" spans="5:5">
      <c r="E26368" s="51"/>
    </row>
    <row r="26369" spans="5:5">
      <c r="E26369" s="51"/>
    </row>
    <row r="26370" spans="5:5">
      <c r="E26370" s="51"/>
    </row>
    <row r="26371" spans="5:5">
      <c r="E26371" s="51"/>
    </row>
    <row r="26372" spans="5:5">
      <c r="E26372" s="51"/>
    </row>
    <row r="26373" spans="5:5">
      <c r="E26373" s="51"/>
    </row>
    <row r="26374" spans="5:5">
      <c r="E26374" s="51"/>
    </row>
    <row r="26375" spans="5:5">
      <c r="E26375" s="51"/>
    </row>
    <row r="26376" spans="5:5">
      <c r="E26376" s="51"/>
    </row>
    <row r="26377" spans="5:5">
      <c r="E26377" s="51"/>
    </row>
    <row r="26378" spans="5:5">
      <c r="E26378" s="51"/>
    </row>
    <row r="26379" spans="5:5">
      <c r="E26379" s="51"/>
    </row>
    <row r="26380" spans="5:5">
      <c r="E26380" s="51"/>
    </row>
    <row r="26381" spans="5:5">
      <c r="E26381" s="51"/>
    </row>
    <row r="26382" spans="5:5">
      <c r="E26382" s="51"/>
    </row>
    <row r="26383" spans="5:5">
      <c r="E26383" s="51"/>
    </row>
    <row r="26384" spans="5:5">
      <c r="E26384" s="51"/>
    </row>
    <row r="26385" spans="5:5">
      <c r="E26385" s="51"/>
    </row>
    <row r="26386" spans="5:5">
      <c r="E26386" s="51"/>
    </row>
    <row r="26387" spans="5:5">
      <c r="E26387" s="51"/>
    </row>
    <row r="26388" spans="5:5">
      <c r="E26388" s="51"/>
    </row>
    <row r="26389" spans="5:5">
      <c r="E26389" s="51"/>
    </row>
    <row r="26390" spans="5:5">
      <c r="E26390" s="51"/>
    </row>
    <row r="26391" spans="5:5">
      <c r="E26391" s="51"/>
    </row>
    <row r="26392" spans="5:5">
      <c r="E26392" s="51"/>
    </row>
    <row r="26393" spans="5:5">
      <c r="E26393" s="51"/>
    </row>
    <row r="26394" spans="5:5">
      <c r="E26394" s="51"/>
    </row>
    <row r="26395" spans="5:5">
      <c r="E26395" s="51"/>
    </row>
    <row r="26396" spans="5:5">
      <c r="E26396" s="51"/>
    </row>
    <row r="26397" spans="5:5">
      <c r="E26397" s="51"/>
    </row>
    <row r="26398" spans="5:5">
      <c r="E26398" s="51"/>
    </row>
    <row r="26399" spans="5:5">
      <c r="E26399" s="51"/>
    </row>
    <row r="26400" spans="5:5">
      <c r="E26400" s="51"/>
    </row>
    <row r="26401" spans="5:5">
      <c r="E26401" s="51"/>
    </row>
    <row r="26402" spans="5:5">
      <c r="E26402" s="51"/>
    </row>
    <row r="26403" spans="5:5">
      <c r="E26403" s="51"/>
    </row>
    <row r="26404" spans="5:5">
      <c r="E26404" s="51"/>
    </row>
    <row r="26405" spans="5:5">
      <c r="E26405" s="51"/>
    </row>
    <row r="26406" spans="5:5">
      <c r="E26406" s="51"/>
    </row>
    <row r="26407" spans="5:5">
      <c r="E26407" s="51"/>
    </row>
    <row r="26408" spans="5:5">
      <c r="E26408" s="51"/>
    </row>
    <row r="26409" spans="5:5">
      <c r="E26409" s="51"/>
    </row>
    <row r="26410" spans="5:5">
      <c r="E26410" s="51"/>
    </row>
    <row r="26411" spans="5:5">
      <c r="E26411" s="51"/>
    </row>
    <row r="26412" spans="5:5">
      <c r="E26412" s="51"/>
    </row>
    <row r="26413" spans="5:5">
      <c r="E26413" s="51"/>
    </row>
    <row r="26414" spans="5:5">
      <c r="E26414" s="51"/>
    </row>
    <row r="26415" spans="5:5">
      <c r="E26415" s="51"/>
    </row>
    <row r="26416" spans="5:5">
      <c r="E26416" s="51"/>
    </row>
    <row r="26417" spans="5:5">
      <c r="E26417" s="51"/>
    </row>
    <row r="26418" spans="5:5">
      <c r="E26418" s="51"/>
    </row>
    <row r="26419" spans="5:5">
      <c r="E26419" s="51"/>
    </row>
    <row r="26420" spans="5:5">
      <c r="E26420" s="51"/>
    </row>
    <row r="26421" spans="5:5">
      <c r="E26421" s="51"/>
    </row>
    <row r="26422" spans="5:5">
      <c r="E26422" s="51"/>
    </row>
    <row r="26423" spans="5:5">
      <c r="E26423" s="51"/>
    </row>
    <row r="26424" spans="5:5">
      <c r="E26424" s="51"/>
    </row>
    <row r="26425" spans="5:5">
      <c r="E26425" s="51"/>
    </row>
    <row r="26426" spans="5:5">
      <c r="E26426" s="51"/>
    </row>
    <row r="26427" spans="5:5">
      <c r="E26427" s="51"/>
    </row>
    <row r="26428" spans="5:5">
      <c r="E26428" s="51"/>
    </row>
    <row r="26429" spans="5:5">
      <c r="E26429" s="51"/>
    </row>
    <row r="26430" spans="5:5">
      <c r="E26430" s="51"/>
    </row>
    <row r="26431" spans="5:5">
      <c r="E26431" s="51"/>
    </row>
    <row r="26432" spans="5:5">
      <c r="E26432" s="51"/>
    </row>
    <row r="26433" spans="5:5">
      <c r="E26433" s="51"/>
    </row>
    <row r="26434" spans="5:5">
      <c r="E26434" s="51"/>
    </row>
    <row r="26435" spans="5:5">
      <c r="E26435" s="51"/>
    </row>
    <row r="26436" spans="5:5">
      <c r="E26436" s="51"/>
    </row>
    <row r="26437" spans="5:5">
      <c r="E26437" s="51"/>
    </row>
    <row r="26438" spans="5:5">
      <c r="E26438" s="51"/>
    </row>
    <row r="26439" spans="5:5">
      <c r="E26439" s="51"/>
    </row>
    <row r="26440" spans="5:5">
      <c r="E26440" s="51"/>
    </row>
    <row r="26441" spans="5:5">
      <c r="E26441" s="51"/>
    </row>
    <row r="26442" spans="5:5">
      <c r="E26442" s="51"/>
    </row>
    <row r="26443" spans="5:5">
      <c r="E26443" s="51"/>
    </row>
    <row r="26444" spans="5:5">
      <c r="E26444" s="51"/>
    </row>
    <row r="26445" spans="5:5">
      <c r="E26445" s="51"/>
    </row>
    <row r="26446" spans="5:5">
      <c r="E26446" s="51"/>
    </row>
    <row r="26447" spans="5:5">
      <c r="E26447" s="51"/>
    </row>
    <row r="26448" spans="5:5">
      <c r="E26448" s="51"/>
    </row>
    <row r="26449" spans="5:5">
      <c r="E26449" s="51"/>
    </row>
    <row r="26450" spans="5:5">
      <c r="E26450" s="51"/>
    </row>
    <row r="26451" spans="5:5">
      <c r="E26451" s="51"/>
    </row>
    <row r="26452" spans="5:5">
      <c r="E26452" s="51"/>
    </row>
    <row r="26453" spans="5:5">
      <c r="E26453" s="51"/>
    </row>
    <row r="26454" spans="5:5">
      <c r="E26454" s="51"/>
    </row>
    <row r="26455" spans="5:5">
      <c r="E26455" s="51"/>
    </row>
    <row r="26456" spans="5:5">
      <c r="E26456" s="51"/>
    </row>
    <row r="26457" spans="5:5">
      <c r="E26457" s="51"/>
    </row>
    <row r="26458" spans="5:5">
      <c r="E26458" s="51"/>
    </row>
    <row r="26459" spans="5:5">
      <c r="E26459" s="51"/>
    </row>
    <row r="26460" spans="5:5">
      <c r="E26460" s="51"/>
    </row>
    <row r="26461" spans="5:5">
      <c r="E26461" s="51"/>
    </row>
    <row r="26462" spans="5:5">
      <c r="E26462" s="51"/>
    </row>
    <row r="26463" spans="5:5">
      <c r="E26463" s="51"/>
    </row>
    <row r="26464" spans="5:5">
      <c r="E26464" s="51"/>
    </row>
    <row r="26465" spans="5:5">
      <c r="E26465" s="51"/>
    </row>
    <row r="26466" spans="5:5">
      <c r="E26466" s="51"/>
    </row>
    <row r="26467" spans="5:5">
      <c r="E26467" s="51"/>
    </row>
    <row r="26468" spans="5:5">
      <c r="E26468" s="51"/>
    </row>
    <row r="26469" spans="5:5">
      <c r="E26469" s="51"/>
    </row>
    <row r="26470" spans="5:5">
      <c r="E26470" s="51"/>
    </row>
    <row r="26471" spans="5:5">
      <c r="E26471" s="51"/>
    </row>
    <row r="26472" spans="5:5">
      <c r="E26472" s="51"/>
    </row>
    <row r="26473" spans="5:5">
      <c r="E26473" s="51"/>
    </row>
    <row r="26474" spans="5:5">
      <c r="E26474" s="51"/>
    </row>
    <row r="26475" spans="5:5">
      <c r="E26475" s="51"/>
    </row>
    <row r="26476" spans="5:5">
      <c r="E26476" s="51"/>
    </row>
    <row r="26477" spans="5:5">
      <c r="E26477" s="51"/>
    </row>
    <row r="26478" spans="5:5">
      <c r="E26478" s="51"/>
    </row>
    <row r="26479" spans="5:5">
      <c r="E26479" s="51"/>
    </row>
    <row r="26480" spans="5:5">
      <c r="E26480" s="51"/>
    </row>
    <row r="26481" spans="5:5">
      <c r="E26481" s="51"/>
    </row>
    <row r="26482" spans="5:5">
      <c r="E26482" s="51"/>
    </row>
    <row r="26483" spans="5:5">
      <c r="E26483" s="51"/>
    </row>
    <row r="26484" spans="5:5">
      <c r="E26484" s="51"/>
    </row>
    <row r="26485" spans="5:5">
      <c r="E26485" s="51"/>
    </row>
    <row r="26486" spans="5:5">
      <c r="E26486" s="51"/>
    </row>
    <row r="26487" spans="5:5">
      <c r="E26487" s="51"/>
    </row>
    <row r="26488" spans="5:5">
      <c r="E26488" s="51"/>
    </row>
    <row r="26489" spans="5:5">
      <c r="E26489" s="51"/>
    </row>
    <row r="26490" spans="5:5">
      <c r="E26490" s="51"/>
    </row>
    <row r="26491" spans="5:5">
      <c r="E26491" s="51"/>
    </row>
    <row r="26492" spans="5:5">
      <c r="E26492" s="51"/>
    </row>
    <row r="26493" spans="5:5">
      <c r="E26493" s="51"/>
    </row>
    <row r="26494" spans="5:5">
      <c r="E26494" s="51"/>
    </row>
    <row r="26495" spans="5:5">
      <c r="E26495" s="51"/>
    </row>
    <row r="26496" spans="5:5">
      <c r="E26496" s="51"/>
    </row>
    <row r="26497" spans="5:5">
      <c r="E26497" s="51"/>
    </row>
    <row r="26498" spans="5:5">
      <c r="E26498" s="51"/>
    </row>
    <row r="26499" spans="5:5">
      <c r="E26499" s="51"/>
    </row>
    <row r="26500" spans="5:5">
      <c r="E26500" s="51"/>
    </row>
    <row r="26501" spans="5:5">
      <c r="E26501" s="51"/>
    </row>
    <row r="26502" spans="5:5">
      <c r="E26502" s="51"/>
    </row>
    <row r="26503" spans="5:5">
      <c r="E26503" s="51"/>
    </row>
    <row r="26504" spans="5:5">
      <c r="E26504" s="51"/>
    </row>
    <row r="26505" spans="5:5">
      <c r="E26505" s="51"/>
    </row>
    <row r="26506" spans="5:5">
      <c r="E26506" s="51"/>
    </row>
    <row r="26507" spans="5:5">
      <c r="E26507" s="51"/>
    </row>
    <row r="26508" spans="5:5">
      <c r="E26508" s="51"/>
    </row>
    <row r="26509" spans="5:5">
      <c r="E26509" s="51"/>
    </row>
    <row r="26510" spans="5:5">
      <c r="E26510" s="51"/>
    </row>
    <row r="26511" spans="5:5">
      <c r="E26511" s="51"/>
    </row>
    <row r="26512" spans="5:5">
      <c r="E26512" s="51"/>
    </row>
    <row r="26513" spans="5:5">
      <c r="E26513" s="51"/>
    </row>
    <row r="26514" spans="5:5">
      <c r="E26514" s="51"/>
    </row>
    <row r="26515" spans="5:5">
      <c r="E26515" s="51"/>
    </row>
    <row r="26516" spans="5:5">
      <c r="E26516" s="51"/>
    </row>
    <row r="26517" spans="5:5">
      <c r="E26517" s="51"/>
    </row>
    <row r="26518" spans="5:5">
      <c r="E26518" s="51"/>
    </row>
    <row r="26519" spans="5:5">
      <c r="E26519" s="51"/>
    </row>
    <row r="26520" spans="5:5">
      <c r="E26520" s="51"/>
    </row>
    <row r="26521" spans="5:5">
      <c r="E26521" s="51"/>
    </row>
    <row r="26522" spans="5:5">
      <c r="E26522" s="51"/>
    </row>
    <row r="26523" spans="5:5">
      <c r="E26523" s="51"/>
    </row>
    <row r="26524" spans="5:5">
      <c r="E26524" s="51"/>
    </row>
    <row r="26525" spans="5:5">
      <c r="E26525" s="51"/>
    </row>
    <row r="26526" spans="5:5">
      <c r="E26526" s="51"/>
    </row>
    <row r="26527" spans="5:5">
      <c r="E26527" s="51"/>
    </row>
    <row r="26528" spans="5:5">
      <c r="E26528" s="51"/>
    </row>
    <row r="26529" spans="5:5">
      <c r="E26529" s="51"/>
    </row>
    <row r="26530" spans="5:5">
      <c r="E26530" s="51"/>
    </row>
    <row r="26531" spans="5:5">
      <c r="E26531" s="51"/>
    </row>
    <row r="26532" spans="5:5">
      <c r="E26532" s="51"/>
    </row>
    <row r="26533" spans="5:5">
      <c r="E26533" s="51"/>
    </row>
    <row r="26534" spans="5:5">
      <c r="E26534" s="51"/>
    </row>
    <row r="26535" spans="5:5">
      <c r="E26535" s="51"/>
    </row>
    <row r="26536" spans="5:5">
      <c r="E26536" s="51"/>
    </row>
    <row r="26537" spans="5:5">
      <c r="E26537" s="51"/>
    </row>
    <row r="26538" spans="5:5">
      <c r="E26538" s="51"/>
    </row>
    <row r="26539" spans="5:5">
      <c r="E26539" s="51"/>
    </row>
    <row r="26540" spans="5:5">
      <c r="E26540" s="51"/>
    </row>
    <row r="26541" spans="5:5">
      <c r="E26541" s="51"/>
    </row>
    <row r="26542" spans="5:5">
      <c r="E26542" s="51"/>
    </row>
    <row r="26543" spans="5:5">
      <c r="E26543" s="51"/>
    </row>
    <row r="26544" spans="5:5">
      <c r="E26544" s="51"/>
    </row>
    <row r="26545" spans="5:5">
      <c r="E26545" s="51"/>
    </row>
    <row r="26546" spans="5:5">
      <c r="E26546" s="51"/>
    </row>
    <row r="26547" spans="5:5">
      <c r="E26547" s="51"/>
    </row>
    <row r="26548" spans="5:5">
      <c r="E26548" s="51"/>
    </row>
    <row r="26549" spans="5:5">
      <c r="E26549" s="51"/>
    </row>
    <row r="26550" spans="5:5">
      <c r="E26550" s="51"/>
    </row>
    <row r="26551" spans="5:5">
      <c r="E26551" s="51"/>
    </row>
    <row r="26552" spans="5:5">
      <c r="E26552" s="51"/>
    </row>
    <row r="26553" spans="5:5">
      <c r="E26553" s="51"/>
    </row>
    <row r="26554" spans="5:5">
      <c r="E26554" s="51"/>
    </row>
    <row r="26555" spans="5:5">
      <c r="E26555" s="51"/>
    </row>
    <row r="26556" spans="5:5">
      <c r="E26556" s="51"/>
    </row>
    <row r="26557" spans="5:5">
      <c r="E26557" s="51"/>
    </row>
    <row r="26558" spans="5:5">
      <c r="E26558" s="51"/>
    </row>
    <row r="26559" spans="5:5">
      <c r="E26559" s="51"/>
    </row>
    <row r="26560" spans="5:5">
      <c r="E26560" s="51"/>
    </row>
    <row r="26561" spans="5:5">
      <c r="E26561" s="51"/>
    </row>
    <row r="26562" spans="5:5">
      <c r="E26562" s="51"/>
    </row>
    <row r="26563" spans="5:5">
      <c r="E26563" s="51"/>
    </row>
    <row r="26564" spans="5:5">
      <c r="E26564" s="51"/>
    </row>
    <row r="26565" spans="5:5">
      <c r="E26565" s="51"/>
    </row>
    <row r="26566" spans="5:5">
      <c r="E26566" s="51"/>
    </row>
    <row r="26567" spans="5:5">
      <c r="E26567" s="51"/>
    </row>
    <row r="26568" spans="5:5">
      <c r="E26568" s="51"/>
    </row>
    <row r="26569" spans="5:5">
      <c r="E26569" s="51"/>
    </row>
    <row r="26570" spans="5:5">
      <c r="E26570" s="51"/>
    </row>
    <row r="26571" spans="5:5">
      <c r="E26571" s="51"/>
    </row>
    <row r="26572" spans="5:5">
      <c r="E26572" s="51"/>
    </row>
    <row r="26573" spans="5:5">
      <c r="E26573" s="51"/>
    </row>
    <row r="26574" spans="5:5">
      <c r="E26574" s="51"/>
    </row>
    <row r="26575" spans="5:5">
      <c r="E26575" s="51"/>
    </row>
    <row r="26576" spans="5:5">
      <c r="E26576" s="51"/>
    </row>
    <row r="26577" spans="5:5">
      <c r="E26577" s="51"/>
    </row>
    <row r="26578" spans="5:5">
      <c r="E26578" s="51"/>
    </row>
    <row r="26579" spans="5:5">
      <c r="E26579" s="51"/>
    </row>
    <row r="26580" spans="5:5">
      <c r="E26580" s="51"/>
    </row>
    <row r="26581" spans="5:5">
      <c r="E26581" s="51"/>
    </row>
    <row r="26582" spans="5:5">
      <c r="E26582" s="51"/>
    </row>
    <row r="26583" spans="5:5">
      <c r="E26583" s="51"/>
    </row>
    <row r="26584" spans="5:5">
      <c r="E26584" s="51"/>
    </row>
    <row r="26585" spans="5:5">
      <c r="E26585" s="51"/>
    </row>
    <row r="26586" spans="5:5">
      <c r="E26586" s="51"/>
    </row>
    <row r="26587" spans="5:5">
      <c r="E26587" s="51"/>
    </row>
    <row r="26588" spans="5:5">
      <c r="E26588" s="51"/>
    </row>
    <row r="26589" spans="5:5">
      <c r="E26589" s="51"/>
    </row>
    <row r="26590" spans="5:5">
      <c r="E26590" s="51"/>
    </row>
    <row r="26591" spans="5:5">
      <c r="E26591" s="51"/>
    </row>
    <row r="26592" spans="5:5">
      <c r="E26592" s="51"/>
    </row>
    <row r="26593" spans="5:5">
      <c r="E26593" s="51"/>
    </row>
    <row r="26594" spans="5:5">
      <c r="E26594" s="51"/>
    </row>
    <row r="26595" spans="5:5">
      <c r="E26595" s="51"/>
    </row>
    <row r="26596" spans="5:5">
      <c r="E26596" s="51"/>
    </row>
    <row r="26597" spans="5:5">
      <c r="E26597" s="51"/>
    </row>
    <row r="26598" spans="5:5">
      <c r="E26598" s="51"/>
    </row>
    <row r="26599" spans="5:5">
      <c r="E26599" s="51"/>
    </row>
    <row r="26600" spans="5:5">
      <c r="E26600" s="51"/>
    </row>
    <row r="26601" spans="5:5">
      <c r="E26601" s="51"/>
    </row>
    <row r="26602" spans="5:5">
      <c r="E26602" s="51"/>
    </row>
    <row r="26603" spans="5:5">
      <c r="E26603" s="51"/>
    </row>
    <row r="26604" spans="5:5">
      <c r="E26604" s="51"/>
    </row>
    <row r="26605" spans="5:5">
      <c r="E26605" s="51"/>
    </row>
    <row r="26606" spans="5:5">
      <c r="E26606" s="51"/>
    </row>
    <row r="26607" spans="5:5">
      <c r="E26607" s="51"/>
    </row>
    <row r="26608" spans="5:5">
      <c r="E26608" s="51"/>
    </row>
    <row r="26609" spans="5:5">
      <c r="E26609" s="51"/>
    </row>
    <row r="26610" spans="5:5">
      <c r="E26610" s="51"/>
    </row>
    <row r="26611" spans="5:5">
      <c r="E26611" s="51"/>
    </row>
    <row r="26612" spans="5:5">
      <c r="E26612" s="51"/>
    </row>
    <row r="26613" spans="5:5">
      <c r="E26613" s="51"/>
    </row>
    <row r="26614" spans="5:5">
      <c r="E26614" s="51"/>
    </row>
    <row r="26615" spans="5:5">
      <c r="E26615" s="51"/>
    </row>
    <row r="26616" spans="5:5">
      <c r="E26616" s="51"/>
    </row>
    <row r="26617" spans="5:5">
      <c r="E26617" s="51"/>
    </row>
    <row r="26618" spans="5:5">
      <c r="E26618" s="51"/>
    </row>
    <row r="26619" spans="5:5">
      <c r="E26619" s="51"/>
    </row>
    <row r="26620" spans="5:5">
      <c r="E26620" s="51"/>
    </row>
    <row r="26621" spans="5:5">
      <c r="E26621" s="51"/>
    </row>
    <row r="26622" spans="5:5">
      <c r="E26622" s="51"/>
    </row>
    <row r="26623" spans="5:5">
      <c r="E26623" s="51"/>
    </row>
    <row r="26624" spans="5:5">
      <c r="E26624" s="51"/>
    </row>
    <row r="26625" spans="5:5">
      <c r="E26625" s="51"/>
    </row>
    <row r="26626" spans="5:5">
      <c r="E26626" s="51"/>
    </row>
    <row r="26627" spans="5:5">
      <c r="E26627" s="51"/>
    </row>
    <row r="26628" spans="5:5">
      <c r="E26628" s="51"/>
    </row>
    <row r="26629" spans="5:5">
      <c r="E26629" s="51"/>
    </row>
    <row r="26630" spans="5:5">
      <c r="E26630" s="51"/>
    </row>
    <row r="26631" spans="5:5">
      <c r="E26631" s="51"/>
    </row>
    <row r="26632" spans="5:5">
      <c r="E26632" s="51"/>
    </row>
    <row r="26633" spans="5:5">
      <c r="E26633" s="51"/>
    </row>
    <row r="26634" spans="5:5">
      <c r="E26634" s="51"/>
    </row>
    <row r="26635" spans="5:5">
      <c r="E26635" s="51"/>
    </row>
    <row r="26636" spans="5:5">
      <c r="E26636" s="51"/>
    </row>
    <row r="26637" spans="5:5">
      <c r="E26637" s="51"/>
    </row>
    <row r="26638" spans="5:5">
      <c r="E26638" s="51"/>
    </row>
    <row r="26639" spans="5:5">
      <c r="E26639" s="51"/>
    </row>
    <row r="26640" spans="5:5">
      <c r="E26640" s="51"/>
    </row>
    <row r="26641" spans="5:5">
      <c r="E26641" s="51"/>
    </row>
    <row r="26642" spans="5:5">
      <c r="E26642" s="51"/>
    </row>
    <row r="26643" spans="5:5">
      <c r="E26643" s="51"/>
    </row>
    <row r="26644" spans="5:5">
      <c r="E26644" s="51"/>
    </row>
    <row r="26645" spans="5:5">
      <c r="E26645" s="51"/>
    </row>
    <row r="26646" spans="5:5">
      <c r="E26646" s="51"/>
    </row>
    <row r="26647" spans="5:5">
      <c r="E26647" s="51"/>
    </row>
    <row r="26648" spans="5:5">
      <c r="E26648" s="51"/>
    </row>
    <row r="26649" spans="5:5">
      <c r="E26649" s="51"/>
    </row>
    <row r="26650" spans="5:5">
      <c r="E26650" s="51"/>
    </row>
    <row r="26651" spans="5:5">
      <c r="E26651" s="51"/>
    </row>
    <row r="26652" spans="5:5">
      <c r="E26652" s="51"/>
    </row>
    <row r="26653" spans="5:5">
      <c r="E26653" s="51"/>
    </row>
    <row r="26654" spans="5:5">
      <c r="E26654" s="51"/>
    </row>
    <row r="26655" spans="5:5">
      <c r="E26655" s="51"/>
    </row>
    <row r="26656" spans="5:5">
      <c r="E26656" s="51"/>
    </row>
    <row r="26657" spans="5:5">
      <c r="E26657" s="51"/>
    </row>
    <row r="26658" spans="5:5">
      <c r="E26658" s="51"/>
    </row>
    <row r="26659" spans="5:5">
      <c r="E26659" s="51"/>
    </row>
    <row r="26660" spans="5:5">
      <c r="E26660" s="51"/>
    </row>
    <row r="26661" spans="5:5">
      <c r="E26661" s="51"/>
    </row>
    <row r="26662" spans="5:5">
      <c r="E26662" s="51"/>
    </row>
    <row r="26663" spans="5:5">
      <c r="E26663" s="51"/>
    </row>
    <row r="26664" spans="5:5">
      <c r="E26664" s="51"/>
    </row>
    <row r="26665" spans="5:5">
      <c r="E26665" s="51"/>
    </row>
    <row r="26666" spans="5:5">
      <c r="E26666" s="51"/>
    </row>
    <row r="26667" spans="5:5">
      <c r="E26667" s="51"/>
    </row>
    <row r="26668" spans="5:5">
      <c r="E26668" s="51"/>
    </row>
    <row r="26669" spans="5:5">
      <c r="E26669" s="51"/>
    </row>
    <row r="26670" spans="5:5">
      <c r="E26670" s="51"/>
    </row>
    <row r="26671" spans="5:5">
      <c r="E26671" s="51"/>
    </row>
    <row r="26672" spans="5:5">
      <c r="E26672" s="51"/>
    </row>
    <row r="26673" spans="5:5">
      <c r="E26673" s="51"/>
    </row>
    <row r="26674" spans="5:5">
      <c r="E26674" s="51"/>
    </row>
    <row r="26675" spans="5:5">
      <c r="E26675" s="51"/>
    </row>
    <row r="26676" spans="5:5">
      <c r="E26676" s="51"/>
    </row>
    <row r="26677" spans="5:5">
      <c r="E26677" s="51"/>
    </row>
    <row r="26678" spans="5:5">
      <c r="E26678" s="51"/>
    </row>
    <row r="26679" spans="5:5">
      <c r="E26679" s="51"/>
    </row>
    <row r="26680" spans="5:5">
      <c r="E26680" s="51"/>
    </row>
    <row r="26681" spans="5:5">
      <c r="E26681" s="51"/>
    </row>
    <row r="26682" spans="5:5">
      <c r="E26682" s="51"/>
    </row>
    <row r="26683" spans="5:5">
      <c r="E26683" s="51"/>
    </row>
    <row r="26684" spans="5:5">
      <c r="E26684" s="51"/>
    </row>
    <row r="26685" spans="5:5">
      <c r="E26685" s="51"/>
    </row>
    <row r="26686" spans="5:5">
      <c r="E26686" s="51"/>
    </row>
    <row r="26687" spans="5:5">
      <c r="E26687" s="51"/>
    </row>
    <row r="26688" spans="5:5">
      <c r="E26688" s="51"/>
    </row>
    <row r="26689" spans="5:5">
      <c r="E26689" s="51"/>
    </row>
    <row r="26690" spans="5:5">
      <c r="E26690" s="51"/>
    </row>
    <row r="26691" spans="5:5">
      <c r="E26691" s="51"/>
    </row>
    <row r="26692" spans="5:5">
      <c r="E26692" s="51"/>
    </row>
    <row r="26693" spans="5:5">
      <c r="E26693" s="51"/>
    </row>
    <row r="26694" spans="5:5">
      <c r="E26694" s="51"/>
    </row>
    <row r="26695" spans="5:5">
      <c r="E26695" s="51"/>
    </row>
    <row r="26696" spans="5:5">
      <c r="E26696" s="51"/>
    </row>
    <row r="26697" spans="5:5">
      <c r="E26697" s="51"/>
    </row>
    <row r="26698" spans="5:5">
      <c r="E26698" s="51"/>
    </row>
    <row r="26699" spans="5:5">
      <c r="E26699" s="51"/>
    </row>
    <row r="26700" spans="5:5">
      <c r="E26700" s="51"/>
    </row>
    <row r="26701" spans="5:5">
      <c r="E26701" s="51"/>
    </row>
    <row r="26702" spans="5:5">
      <c r="E26702" s="51"/>
    </row>
    <row r="26703" spans="5:5">
      <c r="E26703" s="51"/>
    </row>
    <row r="26704" spans="5:5">
      <c r="E26704" s="51"/>
    </row>
    <row r="26705" spans="5:5">
      <c r="E26705" s="51"/>
    </row>
    <row r="26706" spans="5:5">
      <c r="E26706" s="51"/>
    </row>
    <row r="26707" spans="5:5">
      <c r="E26707" s="51"/>
    </row>
    <row r="26708" spans="5:5">
      <c r="E26708" s="51"/>
    </row>
    <row r="26709" spans="5:5">
      <c r="E26709" s="51"/>
    </row>
    <row r="26710" spans="5:5">
      <c r="E26710" s="51"/>
    </row>
    <row r="26711" spans="5:5">
      <c r="E26711" s="51"/>
    </row>
    <row r="26712" spans="5:5">
      <c r="E26712" s="51"/>
    </row>
    <row r="26713" spans="5:5">
      <c r="E26713" s="51"/>
    </row>
    <row r="26714" spans="5:5">
      <c r="E26714" s="51"/>
    </row>
    <row r="26715" spans="5:5">
      <c r="E26715" s="51"/>
    </row>
    <row r="26716" spans="5:5">
      <c r="E26716" s="51"/>
    </row>
    <row r="26717" spans="5:5">
      <c r="E26717" s="51"/>
    </row>
    <row r="26718" spans="5:5">
      <c r="E26718" s="51"/>
    </row>
    <row r="26719" spans="5:5">
      <c r="E26719" s="51"/>
    </row>
    <row r="26720" spans="5:5">
      <c r="E26720" s="51"/>
    </row>
    <row r="26721" spans="5:5">
      <c r="E26721" s="51"/>
    </row>
    <row r="26722" spans="5:5">
      <c r="E26722" s="51"/>
    </row>
    <row r="26723" spans="5:5">
      <c r="E26723" s="51"/>
    </row>
    <row r="26724" spans="5:5">
      <c r="E26724" s="51"/>
    </row>
    <row r="26725" spans="5:5">
      <c r="E26725" s="51"/>
    </row>
    <row r="26726" spans="5:5">
      <c r="E26726" s="51"/>
    </row>
    <row r="26727" spans="5:5">
      <c r="E26727" s="51"/>
    </row>
    <row r="26728" spans="5:5">
      <c r="E26728" s="51"/>
    </row>
    <row r="26729" spans="5:5">
      <c r="E26729" s="51"/>
    </row>
    <row r="26730" spans="5:5">
      <c r="E26730" s="51"/>
    </row>
    <row r="26731" spans="5:5">
      <c r="E26731" s="51"/>
    </row>
    <row r="26732" spans="5:5">
      <c r="E26732" s="51"/>
    </row>
    <row r="26733" spans="5:5">
      <c r="E26733" s="51"/>
    </row>
    <row r="26734" spans="5:5">
      <c r="E26734" s="51"/>
    </row>
    <row r="26735" spans="5:5">
      <c r="E26735" s="51"/>
    </row>
    <row r="26736" spans="5:5">
      <c r="E26736" s="51"/>
    </row>
    <row r="26737" spans="5:5">
      <c r="E26737" s="51"/>
    </row>
    <row r="26738" spans="5:5">
      <c r="E26738" s="51"/>
    </row>
    <row r="26739" spans="5:5">
      <c r="E26739" s="51"/>
    </row>
    <row r="26740" spans="5:5">
      <c r="E26740" s="51"/>
    </row>
    <row r="26741" spans="5:5">
      <c r="E26741" s="51"/>
    </row>
    <row r="26742" spans="5:5">
      <c r="E26742" s="51"/>
    </row>
    <row r="26743" spans="5:5">
      <c r="E26743" s="51"/>
    </row>
    <row r="26744" spans="5:5">
      <c r="E26744" s="51"/>
    </row>
    <row r="26745" spans="5:5">
      <c r="E26745" s="51"/>
    </row>
    <row r="26746" spans="5:5">
      <c r="E26746" s="51"/>
    </row>
    <row r="26747" spans="5:5">
      <c r="E26747" s="51"/>
    </row>
    <row r="26748" spans="5:5">
      <c r="E26748" s="51"/>
    </row>
    <row r="26749" spans="5:5">
      <c r="E26749" s="51"/>
    </row>
    <row r="26750" spans="5:5">
      <c r="E26750" s="51"/>
    </row>
    <row r="26751" spans="5:5">
      <c r="E26751" s="51"/>
    </row>
    <row r="26752" spans="5:5">
      <c r="E26752" s="51"/>
    </row>
    <row r="26753" spans="5:5">
      <c r="E26753" s="51"/>
    </row>
    <row r="26754" spans="5:5">
      <c r="E26754" s="51"/>
    </row>
    <row r="26755" spans="5:5">
      <c r="E26755" s="51"/>
    </row>
    <row r="26756" spans="5:5">
      <c r="E26756" s="51"/>
    </row>
    <row r="26757" spans="5:5">
      <c r="E26757" s="51"/>
    </row>
    <row r="26758" spans="5:5">
      <c r="E26758" s="51"/>
    </row>
    <row r="26759" spans="5:5">
      <c r="E26759" s="51"/>
    </row>
    <row r="26760" spans="5:5">
      <c r="E26760" s="51"/>
    </row>
    <row r="26761" spans="5:5">
      <c r="E26761" s="51"/>
    </row>
    <row r="26762" spans="5:5">
      <c r="E26762" s="51"/>
    </row>
    <row r="26763" spans="5:5">
      <c r="E26763" s="51"/>
    </row>
    <row r="26764" spans="5:5">
      <c r="E26764" s="51"/>
    </row>
    <row r="26765" spans="5:5">
      <c r="E26765" s="51"/>
    </row>
    <row r="26766" spans="5:5">
      <c r="E26766" s="51"/>
    </row>
    <row r="26767" spans="5:5">
      <c r="E26767" s="51"/>
    </row>
    <row r="26768" spans="5:5">
      <c r="E26768" s="51"/>
    </row>
    <row r="26769" spans="5:5">
      <c r="E26769" s="51"/>
    </row>
    <row r="26770" spans="5:5">
      <c r="E26770" s="51"/>
    </row>
    <row r="26771" spans="5:5">
      <c r="E26771" s="51"/>
    </row>
    <row r="26772" spans="5:5">
      <c r="E26772" s="51"/>
    </row>
    <row r="26773" spans="5:5">
      <c r="E26773" s="51"/>
    </row>
    <row r="26774" spans="5:5">
      <c r="E26774" s="51"/>
    </row>
    <row r="26775" spans="5:5">
      <c r="E26775" s="51"/>
    </row>
    <row r="26776" spans="5:5">
      <c r="E26776" s="51"/>
    </row>
    <row r="26777" spans="5:5">
      <c r="E26777" s="51"/>
    </row>
    <row r="26778" spans="5:5">
      <c r="E26778" s="51"/>
    </row>
    <row r="26779" spans="5:5">
      <c r="E26779" s="51"/>
    </row>
    <row r="26780" spans="5:5">
      <c r="E26780" s="51"/>
    </row>
    <row r="26781" spans="5:5">
      <c r="E26781" s="51"/>
    </row>
    <row r="26782" spans="5:5">
      <c r="E26782" s="51"/>
    </row>
    <row r="26783" spans="5:5">
      <c r="E26783" s="51"/>
    </row>
    <row r="26784" spans="5:5">
      <c r="E26784" s="51"/>
    </row>
    <row r="26785" spans="5:5">
      <c r="E26785" s="51"/>
    </row>
    <row r="26786" spans="5:5">
      <c r="E26786" s="51"/>
    </row>
    <row r="26787" spans="5:5">
      <c r="E26787" s="51"/>
    </row>
    <row r="26788" spans="5:5">
      <c r="E26788" s="51"/>
    </row>
    <row r="26789" spans="5:5">
      <c r="E26789" s="51"/>
    </row>
    <row r="26790" spans="5:5">
      <c r="E26790" s="51"/>
    </row>
    <row r="26791" spans="5:5">
      <c r="E26791" s="51"/>
    </row>
    <row r="26792" spans="5:5">
      <c r="E26792" s="51"/>
    </row>
    <row r="26793" spans="5:5">
      <c r="E26793" s="51"/>
    </row>
    <row r="26794" spans="5:5">
      <c r="E26794" s="51"/>
    </row>
    <row r="26795" spans="5:5">
      <c r="E26795" s="51"/>
    </row>
    <row r="26796" spans="5:5">
      <c r="E26796" s="51"/>
    </row>
    <row r="26797" spans="5:5">
      <c r="E26797" s="51"/>
    </row>
    <row r="26798" spans="5:5">
      <c r="E26798" s="51"/>
    </row>
    <row r="26799" spans="5:5">
      <c r="E26799" s="51"/>
    </row>
    <row r="26800" spans="5:5">
      <c r="E26800" s="51"/>
    </row>
    <row r="26801" spans="5:5">
      <c r="E26801" s="51"/>
    </row>
    <row r="26802" spans="5:5">
      <c r="E26802" s="51"/>
    </row>
    <row r="26803" spans="5:5">
      <c r="E26803" s="51"/>
    </row>
    <row r="26804" spans="5:5">
      <c r="E26804" s="51"/>
    </row>
    <row r="26805" spans="5:5">
      <c r="E26805" s="51"/>
    </row>
    <row r="26806" spans="5:5">
      <c r="E26806" s="51"/>
    </row>
    <row r="26807" spans="5:5">
      <c r="E26807" s="51"/>
    </row>
    <row r="26808" spans="5:5">
      <c r="E26808" s="51"/>
    </row>
    <row r="26809" spans="5:5">
      <c r="E26809" s="51"/>
    </row>
    <row r="26810" spans="5:5">
      <c r="E26810" s="51"/>
    </row>
    <row r="26811" spans="5:5">
      <c r="E26811" s="51"/>
    </row>
    <row r="26812" spans="5:5">
      <c r="E26812" s="51"/>
    </row>
    <row r="26813" spans="5:5">
      <c r="E26813" s="51"/>
    </row>
    <row r="26814" spans="5:5">
      <c r="E26814" s="51"/>
    </row>
    <row r="26815" spans="5:5">
      <c r="E26815" s="51"/>
    </row>
    <row r="26816" spans="5:5">
      <c r="E26816" s="51"/>
    </row>
    <row r="26817" spans="5:5">
      <c r="E26817" s="51"/>
    </row>
    <row r="26818" spans="5:5">
      <c r="E26818" s="51"/>
    </row>
    <row r="26819" spans="5:5">
      <c r="E26819" s="51"/>
    </row>
    <row r="26820" spans="5:5">
      <c r="E26820" s="51"/>
    </row>
    <row r="26821" spans="5:5">
      <c r="E26821" s="51"/>
    </row>
    <row r="26822" spans="5:5">
      <c r="E26822" s="51"/>
    </row>
    <row r="26823" spans="5:5">
      <c r="E26823" s="51"/>
    </row>
    <row r="26824" spans="5:5">
      <c r="E26824" s="51"/>
    </row>
    <row r="26825" spans="5:5">
      <c r="E26825" s="51"/>
    </row>
    <row r="26826" spans="5:5">
      <c r="E26826" s="51"/>
    </row>
    <row r="26827" spans="5:5">
      <c r="E26827" s="51"/>
    </row>
    <row r="26828" spans="5:5">
      <c r="E26828" s="51"/>
    </row>
    <row r="26829" spans="5:5">
      <c r="E26829" s="51"/>
    </row>
    <row r="26830" spans="5:5">
      <c r="E26830" s="51"/>
    </row>
    <row r="26831" spans="5:5">
      <c r="E26831" s="51"/>
    </row>
    <row r="26832" spans="5:5">
      <c r="E26832" s="51"/>
    </row>
    <row r="26833" spans="5:5">
      <c r="E26833" s="51"/>
    </row>
    <row r="26834" spans="5:5">
      <c r="E26834" s="51"/>
    </row>
    <row r="26835" spans="5:5">
      <c r="E26835" s="51"/>
    </row>
    <row r="26836" spans="5:5">
      <c r="E26836" s="51"/>
    </row>
    <row r="26837" spans="5:5">
      <c r="E26837" s="51"/>
    </row>
    <row r="26838" spans="5:5">
      <c r="E26838" s="51"/>
    </row>
    <row r="26839" spans="5:5">
      <c r="E26839" s="51"/>
    </row>
    <row r="26840" spans="5:5">
      <c r="E26840" s="51"/>
    </row>
    <row r="26841" spans="5:5">
      <c r="E26841" s="51"/>
    </row>
    <row r="26842" spans="5:5">
      <c r="E26842" s="51"/>
    </row>
    <row r="26843" spans="5:5">
      <c r="E26843" s="51"/>
    </row>
    <row r="26844" spans="5:5">
      <c r="E26844" s="51"/>
    </row>
    <row r="26845" spans="5:5">
      <c r="E26845" s="51"/>
    </row>
    <row r="26846" spans="5:5">
      <c r="E26846" s="51"/>
    </row>
    <row r="26847" spans="5:5">
      <c r="E26847" s="51"/>
    </row>
    <row r="26848" spans="5:5">
      <c r="E26848" s="51"/>
    </row>
    <row r="26849" spans="5:5">
      <c r="E26849" s="51"/>
    </row>
    <row r="26850" spans="5:5">
      <c r="E26850" s="51"/>
    </row>
    <row r="26851" spans="5:5">
      <c r="E26851" s="51"/>
    </row>
    <row r="26852" spans="5:5">
      <c r="E26852" s="51"/>
    </row>
    <row r="26853" spans="5:5">
      <c r="E26853" s="51"/>
    </row>
    <row r="26854" spans="5:5">
      <c r="E26854" s="51"/>
    </row>
    <row r="26855" spans="5:5">
      <c r="E26855" s="51"/>
    </row>
    <row r="26856" spans="5:5">
      <c r="E26856" s="51"/>
    </row>
    <row r="26857" spans="5:5">
      <c r="E26857" s="51"/>
    </row>
    <row r="26858" spans="5:5">
      <c r="E26858" s="51"/>
    </row>
    <row r="26859" spans="5:5">
      <c r="E26859" s="51"/>
    </row>
    <row r="26860" spans="5:5">
      <c r="E26860" s="51"/>
    </row>
    <row r="26861" spans="5:5">
      <c r="E26861" s="51"/>
    </row>
    <row r="26862" spans="5:5">
      <c r="E26862" s="51"/>
    </row>
    <row r="26863" spans="5:5">
      <c r="E26863" s="51"/>
    </row>
    <row r="26864" spans="5:5">
      <c r="E26864" s="51"/>
    </row>
    <row r="26865" spans="5:5">
      <c r="E26865" s="51"/>
    </row>
    <row r="26866" spans="5:5">
      <c r="E26866" s="51"/>
    </row>
    <row r="26867" spans="5:5">
      <c r="E26867" s="51"/>
    </row>
    <row r="26868" spans="5:5">
      <c r="E26868" s="51"/>
    </row>
    <row r="26869" spans="5:5">
      <c r="E26869" s="51"/>
    </row>
    <row r="26870" spans="5:5">
      <c r="E26870" s="51"/>
    </row>
    <row r="26871" spans="5:5">
      <c r="E26871" s="51"/>
    </row>
    <row r="26872" spans="5:5">
      <c r="E26872" s="51"/>
    </row>
    <row r="26873" spans="5:5">
      <c r="E26873" s="51"/>
    </row>
    <row r="26874" spans="5:5">
      <c r="E26874" s="51"/>
    </row>
    <row r="26875" spans="5:5">
      <c r="E26875" s="51"/>
    </row>
    <row r="26876" spans="5:5">
      <c r="E26876" s="51"/>
    </row>
    <row r="26877" spans="5:5">
      <c r="E26877" s="51"/>
    </row>
    <row r="26878" spans="5:5">
      <c r="E26878" s="51"/>
    </row>
    <row r="26879" spans="5:5">
      <c r="E26879" s="51"/>
    </row>
    <row r="26880" spans="5:5">
      <c r="E26880" s="51"/>
    </row>
    <row r="26881" spans="5:5">
      <c r="E26881" s="51"/>
    </row>
    <row r="26882" spans="5:5">
      <c r="E26882" s="51"/>
    </row>
    <row r="26883" spans="5:5">
      <c r="E26883" s="51"/>
    </row>
    <row r="26884" spans="5:5">
      <c r="E26884" s="51"/>
    </row>
    <row r="26885" spans="5:5">
      <c r="E26885" s="51"/>
    </row>
    <row r="26886" spans="5:5">
      <c r="E26886" s="51"/>
    </row>
    <row r="26887" spans="5:5">
      <c r="E26887" s="51"/>
    </row>
    <row r="26888" spans="5:5">
      <c r="E26888" s="51"/>
    </row>
    <row r="26889" spans="5:5">
      <c r="E26889" s="51"/>
    </row>
    <row r="26890" spans="5:5">
      <c r="E26890" s="51"/>
    </row>
    <row r="26891" spans="5:5">
      <c r="E26891" s="51"/>
    </row>
    <row r="26892" spans="5:5">
      <c r="E26892" s="51"/>
    </row>
    <row r="26893" spans="5:5">
      <c r="E26893" s="51"/>
    </row>
    <row r="26894" spans="5:5">
      <c r="E26894" s="51"/>
    </row>
    <row r="26895" spans="5:5">
      <c r="E26895" s="51"/>
    </row>
    <row r="26896" spans="5:5">
      <c r="E26896" s="51"/>
    </row>
    <row r="26897" spans="5:5">
      <c r="E26897" s="51"/>
    </row>
    <row r="26898" spans="5:5">
      <c r="E26898" s="51"/>
    </row>
    <row r="26899" spans="5:5">
      <c r="E26899" s="51"/>
    </row>
    <row r="26900" spans="5:5">
      <c r="E26900" s="51"/>
    </row>
    <row r="26901" spans="5:5">
      <c r="E26901" s="51"/>
    </row>
    <row r="26902" spans="5:5">
      <c r="E26902" s="51"/>
    </row>
    <row r="26903" spans="5:5">
      <c r="E26903" s="51"/>
    </row>
    <row r="26904" spans="5:5">
      <c r="E26904" s="51"/>
    </row>
    <row r="26905" spans="5:5">
      <c r="E26905" s="51"/>
    </row>
    <row r="26906" spans="5:5">
      <c r="E26906" s="51"/>
    </row>
    <row r="26907" spans="5:5">
      <c r="E26907" s="51"/>
    </row>
    <row r="26908" spans="5:5">
      <c r="E26908" s="51"/>
    </row>
    <row r="26909" spans="5:5">
      <c r="E26909" s="51"/>
    </row>
    <row r="26910" spans="5:5">
      <c r="E26910" s="51"/>
    </row>
    <row r="26911" spans="5:5">
      <c r="E26911" s="51"/>
    </row>
    <row r="26912" spans="5:5">
      <c r="E26912" s="51"/>
    </row>
    <row r="26913" spans="5:5">
      <c r="E26913" s="51"/>
    </row>
    <row r="26914" spans="5:5">
      <c r="E26914" s="51"/>
    </row>
    <row r="26915" spans="5:5">
      <c r="E26915" s="51"/>
    </row>
    <row r="26916" spans="5:5">
      <c r="E26916" s="51"/>
    </row>
    <row r="26917" spans="5:5">
      <c r="E26917" s="51"/>
    </row>
    <row r="26918" spans="5:5">
      <c r="E26918" s="51"/>
    </row>
    <row r="26919" spans="5:5">
      <c r="E26919" s="51"/>
    </row>
    <row r="26920" spans="5:5">
      <c r="E26920" s="51"/>
    </row>
    <row r="26921" spans="5:5">
      <c r="E26921" s="51"/>
    </row>
    <row r="26922" spans="5:5">
      <c r="E26922" s="51"/>
    </row>
    <row r="26923" spans="5:5">
      <c r="E26923" s="51"/>
    </row>
    <row r="26924" spans="5:5">
      <c r="E26924" s="51"/>
    </row>
    <row r="26925" spans="5:5">
      <c r="E26925" s="51"/>
    </row>
    <row r="26926" spans="5:5">
      <c r="E26926" s="51"/>
    </row>
    <row r="26927" spans="5:5">
      <c r="E26927" s="51"/>
    </row>
    <row r="26928" spans="5:5">
      <c r="E26928" s="51"/>
    </row>
    <row r="26929" spans="5:5">
      <c r="E26929" s="51"/>
    </row>
    <row r="26930" spans="5:5">
      <c r="E26930" s="51"/>
    </row>
    <row r="26931" spans="5:5">
      <c r="E26931" s="51"/>
    </row>
    <row r="26932" spans="5:5">
      <c r="E26932" s="51"/>
    </row>
    <row r="26933" spans="5:5">
      <c r="E26933" s="51"/>
    </row>
    <row r="26934" spans="5:5">
      <c r="E26934" s="51"/>
    </row>
    <row r="26935" spans="5:5">
      <c r="E26935" s="51"/>
    </row>
    <row r="26936" spans="5:5">
      <c r="E26936" s="51"/>
    </row>
    <row r="26937" spans="5:5">
      <c r="E26937" s="51"/>
    </row>
    <row r="26938" spans="5:5">
      <c r="E26938" s="51"/>
    </row>
    <row r="26939" spans="5:5">
      <c r="E26939" s="51"/>
    </row>
    <row r="26940" spans="5:5">
      <c r="E26940" s="51"/>
    </row>
    <row r="26941" spans="5:5">
      <c r="E26941" s="51"/>
    </row>
    <row r="26942" spans="5:5">
      <c r="E26942" s="51"/>
    </row>
    <row r="26943" spans="5:5">
      <c r="E26943" s="51"/>
    </row>
    <row r="26944" spans="5:5">
      <c r="E26944" s="51"/>
    </row>
    <row r="26945" spans="5:5">
      <c r="E26945" s="51"/>
    </row>
    <row r="26946" spans="5:5">
      <c r="E26946" s="51"/>
    </row>
    <row r="26947" spans="5:5">
      <c r="E26947" s="51"/>
    </row>
    <row r="26948" spans="5:5">
      <c r="E26948" s="51"/>
    </row>
    <row r="26949" spans="5:5">
      <c r="E26949" s="51"/>
    </row>
    <row r="26950" spans="5:5">
      <c r="E26950" s="51"/>
    </row>
    <row r="26951" spans="5:5">
      <c r="E26951" s="51"/>
    </row>
    <row r="26952" spans="5:5">
      <c r="E26952" s="51"/>
    </row>
    <row r="26953" spans="5:5">
      <c r="E26953" s="51"/>
    </row>
    <row r="26954" spans="5:5">
      <c r="E26954" s="51"/>
    </row>
    <row r="26955" spans="5:5">
      <c r="E26955" s="51"/>
    </row>
    <row r="26956" spans="5:5">
      <c r="E26956" s="51"/>
    </row>
    <row r="26957" spans="5:5">
      <c r="E26957" s="51"/>
    </row>
    <row r="26958" spans="5:5">
      <c r="E26958" s="51"/>
    </row>
    <row r="26959" spans="5:5">
      <c r="E26959" s="51"/>
    </row>
    <row r="26960" spans="5:5">
      <c r="E26960" s="51"/>
    </row>
    <row r="26961" spans="5:5">
      <c r="E26961" s="51"/>
    </row>
    <row r="26962" spans="5:5">
      <c r="E26962" s="51"/>
    </row>
    <row r="26963" spans="5:5">
      <c r="E26963" s="51"/>
    </row>
    <row r="26964" spans="5:5">
      <c r="E26964" s="51"/>
    </row>
    <row r="26965" spans="5:5">
      <c r="E26965" s="51"/>
    </row>
    <row r="26966" spans="5:5">
      <c r="E26966" s="51"/>
    </row>
    <row r="26967" spans="5:5">
      <c r="E26967" s="51"/>
    </row>
    <row r="26968" spans="5:5">
      <c r="E26968" s="51"/>
    </row>
    <row r="26969" spans="5:5">
      <c r="E26969" s="51"/>
    </row>
    <row r="26970" spans="5:5">
      <c r="E26970" s="51"/>
    </row>
    <row r="26971" spans="5:5">
      <c r="E26971" s="51"/>
    </row>
    <row r="26972" spans="5:5">
      <c r="E26972" s="51"/>
    </row>
    <row r="26973" spans="5:5">
      <c r="E26973" s="51"/>
    </row>
    <row r="26974" spans="5:5">
      <c r="E26974" s="51"/>
    </row>
    <row r="26975" spans="5:5">
      <c r="E26975" s="51"/>
    </row>
    <row r="26976" spans="5:5">
      <c r="E26976" s="51"/>
    </row>
    <row r="26977" spans="5:5">
      <c r="E26977" s="51"/>
    </row>
    <row r="26978" spans="5:5">
      <c r="E26978" s="51"/>
    </row>
    <row r="26979" spans="5:5">
      <c r="E26979" s="51"/>
    </row>
    <row r="26980" spans="5:5">
      <c r="E26980" s="51"/>
    </row>
    <row r="26981" spans="5:5">
      <c r="E26981" s="51"/>
    </row>
    <row r="26982" spans="5:5">
      <c r="E26982" s="51"/>
    </row>
    <row r="26983" spans="5:5">
      <c r="E26983" s="51"/>
    </row>
    <row r="26984" spans="5:5">
      <c r="E26984" s="51"/>
    </row>
    <row r="26985" spans="5:5">
      <c r="E26985" s="51"/>
    </row>
    <row r="26986" spans="5:5">
      <c r="E26986" s="51"/>
    </row>
    <row r="26987" spans="5:5">
      <c r="E26987" s="51"/>
    </row>
    <row r="26988" spans="5:5">
      <c r="E26988" s="51"/>
    </row>
    <row r="26989" spans="5:5">
      <c r="E26989" s="51"/>
    </row>
    <row r="26990" spans="5:5">
      <c r="E26990" s="51"/>
    </row>
    <row r="26991" spans="5:5">
      <c r="E26991" s="51"/>
    </row>
    <row r="26992" spans="5:5">
      <c r="E26992" s="51"/>
    </row>
    <row r="26993" spans="5:5">
      <c r="E26993" s="51"/>
    </row>
    <row r="26994" spans="5:5">
      <c r="E26994" s="51"/>
    </row>
    <row r="26995" spans="5:5">
      <c r="E26995" s="51"/>
    </row>
    <row r="26996" spans="5:5">
      <c r="E26996" s="51"/>
    </row>
    <row r="26997" spans="5:5">
      <c r="E26997" s="51"/>
    </row>
    <row r="26998" spans="5:5">
      <c r="E26998" s="51"/>
    </row>
    <row r="26999" spans="5:5">
      <c r="E26999" s="51"/>
    </row>
    <row r="27000" spans="5:5">
      <c r="E27000" s="51"/>
    </row>
    <row r="27001" spans="5:5">
      <c r="E27001" s="51"/>
    </row>
    <row r="27002" spans="5:5">
      <c r="E27002" s="51"/>
    </row>
    <row r="27003" spans="5:5">
      <c r="E27003" s="51"/>
    </row>
    <row r="27004" spans="5:5">
      <c r="E27004" s="51"/>
    </row>
    <row r="27005" spans="5:5">
      <c r="E27005" s="51"/>
    </row>
    <row r="27006" spans="5:5">
      <c r="E27006" s="51"/>
    </row>
    <row r="27007" spans="5:5">
      <c r="E27007" s="51"/>
    </row>
    <row r="27008" spans="5:5">
      <c r="E27008" s="51"/>
    </row>
    <row r="27009" spans="5:5">
      <c r="E27009" s="51"/>
    </row>
    <row r="27010" spans="5:5">
      <c r="E27010" s="51"/>
    </row>
    <row r="27011" spans="5:5">
      <c r="E27011" s="51"/>
    </row>
    <row r="27012" spans="5:5">
      <c r="E27012" s="51"/>
    </row>
    <row r="27013" spans="5:5">
      <c r="E27013" s="51"/>
    </row>
    <row r="27014" spans="5:5">
      <c r="E27014" s="51"/>
    </row>
    <row r="27015" spans="5:5">
      <c r="E27015" s="51"/>
    </row>
    <row r="27016" spans="5:5">
      <c r="E27016" s="51"/>
    </row>
    <row r="27017" spans="5:5">
      <c r="E27017" s="51"/>
    </row>
    <row r="27018" spans="5:5">
      <c r="E27018" s="51"/>
    </row>
    <row r="27019" spans="5:5">
      <c r="E27019" s="51"/>
    </row>
    <row r="27020" spans="5:5">
      <c r="E27020" s="51"/>
    </row>
    <row r="27021" spans="5:5">
      <c r="E27021" s="51"/>
    </row>
    <row r="27022" spans="5:5">
      <c r="E27022" s="51"/>
    </row>
    <row r="27023" spans="5:5">
      <c r="E27023" s="51"/>
    </row>
    <row r="27024" spans="5:5">
      <c r="E27024" s="51"/>
    </row>
    <row r="27025" spans="5:5">
      <c r="E27025" s="51"/>
    </row>
    <row r="27026" spans="5:5">
      <c r="E27026" s="51"/>
    </row>
    <row r="27027" spans="5:5">
      <c r="E27027" s="51"/>
    </row>
    <row r="27028" spans="5:5">
      <c r="E27028" s="51"/>
    </row>
    <row r="27029" spans="5:5">
      <c r="E27029" s="51"/>
    </row>
    <row r="27030" spans="5:5">
      <c r="E27030" s="51"/>
    </row>
    <row r="27031" spans="5:5">
      <c r="E27031" s="51"/>
    </row>
    <row r="27032" spans="5:5">
      <c r="E27032" s="51"/>
    </row>
    <row r="27033" spans="5:5">
      <c r="E27033" s="51"/>
    </row>
    <row r="27034" spans="5:5">
      <c r="E27034" s="51"/>
    </row>
    <row r="27035" spans="5:5">
      <c r="E27035" s="51"/>
    </row>
    <row r="27036" spans="5:5">
      <c r="E27036" s="51"/>
    </row>
    <row r="27037" spans="5:5">
      <c r="E27037" s="51"/>
    </row>
    <row r="27038" spans="5:5">
      <c r="E27038" s="51"/>
    </row>
    <row r="27039" spans="5:5">
      <c r="E27039" s="51"/>
    </row>
    <row r="27040" spans="5:5">
      <c r="E27040" s="51"/>
    </row>
    <row r="27041" spans="5:5">
      <c r="E27041" s="51"/>
    </row>
    <row r="27042" spans="5:5">
      <c r="E27042" s="51"/>
    </row>
    <row r="27043" spans="5:5">
      <c r="E27043" s="51"/>
    </row>
    <row r="27044" spans="5:5">
      <c r="E27044" s="51"/>
    </row>
    <row r="27045" spans="5:5">
      <c r="E27045" s="51"/>
    </row>
    <row r="27046" spans="5:5">
      <c r="E27046" s="51"/>
    </row>
    <row r="27047" spans="5:5">
      <c r="E27047" s="51"/>
    </row>
    <row r="27048" spans="5:5">
      <c r="E27048" s="51"/>
    </row>
    <row r="27049" spans="5:5">
      <c r="E27049" s="51"/>
    </row>
    <row r="27050" spans="5:5">
      <c r="E27050" s="51"/>
    </row>
    <row r="27051" spans="5:5">
      <c r="E27051" s="51"/>
    </row>
    <row r="27052" spans="5:5">
      <c r="E27052" s="51"/>
    </row>
    <row r="27053" spans="5:5">
      <c r="E27053" s="51"/>
    </row>
    <row r="27054" spans="5:5">
      <c r="E27054" s="51"/>
    </row>
    <row r="27055" spans="5:5">
      <c r="E27055" s="51"/>
    </row>
    <row r="27056" spans="5:5">
      <c r="E27056" s="51"/>
    </row>
    <row r="27057" spans="5:5">
      <c r="E27057" s="51"/>
    </row>
    <row r="27058" spans="5:5">
      <c r="E27058" s="51"/>
    </row>
    <row r="27059" spans="5:5">
      <c r="E27059" s="51"/>
    </row>
    <row r="27060" spans="5:5">
      <c r="E27060" s="51"/>
    </row>
    <row r="27061" spans="5:5">
      <c r="E27061" s="51"/>
    </row>
    <row r="27062" spans="5:5">
      <c r="E27062" s="51"/>
    </row>
    <row r="27063" spans="5:5">
      <c r="E27063" s="51"/>
    </row>
    <row r="27064" spans="5:5">
      <c r="E27064" s="51"/>
    </row>
    <row r="27065" spans="5:5">
      <c r="E27065" s="51"/>
    </row>
    <row r="27066" spans="5:5">
      <c r="E27066" s="51"/>
    </row>
    <row r="27067" spans="5:5">
      <c r="E27067" s="51"/>
    </row>
    <row r="27068" spans="5:5">
      <c r="E27068" s="51"/>
    </row>
    <row r="27069" spans="5:5">
      <c r="E27069" s="51"/>
    </row>
    <row r="27070" spans="5:5">
      <c r="E27070" s="51"/>
    </row>
    <row r="27071" spans="5:5">
      <c r="E27071" s="51"/>
    </row>
    <row r="27072" spans="5:5">
      <c r="E27072" s="51"/>
    </row>
    <row r="27073" spans="5:5">
      <c r="E27073" s="51"/>
    </row>
    <row r="27074" spans="5:5">
      <c r="E27074" s="51"/>
    </row>
    <row r="27075" spans="5:5">
      <c r="E27075" s="51"/>
    </row>
    <row r="27076" spans="5:5">
      <c r="E27076" s="51"/>
    </row>
    <row r="27077" spans="5:5">
      <c r="E27077" s="51"/>
    </row>
    <row r="27078" spans="5:5">
      <c r="E27078" s="51"/>
    </row>
    <row r="27079" spans="5:5">
      <c r="E27079" s="51"/>
    </row>
    <row r="27080" spans="5:5">
      <c r="E27080" s="51"/>
    </row>
    <row r="27081" spans="5:5">
      <c r="E27081" s="51"/>
    </row>
    <row r="27082" spans="5:5">
      <c r="E27082" s="51"/>
    </row>
    <row r="27083" spans="5:5">
      <c r="E27083" s="51"/>
    </row>
    <row r="27084" spans="5:5">
      <c r="E27084" s="51"/>
    </row>
    <row r="27085" spans="5:5">
      <c r="E27085" s="51"/>
    </row>
    <row r="27086" spans="5:5">
      <c r="E27086" s="51"/>
    </row>
    <row r="27087" spans="5:5">
      <c r="E27087" s="51"/>
    </row>
    <row r="27088" spans="5:5">
      <c r="E27088" s="51"/>
    </row>
    <row r="27089" spans="5:5">
      <c r="E27089" s="51"/>
    </row>
    <row r="27090" spans="5:5">
      <c r="E27090" s="51"/>
    </row>
    <row r="27091" spans="5:5">
      <c r="E27091" s="51"/>
    </row>
    <row r="27092" spans="5:5">
      <c r="E27092" s="51"/>
    </row>
    <row r="27093" spans="5:5">
      <c r="E27093" s="51"/>
    </row>
    <row r="27094" spans="5:5">
      <c r="E27094" s="51"/>
    </row>
    <row r="27095" spans="5:5">
      <c r="E27095" s="51"/>
    </row>
    <row r="27096" spans="5:5">
      <c r="E27096" s="51"/>
    </row>
    <row r="27097" spans="5:5">
      <c r="E27097" s="51"/>
    </row>
    <row r="27098" spans="5:5">
      <c r="E27098" s="51"/>
    </row>
    <row r="27099" spans="5:5">
      <c r="E27099" s="51"/>
    </row>
    <row r="27100" spans="5:5">
      <c r="E27100" s="51"/>
    </row>
    <row r="27101" spans="5:5">
      <c r="E27101" s="51"/>
    </row>
    <row r="27102" spans="5:5">
      <c r="E27102" s="51"/>
    </row>
    <row r="27103" spans="5:5">
      <c r="E27103" s="51"/>
    </row>
    <row r="27104" spans="5:5">
      <c r="E27104" s="51"/>
    </row>
    <row r="27105" spans="5:5">
      <c r="E27105" s="51"/>
    </row>
    <row r="27106" spans="5:5">
      <c r="E27106" s="51"/>
    </row>
    <row r="27107" spans="5:5">
      <c r="E27107" s="51"/>
    </row>
    <row r="27108" spans="5:5">
      <c r="E27108" s="51"/>
    </row>
    <row r="27109" spans="5:5">
      <c r="E27109" s="51"/>
    </row>
    <row r="27110" spans="5:5">
      <c r="E27110" s="51"/>
    </row>
    <row r="27111" spans="5:5">
      <c r="E27111" s="51"/>
    </row>
    <row r="27112" spans="5:5">
      <c r="E27112" s="51"/>
    </row>
    <row r="27113" spans="5:5">
      <c r="E27113" s="51"/>
    </row>
    <row r="27114" spans="5:5">
      <c r="E27114" s="51"/>
    </row>
    <row r="27115" spans="5:5">
      <c r="E27115" s="51"/>
    </row>
    <row r="27116" spans="5:5">
      <c r="E27116" s="51"/>
    </row>
    <row r="27117" spans="5:5">
      <c r="E27117" s="51"/>
    </row>
    <row r="27118" spans="5:5">
      <c r="E27118" s="51"/>
    </row>
    <row r="27119" spans="5:5">
      <c r="E27119" s="51"/>
    </row>
    <row r="27120" spans="5:5">
      <c r="E27120" s="51"/>
    </row>
    <row r="27121" spans="5:5">
      <c r="E27121" s="51"/>
    </row>
    <row r="27122" spans="5:5">
      <c r="E27122" s="51"/>
    </row>
    <row r="27123" spans="5:5">
      <c r="E27123" s="51"/>
    </row>
    <row r="27124" spans="5:5">
      <c r="E27124" s="51"/>
    </row>
    <row r="27125" spans="5:5">
      <c r="E27125" s="51"/>
    </row>
    <row r="27126" spans="5:5">
      <c r="E27126" s="51"/>
    </row>
    <row r="27127" spans="5:5">
      <c r="E27127" s="51"/>
    </row>
    <row r="27128" spans="5:5">
      <c r="E27128" s="51"/>
    </row>
    <row r="27129" spans="5:5">
      <c r="E27129" s="51"/>
    </row>
    <row r="27130" spans="5:5">
      <c r="E27130" s="51"/>
    </row>
    <row r="27131" spans="5:5">
      <c r="E27131" s="51"/>
    </row>
    <row r="27132" spans="5:5">
      <c r="E27132" s="51"/>
    </row>
    <row r="27133" spans="5:5">
      <c r="E27133" s="51"/>
    </row>
    <row r="27134" spans="5:5">
      <c r="E27134" s="51"/>
    </row>
    <row r="27135" spans="5:5">
      <c r="E27135" s="51"/>
    </row>
    <row r="27136" spans="5:5">
      <c r="E27136" s="51"/>
    </row>
    <row r="27137" spans="5:5">
      <c r="E27137" s="51"/>
    </row>
    <row r="27138" spans="5:5">
      <c r="E27138" s="51"/>
    </row>
    <row r="27139" spans="5:5">
      <c r="E27139" s="51"/>
    </row>
    <row r="27140" spans="5:5">
      <c r="E27140" s="51"/>
    </row>
    <row r="27141" spans="5:5">
      <c r="E27141" s="51"/>
    </row>
    <row r="27142" spans="5:5">
      <c r="E27142" s="51"/>
    </row>
    <row r="27143" spans="5:5">
      <c r="E27143" s="51"/>
    </row>
    <row r="27144" spans="5:5">
      <c r="E27144" s="51"/>
    </row>
    <row r="27145" spans="5:5">
      <c r="E27145" s="51"/>
    </row>
    <row r="27146" spans="5:5">
      <c r="E27146" s="51"/>
    </row>
    <row r="27147" spans="5:5">
      <c r="E27147" s="51"/>
    </row>
    <row r="27148" spans="5:5">
      <c r="E27148" s="51"/>
    </row>
    <row r="27149" spans="5:5">
      <c r="E27149" s="51"/>
    </row>
    <row r="27150" spans="5:5">
      <c r="E27150" s="51"/>
    </row>
    <row r="27151" spans="5:5">
      <c r="E27151" s="51"/>
    </row>
    <row r="27152" spans="5:5">
      <c r="E27152" s="51"/>
    </row>
    <row r="27153" spans="5:5">
      <c r="E27153" s="51"/>
    </row>
    <row r="27154" spans="5:5">
      <c r="E27154" s="51"/>
    </row>
    <row r="27155" spans="5:5">
      <c r="E27155" s="51"/>
    </row>
    <row r="27156" spans="5:5">
      <c r="E27156" s="51"/>
    </row>
    <row r="27157" spans="5:5">
      <c r="E27157" s="51"/>
    </row>
    <row r="27158" spans="5:5">
      <c r="E27158" s="51"/>
    </row>
    <row r="27159" spans="5:5">
      <c r="E27159" s="51"/>
    </row>
    <row r="27160" spans="5:5">
      <c r="E27160" s="51"/>
    </row>
    <row r="27161" spans="5:5">
      <c r="E27161" s="51"/>
    </row>
    <row r="27162" spans="5:5">
      <c r="E27162" s="51"/>
    </row>
    <row r="27163" spans="5:5">
      <c r="E27163" s="51"/>
    </row>
    <row r="27164" spans="5:5">
      <c r="E27164" s="51"/>
    </row>
    <row r="27165" spans="5:5">
      <c r="E27165" s="51"/>
    </row>
    <row r="27166" spans="5:5">
      <c r="E27166" s="51"/>
    </row>
    <row r="27167" spans="5:5">
      <c r="E27167" s="51"/>
    </row>
    <row r="27168" spans="5:5">
      <c r="E27168" s="51"/>
    </row>
    <row r="27169" spans="5:5">
      <c r="E27169" s="51"/>
    </row>
    <row r="27170" spans="5:5">
      <c r="E27170" s="51"/>
    </row>
    <row r="27171" spans="5:5">
      <c r="E27171" s="51"/>
    </row>
    <row r="27172" spans="5:5">
      <c r="E27172" s="51"/>
    </row>
    <row r="27173" spans="5:5">
      <c r="E27173" s="51"/>
    </row>
    <row r="27174" spans="5:5">
      <c r="E27174" s="51"/>
    </row>
    <row r="27175" spans="5:5">
      <c r="E27175" s="51"/>
    </row>
    <row r="27176" spans="5:5">
      <c r="E27176" s="51"/>
    </row>
    <row r="27177" spans="5:5">
      <c r="E27177" s="51"/>
    </row>
    <row r="27178" spans="5:5">
      <c r="E27178" s="51"/>
    </row>
    <row r="27179" spans="5:5">
      <c r="E27179" s="51"/>
    </row>
    <row r="27180" spans="5:5">
      <c r="E27180" s="51"/>
    </row>
    <row r="27181" spans="5:5">
      <c r="E27181" s="51"/>
    </row>
    <row r="27182" spans="5:5">
      <c r="E27182" s="51"/>
    </row>
    <row r="27183" spans="5:5">
      <c r="E27183" s="51"/>
    </row>
    <row r="27184" spans="5:5">
      <c r="E27184" s="51"/>
    </row>
    <row r="27185" spans="5:5">
      <c r="E27185" s="51"/>
    </row>
    <row r="27186" spans="5:5">
      <c r="E27186" s="51"/>
    </row>
    <row r="27187" spans="5:5">
      <c r="E27187" s="51"/>
    </row>
    <row r="27188" spans="5:5">
      <c r="E27188" s="51"/>
    </row>
    <row r="27189" spans="5:5">
      <c r="E27189" s="51"/>
    </row>
    <row r="27190" spans="5:5">
      <c r="E27190" s="51"/>
    </row>
    <row r="27191" spans="5:5">
      <c r="E27191" s="51"/>
    </row>
    <row r="27192" spans="5:5">
      <c r="E27192" s="51"/>
    </row>
    <row r="27193" spans="5:5">
      <c r="E27193" s="51"/>
    </row>
    <row r="27194" spans="5:5">
      <c r="E27194" s="51"/>
    </row>
    <row r="27195" spans="5:5">
      <c r="E27195" s="51"/>
    </row>
    <row r="27196" spans="5:5">
      <c r="E27196" s="51"/>
    </row>
    <row r="27197" spans="5:5">
      <c r="E27197" s="51"/>
    </row>
    <row r="27198" spans="5:5">
      <c r="E27198" s="51"/>
    </row>
    <row r="27199" spans="5:5">
      <c r="E27199" s="51"/>
    </row>
    <row r="27200" spans="5:5">
      <c r="E27200" s="51"/>
    </row>
    <row r="27201" spans="5:5">
      <c r="E27201" s="51"/>
    </row>
    <row r="27202" spans="5:5">
      <c r="E27202" s="51"/>
    </row>
    <row r="27203" spans="5:5">
      <c r="E27203" s="51"/>
    </row>
    <row r="27204" spans="5:5">
      <c r="E27204" s="51"/>
    </row>
    <row r="27205" spans="5:5">
      <c r="E27205" s="51"/>
    </row>
    <row r="27206" spans="5:5">
      <c r="E27206" s="51"/>
    </row>
    <row r="27207" spans="5:5">
      <c r="E27207" s="51"/>
    </row>
    <row r="27208" spans="5:5">
      <c r="E27208" s="51"/>
    </row>
    <row r="27209" spans="5:5">
      <c r="E27209" s="51"/>
    </row>
    <row r="27210" spans="5:5">
      <c r="E27210" s="51"/>
    </row>
    <row r="27211" spans="5:5">
      <c r="E27211" s="51"/>
    </row>
    <row r="27212" spans="5:5">
      <c r="E27212" s="51"/>
    </row>
    <row r="27213" spans="5:5">
      <c r="E27213" s="51"/>
    </row>
    <row r="27214" spans="5:5">
      <c r="E27214" s="51"/>
    </row>
    <row r="27215" spans="5:5">
      <c r="E27215" s="51"/>
    </row>
    <row r="27216" spans="5:5">
      <c r="E27216" s="51"/>
    </row>
    <row r="27217" spans="5:5">
      <c r="E27217" s="51"/>
    </row>
    <row r="27218" spans="5:5">
      <c r="E27218" s="51"/>
    </row>
    <row r="27219" spans="5:5">
      <c r="E27219" s="51"/>
    </row>
    <row r="27220" spans="5:5">
      <c r="E27220" s="51"/>
    </row>
    <row r="27221" spans="5:5">
      <c r="E27221" s="51"/>
    </row>
    <row r="27222" spans="5:5">
      <c r="E27222" s="51"/>
    </row>
    <row r="27223" spans="5:5">
      <c r="E27223" s="51"/>
    </row>
    <row r="27224" spans="5:5">
      <c r="E27224" s="51"/>
    </row>
    <row r="27225" spans="5:5">
      <c r="E27225" s="51"/>
    </row>
    <row r="27226" spans="5:5">
      <c r="E27226" s="51"/>
    </row>
    <row r="27227" spans="5:5">
      <c r="E27227" s="51"/>
    </row>
    <row r="27228" spans="5:5">
      <c r="E27228" s="51"/>
    </row>
    <row r="27229" spans="5:5">
      <c r="E27229" s="51"/>
    </row>
    <row r="27230" spans="5:5">
      <c r="E27230" s="51"/>
    </row>
    <row r="27231" spans="5:5">
      <c r="E27231" s="51"/>
    </row>
    <row r="27232" spans="5:5">
      <c r="E27232" s="51"/>
    </row>
    <row r="27233" spans="5:5">
      <c r="E27233" s="51"/>
    </row>
    <row r="27234" spans="5:5">
      <c r="E27234" s="51"/>
    </row>
    <row r="27235" spans="5:5">
      <c r="E27235" s="51"/>
    </row>
    <row r="27236" spans="5:5">
      <c r="E27236" s="51"/>
    </row>
    <row r="27237" spans="5:5">
      <c r="E27237" s="51"/>
    </row>
    <row r="27238" spans="5:5">
      <c r="E27238" s="51"/>
    </row>
    <row r="27239" spans="5:5">
      <c r="E27239" s="51"/>
    </row>
    <row r="27240" spans="5:5">
      <c r="E27240" s="51"/>
    </row>
    <row r="27241" spans="5:5">
      <c r="E27241" s="51"/>
    </row>
    <row r="27242" spans="5:5">
      <c r="E27242" s="51"/>
    </row>
    <row r="27243" spans="5:5">
      <c r="E27243" s="51"/>
    </row>
    <row r="27244" spans="5:5">
      <c r="E27244" s="51"/>
    </row>
    <row r="27245" spans="5:5">
      <c r="E27245" s="51"/>
    </row>
    <row r="27246" spans="5:5">
      <c r="E27246" s="51"/>
    </row>
    <row r="27247" spans="5:5">
      <c r="E27247" s="51"/>
    </row>
    <row r="27248" spans="5:5">
      <c r="E27248" s="51"/>
    </row>
    <row r="27249" spans="5:5">
      <c r="E27249" s="51"/>
    </row>
    <row r="27250" spans="5:5">
      <c r="E27250" s="51"/>
    </row>
    <row r="27251" spans="5:5">
      <c r="E27251" s="51"/>
    </row>
    <row r="27252" spans="5:5">
      <c r="E27252" s="51"/>
    </row>
    <row r="27253" spans="5:5">
      <c r="E27253" s="51"/>
    </row>
    <row r="27254" spans="5:5">
      <c r="E27254" s="51"/>
    </row>
    <row r="27255" spans="5:5">
      <c r="E27255" s="51"/>
    </row>
    <row r="27256" spans="5:5">
      <c r="E27256" s="51"/>
    </row>
    <row r="27257" spans="5:5">
      <c r="E27257" s="51"/>
    </row>
    <row r="27258" spans="5:5">
      <c r="E27258" s="51"/>
    </row>
    <row r="27259" spans="5:5">
      <c r="E27259" s="51"/>
    </row>
    <row r="27260" spans="5:5">
      <c r="E27260" s="51"/>
    </row>
    <row r="27261" spans="5:5">
      <c r="E27261" s="51"/>
    </row>
    <row r="27262" spans="5:5">
      <c r="E27262" s="51"/>
    </row>
    <row r="27263" spans="5:5">
      <c r="E27263" s="51"/>
    </row>
    <row r="27264" spans="5:5">
      <c r="E27264" s="51"/>
    </row>
    <row r="27265" spans="5:5">
      <c r="E27265" s="51"/>
    </row>
    <row r="27266" spans="5:5">
      <c r="E27266" s="51"/>
    </row>
    <row r="27267" spans="5:5">
      <c r="E27267" s="51"/>
    </row>
    <row r="27268" spans="5:5">
      <c r="E27268" s="51"/>
    </row>
    <row r="27269" spans="5:5">
      <c r="E27269" s="51"/>
    </row>
    <row r="27270" spans="5:5">
      <c r="E27270" s="51"/>
    </row>
    <row r="27271" spans="5:5">
      <c r="E27271" s="51"/>
    </row>
    <row r="27272" spans="5:5">
      <c r="E27272" s="51"/>
    </row>
    <row r="27273" spans="5:5">
      <c r="E27273" s="51"/>
    </row>
    <row r="27274" spans="5:5">
      <c r="E27274" s="51"/>
    </row>
    <row r="27275" spans="5:5">
      <c r="E27275" s="51"/>
    </row>
    <row r="27276" spans="5:5">
      <c r="E27276" s="51"/>
    </row>
    <row r="27277" spans="5:5">
      <c r="E27277" s="51"/>
    </row>
    <row r="27278" spans="5:5">
      <c r="E27278" s="51"/>
    </row>
    <row r="27279" spans="5:5">
      <c r="E27279" s="51"/>
    </row>
    <row r="27280" spans="5:5">
      <c r="E27280" s="51"/>
    </row>
    <row r="27281" spans="5:5">
      <c r="E27281" s="51"/>
    </row>
    <row r="27282" spans="5:5">
      <c r="E27282" s="51"/>
    </row>
    <row r="27283" spans="5:5">
      <c r="E27283" s="51"/>
    </row>
    <row r="27284" spans="5:5">
      <c r="E27284" s="51"/>
    </row>
    <row r="27285" spans="5:5">
      <c r="E27285" s="51"/>
    </row>
    <row r="27286" spans="5:5">
      <c r="E27286" s="51"/>
    </row>
    <row r="27287" spans="5:5">
      <c r="E27287" s="51"/>
    </row>
    <row r="27288" spans="5:5">
      <c r="E27288" s="51"/>
    </row>
    <row r="27289" spans="5:5">
      <c r="E27289" s="51"/>
    </row>
    <row r="27290" spans="5:5">
      <c r="E27290" s="51"/>
    </row>
    <row r="27291" spans="5:5">
      <c r="E27291" s="51"/>
    </row>
    <row r="27292" spans="5:5">
      <c r="E27292" s="51"/>
    </row>
    <row r="27293" spans="5:5">
      <c r="E27293" s="51"/>
    </row>
    <row r="27294" spans="5:5">
      <c r="E27294" s="51"/>
    </row>
    <row r="27295" spans="5:5">
      <c r="E27295" s="51"/>
    </row>
  </sheetData>
  <autoFilter ref="A1:E2711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3:H60"/>
  <sheetViews>
    <sheetView topLeftCell="A10" workbookViewId="0">
      <selection activeCell="G24" sqref="G24"/>
    </sheetView>
  </sheetViews>
  <sheetFormatPr baseColWidth="10" defaultRowHeight="15"/>
  <cols>
    <col min="1" max="1" width="4.140625" customWidth="1"/>
    <col min="2" max="2" width="47.85546875" bestFit="1" customWidth="1"/>
    <col min="3" max="3" width="16.28515625" bestFit="1" customWidth="1"/>
    <col min="4" max="4" width="7.28515625" bestFit="1" customWidth="1"/>
    <col min="5" max="5" width="13.140625" customWidth="1"/>
    <col min="6" max="6" width="14" bestFit="1" customWidth="1"/>
    <col min="7" max="7" width="27.140625" bestFit="1" customWidth="1"/>
    <col min="8" max="8" width="2.85546875" bestFit="1" customWidth="1"/>
  </cols>
  <sheetData>
    <row r="3" spans="1:8" ht="26.25" customHeight="1">
      <c r="A3" s="1002" t="s">
        <v>2733</v>
      </c>
      <c r="B3" s="1002"/>
      <c r="C3" s="1002"/>
      <c r="D3" s="1002"/>
      <c r="E3" s="1002"/>
      <c r="F3" s="1002"/>
      <c r="G3" s="1002"/>
    </row>
    <row r="4" spans="1:8" ht="15.75" thickBot="1"/>
    <row r="5" spans="1:8" ht="15.75" thickBot="1">
      <c r="A5" s="472" t="s">
        <v>192</v>
      </c>
      <c r="B5" s="310" t="s">
        <v>1441</v>
      </c>
      <c r="C5" s="310" t="s">
        <v>391</v>
      </c>
      <c r="D5" s="36" t="s">
        <v>187</v>
      </c>
      <c r="E5" s="446" t="s">
        <v>178</v>
      </c>
      <c r="F5" s="447" t="s">
        <v>2734</v>
      </c>
      <c r="G5" s="448" t="s">
        <v>1606</v>
      </c>
    </row>
    <row r="6" spans="1:8">
      <c r="A6" s="471"/>
      <c r="B6" s="1" t="s">
        <v>273</v>
      </c>
      <c r="C6" s="1" t="s">
        <v>435</v>
      </c>
      <c r="D6" s="477" t="s">
        <v>1439</v>
      </c>
      <c r="E6" s="450">
        <v>171200</v>
      </c>
      <c r="F6" s="451">
        <v>142000</v>
      </c>
      <c r="G6" s="453" t="s">
        <v>436</v>
      </c>
      <c r="H6">
        <v>1</v>
      </c>
    </row>
    <row r="7" spans="1:8">
      <c r="A7" s="449"/>
      <c r="B7" s="478" t="s">
        <v>2736</v>
      </c>
      <c r="C7" s="479" t="s">
        <v>553</v>
      </c>
      <c r="D7" s="479" t="s">
        <v>1437</v>
      </c>
      <c r="E7" s="450">
        <v>76035.100000000006</v>
      </c>
      <c r="F7" s="451">
        <v>55191</v>
      </c>
      <c r="G7" s="452" t="s">
        <v>1597</v>
      </c>
      <c r="H7">
        <v>1</v>
      </c>
    </row>
    <row r="8" spans="1:8">
      <c r="A8" s="449"/>
      <c r="B8" s="478" t="s">
        <v>363</v>
      </c>
      <c r="C8" s="479" t="s">
        <v>587</v>
      </c>
      <c r="D8" s="479" t="s">
        <v>1437</v>
      </c>
      <c r="E8" s="450">
        <v>92514.8</v>
      </c>
      <c r="F8" s="451">
        <v>83968</v>
      </c>
      <c r="G8" s="452" t="s">
        <v>1596</v>
      </c>
      <c r="H8">
        <v>1</v>
      </c>
    </row>
    <row r="9" spans="1:8">
      <c r="A9" s="449"/>
      <c r="B9" s="478" t="s">
        <v>2341</v>
      </c>
      <c r="C9" s="479" t="s">
        <v>2511</v>
      </c>
      <c r="D9" s="479" t="s">
        <v>1437</v>
      </c>
      <c r="E9" s="450">
        <v>35498.100000000006</v>
      </c>
      <c r="F9" s="451">
        <v>32271</v>
      </c>
      <c r="G9" s="452" t="s">
        <v>1595</v>
      </c>
      <c r="H9">
        <v>1</v>
      </c>
    </row>
    <row r="10" spans="1:8">
      <c r="A10" s="449"/>
      <c r="B10" s="479" t="s">
        <v>1575</v>
      </c>
      <c r="C10" s="479" t="s">
        <v>1576</v>
      </c>
      <c r="D10" s="479" t="s">
        <v>1437</v>
      </c>
      <c r="E10" s="450">
        <v>92541.2</v>
      </c>
      <c r="F10" s="451">
        <v>81492</v>
      </c>
      <c r="G10" s="452" t="s">
        <v>1594</v>
      </c>
      <c r="H10">
        <v>1</v>
      </c>
    </row>
    <row r="11" spans="1:8">
      <c r="A11" s="449"/>
      <c r="B11" s="452" t="s">
        <v>337</v>
      </c>
      <c r="C11" s="452" t="s">
        <v>484</v>
      </c>
      <c r="D11" s="467" t="s">
        <v>1438</v>
      </c>
      <c r="E11" s="450">
        <v>723696.5</v>
      </c>
      <c r="F11" s="451">
        <v>367245</v>
      </c>
      <c r="G11" s="452" t="s">
        <v>1008</v>
      </c>
      <c r="H11">
        <v>1</v>
      </c>
    </row>
    <row r="12" spans="1:8">
      <c r="A12" s="449"/>
      <c r="B12" s="452" t="s">
        <v>338</v>
      </c>
      <c r="C12" s="452" t="s">
        <v>495</v>
      </c>
      <c r="D12" s="467" t="s">
        <v>1438</v>
      </c>
      <c r="E12" s="450">
        <v>3584352.6333333328</v>
      </c>
      <c r="F12" s="451">
        <v>3175823</v>
      </c>
      <c r="G12" s="452" t="s">
        <v>1008</v>
      </c>
      <c r="H12">
        <v>1</v>
      </c>
    </row>
    <row r="13" spans="1:8">
      <c r="A13" s="449"/>
      <c r="B13" s="452" t="s">
        <v>340</v>
      </c>
      <c r="C13" s="452" t="s">
        <v>497</v>
      </c>
      <c r="D13" s="467" t="s">
        <v>1438</v>
      </c>
      <c r="E13" s="450">
        <v>247304.2</v>
      </c>
      <c r="F13" s="451">
        <v>139622</v>
      </c>
      <c r="G13" s="453" t="s">
        <v>1008</v>
      </c>
      <c r="H13">
        <v>1</v>
      </c>
    </row>
    <row r="14" spans="1:8">
      <c r="A14" s="449"/>
      <c r="B14" s="452" t="s">
        <v>318</v>
      </c>
      <c r="C14" s="452" t="s">
        <v>499</v>
      </c>
      <c r="D14" s="467" t="s">
        <v>1438</v>
      </c>
      <c r="E14" s="450">
        <v>64052.399999999994</v>
      </c>
      <c r="F14" s="451">
        <v>30594</v>
      </c>
      <c r="G14" s="453" t="s">
        <v>1008</v>
      </c>
      <c r="H14">
        <v>1</v>
      </c>
    </row>
    <row r="15" spans="1:8">
      <c r="A15" s="449"/>
      <c r="B15" s="452" t="s">
        <v>346</v>
      </c>
      <c r="C15" s="452" t="s">
        <v>507</v>
      </c>
      <c r="D15" s="467" t="s">
        <v>1438</v>
      </c>
      <c r="E15" s="450">
        <v>124389.4</v>
      </c>
      <c r="F15" s="451">
        <v>68834</v>
      </c>
      <c r="G15" s="453" t="s">
        <v>1008</v>
      </c>
      <c r="H15">
        <v>1</v>
      </c>
    </row>
    <row r="16" spans="1:8">
      <c r="A16" s="449"/>
      <c r="B16" s="452" t="s">
        <v>348</v>
      </c>
      <c r="C16" s="452" t="s">
        <v>510</v>
      </c>
      <c r="D16" s="467" t="s">
        <v>1438</v>
      </c>
      <c r="E16" s="450">
        <v>249859.1</v>
      </c>
      <c r="F16" s="451">
        <v>154831</v>
      </c>
      <c r="G16" s="453" t="s">
        <v>1008</v>
      </c>
      <c r="H16">
        <v>1</v>
      </c>
    </row>
    <row r="17" spans="1:8">
      <c r="A17" s="449"/>
      <c r="B17" s="452" t="s">
        <v>525</v>
      </c>
      <c r="C17" s="452" t="s">
        <v>527</v>
      </c>
      <c r="D17" s="467" t="s">
        <v>1438</v>
      </c>
      <c r="E17" s="450">
        <v>364447.8</v>
      </c>
      <c r="F17" s="451">
        <v>112148</v>
      </c>
      <c r="G17" s="453" t="s">
        <v>1008</v>
      </c>
      <c r="H17">
        <v>1</v>
      </c>
    </row>
    <row r="18" spans="1:8">
      <c r="A18" s="449"/>
      <c r="B18" s="452" t="s">
        <v>2351</v>
      </c>
      <c r="C18" s="452" t="s">
        <v>2551</v>
      </c>
      <c r="D18" s="467" t="s">
        <v>1438</v>
      </c>
      <c r="E18" s="450">
        <v>22286.800000000003</v>
      </c>
      <c r="F18" s="451">
        <v>17988</v>
      </c>
      <c r="G18" s="453" t="s">
        <v>1604</v>
      </c>
      <c r="H18">
        <v>1</v>
      </c>
    </row>
    <row r="19" spans="1:8">
      <c r="A19" s="449"/>
      <c r="B19" s="452" t="s">
        <v>1626</v>
      </c>
      <c r="C19" s="452" t="s">
        <v>1628</v>
      </c>
      <c r="D19" s="467" t="s">
        <v>1436</v>
      </c>
      <c r="E19" s="450">
        <v>3026932.1</v>
      </c>
      <c r="F19" s="451">
        <v>3004652</v>
      </c>
      <c r="G19" s="453" t="s">
        <v>1602</v>
      </c>
      <c r="H19">
        <v>1</v>
      </c>
    </row>
    <row r="20" spans="1:8">
      <c r="A20" s="449"/>
      <c r="B20" s="452" t="s">
        <v>304</v>
      </c>
      <c r="C20" s="452" t="s">
        <v>474</v>
      </c>
      <c r="D20" s="467" t="s">
        <v>1436</v>
      </c>
      <c r="E20" s="450">
        <v>193050</v>
      </c>
      <c r="F20" s="451">
        <v>175500</v>
      </c>
      <c r="G20" s="453" t="s">
        <v>1602</v>
      </c>
      <c r="H20">
        <v>1</v>
      </c>
    </row>
    <row r="21" spans="1:8">
      <c r="A21" s="449"/>
      <c r="B21" s="452" t="s">
        <v>276</v>
      </c>
      <c r="C21" s="452" t="s">
        <v>424</v>
      </c>
      <c r="D21" s="467" t="s">
        <v>1436</v>
      </c>
      <c r="E21" s="450">
        <v>150445.79999999999</v>
      </c>
      <c r="F21" s="451">
        <v>129675</v>
      </c>
      <c r="G21" s="453" t="s">
        <v>1598</v>
      </c>
      <c r="H21">
        <v>1</v>
      </c>
    </row>
    <row r="22" spans="1:8">
      <c r="A22" s="449"/>
      <c r="B22" s="452" t="s">
        <v>277</v>
      </c>
      <c r="C22" s="452" t="s">
        <v>794</v>
      </c>
      <c r="D22" s="467" t="s">
        <v>1436</v>
      </c>
      <c r="E22" s="450">
        <v>162665.5</v>
      </c>
      <c r="F22" s="451">
        <v>139912</v>
      </c>
      <c r="G22" s="453" t="s">
        <v>1598</v>
      </c>
      <c r="H22">
        <v>1</v>
      </c>
    </row>
    <row r="23" spans="1:8">
      <c r="A23" s="449"/>
      <c r="B23" s="453" t="s">
        <v>2738</v>
      </c>
      <c r="C23" s="452"/>
      <c r="D23" s="467" t="s">
        <v>1436</v>
      </c>
      <c r="E23" s="450">
        <v>600000</v>
      </c>
      <c r="F23" s="451">
        <v>600000</v>
      </c>
      <c r="G23" s="453" t="s">
        <v>1598</v>
      </c>
      <c r="H23">
        <v>1</v>
      </c>
    </row>
    <row r="24" spans="1:8">
      <c r="A24" s="449"/>
      <c r="B24" s="452"/>
      <c r="C24" s="452"/>
      <c r="D24" s="467"/>
      <c r="E24" s="450"/>
      <c r="F24" s="451"/>
      <c r="G24" s="453"/>
      <c r="H24">
        <v>1</v>
      </c>
    </row>
    <row r="25" spans="1:8">
      <c r="A25" s="449"/>
      <c r="B25" s="452"/>
      <c r="C25" s="452"/>
      <c r="D25" s="467"/>
      <c r="E25" s="450"/>
      <c r="F25" s="451"/>
      <c r="G25" s="453"/>
      <c r="H25">
        <v>1</v>
      </c>
    </row>
    <row r="26" spans="1:8">
      <c r="A26" s="449"/>
      <c r="B26" s="452"/>
      <c r="C26" s="452"/>
      <c r="D26" s="467"/>
      <c r="E26" s="450"/>
      <c r="F26" s="451"/>
      <c r="G26" s="453"/>
      <c r="H26">
        <v>1</v>
      </c>
    </row>
    <row r="27" spans="1:8">
      <c r="A27" s="449"/>
      <c r="B27" s="452"/>
      <c r="C27" s="452"/>
      <c r="D27" s="467"/>
      <c r="E27" s="450"/>
      <c r="F27" s="451"/>
      <c r="G27" s="453"/>
      <c r="H27">
        <v>1</v>
      </c>
    </row>
    <row r="28" spans="1:8">
      <c r="A28" s="449"/>
      <c r="B28" s="452"/>
      <c r="C28" s="452"/>
      <c r="D28" s="467"/>
      <c r="E28" s="450"/>
      <c r="F28" s="451"/>
      <c r="G28" s="453"/>
      <c r="H28">
        <v>1</v>
      </c>
    </row>
    <row r="29" spans="1:8">
      <c r="A29" s="449"/>
      <c r="B29" s="452"/>
      <c r="C29" s="452"/>
      <c r="D29" s="467"/>
      <c r="E29" s="450"/>
      <c r="F29" s="451"/>
      <c r="G29" s="453"/>
      <c r="H29">
        <v>1</v>
      </c>
    </row>
    <row r="30" spans="1:8">
      <c r="A30" s="449"/>
      <c r="B30" s="452"/>
      <c r="C30" s="452"/>
      <c r="D30" s="467"/>
      <c r="E30" s="450"/>
      <c r="F30" s="451"/>
      <c r="G30" s="453"/>
      <c r="H30">
        <v>1</v>
      </c>
    </row>
    <row r="31" spans="1:8">
      <c r="A31" s="449"/>
      <c r="B31" s="452"/>
      <c r="C31" s="452"/>
      <c r="D31" s="467"/>
      <c r="E31" s="450"/>
      <c r="F31" s="451"/>
      <c r="G31" s="453"/>
      <c r="H31">
        <v>1</v>
      </c>
    </row>
    <row r="32" spans="1:8">
      <c r="A32" s="449"/>
      <c r="B32" s="452"/>
      <c r="C32" s="452"/>
      <c r="D32" s="467"/>
      <c r="E32" s="450"/>
      <c r="F32" s="451"/>
      <c r="G32" s="453"/>
      <c r="H32">
        <v>1</v>
      </c>
    </row>
    <row r="33" spans="1:8">
      <c r="A33" s="449"/>
      <c r="B33" s="452"/>
      <c r="C33" s="452"/>
      <c r="D33" s="467"/>
      <c r="E33" s="450"/>
      <c r="F33" s="451"/>
      <c r="G33" s="453"/>
      <c r="H33">
        <v>1</v>
      </c>
    </row>
    <row r="34" spans="1:8">
      <c r="A34" s="449"/>
      <c r="B34" s="452"/>
      <c r="C34" s="452"/>
      <c r="D34" s="467"/>
      <c r="E34" s="450"/>
      <c r="F34" s="451"/>
      <c r="G34" s="453"/>
      <c r="H34">
        <v>1</v>
      </c>
    </row>
    <row r="35" spans="1:8">
      <c r="A35" s="449"/>
      <c r="B35" s="452"/>
      <c r="C35" s="452"/>
      <c r="D35" s="467"/>
      <c r="E35" s="450"/>
      <c r="F35" s="451"/>
      <c r="G35" s="453"/>
      <c r="H35">
        <v>1</v>
      </c>
    </row>
    <row r="36" spans="1:8">
      <c r="A36" s="449"/>
      <c r="B36" s="452"/>
      <c r="C36" s="452"/>
      <c r="D36" s="467"/>
      <c r="E36" s="450"/>
      <c r="F36" s="451"/>
      <c r="G36" s="453"/>
      <c r="H36">
        <v>1</v>
      </c>
    </row>
    <row r="37" spans="1:8">
      <c r="A37" s="449"/>
      <c r="B37" s="452"/>
      <c r="C37" s="452"/>
      <c r="D37" s="467"/>
      <c r="E37" s="450"/>
      <c r="F37" s="451"/>
      <c r="G37" s="453"/>
      <c r="H37">
        <v>1</v>
      </c>
    </row>
    <row r="38" spans="1:8">
      <c r="A38" s="449"/>
      <c r="B38" s="452"/>
      <c r="C38" s="452"/>
      <c r="D38" s="467"/>
      <c r="E38" s="450"/>
      <c r="F38" s="451"/>
      <c r="G38" s="453"/>
      <c r="H38">
        <v>1</v>
      </c>
    </row>
    <row r="39" spans="1:8">
      <c r="A39" s="449"/>
      <c r="B39" s="452"/>
      <c r="C39" s="452"/>
      <c r="D39" s="467"/>
      <c r="E39" s="450"/>
      <c r="F39" s="451"/>
      <c r="G39" s="453"/>
      <c r="H39">
        <v>1</v>
      </c>
    </row>
    <row r="40" spans="1:8">
      <c r="A40" s="449"/>
      <c r="B40" s="452"/>
      <c r="C40" s="452"/>
      <c r="D40" s="467"/>
      <c r="E40" s="450"/>
      <c r="F40" s="451"/>
      <c r="G40" s="453"/>
      <c r="H40">
        <v>1</v>
      </c>
    </row>
    <row r="41" spans="1:8">
      <c r="A41" s="449"/>
      <c r="B41" s="452"/>
      <c r="C41" s="452"/>
      <c r="D41" s="467"/>
      <c r="E41" s="450"/>
      <c r="F41" s="451"/>
      <c r="G41" s="453"/>
      <c r="H41">
        <v>1</v>
      </c>
    </row>
    <row r="42" spans="1:8">
      <c r="A42" s="449"/>
      <c r="B42" s="452"/>
      <c r="C42" s="452"/>
      <c r="D42" s="467"/>
      <c r="E42" s="450"/>
      <c r="F42" s="451"/>
      <c r="G42" s="452"/>
      <c r="H42">
        <v>1</v>
      </c>
    </row>
    <row r="43" spans="1:8">
      <c r="A43" s="449"/>
      <c r="B43" s="452"/>
      <c r="C43" s="452"/>
      <c r="D43" s="467"/>
      <c r="E43" s="450"/>
      <c r="F43" s="451"/>
      <c r="G43" s="452"/>
      <c r="H43">
        <v>1</v>
      </c>
    </row>
    <row r="44" spans="1:8">
      <c r="A44" s="449"/>
      <c r="B44" s="452"/>
      <c r="C44" s="452"/>
      <c r="D44" s="467"/>
      <c r="E44" s="450"/>
      <c r="F44" s="451"/>
      <c r="G44" s="452"/>
      <c r="H44">
        <v>1</v>
      </c>
    </row>
    <row r="45" spans="1:8">
      <c r="A45" s="449"/>
      <c r="B45" s="452"/>
      <c r="C45" s="452"/>
      <c r="D45" s="467"/>
      <c r="E45" s="450"/>
      <c r="F45" s="451"/>
      <c r="G45" s="452"/>
      <c r="H45">
        <v>1</v>
      </c>
    </row>
    <row r="46" spans="1:8">
      <c r="A46" s="449"/>
      <c r="B46" s="452"/>
      <c r="C46" s="452"/>
      <c r="D46" s="467"/>
      <c r="E46" s="450"/>
      <c r="F46" s="451"/>
      <c r="G46" s="452"/>
      <c r="H46">
        <v>1</v>
      </c>
    </row>
    <row r="47" spans="1:8">
      <c r="A47" s="449"/>
      <c r="B47" s="452"/>
      <c r="C47" s="452"/>
      <c r="D47" s="467"/>
      <c r="E47" s="450"/>
      <c r="F47" s="451"/>
      <c r="G47" s="452"/>
      <c r="H47">
        <v>1</v>
      </c>
    </row>
    <row r="48" spans="1:8">
      <c r="A48" s="449"/>
      <c r="B48" s="452"/>
      <c r="C48" s="452"/>
      <c r="D48" s="467"/>
      <c r="E48" s="450"/>
      <c r="F48" s="451"/>
      <c r="G48" s="452"/>
      <c r="H48">
        <v>1</v>
      </c>
    </row>
    <row r="49" spans="1:8" ht="15.75" thickBot="1">
      <c r="A49" s="468"/>
      <c r="B49" s="469"/>
      <c r="C49" s="469"/>
      <c r="D49" s="470"/>
      <c r="E49" s="450"/>
      <c r="F49" s="451"/>
      <c r="G49" s="453"/>
      <c r="H49">
        <v>1</v>
      </c>
    </row>
    <row r="50" spans="1:8" ht="15.75" thickBot="1">
      <c r="A50" s="1003"/>
      <c r="B50" s="1004"/>
      <c r="C50" s="1004"/>
      <c r="D50" s="1005"/>
      <c r="E50" s="454">
        <f>SUM(E6:E49)</f>
        <v>9981271.4333333336</v>
      </c>
      <c r="F50" s="454">
        <f>SUM(F6:F49)</f>
        <v>8511746</v>
      </c>
    </row>
    <row r="53" spans="1:8" ht="15.75" thickBot="1"/>
    <row r="54" spans="1:8" ht="15.75" thickBot="1">
      <c r="C54" s="455" t="s">
        <v>1933</v>
      </c>
      <c r="D54" s="456" t="s">
        <v>575</v>
      </c>
      <c r="E54" s="457" t="s">
        <v>2735</v>
      </c>
    </row>
    <row r="55" spans="1:8">
      <c r="C55" s="71" t="s">
        <v>1440</v>
      </c>
      <c r="D55" s="458">
        <f>+SUMIF($D$6:$D$49,C55,$H$6:$H$49)</f>
        <v>1</v>
      </c>
      <c r="E55" s="458">
        <f>+SUMIF($D$6:$D$49,C55,$F$6:$F$49)</f>
        <v>142000</v>
      </c>
    </row>
    <row r="56" spans="1:8">
      <c r="C56" s="459" t="s">
        <v>1432</v>
      </c>
      <c r="D56" s="460">
        <f>+SUMIF($D$6:$D$49,C56,$H$6:$H$49)</f>
        <v>4</v>
      </c>
      <c r="E56" s="461">
        <f>+SUMIF($D$6:$D$49,C56,$F$6:$F$49)</f>
        <v>252922</v>
      </c>
      <c r="G56" s="6">
        <f>F50-E60</f>
        <v>0</v>
      </c>
    </row>
    <row r="57" spans="1:8">
      <c r="C57" s="459" t="s">
        <v>1434</v>
      </c>
      <c r="D57" s="460">
        <f>+SUMIF($D$6:$D$49,C57,$H$6:$H$49)</f>
        <v>8</v>
      </c>
      <c r="E57" s="461">
        <f>+SUMIF($D$6:$D$49,C57,$F$6:$F$49)</f>
        <v>4067085</v>
      </c>
    </row>
    <row r="58" spans="1:8">
      <c r="C58" s="459" t="s">
        <v>1435</v>
      </c>
      <c r="D58" s="460">
        <f>+SUMIF($D$6:$D$49,C58,$H$6:$H$49)</f>
        <v>5</v>
      </c>
      <c r="E58" s="461">
        <f>+SUMIF($D$6:$D$49,C58,$F$6:$F$49)</f>
        <v>4049739</v>
      </c>
    </row>
    <row r="59" spans="1:8" ht="15.75" thickBot="1">
      <c r="C59" s="462" t="s">
        <v>1433</v>
      </c>
      <c r="D59" s="463">
        <f>+SUMIF($D$6:$D$49,C59,$H$6:$H$49)</f>
        <v>0</v>
      </c>
      <c r="E59" s="464">
        <f>+SUMIF($D$6:$D$49,C59,$F$6:$F$49)</f>
        <v>0</v>
      </c>
    </row>
    <row r="60" spans="1:8" ht="15.75" thickBot="1">
      <c r="C60" s="455" t="s">
        <v>178</v>
      </c>
      <c r="D60" s="465">
        <f>SUM(D55:D59)</f>
        <v>18</v>
      </c>
      <c r="E60" s="466">
        <f>SUM(E55:E59)</f>
        <v>8511746</v>
      </c>
    </row>
  </sheetData>
  <autoFilter ref="B5:G50">
    <sortState ref="B3:CE44">
      <sortCondition ref="D2:D44"/>
    </sortState>
  </autoFilter>
  <mergeCells count="2">
    <mergeCell ref="A3:G3"/>
    <mergeCell ref="A50:D50"/>
  </mergeCells>
  <pageMargins left="0.28000000000000003" right="0.43" top="0.75" bottom="0.75" header="0.3" footer="0.3"/>
  <pageSetup paperSize="9" scale="73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6"/>
  <sheetViews>
    <sheetView workbookViewId="0">
      <selection activeCell="F18" sqref="F18:I18"/>
    </sheetView>
  </sheetViews>
  <sheetFormatPr baseColWidth="10" defaultRowHeight="15" customHeight="1"/>
  <cols>
    <col min="1" max="1" width="3.140625" bestFit="1" customWidth="1"/>
    <col min="2" max="2" width="15.7109375" bestFit="1" customWidth="1"/>
    <col min="3" max="3" width="13.5703125" bestFit="1" customWidth="1"/>
    <col min="4" max="4" width="46.5703125" bestFit="1" customWidth="1"/>
    <col min="5" max="5" width="11.85546875" bestFit="1" customWidth="1"/>
    <col min="6" max="9" width="12.5703125" customWidth="1"/>
    <col min="10" max="10" width="14" style="512" bestFit="1" customWidth="1"/>
    <col min="11" max="11" width="8" style="512" bestFit="1" customWidth="1"/>
    <col min="12" max="12" width="10.7109375" style="512" bestFit="1" customWidth="1"/>
  </cols>
  <sheetData>
    <row r="1" spans="1:13" ht="15" customHeight="1" thickBot="1">
      <c r="F1" s="762" t="s">
        <v>2745</v>
      </c>
      <c r="G1" s="762"/>
      <c r="H1" s="762"/>
      <c r="I1" s="762"/>
    </row>
    <row r="2" spans="1:13" ht="15" customHeight="1" thickBot="1">
      <c r="A2" s="516" t="s">
        <v>192</v>
      </c>
      <c r="B2" s="517" t="s">
        <v>2746</v>
      </c>
      <c r="C2" s="518" t="s">
        <v>2747</v>
      </c>
      <c r="D2" s="518" t="s">
        <v>2748</v>
      </c>
      <c r="E2" s="513" t="s">
        <v>2749</v>
      </c>
      <c r="F2" s="35" t="s">
        <v>147</v>
      </c>
      <c r="G2" s="35" t="s">
        <v>148</v>
      </c>
      <c r="H2" s="35" t="s">
        <v>149</v>
      </c>
      <c r="I2" s="35" t="s">
        <v>150</v>
      </c>
      <c r="J2" s="519" t="s">
        <v>1901</v>
      </c>
      <c r="K2" s="522"/>
      <c r="L2" s="522"/>
    </row>
    <row r="3" spans="1:13" ht="15" customHeight="1">
      <c r="A3" s="514">
        <v>1</v>
      </c>
      <c r="B3" s="515" t="s">
        <v>2773</v>
      </c>
      <c r="C3" s="515" t="s">
        <v>2787</v>
      </c>
      <c r="D3" s="515" t="s">
        <v>2362</v>
      </c>
      <c r="E3" s="524"/>
      <c r="F3" s="3">
        <f>E3*0.65</f>
        <v>0</v>
      </c>
      <c r="G3" s="3">
        <f>E3*0.05</f>
        <v>0</v>
      </c>
      <c r="H3" s="3">
        <f>E3*0.05</f>
        <v>0</v>
      </c>
      <c r="I3" s="3">
        <f>E3*0.25</f>
        <v>0</v>
      </c>
      <c r="J3" s="520" t="s">
        <v>2801</v>
      </c>
      <c r="K3" s="287" t="s">
        <v>2802</v>
      </c>
      <c r="L3" s="523">
        <v>44511</v>
      </c>
      <c r="M3" s="6">
        <f t="shared" ref="M3:M16" si="0">F3+G3+H3+I3</f>
        <v>0</v>
      </c>
    </row>
    <row r="4" spans="1:13" ht="15" customHeight="1">
      <c r="A4" s="491">
        <v>2</v>
      </c>
      <c r="B4" s="1" t="s">
        <v>2774</v>
      </c>
      <c r="C4" s="1" t="s">
        <v>2788</v>
      </c>
      <c r="D4" s="1" t="s">
        <v>2753</v>
      </c>
      <c r="E4" s="25">
        <v>3745</v>
      </c>
      <c r="F4" s="4">
        <f t="shared" ref="F4:F16" si="1">E4*0.65</f>
        <v>2434.25</v>
      </c>
      <c r="G4" s="4">
        <f t="shared" ref="G4:G16" si="2">E4*0.05</f>
        <v>187.25</v>
      </c>
      <c r="H4" s="4">
        <f t="shared" ref="H4:H16" si="3">E4*0.05</f>
        <v>187.25</v>
      </c>
      <c r="I4" s="4">
        <f t="shared" ref="I4:I16" si="4">E4*0.25</f>
        <v>936.25</v>
      </c>
      <c r="J4" s="521"/>
      <c r="K4" s="482"/>
      <c r="L4" s="482"/>
      <c r="M4" s="6">
        <f t="shared" si="0"/>
        <v>3745</v>
      </c>
    </row>
    <row r="5" spans="1:13" ht="15" customHeight="1">
      <c r="A5" s="525">
        <v>3</v>
      </c>
      <c r="B5" s="511" t="s">
        <v>2775</v>
      </c>
      <c r="C5" s="511" t="s">
        <v>2789</v>
      </c>
      <c r="D5" s="1" t="s">
        <v>2751</v>
      </c>
      <c r="E5" s="25">
        <v>3931</v>
      </c>
      <c r="F5" s="4">
        <f t="shared" si="1"/>
        <v>2555.15</v>
      </c>
      <c r="G5" s="4">
        <f t="shared" si="2"/>
        <v>196.55</v>
      </c>
      <c r="H5" s="4">
        <f t="shared" si="3"/>
        <v>196.55</v>
      </c>
      <c r="I5" s="4">
        <f t="shared" si="4"/>
        <v>982.75</v>
      </c>
      <c r="J5" s="521"/>
      <c r="K5" s="482"/>
      <c r="L5" s="482"/>
      <c r="M5" s="6">
        <f t="shared" si="0"/>
        <v>3931.0000000000005</v>
      </c>
    </row>
    <row r="6" spans="1:13" ht="15" customHeight="1">
      <c r="A6" s="491">
        <v>4</v>
      </c>
      <c r="B6" s="1" t="s">
        <v>2776</v>
      </c>
      <c r="C6" s="1" t="s">
        <v>2790</v>
      </c>
      <c r="D6" s="1" t="s">
        <v>2756</v>
      </c>
      <c r="E6" s="546">
        <v>4079</v>
      </c>
      <c r="F6" s="4">
        <f t="shared" si="1"/>
        <v>2651.35</v>
      </c>
      <c r="G6" s="4">
        <f t="shared" si="2"/>
        <v>203.95000000000002</v>
      </c>
      <c r="H6" s="4">
        <f t="shared" si="3"/>
        <v>203.95000000000002</v>
      </c>
      <c r="I6" s="4">
        <f t="shared" si="4"/>
        <v>1019.75</v>
      </c>
      <c r="J6" s="521" t="s">
        <v>2801</v>
      </c>
      <c r="K6" s="287" t="s">
        <v>2804</v>
      </c>
      <c r="L6" s="523">
        <v>44511</v>
      </c>
      <c r="M6" s="6">
        <f t="shared" si="0"/>
        <v>4078.9999999999995</v>
      </c>
    </row>
    <row r="7" spans="1:13" ht="15" customHeight="1">
      <c r="A7" s="491">
        <v>5</v>
      </c>
      <c r="B7" s="1" t="s">
        <v>2777</v>
      </c>
      <c r="C7" s="1" t="s">
        <v>2791</v>
      </c>
      <c r="D7" s="1" t="s">
        <v>2755</v>
      </c>
      <c r="E7" s="25">
        <v>1887</v>
      </c>
      <c r="F7" s="4">
        <f t="shared" si="1"/>
        <v>1226.55</v>
      </c>
      <c r="G7" s="4">
        <f t="shared" si="2"/>
        <v>94.350000000000009</v>
      </c>
      <c r="H7" s="4">
        <f t="shared" si="3"/>
        <v>94.350000000000009</v>
      </c>
      <c r="I7" s="4">
        <f t="shared" si="4"/>
        <v>471.75</v>
      </c>
      <c r="J7" s="521" t="s">
        <v>2801</v>
      </c>
      <c r="K7" s="287" t="s">
        <v>2803</v>
      </c>
      <c r="L7" s="523">
        <v>44511</v>
      </c>
      <c r="M7" s="6">
        <f t="shared" si="0"/>
        <v>1886.9999999999998</v>
      </c>
    </row>
    <row r="8" spans="1:13" ht="15" customHeight="1">
      <c r="A8" s="491">
        <v>6</v>
      </c>
      <c r="B8" s="1" t="s">
        <v>2778</v>
      </c>
      <c r="C8" s="1" t="s">
        <v>2792</v>
      </c>
      <c r="D8" s="1" t="s">
        <v>2754</v>
      </c>
      <c r="E8" s="25">
        <v>9296</v>
      </c>
      <c r="F8" s="4">
        <f t="shared" si="1"/>
        <v>6042.4000000000005</v>
      </c>
      <c r="G8" s="4">
        <f t="shared" si="2"/>
        <v>464.8</v>
      </c>
      <c r="H8" s="4">
        <f t="shared" si="3"/>
        <v>464.8</v>
      </c>
      <c r="I8" s="4">
        <f t="shared" si="4"/>
        <v>2324</v>
      </c>
      <c r="J8" s="521" t="s">
        <v>2801</v>
      </c>
      <c r="K8" s="287" t="s">
        <v>2805</v>
      </c>
      <c r="L8" s="523">
        <v>44511</v>
      </c>
      <c r="M8" s="6">
        <f t="shared" si="0"/>
        <v>9296</v>
      </c>
    </row>
    <row r="9" spans="1:13" ht="15" customHeight="1">
      <c r="A9" s="491">
        <v>7</v>
      </c>
      <c r="B9" s="1" t="s">
        <v>2779</v>
      </c>
      <c r="C9" s="1" t="s">
        <v>2793</v>
      </c>
      <c r="D9" s="1" t="s">
        <v>275</v>
      </c>
      <c r="E9" s="524"/>
      <c r="F9" s="4">
        <f t="shared" si="1"/>
        <v>0</v>
      </c>
      <c r="G9" s="4">
        <f t="shared" si="2"/>
        <v>0</v>
      </c>
      <c r="H9" s="4">
        <f t="shared" si="3"/>
        <v>0</v>
      </c>
      <c r="I9" s="4">
        <f t="shared" si="4"/>
        <v>0</v>
      </c>
      <c r="J9" s="521" t="s">
        <v>2801</v>
      </c>
      <c r="K9" s="287" t="s">
        <v>2806</v>
      </c>
      <c r="L9" s="523">
        <v>44511</v>
      </c>
      <c r="M9" s="6">
        <f t="shared" si="0"/>
        <v>0</v>
      </c>
    </row>
    <row r="10" spans="1:13" ht="15" customHeight="1">
      <c r="A10" s="491">
        <v>8</v>
      </c>
      <c r="B10" s="1" t="s">
        <v>2780</v>
      </c>
      <c r="C10" s="1" t="s">
        <v>2794</v>
      </c>
      <c r="D10" s="1" t="s">
        <v>334</v>
      </c>
      <c r="E10" s="546">
        <v>5180</v>
      </c>
      <c r="F10" s="4">
        <f t="shared" si="1"/>
        <v>3367</v>
      </c>
      <c r="G10" s="4">
        <f t="shared" si="2"/>
        <v>259</v>
      </c>
      <c r="H10" s="4">
        <f t="shared" si="3"/>
        <v>259</v>
      </c>
      <c r="I10" s="4">
        <f t="shared" si="4"/>
        <v>1295</v>
      </c>
      <c r="J10" s="521"/>
      <c r="K10" s="482"/>
      <c r="L10" s="482"/>
      <c r="M10" s="6">
        <f t="shared" si="0"/>
        <v>5180</v>
      </c>
    </row>
    <row r="11" spans="1:13" ht="15" customHeight="1">
      <c r="A11" s="491">
        <v>9</v>
      </c>
      <c r="B11" s="1" t="s">
        <v>2781</v>
      </c>
      <c r="C11" s="1" t="s">
        <v>2795</v>
      </c>
      <c r="D11" s="1" t="s">
        <v>2752</v>
      </c>
      <c r="E11" s="524"/>
      <c r="F11" s="4">
        <f t="shared" si="1"/>
        <v>0</v>
      </c>
      <c r="G11" s="4">
        <f t="shared" si="2"/>
        <v>0</v>
      </c>
      <c r="H11" s="4">
        <f t="shared" si="3"/>
        <v>0</v>
      </c>
      <c r="I11" s="4">
        <f t="shared" si="4"/>
        <v>0</v>
      </c>
      <c r="J11" s="521"/>
      <c r="K11" s="482"/>
      <c r="L11" s="482"/>
      <c r="M11" s="6">
        <f t="shared" si="0"/>
        <v>0</v>
      </c>
    </row>
    <row r="12" spans="1:13" ht="15" customHeight="1">
      <c r="A12" s="491">
        <v>10</v>
      </c>
      <c r="B12" s="1" t="s">
        <v>2782</v>
      </c>
      <c r="C12" s="1" t="s">
        <v>2796</v>
      </c>
      <c r="D12" s="1" t="s">
        <v>2759</v>
      </c>
      <c r="E12" s="524"/>
      <c r="F12" s="4">
        <f t="shared" si="1"/>
        <v>0</v>
      </c>
      <c r="G12" s="4">
        <f t="shared" si="2"/>
        <v>0</v>
      </c>
      <c r="H12" s="4">
        <f t="shared" si="3"/>
        <v>0</v>
      </c>
      <c r="I12" s="4">
        <f t="shared" si="4"/>
        <v>0</v>
      </c>
      <c r="J12" s="521" t="s">
        <v>2801</v>
      </c>
      <c r="K12" s="482"/>
      <c r="L12" s="482"/>
      <c r="M12" s="6">
        <f t="shared" si="0"/>
        <v>0</v>
      </c>
    </row>
    <row r="13" spans="1:13" ht="15" customHeight="1">
      <c r="A13" s="491">
        <v>11</v>
      </c>
      <c r="B13" s="1" t="s">
        <v>2783</v>
      </c>
      <c r="C13" s="1" t="s">
        <v>2797</v>
      </c>
      <c r="D13" s="1" t="s">
        <v>2758</v>
      </c>
      <c r="E13" s="25">
        <v>316350</v>
      </c>
      <c r="F13" s="4">
        <f t="shared" si="1"/>
        <v>205627.5</v>
      </c>
      <c r="G13" s="4">
        <f t="shared" si="2"/>
        <v>15817.5</v>
      </c>
      <c r="H13" s="4">
        <f t="shared" si="3"/>
        <v>15817.5</v>
      </c>
      <c r="I13" s="4">
        <f t="shared" si="4"/>
        <v>79087.5</v>
      </c>
      <c r="J13" s="521" t="s">
        <v>2801</v>
      </c>
      <c r="K13" s="482"/>
      <c r="L13" s="482"/>
      <c r="M13" s="6">
        <f t="shared" si="0"/>
        <v>316350</v>
      </c>
    </row>
    <row r="14" spans="1:13" ht="15" customHeight="1">
      <c r="A14" s="491">
        <v>12</v>
      </c>
      <c r="B14" s="1" t="s">
        <v>2784</v>
      </c>
      <c r="C14" s="1" t="s">
        <v>2798</v>
      </c>
      <c r="D14" s="1" t="s">
        <v>1489</v>
      </c>
      <c r="E14" s="524"/>
      <c r="F14" s="4">
        <f t="shared" si="1"/>
        <v>0</v>
      </c>
      <c r="G14" s="4">
        <f t="shared" si="2"/>
        <v>0</v>
      </c>
      <c r="H14" s="4">
        <f t="shared" si="3"/>
        <v>0</v>
      </c>
      <c r="I14" s="4">
        <f t="shared" si="4"/>
        <v>0</v>
      </c>
      <c r="J14" s="521"/>
      <c r="K14" s="482"/>
      <c r="L14" s="482"/>
      <c r="M14" s="6">
        <f t="shared" si="0"/>
        <v>0</v>
      </c>
    </row>
    <row r="15" spans="1:13" ht="15" customHeight="1">
      <c r="A15" s="491">
        <v>13</v>
      </c>
      <c r="B15" s="1" t="s">
        <v>2785</v>
      </c>
      <c r="C15" s="1" t="s">
        <v>2799</v>
      </c>
      <c r="D15" s="1" t="s">
        <v>2760</v>
      </c>
      <c r="E15" s="524"/>
      <c r="F15" s="4">
        <f t="shared" si="1"/>
        <v>0</v>
      </c>
      <c r="G15" s="4">
        <f t="shared" si="2"/>
        <v>0</v>
      </c>
      <c r="H15" s="4">
        <f t="shared" si="3"/>
        <v>0</v>
      </c>
      <c r="I15" s="4">
        <f t="shared" si="4"/>
        <v>0</v>
      </c>
      <c r="J15" s="521"/>
      <c r="K15" s="482"/>
      <c r="L15" s="482"/>
      <c r="M15" s="6">
        <f t="shared" si="0"/>
        <v>0</v>
      </c>
    </row>
    <row r="16" spans="1:13" ht="15" customHeight="1">
      <c r="A16" s="491">
        <v>14</v>
      </c>
      <c r="B16" s="1" t="s">
        <v>2786</v>
      </c>
      <c r="C16" s="1" t="s">
        <v>2800</v>
      </c>
      <c r="D16" s="1" t="s">
        <v>2757</v>
      </c>
      <c r="E16" s="524"/>
      <c r="F16" s="4">
        <f t="shared" si="1"/>
        <v>0</v>
      </c>
      <c r="G16" s="4">
        <f t="shared" si="2"/>
        <v>0</v>
      </c>
      <c r="H16" s="4">
        <f t="shared" si="3"/>
        <v>0</v>
      </c>
      <c r="I16" s="4">
        <f t="shared" si="4"/>
        <v>0</v>
      </c>
      <c r="J16" s="521"/>
      <c r="K16" s="482"/>
      <c r="L16" s="482"/>
      <c r="M16" s="6">
        <f t="shared" si="0"/>
        <v>0</v>
      </c>
    </row>
    <row r="17" spans="3:10" ht="15" customHeight="1">
      <c r="D17" s="325" t="s">
        <v>2363</v>
      </c>
      <c r="E17" s="25">
        <v>18000</v>
      </c>
      <c r="F17" s="4">
        <f t="shared" ref="F17:F18" si="5">E17*0.65</f>
        <v>11700</v>
      </c>
      <c r="G17" s="4">
        <f t="shared" ref="G17:G18" si="6">E17*0.05</f>
        <v>900</v>
      </c>
      <c r="H17" s="4">
        <f t="shared" ref="H17:H18" si="7">E17*0.05</f>
        <v>900</v>
      </c>
      <c r="I17" s="4">
        <f t="shared" ref="I17:I18" si="8">E17*0.25</f>
        <v>4500</v>
      </c>
      <c r="J17" s="521"/>
    </row>
    <row r="18" spans="3:10" ht="15" customHeight="1">
      <c r="E18" s="529">
        <v>6225</v>
      </c>
      <c r="F18" s="530">
        <f t="shared" si="5"/>
        <v>4046.25</v>
      </c>
      <c r="G18" s="530">
        <f t="shared" si="6"/>
        <v>311.25</v>
      </c>
      <c r="H18" s="530">
        <f t="shared" si="7"/>
        <v>311.25</v>
      </c>
      <c r="I18" s="530">
        <f t="shared" si="8"/>
        <v>1556.25</v>
      </c>
    </row>
    <row r="20" spans="3:10" ht="15" customHeight="1">
      <c r="C20" s="1" t="s">
        <v>2756</v>
      </c>
      <c r="D20" s="526">
        <v>44606</v>
      </c>
      <c r="E20" s="287" t="s">
        <v>2883</v>
      </c>
      <c r="F20" s="546">
        <v>4079</v>
      </c>
    </row>
    <row r="21" spans="3:10" ht="15" customHeight="1">
      <c r="C21" s="1" t="s">
        <v>334</v>
      </c>
      <c r="D21" s="526">
        <v>44606</v>
      </c>
      <c r="E21" s="287" t="s">
        <v>2884</v>
      </c>
      <c r="F21" s="546">
        <v>5180</v>
      </c>
    </row>
    <row r="22" spans="3:10" ht="15" customHeight="1">
      <c r="C22" s="1" t="s">
        <v>2751</v>
      </c>
      <c r="D22" s="526">
        <v>44607</v>
      </c>
      <c r="E22" s="287" t="s">
        <v>2885</v>
      </c>
      <c r="F22" s="25">
        <v>3931</v>
      </c>
    </row>
    <row r="23" spans="3:10" ht="15" customHeight="1">
      <c r="C23" s="1" t="s">
        <v>2753</v>
      </c>
      <c r="D23" s="526">
        <v>44607</v>
      </c>
      <c r="E23" s="287" t="s">
        <v>2886</v>
      </c>
      <c r="F23" s="25">
        <v>3745</v>
      </c>
    </row>
    <row r="24" spans="3:10" ht="15" customHeight="1">
      <c r="C24" s="1" t="s">
        <v>2755</v>
      </c>
      <c r="D24" s="526">
        <v>44607</v>
      </c>
      <c r="E24" s="287" t="s">
        <v>2887</v>
      </c>
      <c r="F24" s="25">
        <v>1887</v>
      </c>
    </row>
    <row r="25" spans="3:10" ht="15" customHeight="1">
      <c r="C25" s="1" t="s">
        <v>2888</v>
      </c>
      <c r="D25" s="526">
        <v>44608</v>
      </c>
      <c r="E25" s="287" t="s">
        <v>2889</v>
      </c>
      <c r="F25" s="25">
        <v>316350</v>
      </c>
    </row>
    <row r="26" spans="3:10" ht="15" customHeight="1">
      <c r="C26" s="1" t="s">
        <v>2754</v>
      </c>
      <c r="D26" s="526">
        <v>44608</v>
      </c>
      <c r="E26" s="287" t="s">
        <v>2890</v>
      </c>
      <c r="F26" s="25">
        <v>9296</v>
      </c>
    </row>
  </sheetData>
  <mergeCells count="1">
    <mergeCell ref="F1:I1"/>
  </mergeCells>
  <hyperlinks>
    <hyperlink ref="B2" r:id="rId1" display="javascript:__doPostBack('ctl00$MainContent$TabContainer1$TabPanel1$DataGrid1$ctl02$ctl02','')"/>
    <hyperlink ref="C2" r:id="rId2" display="javascript:__doPostBack('ctl00$MainContent$TabContainer1$TabPanel1$DataGrid1$ctl02$ctl03','')"/>
    <hyperlink ref="D2" r:id="rId3" display="javascript:__doPostBack('ctl00$MainContent$TabContainer1$TabPanel1$DataGrid1$ctl02$ctl09','')"/>
    <hyperlink ref="C3" r:id="rId4" display="javascript:__doPostBack('ctl00$MainContent$TabContainer1$TabPanel1$DataGrid1$ctl03$ctl01','')"/>
    <hyperlink ref="C4" r:id="rId5" display="javascript:__doPostBack('ctl00$MainContent$TabContainer1$TabPanel1$DataGrid1$ctl04$ctl01','')"/>
    <hyperlink ref="C5" r:id="rId6" display="javascript:__doPostBack('ctl00$MainContent$TabContainer1$TabPanel1$DataGrid1$ctl05$ctl01','')"/>
    <hyperlink ref="C6" r:id="rId7" display="javascript:__doPostBack('ctl00$MainContent$TabContainer1$TabPanel1$DataGrid1$ctl06$ctl01','')"/>
    <hyperlink ref="C7" r:id="rId8" display="javascript:__doPostBack('ctl00$MainContent$TabContainer1$TabPanel1$DataGrid1$ctl07$ctl01','')"/>
    <hyperlink ref="C8" r:id="rId9" display="javascript:__doPostBack('ctl00$MainContent$TabContainer1$TabPanel1$DataGrid1$ctl08$ctl01','')"/>
    <hyperlink ref="C9" r:id="rId10" display="javascript:__doPostBack('ctl00$MainContent$TabContainer1$TabPanel1$DataGrid1$ctl09$ctl01','')"/>
    <hyperlink ref="C10" r:id="rId11" display="javascript:__doPostBack('ctl00$MainContent$TabContainer1$TabPanel1$DataGrid1$ctl10$ctl01','')"/>
    <hyperlink ref="C11" r:id="rId12" display="javascript:__doPostBack('ctl00$MainContent$TabContainer1$TabPanel1$DataGrid1$ctl11$ctl01','')"/>
    <hyperlink ref="C12" r:id="rId13" display="javascript:__doPostBack('ctl00$MainContent$TabContainer1$TabPanel1$DataGrid1$ctl12$ctl01','')"/>
    <hyperlink ref="C13" r:id="rId14" display="javascript:__doPostBack('ctl00$MainContent$TabContainer1$TabPanel1$DataGrid1$ctl13$ctl01','')"/>
    <hyperlink ref="C14" r:id="rId15" display="javascript:__doPostBack('ctl00$MainContent$TabContainer1$TabPanel1$DataGrid1$ctl14$ctl01','')"/>
    <hyperlink ref="C15" r:id="rId16" display="javascript:__doPostBack('ctl00$MainContent$TabContainer1$TabPanel1$DataGrid1$ctl15$ctl01','')"/>
    <hyperlink ref="C16" r:id="rId17" display="javascript:__doPostBack('ctl00$MainContent$TabContainer1$TabPanel1$DataGrid1$ctl16$ctl01','')"/>
  </hyperlinks>
  <pageMargins left="0.7" right="0.7" top="0.75" bottom="0.75" header="0.3" footer="0.3"/>
  <pageSetup paperSize="9" orientation="portrait" r:id="rId18"/>
  <drawing r:id="rId19"/>
</worksheet>
</file>

<file path=xl/worksheets/sheet17.xml><?xml version="1.0" encoding="utf-8"?>
<worksheet xmlns="http://schemas.openxmlformats.org/spreadsheetml/2006/main" xmlns:r="http://schemas.openxmlformats.org/officeDocument/2006/relationships">
  <dimension ref="A2:S95"/>
  <sheetViews>
    <sheetView topLeftCell="K82" zoomScaleSheetLayoutView="100" workbookViewId="0">
      <selection activeCell="P95" sqref="P95"/>
    </sheetView>
  </sheetViews>
  <sheetFormatPr baseColWidth="10" defaultRowHeight="15"/>
  <cols>
    <col min="1" max="1" width="16.5703125" customWidth="1"/>
    <col min="2" max="2" width="17" customWidth="1"/>
    <col min="3" max="3" width="15.85546875" customWidth="1"/>
    <col min="4" max="4" width="15.42578125" customWidth="1"/>
    <col min="5" max="5" width="12.28515625" customWidth="1"/>
    <col min="6" max="6" width="12.140625" customWidth="1"/>
    <col min="7" max="7" width="12.85546875" customWidth="1"/>
    <col min="8" max="8" width="13.140625" customWidth="1"/>
    <col min="9" max="9" width="14.85546875" customWidth="1"/>
    <col min="10" max="10" width="13" customWidth="1"/>
    <col min="11" max="12" width="13.42578125" customWidth="1"/>
    <col min="13" max="14" width="14.28515625" customWidth="1"/>
    <col min="15" max="15" width="13" customWidth="1"/>
    <col min="16" max="16" width="14.28515625" customWidth="1"/>
    <col min="17" max="18" width="16" customWidth="1"/>
    <col min="19" max="19" width="18.42578125" customWidth="1"/>
  </cols>
  <sheetData>
    <row r="2" spans="3:17" s="547" customFormat="1">
      <c r="C2" s="762" t="s">
        <v>1903</v>
      </c>
      <c r="D2" s="762"/>
      <c r="E2" s="762"/>
      <c r="F2" s="762"/>
      <c r="G2" s="762"/>
      <c r="H2" s="762"/>
      <c r="M2" s="762" t="s">
        <v>1904</v>
      </c>
      <c r="N2" s="762"/>
      <c r="O2" s="762"/>
      <c r="P2" s="762"/>
      <c r="Q2" s="762"/>
    </row>
    <row r="3" spans="3:17" s="592" customFormat="1" ht="9.75" customHeight="1">
      <c r="C3" s="1006" t="s">
        <v>1905</v>
      </c>
      <c r="D3" s="1006"/>
      <c r="E3" s="1006"/>
      <c r="F3" s="1006"/>
      <c r="G3" s="1006"/>
      <c r="H3" s="1006"/>
      <c r="M3" s="1006" t="s">
        <v>1906</v>
      </c>
      <c r="N3" s="1006"/>
      <c r="O3" s="1006"/>
      <c r="P3" s="1006"/>
      <c r="Q3" s="1006"/>
    </row>
    <row r="4" spans="3:17" s="592" customFormat="1" ht="9.75" customHeight="1">
      <c r="C4" s="1006" t="s">
        <v>1907</v>
      </c>
      <c r="D4" s="1006"/>
      <c r="E4" s="1006"/>
      <c r="F4" s="1006"/>
      <c r="G4" s="1006"/>
      <c r="H4" s="1006"/>
      <c r="M4" s="1006" t="s">
        <v>1907</v>
      </c>
      <c r="N4" s="1006"/>
      <c r="O4" s="1006"/>
      <c r="P4" s="1006"/>
      <c r="Q4" s="1006"/>
    </row>
    <row r="5" spans="3:17" s="592" customFormat="1" ht="9.75" customHeight="1">
      <c r="C5" s="1006" t="s">
        <v>260</v>
      </c>
      <c r="D5" s="1006"/>
      <c r="E5" s="1006"/>
      <c r="F5" s="1006"/>
      <c r="G5" s="1006"/>
      <c r="H5" s="1006"/>
      <c r="M5" s="1006" t="s">
        <v>1</v>
      </c>
      <c r="N5" s="1006"/>
      <c r="O5" s="1006"/>
      <c r="P5" s="1006"/>
      <c r="Q5" s="1006"/>
    </row>
    <row r="6" spans="3:17" s="592" customFormat="1" ht="9.75" customHeight="1">
      <c r="C6" s="1006" t="s">
        <v>1907</v>
      </c>
      <c r="D6" s="1006"/>
      <c r="E6" s="1006"/>
      <c r="F6" s="1006"/>
      <c r="G6" s="1006"/>
      <c r="H6" s="1006"/>
      <c r="M6" s="1006" t="s">
        <v>1907</v>
      </c>
      <c r="N6" s="1006"/>
      <c r="O6" s="1006"/>
      <c r="P6" s="1006"/>
      <c r="Q6" s="1006"/>
    </row>
    <row r="7" spans="3:17" s="592" customFormat="1" ht="9.75" customHeight="1">
      <c r="C7" s="1006" t="s">
        <v>1908</v>
      </c>
      <c r="D7" s="1006"/>
      <c r="E7" s="1006"/>
      <c r="F7" s="1006"/>
      <c r="G7" s="1006"/>
      <c r="H7" s="1006"/>
      <c r="M7" s="1006" t="s">
        <v>263</v>
      </c>
      <c r="N7" s="1006"/>
      <c r="O7" s="1006"/>
      <c r="P7" s="1006"/>
      <c r="Q7" s="1006"/>
    </row>
    <row r="8" spans="3:17" s="592" customFormat="1" ht="9.75" customHeight="1">
      <c r="C8" s="1006" t="s">
        <v>1907</v>
      </c>
      <c r="D8" s="1006"/>
      <c r="E8" s="1006"/>
      <c r="F8" s="1006"/>
      <c r="G8" s="1006"/>
      <c r="H8" s="1006"/>
      <c r="M8" s="1006" t="s">
        <v>1907</v>
      </c>
      <c r="N8" s="1006"/>
      <c r="O8" s="1006"/>
      <c r="P8" s="1006"/>
      <c r="Q8" s="1006"/>
    </row>
    <row r="9" spans="3:17" s="592" customFormat="1" ht="9.75" customHeight="1">
      <c r="C9" s="1006" t="s">
        <v>262</v>
      </c>
      <c r="D9" s="1006"/>
      <c r="E9" s="1006"/>
      <c r="F9" s="1006"/>
      <c r="G9" s="1006"/>
      <c r="H9" s="1006"/>
      <c r="M9" s="1006" t="s">
        <v>1909</v>
      </c>
      <c r="N9" s="1006"/>
      <c r="O9" s="1006"/>
      <c r="P9" s="1006"/>
      <c r="Q9" s="1006"/>
    </row>
    <row r="10" spans="3:17" s="592" customFormat="1" ht="9.75" customHeight="1">
      <c r="C10" s="1006" t="s">
        <v>1907</v>
      </c>
      <c r="D10" s="1006"/>
      <c r="E10" s="1006"/>
      <c r="F10" s="1006"/>
      <c r="G10" s="1006"/>
      <c r="H10" s="1006"/>
      <c r="M10" s="1006" t="s">
        <v>1907</v>
      </c>
      <c r="N10" s="1006"/>
      <c r="O10" s="1006"/>
      <c r="P10" s="1006"/>
      <c r="Q10" s="1006"/>
    </row>
    <row r="11" spans="3:17" s="592" customFormat="1" ht="9.75" customHeight="1">
      <c r="C11" s="1006" t="s">
        <v>1910</v>
      </c>
      <c r="D11" s="1006"/>
      <c r="E11" s="1006"/>
      <c r="F11" s="1006"/>
      <c r="G11" s="1006"/>
      <c r="H11" s="1006"/>
      <c r="M11" s="1006" t="s">
        <v>1911</v>
      </c>
      <c r="N11" s="1006"/>
      <c r="O11" s="1006"/>
      <c r="P11" s="1006"/>
      <c r="Q11" s="1006"/>
    </row>
    <row r="12" spans="3:17" s="592" customFormat="1" ht="9.75" customHeight="1">
      <c r="C12" s="1006" t="s">
        <v>1907</v>
      </c>
      <c r="D12" s="1006"/>
      <c r="E12" s="1006"/>
      <c r="F12" s="1006"/>
      <c r="G12" s="1006"/>
      <c r="H12" s="1006"/>
      <c r="M12" s="1007" t="s">
        <v>2891</v>
      </c>
      <c r="N12" s="1006"/>
      <c r="O12" s="1006"/>
      <c r="P12" s="1006"/>
      <c r="Q12" s="1006"/>
    </row>
    <row r="13" spans="3:17" s="592" customFormat="1" ht="9.75" customHeight="1">
      <c r="C13" s="1006" t="s">
        <v>1912</v>
      </c>
      <c r="D13" s="1006"/>
      <c r="E13" s="1006"/>
      <c r="F13" s="1006"/>
      <c r="G13" s="1006"/>
      <c r="H13" s="1006"/>
      <c r="M13" s="1006" t="s">
        <v>1913</v>
      </c>
      <c r="N13" s="1006"/>
      <c r="O13" s="1006"/>
      <c r="P13" s="1006"/>
      <c r="Q13" s="1006"/>
    </row>
    <row r="14" spans="3:17" s="592" customFormat="1" ht="9.75" customHeight="1">
      <c r="C14" s="1006" t="s">
        <v>1907</v>
      </c>
      <c r="D14" s="1006"/>
      <c r="E14" s="1006"/>
      <c r="F14" s="1006"/>
      <c r="G14" s="1006"/>
      <c r="H14" s="1006"/>
      <c r="M14" s="1006" t="s">
        <v>1907</v>
      </c>
      <c r="N14" s="1006"/>
      <c r="O14" s="1006"/>
      <c r="P14" s="1006"/>
      <c r="Q14" s="1006"/>
    </row>
    <row r="15" spans="3:17" s="592" customFormat="1" ht="9.75" customHeight="1">
      <c r="C15" s="1006"/>
      <c r="D15" s="1006"/>
      <c r="E15" s="1006"/>
      <c r="F15" s="1006"/>
      <c r="G15" s="1006"/>
      <c r="H15" s="1006"/>
      <c r="M15" s="1006"/>
      <c r="N15" s="1006"/>
      <c r="O15" s="1006"/>
      <c r="P15" s="1006"/>
      <c r="Q15" s="1006"/>
    </row>
    <row r="16" spans="3:17" s="592" customFormat="1" ht="9.75" customHeight="1">
      <c r="C16" s="1006" t="s">
        <v>1914</v>
      </c>
      <c r="D16" s="1006"/>
      <c r="E16" s="1006"/>
      <c r="F16" s="1006"/>
      <c r="G16" s="1006"/>
      <c r="H16" s="1006"/>
      <c r="M16" s="1006"/>
      <c r="N16" s="1006"/>
      <c r="O16" s="1006"/>
      <c r="P16" s="1006"/>
    </row>
    <row r="17" spans="1:19">
      <c r="C17" s="993"/>
      <c r="D17" s="993"/>
      <c r="E17" s="993"/>
      <c r="F17" s="993"/>
      <c r="G17" s="993"/>
    </row>
    <row r="18" spans="1:19">
      <c r="C18" s="542"/>
      <c r="D18" s="542"/>
      <c r="E18" s="542"/>
      <c r="F18" s="542"/>
      <c r="G18" s="542"/>
    </row>
    <row r="19" spans="1:19">
      <c r="C19" s="542"/>
      <c r="D19" s="542"/>
      <c r="E19" s="542"/>
      <c r="F19" s="542"/>
      <c r="G19" s="542"/>
    </row>
    <row r="20" spans="1:19">
      <c r="C20" s="542"/>
      <c r="D20" s="542"/>
      <c r="E20" s="542"/>
      <c r="F20" s="542"/>
      <c r="G20" s="542"/>
    </row>
    <row r="21" spans="1:19">
      <c r="C21" s="542"/>
      <c r="D21" s="542"/>
      <c r="E21" s="542"/>
      <c r="F21" s="542"/>
      <c r="G21" s="542"/>
    </row>
    <row r="22" spans="1:19">
      <c r="C22" s="542"/>
      <c r="D22" s="542"/>
      <c r="E22" s="542"/>
      <c r="F22" s="542"/>
      <c r="G22" s="542"/>
    </row>
    <row r="23" spans="1:19">
      <c r="C23" s="542"/>
      <c r="D23" s="542"/>
      <c r="E23" s="542"/>
      <c r="F23" s="542"/>
      <c r="G23" s="542"/>
    </row>
    <row r="24" spans="1:19">
      <c r="C24" s="542"/>
      <c r="D24" s="542"/>
      <c r="E24" s="542"/>
      <c r="F24" s="542"/>
      <c r="G24" s="542"/>
    </row>
    <row r="25" spans="1:19">
      <c r="C25" s="534"/>
      <c r="D25" s="534"/>
      <c r="E25" s="534"/>
      <c r="F25" s="534"/>
      <c r="G25" s="534"/>
    </row>
    <row r="26" spans="1:19" ht="46.5">
      <c r="A26" s="1056" t="s">
        <v>2916</v>
      </c>
      <c r="B26" s="1056"/>
      <c r="C26" s="1056"/>
      <c r="D26" s="1056"/>
      <c r="E26" s="1056"/>
      <c r="F26" s="1056"/>
      <c r="G26" s="1056"/>
      <c r="H26" s="1056"/>
      <c r="I26" s="1056"/>
      <c r="J26" s="1056"/>
      <c r="K26" s="1056"/>
      <c r="L26" s="1056"/>
      <c r="M26" s="1056"/>
      <c r="N26" s="1056"/>
      <c r="O26" s="1056"/>
      <c r="P26" s="1056"/>
      <c r="Q26" s="1056"/>
      <c r="R26" s="1056"/>
      <c r="S26" s="1056"/>
    </row>
    <row r="27" spans="1:19" ht="16.5" customHeight="1">
      <c r="A27" s="533"/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533"/>
    </row>
    <row r="28" spans="1:19" ht="26.25">
      <c r="A28" s="1028" t="s">
        <v>2862</v>
      </c>
      <c r="B28" s="1028"/>
      <c r="C28" s="1028"/>
      <c r="D28" s="1028"/>
      <c r="E28" s="1028"/>
      <c r="F28" s="1028"/>
      <c r="G28" s="1028"/>
      <c r="H28" s="1028"/>
      <c r="I28" s="1028"/>
      <c r="J28" s="1028"/>
      <c r="K28" s="1028"/>
      <c r="L28" s="1028"/>
      <c r="M28" s="1028"/>
      <c r="N28" s="1028"/>
      <c r="O28" s="1028"/>
      <c r="P28" s="1028"/>
      <c r="Q28" s="1028"/>
      <c r="R28" s="1028"/>
      <c r="S28" s="1028"/>
    </row>
    <row r="29" spans="1:19" ht="15.75" thickBot="1">
      <c r="A29" s="1020"/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</row>
    <row r="30" spans="1:19" ht="15.75" customHeight="1" thickBot="1">
      <c r="A30" s="550" t="s">
        <v>1933</v>
      </c>
      <c r="B30" s="1057" t="s">
        <v>2850</v>
      </c>
      <c r="C30" s="1044"/>
      <c r="D30" s="1058"/>
      <c r="E30" s="1057" t="s">
        <v>2851</v>
      </c>
      <c r="F30" s="1044"/>
      <c r="G30" s="1058"/>
      <c r="H30" s="1057" t="s">
        <v>2852</v>
      </c>
      <c r="I30" s="1044"/>
      <c r="J30" s="1058"/>
      <c r="K30" s="1057" t="s">
        <v>2853</v>
      </c>
      <c r="L30" s="1044"/>
      <c r="M30" s="1058"/>
      <c r="N30" s="1043" t="s">
        <v>2854</v>
      </c>
      <c r="O30" s="1044"/>
      <c r="P30" s="1045"/>
      <c r="Q30" s="1048" t="s">
        <v>2917</v>
      </c>
      <c r="R30" s="1048" t="s">
        <v>2914</v>
      </c>
      <c r="S30" s="1046" t="s">
        <v>2849</v>
      </c>
    </row>
    <row r="31" spans="1:19" ht="16.5" thickBot="1">
      <c r="A31" s="551" t="s">
        <v>2185</v>
      </c>
      <c r="B31" s="537">
        <v>44287</v>
      </c>
      <c r="C31" s="538">
        <v>44652</v>
      </c>
      <c r="D31" s="539" t="s">
        <v>2849</v>
      </c>
      <c r="E31" s="537">
        <v>44287</v>
      </c>
      <c r="F31" s="538">
        <v>44652</v>
      </c>
      <c r="G31" s="539" t="s">
        <v>2849</v>
      </c>
      <c r="H31" s="537">
        <v>44287</v>
      </c>
      <c r="I31" s="538">
        <v>44652</v>
      </c>
      <c r="J31" s="539" t="s">
        <v>2849</v>
      </c>
      <c r="K31" s="537">
        <v>44287</v>
      </c>
      <c r="L31" s="538">
        <v>44652</v>
      </c>
      <c r="M31" s="539" t="s">
        <v>2849</v>
      </c>
      <c r="N31" s="537">
        <v>44287</v>
      </c>
      <c r="O31" s="538">
        <v>44652</v>
      </c>
      <c r="P31" s="539" t="s">
        <v>2849</v>
      </c>
      <c r="Q31" s="1049"/>
      <c r="R31" s="1049"/>
      <c r="S31" s="1047"/>
    </row>
    <row r="32" spans="1:19" ht="20.25" customHeight="1">
      <c r="A32" s="552" t="s">
        <v>222</v>
      </c>
      <c r="B32" s="553">
        <v>0</v>
      </c>
      <c r="C32" s="554" t="e">
        <f>Evaluation!#REF!</f>
        <v>#REF!</v>
      </c>
      <c r="D32" s="555" t="e">
        <f>IF(AND(B32=0,C32=0),"",IF(B32=0,"",(C32-B32)/B32))</f>
        <v>#REF!</v>
      </c>
      <c r="E32" s="556">
        <v>0</v>
      </c>
      <c r="F32" s="557" t="e">
        <f>Evaluation!#REF!</f>
        <v>#REF!</v>
      </c>
      <c r="G32" s="558" t="e">
        <f>IF(AND(E32=0,F32=0),"",IF(E32=0,"",(F32-E32)/E32))</f>
        <v>#REF!</v>
      </c>
      <c r="H32" s="556">
        <v>0</v>
      </c>
      <c r="I32" s="557" t="e">
        <f>Evaluation!#REF!</f>
        <v>#REF!</v>
      </c>
      <c r="J32" s="558" t="e">
        <f t="shared" ref="J32:J51" si="0">IF(AND(H32=0,I32=0),"",IF(H32=0,"",(I32-H32)/H32))</f>
        <v>#REF!</v>
      </c>
      <c r="K32" s="556">
        <v>0</v>
      </c>
      <c r="L32" s="559" t="e">
        <f>Evaluation!#REF!</f>
        <v>#REF!</v>
      </c>
      <c r="M32" s="558" t="e">
        <f t="shared" ref="M32:M59" si="1">IF(AND(K32=0,L32=0),"",IF(K32=0,"",(L32-K32)/K32))</f>
        <v>#REF!</v>
      </c>
      <c r="N32" s="556">
        <v>0</v>
      </c>
      <c r="O32" s="557" t="e">
        <f>Evaluation!#REF!</f>
        <v>#REF!</v>
      </c>
      <c r="P32" s="558" t="e">
        <f t="shared" ref="P32:P59" si="2">IF(AND(N32=0,O32=0),"",IF(N32=0,"",(O32-N32)/N32))</f>
        <v>#REF!</v>
      </c>
      <c r="Q32" s="556">
        <f>B32+E32+H32+K32+N32</f>
        <v>0</v>
      </c>
      <c r="R32" s="557" t="e">
        <f>C32+F32+I32+L32+O32</f>
        <v>#REF!</v>
      </c>
      <c r="S32" s="630" t="e">
        <f t="shared" ref="S32:S59" si="3">IF(AND(Q32=0,R32=0),"",IF(Q32=0,"",(R32-Q32)/Q32))</f>
        <v>#REF!</v>
      </c>
    </row>
    <row r="33" spans="1:19" ht="20.25" customHeight="1">
      <c r="A33" s="552" t="s">
        <v>190</v>
      </c>
      <c r="B33" s="560">
        <v>0</v>
      </c>
      <c r="C33" s="559" t="e">
        <f>Evaluation!#REF!</f>
        <v>#REF!</v>
      </c>
      <c r="D33" s="558" t="e">
        <f t="shared" ref="D33:D37" si="4">IF(AND(B33=0,C33=0),"",IF(B33=0,"",(C33-B33)/B33))</f>
        <v>#REF!</v>
      </c>
      <c r="E33" s="560">
        <v>0</v>
      </c>
      <c r="F33" s="559" t="e">
        <f>Evaluation!#REF!</f>
        <v>#REF!</v>
      </c>
      <c r="G33" s="558" t="e">
        <f>IF(AND(E33=0,F33=0),"",IF(E33=0,"",(F33-E33)/E33))</f>
        <v>#REF!</v>
      </c>
      <c r="H33" s="560">
        <v>0</v>
      </c>
      <c r="I33" s="559" t="e">
        <f>Evaluation!#REF!</f>
        <v>#REF!</v>
      </c>
      <c r="J33" s="558" t="e">
        <f t="shared" si="0"/>
        <v>#REF!</v>
      </c>
      <c r="K33" s="560">
        <v>0</v>
      </c>
      <c r="L33" s="559" t="e">
        <f>Evaluation!#REF!</f>
        <v>#REF!</v>
      </c>
      <c r="M33" s="558" t="e">
        <f t="shared" si="1"/>
        <v>#REF!</v>
      </c>
      <c r="N33" s="560">
        <v>0</v>
      </c>
      <c r="O33" s="559" t="e">
        <f>Evaluation!#REF!</f>
        <v>#REF!</v>
      </c>
      <c r="P33" s="558" t="e">
        <f t="shared" si="2"/>
        <v>#REF!</v>
      </c>
      <c r="Q33" s="556">
        <f t="shared" ref="Q33:Q59" si="5">B33+E33+H33+K33+N33</f>
        <v>0</v>
      </c>
      <c r="R33" s="557" t="e">
        <f t="shared" ref="R33:R59" si="6">C33+F33+I33+L33+O33</f>
        <v>#REF!</v>
      </c>
      <c r="S33" s="630" t="e">
        <f t="shared" si="3"/>
        <v>#REF!</v>
      </c>
    </row>
    <row r="34" spans="1:19" ht="20.25" customHeight="1">
      <c r="A34" s="552" t="s">
        <v>191</v>
      </c>
      <c r="B34" s="560">
        <v>0</v>
      </c>
      <c r="C34" s="559" t="e">
        <f>Evaluation!#REF!</f>
        <v>#REF!</v>
      </c>
      <c r="D34" s="558" t="e">
        <f t="shared" si="4"/>
        <v>#REF!</v>
      </c>
      <c r="E34" s="560">
        <v>0</v>
      </c>
      <c r="F34" s="559" t="e">
        <f>Evaluation!#REF!</f>
        <v>#REF!</v>
      </c>
      <c r="G34" s="558" t="e">
        <f t="shared" ref="G34:G59" si="7">IF(AND(E34=0,F34=0),"",IF(E34=0,"",(F34-E34)/E34))</f>
        <v>#REF!</v>
      </c>
      <c r="H34" s="560">
        <v>0</v>
      </c>
      <c r="I34" s="559" t="e">
        <f>Evaluation!#REF!</f>
        <v>#REF!</v>
      </c>
      <c r="J34" s="558" t="e">
        <f t="shared" si="0"/>
        <v>#REF!</v>
      </c>
      <c r="K34" s="560">
        <v>0</v>
      </c>
      <c r="L34" s="559" t="e">
        <f>Evaluation!#REF!</f>
        <v>#REF!</v>
      </c>
      <c r="M34" s="558" t="e">
        <f t="shared" si="1"/>
        <v>#REF!</v>
      </c>
      <c r="N34" s="560">
        <v>0</v>
      </c>
      <c r="O34" s="559" t="e">
        <f>Evaluation!#REF!</f>
        <v>#REF!</v>
      </c>
      <c r="P34" s="558" t="e">
        <f t="shared" si="2"/>
        <v>#REF!</v>
      </c>
      <c r="Q34" s="556">
        <f t="shared" si="5"/>
        <v>0</v>
      </c>
      <c r="R34" s="557" t="e">
        <f t="shared" si="6"/>
        <v>#REF!</v>
      </c>
      <c r="S34" s="630" t="e">
        <f t="shared" si="3"/>
        <v>#REF!</v>
      </c>
    </row>
    <row r="35" spans="1:19" ht="20.25" customHeight="1">
      <c r="A35" s="552" t="s">
        <v>137</v>
      </c>
      <c r="B35" s="560">
        <v>2960857.0909090908</v>
      </c>
      <c r="C35" s="559" t="e">
        <f>Evaluation!#REF!</f>
        <v>#REF!</v>
      </c>
      <c r="D35" s="558" t="e">
        <f t="shared" si="4"/>
        <v>#REF!</v>
      </c>
      <c r="E35" s="560">
        <v>11218012.363636363</v>
      </c>
      <c r="F35" s="559" t="e">
        <f>Evaluation!#REF!</f>
        <v>#REF!</v>
      </c>
      <c r="G35" s="558" t="e">
        <f t="shared" si="7"/>
        <v>#REF!</v>
      </c>
      <c r="H35" s="560">
        <v>33723988</v>
      </c>
      <c r="I35" s="559" t="e">
        <f>Evaluation!#REF!</f>
        <v>#REF!</v>
      </c>
      <c r="J35" s="558" t="e">
        <f t="shared" si="0"/>
        <v>#REF!</v>
      </c>
      <c r="K35" s="560">
        <v>5842200.7272727266</v>
      </c>
      <c r="L35" s="559" t="e">
        <f>Evaluation!#REF!</f>
        <v>#REF!</v>
      </c>
      <c r="M35" s="558" t="e">
        <f t="shared" si="1"/>
        <v>#REF!</v>
      </c>
      <c r="N35" s="560">
        <v>10423152.181818182</v>
      </c>
      <c r="O35" s="559" t="e">
        <f>Evaluation!#REF!</f>
        <v>#REF!</v>
      </c>
      <c r="P35" s="558" t="e">
        <f t="shared" si="2"/>
        <v>#REF!</v>
      </c>
      <c r="Q35" s="556">
        <f t="shared" si="5"/>
        <v>64168210.36363636</v>
      </c>
      <c r="R35" s="562" t="e">
        <f t="shared" si="6"/>
        <v>#REF!</v>
      </c>
      <c r="S35" s="630" t="e">
        <f t="shared" si="3"/>
        <v>#REF!</v>
      </c>
    </row>
    <row r="36" spans="1:19" ht="20.25" customHeight="1">
      <c r="A36" s="552" t="s">
        <v>1997</v>
      </c>
      <c r="B36" s="560">
        <v>0</v>
      </c>
      <c r="C36" s="559" t="e">
        <f>Evaluation!#REF!</f>
        <v>#REF!</v>
      </c>
      <c r="D36" s="558" t="e">
        <f t="shared" si="4"/>
        <v>#REF!</v>
      </c>
      <c r="E36" s="560">
        <v>0</v>
      </c>
      <c r="F36" s="559" t="e">
        <f>Evaluation!#REF!</f>
        <v>#REF!</v>
      </c>
      <c r="G36" s="558" t="e">
        <f t="shared" si="7"/>
        <v>#REF!</v>
      </c>
      <c r="H36" s="560">
        <v>0</v>
      </c>
      <c r="I36" s="559" t="e">
        <f>Evaluation!#REF!</f>
        <v>#REF!</v>
      </c>
      <c r="J36" s="558" t="e">
        <f t="shared" si="0"/>
        <v>#REF!</v>
      </c>
      <c r="K36" s="560">
        <v>0</v>
      </c>
      <c r="L36" s="559" t="e">
        <f>Evaluation!#REF!</f>
        <v>#REF!</v>
      </c>
      <c r="M36" s="558" t="e">
        <f t="shared" si="1"/>
        <v>#REF!</v>
      </c>
      <c r="N36" s="560">
        <v>0</v>
      </c>
      <c r="O36" s="559" t="e">
        <f>Evaluation!#REF!</f>
        <v>#REF!</v>
      </c>
      <c r="P36" s="558" t="e">
        <f t="shared" si="2"/>
        <v>#REF!</v>
      </c>
      <c r="Q36" s="556">
        <f t="shared" si="5"/>
        <v>0</v>
      </c>
      <c r="R36" s="557" t="e">
        <f t="shared" si="6"/>
        <v>#REF!</v>
      </c>
      <c r="S36" s="630" t="e">
        <f t="shared" si="3"/>
        <v>#REF!</v>
      </c>
    </row>
    <row r="37" spans="1:19" ht="20.25" customHeight="1">
      <c r="A37" s="552" t="s">
        <v>141</v>
      </c>
      <c r="B37" s="560">
        <v>1669317.8181818181</v>
      </c>
      <c r="C37" s="559" t="e">
        <f>Evaluation!#REF!</f>
        <v>#REF!</v>
      </c>
      <c r="D37" s="558" t="e">
        <f t="shared" si="4"/>
        <v>#REF!</v>
      </c>
      <c r="E37" s="560">
        <v>4064280.1818181816</v>
      </c>
      <c r="F37" s="559" t="e">
        <f>Evaluation!#REF!</f>
        <v>#REF!</v>
      </c>
      <c r="G37" s="558" t="e">
        <f t="shared" si="7"/>
        <v>#REF!</v>
      </c>
      <c r="H37" s="560">
        <v>156273</v>
      </c>
      <c r="I37" s="559" t="e">
        <f>Evaluation!#REF!</f>
        <v>#REF!</v>
      </c>
      <c r="J37" s="558" t="e">
        <f t="shared" si="0"/>
        <v>#REF!</v>
      </c>
      <c r="K37" s="560">
        <v>2574945</v>
      </c>
      <c r="L37" s="559" t="e">
        <f>Evaluation!#REF!</f>
        <v>#REF!</v>
      </c>
      <c r="M37" s="558" t="e">
        <f t="shared" si="1"/>
        <v>#REF!</v>
      </c>
      <c r="N37" s="560">
        <v>933110</v>
      </c>
      <c r="O37" s="559" t="e">
        <f>Evaluation!#REF!</f>
        <v>#REF!</v>
      </c>
      <c r="P37" s="558" t="e">
        <f t="shared" si="2"/>
        <v>#REF!</v>
      </c>
      <c r="Q37" s="556">
        <f t="shared" si="5"/>
        <v>9397926</v>
      </c>
      <c r="R37" s="557" t="e">
        <f t="shared" si="6"/>
        <v>#REF!</v>
      </c>
      <c r="S37" s="630" t="e">
        <f t="shared" si="3"/>
        <v>#REF!</v>
      </c>
    </row>
    <row r="38" spans="1:19" ht="20.25" customHeight="1">
      <c r="A38" s="552" t="s">
        <v>291</v>
      </c>
      <c r="B38" s="560">
        <v>0</v>
      </c>
      <c r="C38" s="559" t="e">
        <f>Evaluation!#REF!</f>
        <v>#REF!</v>
      </c>
      <c r="D38" s="558" t="e">
        <f>IF(AND(B38=0,C38=0),"",IF(B38=0,"",(C38-B38)/B38))</f>
        <v>#REF!</v>
      </c>
      <c r="E38" s="560">
        <v>0</v>
      </c>
      <c r="F38" s="559" t="e">
        <f>Evaluation!#REF!</f>
        <v>#REF!</v>
      </c>
      <c r="G38" s="558" t="e">
        <f t="shared" si="7"/>
        <v>#REF!</v>
      </c>
      <c r="H38" s="560">
        <v>997880</v>
      </c>
      <c r="I38" s="559" t="e">
        <f>Evaluation!#REF!</f>
        <v>#REF!</v>
      </c>
      <c r="J38" s="558" t="e">
        <f t="shared" si="0"/>
        <v>#REF!</v>
      </c>
      <c r="K38" s="560">
        <v>2500</v>
      </c>
      <c r="L38" s="559" t="e">
        <f>Evaluation!#REF!</f>
        <v>#REF!</v>
      </c>
      <c r="M38" s="558" t="e">
        <f t="shared" si="1"/>
        <v>#REF!</v>
      </c>
      <c r="N38" s="560">
        <v>0</v>
      </c>
      <c r="O38" s="559" t="e">
        <f>Evaluation!#REF!</f>
        <v>#REF!</v>
      </c>
      <c r="P38" s="558" t="e">
        <f t="shared" si="2"/>
        <v>#REF!</v>
      </c>
      <c r="Q38" s="556">
        <f t="shared" si="5"/>
        <v>1000380</v>
      </c>
      <c r="R38" s="557" t="e">
        <f t="shared" si="6"/>
        <v>#REF!</v>
      </c>
      <c r="S38" s="630" t="e">
        <f t="shared" si="3"/>
        <v>#REF!</v>
      </c>
    </row>
    <row r="39" spans="1:19" ht="20.25" customHeight="1">
      <c r="A39" s="552" t="s">
        <v>2186</v>
      </c>
      <c r="B39" s="560">
        <v>15505358.18181818</v>
      </c>
      <c r="C39" s="559" t="e">
        <f>Evaluation!#REF!</f>
        <v>#REF!</v>
      </c>
      <c r="D39" s="558" t="e">
        <f>IF(AND(B39=0,C39=0),"",IF(B39=0,"",(C39-B39)/B39))</f>
        <v>#REF!</v>
      </c>
      <c r="E39" s="560">
        <v>10937710</v>
      </c>
      <c r="F39" s="559" t="e">
        <f>Evaluation!#REF!</f>
        <v>#REF!</v>
      </c>
      <c r="G39" s="558" t="e">
        <f t="shared" si="7"/>
        <v>#REF!</v>
      </c>
      <c r="H39" s="560">
        <v>24545.454545454544</v>
      </c>
      <c r="I39" s="559" t="e">
        <f>Evaluation!#REF!</f>
        <v>#REF!</v>
      </c>
      <c r="J39" s="558" t="e">
        <f t="shared" si="0"/>
        <v>#REF!</v>
      </c>
      <c r="K39" s="560">
        <v>5044507.2727272725</v>
      </c>
      <c r="L39" s="559" t="e">
        <f>Evaluation!#REF!</f>
        <v>#REF!</v>
      </c>
      <c r="M39" s="558" t="e">
        <f t="shared" si="1"/>
        <v>#REF!</v>
      </c>
      <c r="N39" s="560">
        <v>28742.727272727272</v>
      </c>
      <c r="O39" s="559" t="e">
        <f>Evaluation!#REF!</f>
        <v>#REF!</v>
      </c>
      <c r="P39" s="558" t="e">
        <f t="shared" si="2"/>
        <v>#REF!</v>
      </c>
      <c r="Q39" s="556">
        <f t="shared" si="5"/>
        <v>31540863.636363633</v>
      </c>
      <c r="R39" s="557" t="e">
        <f t="shared" si="6"/>
        <v>#REF!</v>
      </c>
      <c r="S39" s="630" t="e">
        <f t="shared" si="3"/>
        <v>#REF!</v>
      </c>
    </row>
    <row r="40" spans="1:19" ht="20.25" customHeight="1">
      <c r="A40" s="552" t="s">
        <v>182</v>
      </c>
      <c r="B40" s="560">
        <v>0</v>
      </c>
      <c r="C40" s="559" t="e">
        <f>Evaluation!#REF!</f>
        <v>#REF!</v>
      </c>
      <c r="D40" s="558" t="e">
        <f t="shared" ref="D40:D42" si="8">IF(AND(B40=0,C40=0),"",IF(B40=0,"",(C40-B40)/B40))</f>
        <v>#REF!</v>
      </c>
      <c r="E40" s="560">
        <v>74364</v>
      </c>
      <c r="F40" s="559" t="e">
        <f>Evaluation!#REF!</f>
        <v>#REF!</v>
      </c>
      <c r="G40" s="558" t="e">
        <f t="shared" si="7"/>
        <v>#REF!</v>
      </c>
      <c r="H40" s="560">
        <v>0</v>
      </c>
      <c r="I40" s="559" t="e">
        <f>Evaluation!#REF!</f>
        <v>#REF!</v>
      </c>
      <c r="J40" s="558" t="e">
        <f t="shared" si="0"/>
        <v>#REF!</v>
      </c>
      <c r="K40" s="560">
        <v>0</v>
      </c>
      <c r="L40" s="559" t="e">
        <f>Evaluation!#REF!</f>
        <v>#REF!</v>
      </c>
      <c r="M40" s="558" t="e">
        <f t="shared" si="1"/>
        <v>#REF!</v>
      </c>
      <c r="N40" s="560">
        <v>1885299</v>
      </c>
      <c r="O40" s="559" t="e">
        <f>Evaluation!#REF!</f>
        <v>#REF!</v>
      </c>
      <c r="P40" s="558" t="e">
        <f t="shared" si="2"/>
        <v>#REF!</v>
      </c>
      <c r="Q40" s="556">
        <f t="shared" si="5"/>
        <v>1959663</v>
      </c>
      <c r="R40" s="562" t="e">
        <f t="shared" si="6"/>
        <v>#REF!</v>
      </c>
      <c r="S40" s="630" t="e">
        <f t="shared" si="3"/>
        <v>#REF!</v>
      </c>
    </row>
    <row r="41" spans="1:19" ht="20.25" customHeight="1">
      <c r="A41" s="552" t="s">
        <v>181</v>
      </c>
      <c r="B41" s="560">
        <v>129600</v>
      </c>
      <c r="C41" s="559" t="e">
        <f>Evaluation!#REF!</f>
        <v>#REF!</v>
      </c>
      <c r="D41" s="558" t="e">
        <f t="shared" si="8"/>
        <v>#REF!</v>
      </c>
      <c r="E41" s="560">
        <v>175319</v>
      </c>
      <c r="F41" s="559" t="e">
        <f>Evaluation!#REF!</f>
        <v>#REF!</v>
      </c>
      <c r="G41" s="558" t="e">
        <f t="shared" si="7"/>
        <v>#REF!</v>
      </c>
      <c r="H41" s="560">
        <v>5208115</v>
      </c>
      <c r="I41" s="559" t="e">
        <f>Evaluation!#REF!</f>
        <v>#REF!</v>
      </c>
      <c r="J41" s="558" t="e">
        <f t="shared" si="0"/>
        <v>#REF!</v>
      </c>
      <c r="K41" s="560">
        <v>500884.18181818182</v>
      </c>
      <c r="L41" s="559" t="e">
        <f>Evaluation!#REF!</f>
        <v>#REF!</v>
      </c>
      <c r="M41" s="558" t="e">
        <f t="shared" si="1"/>
        <v>#REF!</v>
      </c>
      <c r="N41" s="560">
        <v>507063</v>
      </c>
      <c r="O41" s="559" t="e">
        <f>Evaluation!#REF!</f>
        <v>#REF!</v>
      </c>
      <c r="P41" s="558" t="e">
        <f t="shared" si="2"/>
        <v>#REF!</v>
      </c>
      <c r="Q41" s="556">
        <f t="shared" si="5"/>
        <v>6520981.1818181816</v>
      </c>
      <c r="R41" s="562" t="e">
        <f t="shared" si="6"/>
        <v>#REF!</v>
      </c>
      <c r="S41" s="630" t="e">
        <f t="shared" si="3"/>
        <v>#REF!</v>
      </c>
    </row>
    <row r="42" spans="1:19" ht="20.25" customHeight="1">
      <c r="A42" s="552" t="s">
        <v>129</v>
      </c>
      <c r="B42" s="560">
        <v>840443</v>
      </c>
      <c r="C42" s="559" t="e">
        <f>Evaluation!#REF!</f>
        <v>#REF!</v>
      </c>
      <c r="D42" s="558" t="e">
        <f t="shared" si="8"/>
        <v>#REF!</v>
      </c>
      <c r="E42" s="560">
        <v>936863</v>
      </c>
      <c r="F42" s="559" t="e">
        <f>Evaluation!#REF!</f>
        <v>#REF!</v>
      </c>
      <c r="G42" s="558" t="e">
        <f t="shared" si="7"/>
        <v>#REF!</v>
      </c>
      <c r="H42" s="560">
        <v>4216461.5454545449</v>
      </c>
      <c r="I42" s="559" t="e">
        <f>Evaluation!#REF!</f>
        <v>#REF!</v>
      </c>
      <c r="J42" s="558" t="e">
        <f t="shared" si="0"/>
        <v>#REF!</v>
      </c>
      <c r="K42" s="560">
        <v>1759113.8181818181</v>
      </c>
      <c r="L42" s="559" t="e">
        <f>Evaluation!#REF!</f>
        <v>#REF!</v>
      </c>
      <c r="M42" s="558" t="e">
        <f t="shared" si="1"/>
        <v>#REF!</v>
      </c>
      <c r="N42" s="560">
        <v>5989266.9090909092</v>
      </c>
      <c r="O42" s="559" t="e">
        <f>Evaluation!#REF!</f>
        <v>#REF!</v>
      </c>
      <c r="P42" s="558" t="e">
        <f t="shared" si="2"/>
        <v>#REF!</v>
      </c>
      <c r="Q42" s="556">
        <f t="shared" si="5"/>
        <v>13742148.272727273</v>
      </c>
      <c r="R42" s="562" t="e">
        <f t="shared" si="6"/>
        <v>#REF!</v>
      </c>
      <c r="S42" s="630" t="e">
        <f t="shared" si="3"/>
        <v>#REF!</v>
      </c>
    </row>
    <row r="43" spans="1:19" ht="20.25" customHeight="1">
      <c r="A43" s="552" t="s">
        <v>179</v>
      </c>
      <c r="B43" s="560">
        <v>0</v>
      </c>
      <c r="C43" s="559" t="e">
        <f>Evaluation!#REF!</f>
        <v>#REF!</v>
      </c>
      <c r="D43" s="558" t="e">
        <f>IF(AND(B43=0,C43=0),"",IF(B43=0,"",(C43-B43)/B43))</f>
        <v>#REF!</v>
      </c>
      <c r="E43" s="560">
        <v>0</v>
      </c>
      <c r="F43" s="559" t="e">
        <f>Evaluation!#REF!</f>
        <v>#REF!</v>
      </c>
      <c r="G43" s="558" t="e">
        <f t="shared" si="7"/>
        <v>#REF!</v>
      </c>
      <c r="H43" s="560">
        <v>0</v>
      </c>
      <c r="I43" s="559" t="e">
        <f>Evaluation!#REF!</f>
        <v>#REF!</v>
      </c>
      <c r="J43" s="558" t="e">
        <f t="shared" si="0"/>
        <v>#REF!</v>
      </c>
      <c r="K43" s="560">
        <v>10212</v>
      </c>
      <c r="L43" s="559" t="e">
        <f>Evaluation!#REF!</f>
        <v>#REF!</v>
      </c>
      <c r="M43" s="558" t="e">
        <f t="shared" si="1"/>
        <v>#REF!</v>
      </c>
      <c r="N43" s="560">
        <v>340559.09090909088</v>
      </c>
      <c r="O43" s="559" t="e">
        <f>Evaluation!#REF!</f>
        <v>#REF!</v>
      </c>
      <c r="P43" s="558" t="e">
        <f t="shared" si="2"/>
        <v>#REF!</v>
      </c>
      <c r="Q43" s="556">
        <f t="shared" si="5"/>
        <v>350771.09090909088</v>
      </c>
      <c r="R43" s="557" t="e">
        <f t="shared" si="6"/>
        <v>#REF!</v>
      </c>
      <c r="S43" s="630" t="e">
        <f t="shared" si="3"/>
        <v>#REF!</v>
      </c>
    </row>
    <row r="44" spans="1:19" ht="20.25" customHeight="1">
      <c r="A44" s="552" t="s">
        <v>180</v>
      </c>
      <c r="B44" s="560">
        <v>0</v>
      </c>
      <c r="C44" s="559" t="e">
        <f>Evaluation!#REF!</f>
        <v>#REF!</v>
      </c>
      <c r="D44" s="558" t="e">
        <f t="shared" ref="D44:D48" si="9">IF(AND(B44=0,C44=0),"",IF(B44=0,"",(C44-B44)/B44))</f>
        <v>#REF!</v>
      </c>
      <c r="E44" s="560">
        <v>0</v>
      </c>
      <c r="F44" s="559" t="e">
        <f>Evaluation!#REF!</f>
        <v>#REF!</v>
      </c>
      <c r="G44" s="558" t="e">
        <f t="shared" si="7"/>
        <v>#REF!</v>
      </c>
      <c r="H44" s="560">
        <v>0</v>
      </c>
      <c r="I44" s="559" t="e">
        <f>Evaluation!#REF!</f>
        <v>#REF!</v>
      </c>
      <c r="J44" s="558" t="e">
        <f t="shared" si="0"/>
        <v>#REF!</v>
      </c>
      <c r="K44" s="560">
        <v>0</v>
      </c>
      <c r="L44" s="559" t="e">
        <f>Evaluation!#REF!</f>
        <v>#REF!</v>
      </c>
      <c r="M44" s="558" t="e">
        <f t="shared" si="1"/>
        <v>#REF!</v>
      </c>
      <c r="N44" s="560">
        <v>0</v>
      </c>
      <c r="O44" s="559" t="e">
        <f>Evaluation!#REF!</f>
        <v>#REF!</v>
      </c>
      <c r="P44" s="558" t="e">
        <f t="shared" si="2"/>
        <v>#REF!</v>
      </c>
      <c r="Q44" s="556">
        <f t="shared" si="5"/>
        <v>0</v>
      </c>
      <c r="R44" s="557" t="e">
        <f t="shared" si="6"/>
        <v>#REF!</v>
      </c>
      <c r="S44" s="630" t="e">
        <f t="shared" si="3"/>
        <v>#REF!</v>
      </c>
    </row>
    <row r="45" spans="1:19" ht="20.25" customHeight="1">
      <c r="A45" s="552" t="s">
        <v>1589</v>
      </c>
      <c r="B45" s="560">
        <v>0</v>
      </c>
      <c r="C45" s="559" t="e">
        <f>Evaluation!#REF!</f>
        <v>#REF!</v>
      </c>
      <c r="D45" s="558" t="e">
        <f t="shared" si="9"/>
        <v>#REF!</v>
      </c>
      <c r="E45" s="560">
        <v>2052478.1818181816</v>
      </c>
      <c r="F45" s="559" t="e">
        <f>Evaluation!#REF!</f>
        <v>#REF!</v>
      </c>
      <c r="G45" s="558" t="e">
        <f t="shared" si="7"/>
        <v>#REF!</v>
      </c>
      <c r="H45" s="560">
        <v>0</v>
      </c>
      <c r="I45" s="559" t="e">
        <f>Evaluation!#REF!</f>
        <v>#REF!</v>
      </c>
      <c r="J45" s="558" t="e">
        <f t="shared" si="0"/>
        <v>#REF!</v>
      </c>
      <c r="K45" s="560">
        <v>214127.27272727271</v>
      </c>
      <c r="L45" s="559" t="e">
        <f>Evaluation!#REF!</f>
        <v>#REF!</v>
      </c>
      <c r="M45" s="558" t="e">
        <f t="shared" si="1"/>
        <v>#REF!</v>
      </c>
      <c r="N45" s="560">
        <v>355678.27272727271</v>
      </c>
      <c r="O45" s="559" t="e">
        <f>Evaluation!#REF!</f>
        <v>#REF!</v>
      </c>
      <c r="P45" s="558" t="e">
        <f t="shared" si="2"/>
        <v>#REF!</v>
      </c>
      <c r="Q45" s="556">
        <f t="shared" si="5"/>
        <v>2622283.7272727266</v>
      </c>
      <c r="R45" s="557" t="e">
        <f t="shared" si="6"/>
        <v>#REF!</v>
      </c>
      <c r="S45" s="630" t="e">
        <f t="shared" si="3"/>
        <v>#REF!</v>
      </c>
    </row>
    <row r="46" spans="1:19" ht="20.25" customHeight="1">
      <c r="A46" s="552" t="s">
        <v>2126</v>
      </c>
      <c r="B46" s="560">
        <v>0</v>
      </c>
      <c r="C46" s="559" t="e">
        <f>Evaluation!#REF!</f>
        <v>#REF!</v>
      </c>
      <c r="D46" s="558" t="e">
        <f t="shared" si="9"/>
        <v>#REF!</v>
      </c>
      <c r="E46" s="560">
        <v>42750</v>
      </c>
      <c r="F46" s="559" t="e">
        <f>Evaluation!#REF!</f>
        <v>#REF!</v>
      </c>
      <c r="G46" s="558" t="e">
        <f t="shared" si="7"/>
        <v>#REF!</v>
      </c>
      <c r="H46" s="560">
        <v>0</v>
      </c>
      <c r="I46" s="559" t="e">
        <f>Evaluation!#REF!</f>
        <v>#REF!</v>
      </c>
      <c r="J46" s="558" t="e">
        <f t="shared" si="0"/>
        <v>#REF!</v>
      </c>
      <c r="K46" s="560">
        <v>0</v>
      </c>
      <c r="L46" s="559" t="e">
        <f>Evaluation!#REF!</f>
        <v>#REF!</v>
      </c>
      <c r="M46" s="558" t="e">
        <f t="shared" si="1"/>
        <v>#REF!</v>
      </c>
      <c r="N46" s="560">
        <v>0</v>
      </c>
      <c r="O46" s="559" t="e">
        <f>Evaluation!#REF!</f>
        <v>#REF!</v>
      </c>
      <c r="P46" s="558" t="e">
        <f t="shared" si="2"/>
        <v>#REF!</v>
      </c>
      <c r="Q46" s="556">
        <f t="shared" si="5"/>
        <v>42750</v>
      </c>
      <c r="R46" s="557" t="e">
        <f t="shared" si="6"/>
        <v>#REF!</v>
      </c>
      <c r="S46" s="630" t="e">
        <f t="shared" si="3"/>
        <v>#REF!</v>
      </c>
    </row>
    <row r="47" spans="1:19" ht="20.25" customHeight="1">
      <c r="A47" s="552" t="s">
        <v>134</v>
      </c>
      <c r="B47" s="560">
        <v>698871</v>
      </c>
      <c r="C47" s="559" t="e">
        <f>Evaluation!#REF!</f>
        <v>#REF!</v>
      </c>
      <c r="D47" s="558" t="e">
        <f t="shared" si="9"/>
        <v>#REF!</v>
      </c>
      <c r="E47" s="560">
        <v>12603602</v>
      </c>
      <c r="F47" s="559" t="e">
        <f>Evaluation!#REF!</f>
        <v>#REF!</v>
      </c>
      <c r="G47" s="558" t="e">
        <f t="shared" si="7"/>
        <v>#REF!</v>
      </c>
      <c r="H47" s="560">
        <v>0</v>
      </c>
      <c r="I47" s="559" t="e">
        <f>Evaluation!#REF!</f>
        <v>#REF!</v>
      </c>
      <c r="J47" s="558" t="e">
        <f t="shared" si="0"/>
        <v>#REF!</v>
      </c>
      <c r="K47" s="560">
        <v>488274</v>
      </c>
      <c r="L47" s="559" t="e">
        <f>Evaluation!#REF!</f>
        <v>#REF!</v>
      </c>
      <c r="M47" s="558" t="e">
        <f t="shared" si="1"/>
        <v>#REF!</v>
      </c>
      <c r="N47" s="560">
        <v>0</v>
      </c>
      <c r="O47" s="559" t="e">
        <f>Evaluation!#REF!</f>
        <v>#REF!</v>
      </c>
      <c r="P47" s="558" t="e">
        <f t="shared" si="2"/>
        <v>#REF!</v>
      </c>
      <c r="Q47" s="556">
        <f t="shared" si="5"/>
        <v>13790747</v>
      </c>
      <c r="R47" s="557" t="e">
        <f t="shared" si="6"/>
        <v>#REF!</v>
      </c>
      <c r="S47" s="630" t="e">
        <f t="shared" si="3"/>
        <v>#REF!</v>
      </c>
    </row>
    <row r="48" spans="1:19" ht="20.25" customHeight="1">
      <c r="A48" s="552" t="s">
        <v>136</v>
      </c>
      <c r="B48" s="560">
        <v>45000</v>
      </c>
      <c r="C48" s="559" t="e">
        <f>Evaluation!#REF!</f>
        <v>#REF!</v>
      </c>
      <c r="D48" s="558" t="e">
        <f t="shared" si="9"/>
        <v>#REF!</v>
      </c>
      <c r="E48" s="560">
        <v>1025134</v>
      </c>
      <c r="F48" s="559" t="e">
        <f>Evaluation!#REF!</f>
        <v>#REF!</v>
      </c>
      <c r="G48" s="558" t="e">
        <f t="shared" si="7"/>
        <v>#REF!</v>
      </c>
      <c r="H48" s="560">
        <v>259500</v>
      </c>
      <c r="I48" s="559" t="e">
        <f>Evaluation!#REF!</f>
        <v>#REF!</v>
      </c>
      <c r="J48" s="558" t="e">
        <f t="shared" si="0"/>
        <v>#REF!</v>
      </c>
      <c r="K48" s="560">
        <v>0</v>
      </c>
      <c r="L48" s="559" t="e">
        <f>Evaluation!#REF!</f>
        <v>#REF!</v>
      </c>
      <c r="M48" s="558" t="e">
        <f t="shared" si="1"/>
        <v>#REF!</v>
      </c>
      <c r="N48" s="560">
        <v>46800</v>
      </c>
      <c r="O48" s="559" t="e">
        <f>Evaluation!#REF!</f>
        <v>#REF!</v>
      </c>
      <c r="P48" s="558" t="e">
        <f t="shared" si="2"/>
        <v>#REF!</v>
      </c>
      <c r="Q48" s="556">
        <f t="shared" si="5"/>
        <v>1376434</v>
      </c>
      <c r="R48" s="557" t="e">
        <f t="shared" si="6"/>
        <v>#REF!</v>
      </c>
      <c r="S48" s="630" t="e">
        <f t="shared" si="3"/>
        <v>#REF!</v>
      </c>
    </row>
    <row r="49" spans="1:19" ht="20.25" customHeight="1">
      <c r="A49" s="552" t="s">
        <v>145</v>
      </c>
      <c r="B49" s="560">
        <v>0</v>
      </c>
      <c r="C49" s="559" t="e">
        <f>Evaluation!#REF!</f>
        <v>#REF!</v>
      </c>
      <c r="D49" s="558" t="e">
        <f>IF(AND(B49=0,C49=0),"",IF(B49=0,"",(C49-B49)/B49))</f>
        <v>#REF!</v>
      </c>
      <c r="E49" s="560">
        <v>0</v>
      </c>
      <c r="F49" s="559" t="e">
        <f>Evaluation!#REF!</f>
        <v>#REF!</v>
      </c>
      <c r="G49" s="558" t="e">
        <f t="shared" si="7"/>
        <v>#REF!</v>
      </c>
      <c r="H49" s="560">
        <v>0</v>
      </c>
      <c r="I49" s="559" t="e">
        <f>Evaluation!#REF!</f>
        <v>#REF!</v>
      </c>
      <c r="J49" s="558" t="e">
        <f t="shared" si="0"/>
        <v>#REF!</v>
      </c>
      <c r="K49" s="560">
        <v>35650000</v>
      </c>
      <c r="L49" s="559" t="e">
        <f>Evaluation!#REF!</f>
        <v>#REF!</v>
      </c>
      <c r="M49" s="558" t="e">
        <f t="shared" si="1"/>
        <v>#REF!</v>
      </c>
      <c r="N49" s="560">
        <v>0</v>
      </c>
      <c r="O49" s="559" t="e">
        <f>Evaluation!#REF!</f>
        <v>#REF!</v>
      </c>
      <c r="P49" s="558" t="e">
        <f t="shared" si="2"/>
        <v>#REF!</v>
      </c>
      <c r="Q49" s="556">
        <f t="shared" si="5"/>
        <v>35650000</v>
      </c>
      <c r="R49" s="557" t="e">
        <f t="shared" si="6"/>
        <v>#REF!</v>
      </c>
      <c r="S49" s="630" t="e">
        <f t="shared" si="3"/>
        <v>#REF!</v>
      </c>
    </row>
    <row r="50" spans="1:19" ht="20.25" customHeight="1">
      <c r="A50" s="552" t="s">
        <v>146</v>
      </c>
      <c r="B50" s="560">
        <v>0</v>
      </c>
      <c r="C50" s="559" t="e">
        <f>Evaluation!#REF!</f>
        <v>#REF!</v>
      </c>
      <c r="D50" s="558" t="e">
        <f>IF(AND(B50=0,C50=0),"",IF(B50=0,"",(C50-B50)/B50))</f>
        <v>#REF!</v>
      </c>
      <c r="E50" s="560">
        <v>0</v>
      </c>
      <c r="F50" s="559" t="e">
        <f>Evaluation!#REF!</f>
        <v>#REF!</v>
      </c>
      <c r="G50" s="558" t="e">
        <f t="shared" si="7"/>
        <v>#REF!</v>
      </c>
      <c r="H50" s="560">
        <v>0</v>
      </c>
      <c r="I50" s="559" t="e">
        <f>Evaluation!#REF!</f>
        <v>#REF!</v>
      </c>
      <c r="J50" s="558" t="e">
        <f t="shared" si="0"/>
        <v>#REF!</v>
      </c>
      <c r="K50" s="560">
        <v>250000</v>
      </c>
      <c r="L50" s="559" t="e">
        <f>Evaluation!#REF!</f>
        <v>#REF!</v>
      </c>
      <c r="M50" s="558" t="e">
        <f t="shared" si="1"/>
        <v>#REF!</v>
      </c>
      <c r="N50" s="560">
        <v>0</v>
      </c>
      <c r="O50" s="559" t="e">
        <f>Evaluation!#REF!</f>
        <v>#REF!</v>
      </c>
      <c r="P50" s="558" t="e">
        <f t="shared" si="2"/>
        <v>#REF!</v>
      </c>
      <c r="Q50" s="556">
        <f t="shared" si="5"/>
        <v>250000</v>
      </c>
      <c r="R50" s="557" t="e">
        <f t="shared" si="6"/>
        <v>#REF!</v>
      </c>
      <c r="S50" s="630" t="e">
        <f t="shared" si="3"/>
        <v>#REF!</v>
      </c>
    </row>
    <row r="51" spans="1:19" ht="20.25" customHeight="1">
      <c r="A51" s="552" t="s">
        <v>147</v>
      </c>
      <c r="B51" s="560">
        <v>0</v>
      </c>
      <c r="C51" s="559" t="e">
        <f>Evaluation!#REF!</f>
        <v>#REF!</v>
      </c>
      <c r="D51" s="558" t="e">
        <f t="shared" ref="D51:D59" si="10">IF(AND(B51=0,C51=0),"",IF(B51=0,"",(C51-B51)/B51))</f>
        <v>#REF!</v>
      </c>
      <c r="E51" s="560">
        <v>0</v>
      </c>
      <c r="F51" s="559" t="e">
        <f>Evaluation!#REF!</f>
        <v>#REF!</v>
      </c>
      <c r="G51" s="558" t="e">
        <f t="shared" si="7"/>
        <v>#REF!</v>
      </c>
      <c r="H51" s="560">
        <v>0</v>
      </c>
      <c r="I51" s="559" t="e">
        <f>Evaluation!#REF!</f>
        <v>#REF!</v>
      </c>
      <c r="J51" s="558" t="e">
        <f t="shared" si="0"/>
        <v>#REF!</v>
      </c>
      <c r="K51" s="560">
        <v>1329724.5</v>
      </c>
      <c r="L51" s="559" t="e">
        <f>Evaluation!#REF!</f>
        <v>#REF!</v>
      </c>
      <c r="M51" s="558" t="e">
        <f t="shared" si="1"/>
        <v>#REF!</v>
      </c>
      <c r="N51" s="560">
        <v>0</v>
      </c>
      <c r="O51" s="559" t="e">
        <f>Evaluation!#REF!</f>
        <v>#REF!</v>
      </c>
      <c r="P51" s="558" t="e">
        <f t="shared" si="2"/>
        <v>#REF!</v>
      </c>
      <c r="Q51" s="556">
        <f t="shared" si="5"/>
        <v>1329724.5</v>
      </c>
      <c r="R51" s="557" t="e">
        <f t="shared" si="6"/>
        <v>#REF!</v>
      </c>
      <c r="S51" s="630" t="e">
        <f t="shared" si="3"/>
        <v>#REF!</v>
      </c>
    </row>
    <row r="52" spans="1:19" ht="20.25" customHeight="1">
      <c r="A52" s="552" t="s">
        <v>151</v>
      </c>
      <c r="B52" s="560">
        <v>0</v>
      </c>
      <c r="C52" s="559" t="e">
        <f>Evaluation!#REF!</f>
        <v>#REF!</v>
      </c>
      <c r="D52" s="558" t="e">
        <f t="shared" si="10"/>
        <v>#REF!</v>
      </c>
      <c r="E52" s="560">
        <v>0</v>
      </c>
      <c r="F52" s="559" t="e">
        <f>Evaluation!#REF!</f>
        <v>#REF!</v>
      </c>
      <c r="G52" s="558" t="e">
        <f t="shared" si="7"/>
        <v>#REF!</v>
      </c>
      <c r="H52" s="560">
        <v>0</v>
      </c>
      <c r="I52" s="559" t="e">
        <f>Evaluation!#REF!</f>
        <v>#REF!</v>
      </c>
      <c r="J52" s="558" t="e">
        <f t="shared" ref="J52:J58" si="11">IF(AND(H52=0,I52=0),"",IF(H52=0,"",(I52-H52)/H52))</f>
        <v>#REF!</v>
      </c>
      <c r="K52" s="560">
        <v>73271697</v>
      </c>
      <c r="L52" s="559" t="e">
        <f>Evaluation!#REF!</f>
        <v>#REF!</v>
      </c>
      <c r="M52" s="558" t="e">
        <f>IF(AND(K52=0,L52=0),"",IF(K52=0,"",(L52-K52)/K52))</f>
        <v>#REF!</v>
      </c>
      <c r="N52" s="560">
        <v>0</v>
      </c>
      <c r="O52" s="559" t="e">
        <f>Evaluation!#REF!</f>
        <v>#REF!</v>
      </c>
      <c r="P52" s="558" t="e">
        <f t="shared" si="2"/>
        <v>#REF!</v>
      </c>
      <c r="Q52" s="556">
        <f t="shared" si="5"/>
        <v>73271697</v>
      </c>
      <c r="R52" s="562" t="e">
        <f t="shared" si="6"/>
        <v>#REF!</v>
      </c>
      <c r="S52" s="630" t="e">
        <f t="shared" si="3"/>
        <v>#REF!</v>
      </c>
    </row>
    <row r="53" spans="1:19" ht="20.25" customHeight="1">
      <c r="A53" s="552" t="s">
        <v>152</v>
      </c>
      <c r="B53" s="560">
        <v>0</v>
      </c>
      <c r="C53" s="559" t="e">
        <f>Evaluation!#REF!</f>
        <v>#REF!</v>
      </c>
      <c r="D53" s="558" t="e">
        <f t="shared" si="10"/>
        <v>#REF!</v>
      </c>
      <c r="E53" s="560">
        <v>0</v>
      </c>
      <c r="F53" s="559" t="e">
        <f>Evaluation!#REF!</f>
        <v>#REF!</v>
      </c>
      <c r="G53" s="558" t="e">
        <f t="shared" si="7"/>
        <v>#REF!</v>
      </c>
      <c r="H53" s="560">
        <v>0</v>
      </c>
      <c r="I53" s="559" t="e">
        <f>Evaluation!#REF!</f>
        <v>#REF!</v>
      </c>
      <c r="J53" s="558" t="e">
        <f t="shared" si="11"/>
        <v>#REF!</v>
      </c>
      <c r="K53" s="560">
        <v>0</v>
      </c>
      <c r="L53" s="559" t="e">
        <f>Evaluation!#REF!</f>
        <v>#REF!</v>
      </c>
      <c r="M53" s="558" t="e">
        <f t="shared" si="1"/>
        <v>#REF!</v>
      </c>
      <c r="N53" s="560">
        <v>0</v>
      </c>
      <c r="O53" s="559" t="e">
        <f>Evaluation!#REF!</f>
        <v>#REF!</v>
      </c>
      <c r="P53" s="558" t="e">
        <f t="shared" si="2"/>
        <v>#REF!</v>
      </c>
      <c r="Q53" s="556">
        <f t="shared" si="5"/>
        <v>0</v>
      </c>
      <c r="R53" s="557" t="e">
        <f t="shared" si="6"/>
        <v>#REF!</v>
      </c>
      <c r="S53" s="630" t="e">
        <f t="shared" si="3"/>
        <v>#REF!</v>
      </c>
    </row>
    <row r="54" spans="1:19" ht="20.25" customHeight="1">
      <c r="A54" s="552" t="s">
        <v>156</v>
      </c>
      <c r="B54" s="560">
        <v>0</v>
      </c>
      <c r="C54" s="559" t="e">
        <f>Evaluation!#REF!</f>
        <v>#REF!</v>
      </c>
      <c r="D54" s="558" t="e">
        <f t="shared" si="10"/>
        <v>#REF!</v>
      </c>
      <c r="E54" s="560">
        <v>37500</v>
      </c>
      <c r="F54" s="559" t="e">
        <f>Evaluation!#REF!</f>
        <v>#REF!</v>
      </c>
      <c r="G54" s="558" t="e">
        <f t="shared" si="7"/>
        <v>#REF!</v>
      </c>
      <c r="H54" s="560">
        <v>0</v>
      </c>
      <c r="I54" s="559" t="e">
        <f>Evaluation!#REF!</f>
        <v>#REF!</v>
      </c>
      <c r="J54" s="558" t="e">
        <f t="shared" si="11"/>
        <v>#REF!</v>
      </c>
      <c r="K54" s="560">
        <v>0</v>
      </c>
      <c r="L54" s="559" t="e">
        <f>Evaluation!#REF!</f>
        <v>#REF!</v>
      </c>
      <c r="M54" s="558" t="e">
        <f t="shared" si="1"/>
        <v>#REF!</v>
      </c>
      <c r="N54" s="560">
        <v>2507657</v>
      </c>
      <c r="O54" s="559" t="e">
        <f>Evaluation!#REF!</f>
        <v>#REF!</v>
      </c>
      <c r="P54" s="558" t="e">
        <f t="shared" si="2"/>
        <v>#REF!</v>
      </c>
      <c r="Q54" s="556">
        <f t="shared" si="5"/>
        <v>2545157</v>
      </c>
      <c r="R54" s="562" t="e">
        <f t="shared" si="6"/>
        <v>#REF!</v>
      </c>
      <c r="S54" s="630" t="e">
        <f t="shared" si="3"/>
        <v>#REF!</v>
      </c>
    </row>
    <row r="55" spans="1:19" ht="20.25" customHeight="1">
      <c r="A55" s="552" t="s">
        <v>183</v>
      </c>
      <c r="B55" s="560">
        <v>0</v>
      </c>
      <c r="C55" s="559" t="e">
        <f>Evaluation!#REF!</f>
        <v>#REF!</v>
      </c>
      <c r="D55" s="558" t="e">
        <f>IF(AND(B55=0,C55=0),"",IF(B55=0,"",(C55-B55)/B55))</f>
        <v>#REF!</v>
      </c>
      <c r="E55" s="560">
        <v>0</v>
      </c>
      <c r="F55" s="559" t="e">
        <f>Evaluation!#REF!</f>
        <v>#REF!</v>
      </c>
      <c r="G55" s="558" t="e">
        <f t="shared" si="7"/>
        <v>#REF!</v>
      </c>
      <c r="H55" s="560">
        <v>0</v>
      </c>
      <c r="I55" s="559" t="e">
        <f>Evaluation!#REF!</f>
        <v>#REF!</v>
      </c>
      <c r="J55" s="558" t="e">
        <f t="shared" si="11"/>
        <v>#REF!</v>
      </c>
      <c r="K55" s="560">
        <v>0</v>
      </c>
      <c r="L55" s="559" t="e">
        <f>Evaluation!#REF!</f>
        <v>#REF!</v>
      </c>
      <c r="M55" s="558" t="e">
        <f t="shared" si="1"/>
        <v>#REF!</v>
      </c>
      <c r="N55" s="560">
        <v>0</v>
      </c>
      <c r="O55" s="559" t="e">
        <f>Evaluation!#REF!</f>
        <v>#REF!</v>
      </c>
      <c r="P55" s="558" t="e">
        <f t="shared" si="2"/>
        <v>#REF!</v>
      </c>
      <c r="Q55" s="556">
        <f t="shared" si="5"/>
        <v>0</v>
      </c>
      <c r="R55" s="557" t="e">
        <f t="shared" si="6"/>
        <v>#REF!</v>
      </c>
      <c r="S55" s="630" t="e">
        <f t="shared" si="3"/>
        <v>#REF!</v>
      </c>
    </row>
    <row r="56" spans="1:19" ht="20.25" customHeight="1">
      <c r="A56" s="552" t="s">
        <v>157</v>
      </c>
      <c r="B56" s="560">
        <v>0</v>
      </c>
      <c r="C56" s="559" t="e">
        <f>Evaluation!#REF!</f>
        <v>#REF!</v>
      </c>
      <c r="D56" s="558" t="e">
        <f t="shared" si="10"/>
        <v>#REF!</v>
      </c>
      <c r="E56" s="560">
        <v>0</v>
      </c>
      <c r="F56" s="559" t="e">
        <f>Evaluation!#REF!</f>
        <v>#REF!</v>
      </c>
      <c r="G56" s="558" t="e">
        <f t="shared" si="7"/>
        <v>#REF!</v>
      </c>
      <c r="H56" s="560">
        <v>0</v>
      </c>
      <c r="I56" s="559" t="e">
        <f>Evaluation!#REF!</f>
        <v>#REF!</v>
      </c>
      <c r="J56" s="558" t="e">
        <f t="shared" si="11"/>
        <v>#REF!</v>
      </c>
      <c r="K56" s="560">
        <v>0</v>
      </c>
      <c r="L56" s="559" t="e">
        <f>Evaluation!#REF!</f>
        <v>#REF!</v>
      </c>
      <c r="M56" s="558" t="e">
        <f t="shared" si="1"/>
        <v>#REF!</v>
      </c>
      <c r="N56" s="560">
        <v>0</v>
      </c>
      <c r="O56" s="559" t="e">
        <f>Evaluation!#REF!</f>
        <v>#REF!</v>
      </c>
      <c r="P56" s="558" t="e">
        <f t="shared" si="2"/>
        <v>#REF!</v>
      </c>
      <c r="Q56" s="556">
        <f t="shared" si="5"/>
        <v>0</v>
      </c>
      <c r="R56" s="557" t="e">
        <f t="shared" si="6"/>
        <v>#REF!</v>
      </c>
      <c r="S56" s="630" t="e">
        <f t="shared" si="3"/>
        <v>#REF!</v>
      </c>
    </row>
    <row r="57" spans="1:19" ht="20.25" customHeight="1">
      <c r="A57" s="552" t="s">
        <v>158</v>
      </c>
      <c r="B57" s="560">
        <v>0</v>
      </c>
      <c r="C57" s="559" t="e">
        <f>Evaluation!#REF!</f>
        <v>#REF!</v>
      </c>
      <c r="D57" s="558" t="e">
        <f t="shared" si="10"/>
        <v>#REF!</v>
      </c>
      <c r="E57" s="560">
        <v>0</v>
      </c>
      <c r="F57" s="559" t="e">
        <f>Evaluation!#REF!</f>
        <v>#REF!</v>
      </c>
      <c r="G57" s="558" t="e">
        <f t="shared" si="7"/>
        <v>#REF!</v>
      </c>
      <c r="H57" s="560">
        <v>0</v>
      </c>
      <c r="I57" s="559" t="e">
        <f>Evaluation!#REF!</f>
        <v>#REF!</v>
      </c>
      <c r="J57" s="558" t="e">
        <f t="shared" si="11"/>
        <v>#REF!</v>
      </c>
      <c r="K57" s="560">
        <v>238922.72727272724</v>
      </c>
      <c r="L57" s="559" t="e">
        <f>Evaluation!#REF!</f>
        <v>#REF!</v>
      </c>
      <c r="M57" s="558" t="e">
        <f t="shared" si="1"/>
        <v>#REF!</v>
      </c>
      <c r="N57" s="560">
        <v>0</v>
      </c>
      <c r="O57" s="559" t="e">
        <f>Evaluation!#REF!</f>
        <v>#REF!</v>
      </c>
      <c r="P57" s="558" t="e">
        <f t="shared" si="2"/>
        <v>#REF!</v>
      </c>
      <c r="Q57" s="556">
        <f t="shared" si="5"/>
        <v>238922.72727272724</v>
      </c>
      <c r="R57" s="557" t="e">
        <f t="shared" si="6"/>
        <v>#REF!</v>
      </c>
      <c r="S57" s="630" t="e">
        <f t="shared" si="3"/>
        <v>#REF!</v>
      </c>
    </row>
    <row r="58" spans="1:19" ht="20.25" customHeight="1">
      <c r="A58" s="552" t="s">
        <v>159</v>
      </c>
      <c r="B58" s="560">
        <v>15961</v>
      </c>
      <c r="C58" s="559" t="e">
        <f>Evaluation!#REF!</f>
        <v>#REF!</v>
      </c>
      <c r="D58" s="558" t="e">
        <f t="shared" si="10"/>
        <v>#REF!</v>
      </c>
      <c r="E58" s="560">
        <v>0</v>
      </c>
      <c r="F58" s="559" t="e">
        <f>Evaluation!#REF!</f>
        <v>#REF!</v>
      </c>
      <c r="G58" s="558" t="e">
        <f t="shared" si="7"/>
        <v>#REF!</v>
      </c>
      <c r="H58" s="560">
        <v>0</v>
      </c>
      <c r="I58" s="559" t="e">
        <f>Evaluation!#REF!</f>
        <v>#REF!</v>
      </c>
      <c r="J58" s="558" t="e">
        <f t="shared" si="11"/>
        <v>#REF!</v>
      </c>
      <c r="K58" s="560">
        <v>0</v>
      </c>
      <c r="L58" s="559" t="e">
        <f>Evaluation!#REF!</f>
        <v>#REF!</v>
      </c>
      <c r="M58" s="558" t="e">
        <f t="shared" si="1"/>
        <v>#REF!</v>
      </c>
      <c r="N58" s="560">
        <v>0</v>
      </c>
      <c r="O58" s="559" t="e">
        <f>Evaluation!#REF!</f>
        <v>#REF!</v>
      </c>
      <c r="P58" s="558" t="e">
        <f t="shared" si="2"/>
        <v>#REF!</v>
      </c>
      <c r="Q58" s="556">
        <f t="shared" si="5"/>
        <v>15961</v>
      </c>
      <c r="R58" s="557" t="e">
        <f t="shared" si="6"/>
        <v>#REF!</v>
      </c>
      <c r="S58" s="630" t="e">
        <f t="shared" si="3"/>
        <v>#REF!</v>
      </c>
    </row>
    <row r="59" spans="1:19" ht="20.25" customHeight="1" thickBot="1">
      <c r="A59" s="563" t="s">
        <v>161</v>
      </c>
      <c r="B59" s="564">
        <v>0</v>
      </c>
      <c r="C59" s="565" t="e">
        <f>Evaluation!#REF!</f>
        <v>#REF!</v>
      </c>
      <c r="D59" s="561" t="e">
        <f t="shared" si="10"/>
        <v>#REF!</v>
      </c>
      <c r="E59" s="564">
        <v>0</v>
      </c>
      <c r="F59" s="565" t="e">
        <f>Evaluation!#REF!</f>
        <v>#REF!</v>
      </c>
      <c r="G59" s="561" t="e">
        <f t="shared" si="7"/>
        <v>#REF!</v>
      </c>
      <c r="H59" s="564">
        <v>0</v>
      </c>
      <c r="I59" s="565" t="e">
        <f>Evaluation!#REF!</f>
        <v>#REF!</v>
      </c>
      <c r="J59" s="558" t="e">
        <f t="shared" ref="J59" si="12">IF(AND(H59=0,I59=0),"",IF(H59=0,"",(I59-H59)/H59))</f>
        <v>#REF!</v>
      </c>
      <c r="K59" s="564">
        <v>0</v>
      </c>
      <c r="L59" s="565" t="e">
        <f>Evaluation!#REF!</f>
        <v>#REF!</v>
      </c>
      <c r="M59" s="561" t="e">
        <f t="shared" si="1"/>
        <v>#REF!</v>
      </c>
      <c r="N59" s="564">
        <v>0</v>
      </c>
      <c r="O59" s="565" t="e">
        <f>Evaluation!#REF!</f>
        <v>#REF!</v>
      </c>
      <c r="P59" s="561" t="e">
        <f t="shared" si="2"/>
        <v>#REF!</v>
      </c>
      <c r="Q59" s="566">
        <f t="shared" si="5"/>
        <v>0</v>
      </c>
      <c r="R59" s="567" t="e">
        <f t="shared" si="6"/>
        <v>#REF!</v>
      </c>
      <c r="S59" s="630" t="e">
        <f t="shared" si="3"/>
        <v>#REF!</v>
      </c>
    </row>
    <row r="60" spans="1:19" ht="20.25" customHeight="1" thickBot="1">
      <c r="A60" s="568" t="s">
        <v>1609</v>
      </c>
      <c r="B60" s="571">
        <f t="shared" ref="B60:R60" si="13">SUM(B32:B59)</f>
        <v>21865408.09090909</v>
      </c>
      <c r="C60" s="569" t="e">
        <f t="shared" si="13"/>
        <v>#REF!</v>
      </c>
      <c r="D60" s="570" t="e">
        <f>IF(AND(B60=0,C60=0),"",IF(B60=0,"",(C60-B60)/B60))</f>
        <v>#REF!</v>
      </c>
      <c r="E60" s="571">
        <f t="shared" si="13"/>
        <v>43168012.727272727</v>
      </c>
      <c r="F60" s="569" t="e">
        <f t="shared" si="13"/>
        <v>#REF!</v>
      </c>
      <c r="G60" s="570" t="e">
        <f>IF(AND(E60=0,F60=0),"",IF(E60=0,"",(F60-E60)/E60))</f>
        <v>#REF!</v>
      </c>
      <c r="H60" s="571">
        <f t="shared" si="13"/>
        <v>44586763</v>
      </c>
      <c r="I60" s="569" t="e">
        <f t="shared" si="13"/>
        <v>#REF!</v>
      </c>
      <c r="J60" s="570" t="e">
        <f>IF(AND(H60=0,I60=0),"",IF(H60=0,"",(I60-H60)/H60))</f>
        <v>#REF!</v>
      </c>
      <c r="K60" s="571">
        <f t="shared" si="13"/>
        <v>127177108.50000001</v>
      </c>
      <c r="L60" s="569" t="e">
        <f t="shared" si="13"/>
        <v>#REF!</v>
      </c>
      <c r="M60" s="570" t="e">
        <f>IF(AND(K60=0,L60=0),"",IF(K60=0,"",(L60-K60)/K60))</f>
        <v>#REF!</v>
      </c>
      <c r="N60" s="571">
        <f t="shared" si="13"/>
        <v>23017328.18181818</v>
      </c>
      <c r="O60" s="569" t="e">
        <f t="shared" si="13"/>
        <v>#REF!</v>
      </c>
      <c r="P60" s="570" t="e">
        <f>IF(AND(N60=0,O60=0),"",IF(N60=0,"",(O60-N60)/N60))</f>
        <v>#REF!</v>
      </c>
      <c r="Q60" s="572">
        <f t="shared" si="13"/>
        <v>259814620.5</v>
      </c>
      <c r="R60" s="573" t="e">
        <f t="shared" si="13"/>
        <v>#REF!</v>
      </c>
      <c r="S60" s="631" t="e">
        <f>IF(AND(Q60=0,R60=0),"",IF(Q60=0,"",(R60-Q60)/Q60))</f>
        <v>#REF!</v>
      </c>
    </row>
    <row r="61" spans="1:19" ht="20.25" customHeight="1"/>
    <row r="62" spans="1:19" ht="20.25" customHeight="1"/>
    <row r="63" spans="1:19" ht="21">
      <c r="B63" s="1029" t="s">
        <v>2861</v>
      </c>
      <c r="C63" s="1029"/>
      <c r="D63" s="1029"/>
      <c r="E63" s="1029"/>
      <c r="F63" s="1029"/>
      <c r="G63" s="1029"/>
      <c r="H63" s="1029"/>
      <c r="I63" s="1029"/>
      <c r="J63" s="1029"/>
      <c r="L63" s="541"/>
      <c r="M63" s="541"/>
      <c r="N63" s="541"/>
      <c r="O63" s="541"/>
      <c r="P63" s="541"/>
      <c r="Q63" s="541"/>
      <c r="R63" s="541"/>
    </row>
    <row r="64" spans="1:19" ht="19.5" thickBot="1">
      <c r="L64" s="543"/>
      <c r="M64" s="543"/>
      <c r="N64" s="543"/>
      <c r="O64" s="543"/>
      <c r="P64" s="543"/>
      <c r="Q64" s="543"/>
      <c r="R64" s="543"/>
    </row>
    <row r="65" spans="2:18" ht="33" customHeight="1" thickBot="1">
      <c r="B65" s="1022" t="s">
        <v>2855</v>
      </c>
      <c r="C65" s="1023"/>
      <c r="D65" s="1024" t="s">
        <v>2918</v>
      </c>
      <c r="E65" s="1025"/>
      <c r="F65" s="1024" t="s">
        <v>2915</v>
      </c>
      <c r="G65" s="1025"/>
      <c r="H65" s="1024" t="s">
        <v>2860</v>
      </c>
      <c r="I65" s="1025"/>
      <c r="J65" s="576" t="s">
        <v>2849</v>
      </c>
      <c r="L65" s="543"/>
      <c r="M65" s="543"/>
      <c r="N65" s="543"/>
      <c r="O65" s="543"/>
      <c r="P65" s="543"/>
      <c r="Q65" s="543"/>
      <c r="R65" s="543"/>
    </row>
    <row r="66" spans="2:18" ht="32.25" customHeight="1">
      <c r="B66" s="1034" t="s">
        <v>2857</v>
      </c>
      <c r="C66" s="1035"/>
      <c r="D66" s="1030">
        <f>+B60+E60+H60+K60+N60-D67-D68</f>
        <v>180748132.95454547</v>
      </c>
      <c r="E66" s="1031"/>
      <c r="F66" s="1030" t="e">
        <f>+Evaluation!#REF!</f>
        <v>#REF!</v>
      </c>
      <c r="G66" s="1031"/>
      <c r="H66" s="1030" t="e">
        <f>+F66-D66</f>
        <v>#REF!</v>
      </c>
      <c r="I66" s="1031"/>
      <c r="J66" s="596" t="e">
        <f t="shared" ref="J66:J71" si="14">IF(AND(F66=0,D66=0),"",IF(D66=0,"",(F66-D66)/D66))</f>
        <v>#REF!</v>
      </c>
      <c r="L66" s="543"/>
      <c r="M66" s="543"/>
      <c r="N66" s="543"/>
      <c r="O66" s="543"/>
      <c r="P66" s="543"/>
      <c r="Q66" s="543"/>
      <c r="R66" s="543"/>
    </row>
    <row r="67" spans="2:18" ht="32.25" customHeight="1">
      <c r="B67" s="1036" t="s">
        <v>1962</v>
      </c>
      <c r="C67" s="1037" t="s">
        <v>1994</v>
      </c>
      <c r="D67" s="1030">
        <f>+Q36+Q39+Q43+Q44+Q45+Q46</f>
        <v>34556668.454545453</v>
      </c>
      <c r="E67" s="1031"/>
      <c r="F67" s="1016" t="e">
        <f>+Evaluation!#REF!</f>
        <v>#REF!</v>
      </c>
      <c r="G67" s="1017"/>
      <c r="H67" s="1016" t="e">
        <f t="shared" ref="H67:H68" si="15">+F67-D67</f>
        <v>#REF!</v>
      </c>
      <c r="I67" s="1017"/>
      <c r="J67" s="596" t="e">
        <f t="shared" si="14"/>
        <v>#REF!</v>
      </c>
      <c r="L67" s="543"/>
      <c r="M67" s="543"/>
      <c r="N67" s="543"/>
      <c r="O67" s="543"/>
      <c r="P67" s="543"/>
      <c r="Q67" s="543"/>
      <c r="R67" s="543"/>
    </row>
    <row r="68" spans="2:18" ht="32.25" customHeight="1">
      <c r="B68" s="1038" t="s">
        <v>2858</v>
      </c>
      <c r="C68" s="1039" t="s">
        <v>2856</v>
      </c>
      <c r="D68" s="1030">
        <v>44509819.090909101</v>
      </c>
      <c r="E68" s="1031"/>
      <c r="F68" s="1016" t="e">
        <f>+Evaluation!#REF!</f>
        <v>#REF!</v>
      </c>
      <c r="G68" s="1017"/>
      <c r="H68" s="1016" t="e">
        <f t="shared" si="15"/>
        <v>#REF!</v>
      </c>
      <c r="I68" s="1017"/>
      <c r="J68" s="596" t="e">
        <f t="shared" si="14"/>
        <v>#REF!</v>
      </c>
      <c r="L68" s="543"/>
      <c r="M68" s="543"/>
      <c r="N68" s="543"/>
      <c r="O68" s="543"/>
      <c r="P68" s="543"/>
      <c r="Q68" s="543"/>
      <c r="R68" s="543"/>
    </row>
    <row r="69" spans="2:18" ht="32.25" customHeight="1">
      <c r="B69" s="1041" t="s">
        <v>2866</v>
      </c>
      <c r="C69" s="1042"/>
      <c r="D69" s="1010">
        <f>SUM(D66:E68)</f>
        <v>259814620.50000003</v>
      </c>
      <c r="E69" s="1011"/>
      <c r="F69" s="1010" t="e">
        <f>SUM(F66:G68)</f>
        <v>#REF!</v>
      </c>
      <c r="G69" s="1011"/>
      <c r="H69" s="1010" t="e">
        <f>SUM(H66:I68)</f>
        <v>#REF!</v>
      </c>
      <c r="I69" s="1032"/>
      <c r="J69" s="596" t="e">
        <f t="shared" si="14"/>
        <v>#REF!</v>
      </c>
      <c r="L69" s="543"/>
      <c r="M69" s="543"/>
      <c r="N69" s="543"/>
      <c r="O69" s="543"/>
      <c r="P69" s="543"/>
      <c r="Q69" s="543"/>
      <c r="R69" s="543"/>
    </row>
    <row r="70" spans="2:18" ht="32.25" customHeight="1">
      <c r="B70" s="1012" t="s">
        <v>2864</v>
      </c>
      <c r="C70" s="1013"/>
      <c r="D70" s="1016">
        <v>0</v>
      </c>
      <c r="E70" s="1017"/>
      <c r="F70" s="1016" t="e">
        <f>+Evaluation!#REF!</f>
        <v>#REF!</v>
      </c>
      <c r="G70" s="1017"/>
      <c r="H70" s="1016" t="e">
        <f t="shared" ref="H70" si="16">+F70-D70</f>
        <v>#REF!</v>
      </c>
      <c r="I70" s="1017"/>
      <c r="J70" s="575" t="e">
        <f t="shared" si="14"/>
        <v>#REF!</v>
      </c>
      <c r="L70" s="543"/>
      <c r="M70" s="543"/>
      <c r="N70" s="543"/>
      <c r="O70" s="543"/>
      <c r="P70" s="543"/>
      <c r="Q70" s="543"/>
      <c r="R70" s="543"/>
    </row>
    <row r="71" spans="2:18" ht="32.25" customHeight="1" thickBot="1">
      <c r="B71" s="1014" t="s">
        <v>2865</v>
      </c>
      <c r="C71" s="1015"/>
      <c r="D71" s="1018">
        <v>33694683</v>
      </c>
      <c r="E71" s="1018"/>
      <c r="F71" s="1008" t="e">
        <f>+Evaluation!#REF!</f>
        <v>#REF!</v>
      </c>
      <c r="G71" s="1019"/>
      <c r="H71" s="1008" t="e">
        <f t="shared" ref="H71" si="17">+F71-D71</f>
        <v>#REF!</v>
      </c>
      <c r="I71" s="1009"/>
      <c r="J71" s="596" t="e">
        <f t="shared" si="14"/>
        <v>#REF!</v>
      </c>
      <c r="L71" s="543"/>
      <c r="M71" s="543"/>
      <c r="N71" s="543"/>
      <c r="O71" s="543"/>
      <c r="P71" s="543"/>
      <c r="Q71" s="543"/>
      <c r="R71" s="543"/>
    </row>
    <row r="72" spans="2:18" ht="32.25" customHeight="1" thickBot="1">
      <c r="B72" s="1022" t="s">
        <v>2859</v>
      </c>
      <c r="C72" s="1040"/>
      <c r="D72" s="1033">
        <f>+D69+D70+D71</f>
        <v>293509303.5</v>
      </c>
      <c r="E72" s="1033"/>
      <c r="F72" s="1033" t="e">
        <f>+F69+F70+F71</f>
        <v>#REF!</v>
      </c>
      <c r="G72" s="1033"/>
      <c r="H72" s="1026" t="e">
        <f t="shared" ref="H72" si="18">+F72-D72</f>
        <v>#REF!</v>
      </c>
      <c r="I72" s="1027"/>
      <c r="J72" s="633" t="e">
        <f>IF(AND(F72=0,D72=0),"",IF(D72=0,"",(F72-D72)/D72))</f>
        <v>#REF!</v>
      </c>
      <c r="L72" s="543"/>
      <c r="M72" s="543"/>
      <c r="N72" s="543"/>
      <c r="O72" s="543"/>
      <c r="P72" s="543"/>
      <c r="Q72" s="543"/>
      <c r="R72" s="543"/>
    </row>
    <row r="73" spans="2:18" ht="20.25" customHeight="1"/>
    <row r="74" spans="2:18" ht="20.25" customHeight="1"/>
    <row r="75" spans="2:18" ht="21">
      <c r="B75" s="1029" t="s">
        <v>2863</v>
      </c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</row>
    <row r="76" spans="2:18" ht="15.75" thickBot="1">
      <c r="B76" s="764" t="s">
        <v>2892</v>
      </c>
      <c r="C76" s="764"/>
      <c r="D76" s="764"/>
      <c r="E76" s="764"/>
      <c r="F76" s="764"/>
      <c r="G76" s="764"/>
      <c r="H76" s="764"/>
      <c r="I76" s="764"/>
      <c r="J76" s="764"/>
      <c r="K76" s="764"/>
      <c r="L76" s="764"/>
      <c r="M76" s="764"/>
    </row>
    <row r="77" spans="2:18" s="593" customFormat="1" ht="32.25" customHeight="1">
      <c r="C77" s="1051" t="s">
        <v>2187</v>
      </c>
      <c r="D77" s="1053">
        <v>2020</v>
      </c>
      <c r="E77" s="1054"/>
      <c r="F77" s="1055"/>
      <c r="G77" s="1053">
        <v>2021</v>
      </c>
      <c r="H77" s="1054"/>
      <c r="I77" s="1055"/>
      <c r="J77" s="1053">
        <v>2022</v>
      </c>
      <c r="K77" s="1054"/>
      <c r="L77" s="1055"/>
    </row>
    <row r="78" spans="2:18" s="593" customFormat="1" ht="32.25" customHeight="1" thickBot="1">
      <c r="C78" s="1052"/>
      <c r="D78" s="625" t="s">
        <v>2005</v>
      </c>
      <c r="E78" s="626" t="s">
        <v>2188</v>
      </c>
      <c r="F78" s="627" t="s">
        <v>2870</v>
      </c>
      <c r="G78" s="625" t="s">
        <v>2005</v>
      </c>
      <c r="H78" s="626" t="s">
        <v>2188</v>
      </c>
      <c r="I78" s="627" t="s">
        <v>2870</v>
      </c>
      <c r="J78" s="625" t="s">
        <v>2005</v>
      </c>
      <c r="K78" s="626" t="s">
        <v>2188</v>
      </c>
      <c r="L78" s="627" t="s">
        <v>2870</v>
      </c>
    </row>
    <row r="79" spans="2:18" s="593" customFormat="1" ht="32.25" customHeight="1">
      <c r="C79" s="594" t="s">
        <v>1440</v>
      </c>
      <c r="D79" s="595">
        <v>20000000</v>
      </c>
      <c r="E79" s="578">
        <f>[3]Avril!N52</f>
        <v>3127890</v>
      </c>
      <c r="F79" s="579">
        <f>+E79/D79</f>
        <v>0.15639449999999999</v>
      </c>
      <c r="G79" s="578">
        <f>[4]tendances!G19</f>
        <v>29686281</v>
      </c>
      <c r="H79" s="578">
        <f>+B60</f>
        <v>21865408.09090909</v>
      </c>
      <c r="I79" s="629">
        <f>+H79/G79</f>
        <v>0.73654925286562811</v>
      </c>
      <c r="J79" s="595">
        <f>+tendances!G19</f>
        <v>20750000</v>
      </c>
      <c r="K79" s="578">
        <f>tendances!L19</f>
        <v>6957872.1818181816</v>
      </c>
      <c r="L79" s="579">
        <f>+K79/J79</f>
        <v>0.3353191412924425</v>
      </c>
    </row>
    <row r="80" spans="2:18" s="593" customFormat="1" ht="32.25" customHeight="1">
      <c r="C80" s="597" t="s">
        <v>1432</v>
      </c>
      <c r="D80" s="598">
        <v>35000000</v>
      </c>
      <c r="E80" s="581">
        <f>[3]Avril!N53</f>
        <v>17687899.09090909</v>
      </c>
      <c r="F80" s="596">
        <f t="shared" ref="F80:F86" si="19">+E80/D80</f>
        <v>0.50536854545454546</v>
      </c>
      <c r="G80" s="581">
        <f>[4]tendances!G20</f>
        <v>42434576</v>
      </c>
      <c r="H80" s="581">
        <f>+E60</f>
        <v>43168012.727272727</v>
      </c>
      <c r="I80" s="628">
        <f t="shared" ref="I80:I86" si="20">+H80/G80</f>
        <v>1.0172839414554944</v>
      </c>
      <c r="J80" s="598">
        <f>+tendances!G20</f>
        <v>61230977</v>
      </c>
      <c r="K80" s="581">
        <f>tendances!L20</f>
        <v>30641240.272727273</v>
      </c>
      <c r="L80" s="596">
        <f t="shared" ref="L80:L86" si="21">+K80/J80</f>
        <v>0.50042056772550392</v>
      </c>
    </row>
    <row r="81" spans="1:18" s="593" customFormat="1" ht="32.25" customHeight="1">
      <c r="C81" s="597" t="s">
        <v>1434</v>
      </c>
      <c r="D81" s="598">
        <v>75000000</v>
      </c>
      <c r="E81" s="581">
        <f>[3]Avril!N54</f>
        <v>44036589.090909086</v>
      </c>
      <c r="F81" s="596">
        <f t="shared" si="19"/>
        <v>0.58715452121212119</v>
      </c>
      <c r="G81" s="581">
        <f>[4]tendances!G21</f>
        <v>35536832</v>
      </c>
      <c r="H81" s="581">
        <f>+H60</f>
        <v>44586763</v>
      </c>
      <c r="I81" s="628">
        <f t="shared" si="20"/>
        <v>1.2546634151294072</v>
      </c>
      <c r="J81" s="598">
        <f>+tendances!G21</f>
        <v>73550000</v>
      </c>
      <c r="K81" s="581">
        <f>tendances!L21</f>
        <v>51659296.090909094</v>
      </c>
      <c r="L81" s="596">
        <f t="shared" si="21"/>
        <v>0.70236976330263889</v>
      </c>
    </row>
    <row r="82" spans="1:18" s="593" customFormat="1" ht="32.25" customHeight="1">
      <c r="C82" s="597" t="s">
        <v>1435</v>
      </c>
      <c r="D82" s="598">
        <v>120000000</v>
      </c>
      <c r="E82" s="581">
        <f>[3]Avril!N55</f>
        <v>89764645.772727266</v>
      </c>
      <c r="F82" s="596">
        <f t="shared" si="19"/>
        <v>0.74803871477272721</v>
      </c>
      <c r="G82" s="581">
        <f>[4]tendances!G22</f>
        <v>138628484</v>
      </c>
      <c r="H82" s="581">
        <f>+K60</f>
        <v>127177108.50000001</v>
      </c>
      <c r="I82" s="628">
        <f t="shared" si="20"/>
        <v>0.91739521944133806</v>
      </c>
      <c r="J82" s="598">
        <f>+tendances!G22</f>
        <v>181230188</v>
      </c>
      <c r="K82" s="581">
        <f>tendances!L22</f>
        <v>96537048.249999985</v>
      </c>
      <c r="L82" s="596">
        <f t="shared" si="21"/>
        <v>0.53267642281538652</v>
      </c>
    </row>
    <row r="83" spans="1:18" s="593" customFormat="1" ht="32.25" customHeight="1">
      <c r="C83" s="597" t="s">
        <v>1433</v>
      </c>
      <c r="D83" s="598">
        <v>21500000</v>
      </c>
      <c r="E83" s="581">
        <f>[3]Avril!N56</f>
        <v>18417518.27272727</v>
      </c>
      <c r="F83" s="596">
        <f t="shared" si="19"/>
        <v>0.85662875687103579</v>
      </c>
      <c r="G83" s="581">
        <f>[4]tendances!G23</f>
        <v>20746883</v>
      </c>
      <c r="H83" s="581">
        <f>+N60</f>
        <v>23017328.18181818</v>
      </c>
      <c r="I83" s="628">
        <f t="shared" si="20"/>
        <v>1.1094354839624911</v>
      </c>
      <c r="J83" s="598">
        <f>+tendances!G23</f>
        <v>38462479</v>
      </c>
      <c r="K83" s="581">
        <f>tendances!L23</f>
        <v>14011249.545454545</v>
      </c>
      <c r="L83" s="596">
        <f t="shared" si="21"/>
        <v>0.36428357999115307</v>
      </c>
    </row>
    <row r="84" spans="1:18" s="593" customFormat="1" ht="32.25" customHeight="1">
      <c r="A84" s="593">
        <v>385050000</v>
      </c>
      <c r="C84" s="599" t="s">
        <v>2864</v>
      </c>
      <c r="D84" s="581">
        <f>[3]Evaluation!E89</f>
        <v>15000000</v>
      </c>
      <c r="E84" s="581">
        <f>[3]Evaluation!F89</f>
        <v>18596235</v>
      </c>
      <c r="F84" s="596">
        <f t="shared" si="19"/>
        <v>1.239749</v>
      </c>
      <c r="G84" s="598">
        <f>'[4]Plan d actions '!D212</f>
        <v>0</v>
      </c>
      <c r="H84" s="584">
        <f>+D70</f>
        <v>0</v>
      </c>
      <c r="I84" s="628"/>
      <c r="J84" s="598">
        <f>+'Plan d actions '!F180</f>
        <v>55500000</v>
      </c>
      <c r="K84" s="581">
        <f>AVRIL!P57</f>
        <v>20097472.272727273</v>
      </c>
      <c r="L84" s="596"/>
    </row>
    <row r="85" spans="1:18" s="593" customFormat="1" ht="32.25" customHeight="1" thickBot="1">
      <c r="A85" s="624"/>
      <c r="C85" s="599" t="s">
        <v>2865</v>
      </c>
      <c r="D85" s="581">
        <f>[3]Evaluation!E90</f>
        <v>35170000</v>
      </c>
      <c r="E85" s="581">
        <f>[3]Evaluation!F90</f>
        <v>12243835</v>
      </c>
      <c r="F85" s="634">
        <f t="shared" si="19"/>
        <v>0.34813292578902472</v>
      </c>
      <c r="G85" s="598">
        <f>'[4]Plan d actions '!D213</f>
        <v>34250000</v>
      </c>
      <c r="H85" s="584">
        <f>+D71</f>
        <v>33694683</v>
      </c>
      <c r="I85" s="637">
        <f t="shared" si="20"/>
        <v>0.98378636496350369</v>
      </c>
      <c r="J85" s="600">
        <f>+tendances!G30</f>
        <v>85000000</v>
      </c>
      <c r="K85" s="584">
        <f>AVRIL!O57</f>
        <v>33320734.209090911</v>
      </c>
      <c r="L85" s="634">
        <f t="shared" si="21"/>
        <v>0.39200863775401074</v>
      </c>
    </row>
    <row r="86" spans="1:18" s="593" customFormat="1" ht="32.25" customHeight="1" thickBot="1">
      <c r="C86" s="635" t="s">
        <v>1609</v>
      </c>
      <c r="D86" s="636">
        <f>SUM(D79:D85)</f>
        <v>321670000</v>
      </c>
      <c r="E86" s="587">
        <f t="shared" ref="E86" si="22">SUM(E79:E85)</f>
        <v>203874612.22727272</v>
      </c>
      <c r="F86" s="638">
        <f t="shared" si="19"/>
        <v>0.63380051676336846</v>
      </c>
      <c r="G86" s="636">
        <f>SUM(G79:G85)</f>
        <v>301283056</v>
      </c>
      <c r="H86" s="587">
        <f>SUM(H79:H85)</f>
        <v>293509303.5</v>
      </c>
      <c r="I86" s="638">
        <f t="shared" si="20"/>
        <v>0.97419784370482487</v>
      </c>
      <c r="J86" s="636">
        <f>SUM(J79:J85)</f>
        <v>515723644</v>
      </c>
      <c r="K86" s="587">
        <f>SUM(K79:K85)</f>
        <v>253224912.82272726</v>
      </c>
      <c r="L86" s="639">
        <f t="shared" si="21"/>
        <v>0.4910089265225297</v>
      </c>
    </row>
    <row r="88" spans="1:18" ht="15.75" customHeight="1">
      <c r="B88" s="1050" t="s">
        <v>2867</v>
      </c>
      <c r="C88" s="1050"/>
      <c r="D88" s="1050"/>
      <c r="E88" s="1050"/>
      <c r="F88" s="55" t="s">
        <v>2031</v>
      </c>
      <c r="G88" s="55"/>
      <c r="H88" s="55"/>
      <c r="I88" s="55"/>
      <c r="J88" s="55"/>
      <c r="L88" s="543"/>
      <c r="M88" s="543"/>
      <c r="N88" s="543"/>
      <c r="O88" s="543"/>
      <c r="P88" s="543"/>
      <c r="Q88" s="543"/>
      <c r="R88" s="543"/>
    </row>
    <row r="89" spans="1:18" ht="15.75">
      <c r="B89" s="1050" t="s">
        <v>2868</v>
      </c>
      <c r="C89" s="1050"/>
      <c r="D89" s="1050"/>
      <c r="E89" s="1050"/>
      <c r="F89" s="55"/>
      <c r="G89" s="55"/>
      <c r="H89" s="55"/>
      <c r="I89" s="55"/>
      <c r="J89" s="55"/>
      <c r="L89" s="79"/>
      <c r="M89" s="79"/>
      <c r="N89" s="79"/>
      <c r="O89" s="79"/>
      <c r="P89" s="79"/>
      <c r="Q89" s="79"/>
      <c r="R89" s="79"/>
    </row>
    <row r="90" spans="1:18" ht="15.75">
      <c r="B90" s="1050" t="s">
        <v>2869</v>
      </c>
      <c r="C90" s="1050"/>
      <c r="D90" s="1050"/>
      <c r="E90" s="1050"/>
      <c r="F90" s="55"/>
      <c r="G90" s="55"/>
      <c r="H90" s="55"/>
      <c r="I90" s="55"/>
      <c r="J90" s="55"/>
    </row>
    <row r="91" spans="1:18" ht="15.75">
      <c r="B91" s="1050" t="s">
        <v>2871</v>
      </c>
      <c r="C91" s="1050"/>
      <c r="D91" s="1050"/>
      <c r="E91" s="1050"/>
      <c r="G91" s="55"/>
    </row>
    <row r="92" spans="1:18">
      <c r="G92" s="55"/>
    </row>
    <row r="93" spans="1:18">
      <c r="G93" s="55"/>
    </row>
    <row r="94" spans="1:18">
      <c r="G94" s="55"/>
    </row>
    <row r="95" spans="1:18">
      <c r="G95" s="55"/>
    </row>
  </sheetData>
  <mergeCells count="85">
    <mergeCell ref="M16:P16"/>
    <mergeCell ref="B91:E91"/>
    <mergeCell ref="B75:M75"/>
    <mergeCell ref="B76:M76"/>
    <mergeCell ref="B88:E88"/>
    <mergeCell ref="B89:E89"/>
    <mergeCell ref="B90:E90"/>
    <mergeCell ref="C77:C78"/>
    <mergeCell ref="D77:F77"/>
    <mergeCell ref="G77:I77"/>
    <mergeCell ref="J77:L77"/>
    <mergeCell ref="A26:S26"/>
    <mergeCell ref="B30:D30"/>
    <mergeCell ref="E30:G30"/>
    <mergeCell ref="H30:J30"/>
    <mergeCell ref="K30:M30"/>
    <mergeCell ref="D68:E68"/>
    <mergeCell ref="F66:G66"/>
    <mergeCell ref="F67:G67"/>
    <mergeCell ref="F68:G68"/>
    <mergeCell ref="D67:E67"/>
    <mergeCell ref="F65:G65"/>
    <mergeCell ref="D66:E66"/>
    <mergeCell ref="N30:P30"/>
    <mergeCell ref="S30:S31"/>
    <mergeCell ref="Q30:Q31"/>
    <mergeCell ref="R30:R31"/>
    <mergeCell ref="H72:I72"/>
    <mergeCell ref="A28:S28"/>
    <mergeCell ref="B63:J63"/>
    <mergeCell ref="H65:I65"/>
    <mergeCell ref="H66:I66"/>
    <mergeCell ref="H67:I67"/>
    <mergeCell ref="H68:I68"/>
    <mergeCell ref="H69:I69"/>
    <mergeCell ref="H70:I70"/>
    <mergeCell ref="D72:E72"/>
    <mergeCell ref="F72:G72"/>
    <mergeCell ref="B66:C66"/>
    <mergeCell ref="B67:C67"/>
    <mergeCell ref="B68:C68"/>
    <mergeCell ref="B72:C72"/>
    <mergeCell ref="B69:C69"/>
    <mergeCell ref="C13:H13"/>
    <mergeCell ref="C14:H14"/>
    <mergeCell ref="C15:H15"/>
    <mergeCell ref="C16:H16"/>
    <mergeCell ref="H71:I71"/>
    <mergeCell ref="D69:E69"/>
    <mergeCell ref="F69:G69"/>
    <mergeCell ref="B70:C70"/>
    <mergeCell ref="B71:C71"/>
    <mergeCell ref="D70:E70"/>
    <mergeCell ref="D71:E71"/>
    <mergeCell ref="F70:G70"/>
    <mergeCell ref="F71:G71"/>
    <mergeCell ref="A29:S29"/>
    <mergeCell ref="B65:C65"/>
    <mergeCell ref="D65:E65"/>
    <mergeCell ref="C8:H8"/>
    <mergeCell ref="C9:H9"/>
    <mergeCell ref="C10:H10"/>
    <mergeCell ref="C11:H11"/>
    <mergeCell ref="C12:H12"/>
    <mergeCell ref="C3:H3"/>
    <mergeCell ref="C4:H4"/>
    <mergeCell ref="C5:H5"/>
    <mergeCell ref="C6:H6"/>
    <mergeCell ref="C7:H7"/>
    <mergeCell ref="C17:G17"/>
    <mergeCell ref="M15:Q15"/>
    <mergeCell ref="M14:Q14"/>
    <mergeCell ref="M2:Q2"/>
    <mergeCell ref="M3:Q3"/>
    <mergeCell ref="M4:Q4"/>
    <mergeCell ref="M5:Q5"/>
    <mergeCell ref="M6:Q6"/>
    <mergeCell ref="M7:Q7"/>
    <mergeCell ref="M8:Q8"/>
    <mergeCell ref="M9:Q9"/>
    <mergeCell ref="M10:Q10"/>
    <mergeCell ref="M11:Q11"/>
    <mergeCell ref="M12:Q12"/>
    <mergeCell ref="M13:Q13"/>
    <mergeCell ref="C2:H2"/>
  </mergeCells>
  <printOptions horizontalCentered="1"/>
  <pageMargins left="0.39370078740157483" right="0.23622047244094491" top="0.25" bottom="0.37" header="0.18" footer="0.17"/>
  <pageSetup paperSize="9" scale="50" orientation="landscape" r:id="rId1"/>
  <rowBreaks count="1" manualBreakCount="1">
    <brk id="60" max="1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>
  <dimension ref="A2:S67"/>
  <sheetViews>
    <sheetView topLeftCell="D1" zoomScaleSheetLayoutView="100" workbookViewId="0">
      <selection activeCell="F88" sqref="F88"/>
    </sheetView>
  </sheetViews>
  <sheetFormatPr baseColWidth="10" defaultRowHeight="15"/>
  <cols>
    <col min="1" max="1" width="16.5703125" customWidth="1"/>
    <col min="2" max="2" width="13" customWidth="1"/>
    <col min="3" max="3" width="13.140625" customWidth="1"/>
    <col min="4" max="4" width="15.140625" customWidth="1"/>
    <col min="5" max="5" width="14.5703125" customWidth="1"/>
    <col min="6" max="6" width="11.85546875" customWidth="1"/>
    <col min="7" max="7" width="12.85546875" customWidth="1"/>
    <col min="8" max="8" width="13.85546875" customWidth="1"/>
    <col min="9" max="9" width="14.140625" customWidth="1"/>
    <col min="10" max="10" width="14.5703125" customWidth="1"/>
    <col min="11" max="11" width="14.42578125" customWidth="1"/>
    <col min="12" max="12" width="16.140625" customWidth="1"/>
    <col min="13" max="13" width="13.5703125" customWidth="1"/>
    <col min="14" max="14" width="16.140625" customWidth="1"/>
    <col min="15" max="15" width="16" customWidth="1"/>
    <col min="16" max="16" width="13.140625" customWidth="1"/>
    <col min="17" max="17" width="14.28515625" customWidth="1"/>
    <col min="18" max="18" width="16.85546875" customWidth="1"/>
    <col min="19" max="19" width="17" customWidth="1"/>
  </cols>
  <sheetData>
    <row r="2" spans="3:17" s="76" customFormat="1" ht="9.75" customHeight="1">
      <c r="C2" s="1006" t="s">
        <v>1903</v>
      </c>
      <c r="D2" s="1006"/>
      <c r="E2" s="1006"/>
      <c r="F2" s="1006"/>
      <c r="G2" s="1006"/>
      <c r="H2" s="1006"/>
      <c r="M2" s="1006" t="s">
        <v>1904</v>
      </c>
      <c r="N2" s="1006"/>
      <c r="O2" s="1006"/>
      <c r="P2" s="1006"/>
      <c r="Q2" s="1006"/>
    </row>
    <row r="3" spans="3:17" s="76" customFormat="1" ht="9.75" customHeight="1">
      <c r="C3" s="1006" t="s">
        <v>1905</v>
      </c>
      <c r="D3" s="1006"/>
      <c r="E3" s="1006"/>
      <c r="F3" s="1006"/>
      <c r="G3" s="1006"/>
      <c r="H3" s="1006"/>
      <c r="M3" s="1006" t="s">
        <v>1906</v>
      </c>
      <c r="N3" s="1006"/>
      <c r="O3" s="1006"/>
      <c r="P3" s="1006"/>
      <c r="Q3" s="1006"/>
    </row>
    <row r="4" spans="3:17" s="76" customFormat="1" ht="9.75" customHeight="1">
      <c r="C4" s="1006" t="s">
        <v>1907</v>
      </c>
      <c r="D4" s="1006"/>
      <c r="E4" s="1006"/>
      <c r="F4" s="1006"/>
      <c r="G4" s="1006"/>
      <c r="H4" s="1006"/>
      <c r="M4" s="1006" t="s">
        <v>1907</v>
      </c>
      <c r="N4" s="1006"/>
      <c r="O4" s="1006"/>
      <c r="P4" s="1006"/>
      <c r="Q4" s="1006"/>
    </row>
    <row r="5" spans="3:17" s="76" customFormat="1" ht="9.75" customHeight="1">
      <c r="C5" s="1006" t="s">
        <v>260</v>
      </c>
      <c r="D5" s="1006"/>
      <c r="E5" s="1006"/>
      <c r="F5" s="1006"/>
      <c r="G5" s="1006"/>
      <c r="H5" s="1006"/>
      <c r="M5" s="1006" t="s">
        <v>1</v>
      </c>
      <c r="N5" s="1006"/>
      <c r="O5" s="1006"/>
      <c r="P5" s="1006"/>
      <c r="Q5" s="1006"/>
    </row>
    <row r="6" spans="3:17" s="76" customFormat="1" ht="9.75" customHeight="1">
      <c r="C6" s="1006" t="s">
        <v>1907</v>
      </c>
      <c r="D6" s="1006"/>
      <c r="E6" s="1006"/>
      <c r="F6" s="1006"/>
      <c r="G6" s="1006"/>
      <c r="H6" s="1006"/>
      <c r="M6" s="1006" t="s">
        <v>1907</v>
      </c>
      <c r="N6" s="1006"/>
      <c r="O6" s="1006"/>
      <c r="P6" s="1006"/>
      <c r="Q6" s="1006"/>
    </row>
    <row r="7" spans="3:17" s="76" customFormat="1" ht="9.75" customHeight="1">
      <c r="C7" s="1006" t="s">
        <v>1908</v>
      </c>
      <c r="D7" s="1006"/>
      <c r="E7" s="1006"/>
      <c r="F7" s="1006"/>
      <c r="G7" s="1006"/>
      <c r="H7" s="1006"/>
      <c r="M7" s="1006" t="s">
        <v>263</v>
      </c>
      <c r="N7" s="1006"/>
      <c r="O7" s="1006"/>
      <c r="P7" s="1006"/>
      <c r="Q7" s="1006"/>
    </row>
    <row r="8" spans="3:17" s="76" customFormat="1" ht="9.75" customHeight="1">
      <c r="C8" s="1006" t="s">
        <v>1907</v>
      </c>
      <c r="D8" s="1006"/>
      <c r="E8" s="1006"/>
      <c r="F8" s="1006"/>
      <c r="G8" s="1006"/>
      <c r="H8" s="1006"/>
      <c r="M8" s="1006" t="s">
        <v>1907</v>
      </c>
      <c r="N8" s="1006"/>
      <c r="O8" s="1006"/>
      <c r="P8" s="1006"/>
      <c r="Q8" s="1006"/>
    </row>
    <row r="9" spans="3:17" s="76" customFormat="1" ht="9.75" customHeight="1">
      <c r="C9" s="1006" t="s">
        <v>262</v>
      </c>
      <c r="D9" s="1006"/>
      <c r="E9" s="1006"/>
      <c r="F9" s="1006"/>
      <c r="G9" s="1006"/>
      <c r="H9" s="1006"/>
      <c r="M9" s="1006" t="s">
        <v>1909</v>
      </c>
      <c r="N9" s="1006"/>
      <c r="O9" s="1006"/>
      <c r="P9" s="1006"/>
      <c r="Q9" s="1006"/>
    </row>
    <row r="10" spans="3:17" s="76" customFormat="1" ht="9.75" customHeight="1">
      <c r="C10" s="1006" t="s">
        <v>1907</v>
      </c>
      <c r="D10" s="1006"/>
      <c r="E10" s="1006"/>
      <c r="F10" s="1006"/>
      <c r="G10" s="1006"/>
      <c r="H10" s="1006"/>
      <c r="M10" s="1006" t="s">
        <v>1907</v>
      </c>
      <c r="N10" s="1006"/>
      <c r="O10" s="1006"/>
      <c r="P10" s="1006"/>
      <c r="Q10" s="1006"/>
    </row>
    <row r="11" spans="3:17" s="76" customFormat="1" ht="9.75" customHeight="1">
      <c r="C11" s="1006" t="s">
        <v>1910</v>
      </c>
      <c r="D11" s="1006"/>
      <c r="E11" s="1006"/>
      <c r="F11" s="1006"/>
      <c r="G11" s="1006"/>
      <c r="H11" s="1006"/>
      <c r="M11" s="1006" t="s">
        <v>1911</v>
      </c>
      <c r="N11" s="1006"/>
      <c r="O11" s="1006"/>
      <c r="P11" s="1006"/>
      <c r="Q11" s="1006"/>
    </row>
    <row r="12" spans="3:17" s="76" customFormat="1" ht="9.75" customHeight="1">
      <c r="C12" s="1006" t="s">
        <v>1907</v>
      </c>
      <c r="D12" s="1006"/>
      <c r="E12" s="1006"/>
      <c r="F12" s="1006"/>
      <c r="G12" s="1006"/>
      <c r="H12" s="1006"/>
      <c r="M12" s="1006">
        <v>0</v>
      </c>
      <c r="N12" s="1006"/>
      <c r="O12" s="1006"/>
      <c r="P12" s="1006"/>
      <c r="Q12" s="1006"/>
    </row>
    <row r="13" spans="3:17" s="76" customFormat="1" ht="9.75" customHeight="1">
      <c r="C13" s="1006" t="s">
        <v>1912</v>
      </c>
      <c r="D13" s="1006"/>
      <c r="E13" s="1006"/>
      <c r="F13" s="1006"/>
      <c r="G13" s="1006"/>
      <c r="H13" s="1006"/>
      <c r="M13" s="1006" t="s">
        <v>1913</v>
      </c>
      <c r="N13" s="1006"/>
      <c r="O13" s="1006"/>
      <c r="P13" s="1006"/>
      <c r="Q13" s="1006"/>
    </row>
    <row r="14" spans="3:17" s="76" customFormat="1" ht="9.75" customHeight="1">
      <c r="C14" s="1006" t="s">
        <v>1907</v>
      </c>
      <c r="D14" s="1006"/>
      <c r="E14" s="1006"/>
      <c r="F14" s="1006"/>
      <c r="G14" s="1006"/>
      <c r="H14" s="1006"/>
      <c r="M14" s="1006" t="s">
        <v>1907</v>
      </c>
      <c r="N14" s="1006"/>
      <c r="O14" s="1006"/>
      <c r="P14" s="1006"/>
      <c r="Q14" s="1006"/>
    </row>
    <row r="15" spans="3:17" s="76" customFormat="1" ht="9.75" customHeight="1">
      <c r="C15" s="1006"/>
      <c r="D15" s="1006"/>
      <c r="E15" s="1006"/>
      <c r="F15" s="1006"/>
      <c r="G15" s="1006"/>
      <c r="H15" s="1006"/>
      <c r="M15" s="1006"/>
      <c r="N15" s="1006"/>
      <c r="O15" s="1006"/>
      <c r="P15" s="1006"/>
    </row>
    <row r="16" spans="3:17" s="76" customFormat="1" ht="9.75" customHeight="1">
      <c r="C16" s="1006" t="s">
        <v>1914</v>
      </c>
      <c r="D16" s="1006"/>
      <c r="E16" s="1006"/>
      <c r="F16" s="1006"/>
      <c r="G16" s="1006"/>
      <c r="H16" s="1006"/>
    </row>
    <row r="17" spans="1:19">
      <c r="C17" s="993"/>
      <c r="D17" s="993"/>
      <c r="E17" s="993"/>
      <c r="F17" s="993"/>
      <c r="G17" s="993"/>
    </row>
    <row r="18" spans="1:19">
      <c r="C18" s="548"/>
      <c r="D18" s="548"/>
      <c r="E18" s="548"/>
      <c r="F18" s="548"/>
      <c r="G18" s="548"/>
    </row>
    <row r="19" spans="1:19" ht="46.5">
      <c r="A19" s="1056" t="s">
        <v>3144</v>
      </c>
      <c r="B19" s="1056"/>
      <c r="C19" s="1056"/>
      <c r="D19" s="1056"/>
      <c r="E19" s="1056"/>
      <c r="F19" s="1056"/>
      <c r="G19" s="1056"/>
      <c r="H19" s="1056"/>
      <c r="I19" s="1056"/>
      <c r="J19" s="1056"/>
      <c r="K19" s="1056"/>
      <c r="L19" s="1056"/>
      <c r="M19" s="1056"/>
      <c r="N19" s="1056"/>
      <c r="O19" s="1056"/>
      <c r="P19" s="1056"/>
      <c r="Q19" s="1056"/>
      <c r="R19" s="1056"/>
      <c r="S19" s="1056"/>
    </row>
    <row r="20" spans="1:19" ht="16.5" customHeight="1">
      <c r="A20" s="549"/>
      <c r="B20" s="549"/>
      <c r="C20" s="549"/>
      <c r="D20" s="549"/>
      <c r="E20" s="549"/>
      <c r="F20" s="549"/>
      <c r="G20" s="549"/>
      <c r="H20" s="549"/>
      <c r="I20" s="549"/>
      <c r="J20" s="549"/>
      <c r="K20" s="549"/>
      <c r="L20" s="549"/>
      <c r="M20" s="549"/>
      <c r="N20" s="549"/>
      <c r="O20" s="549"/>
      <c r="P20" s="549"/>
      <c r="Q20" s="549"/>
      <c r="R20" s="549"/>
      <c r="S20" s="549"/>
    </row>
    <row r="21" spans="1:19" ht="26.25">
      <c r="A21" s="1028" t="s">
        <v>2862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</row>
    <row r="22" spans="1:19" ht="15.75" thickBot="1">
      <c r="A22" s="1020"/>
      <c r="B22" s="1021"/>
      <c r="C22" s="1021"/>
      <c r="D22" s="1021"/>
      <c r="E22" s="1021"/>
      <c r="F22" s="1021"/>
      <c r="G22" s="1021"/>
      <c r="H22" s="1021"/>
      <c r="I22" s="1021"/>
      <c r="J22" s="1021"/>
      <c r="K22" s="1021"/>
      <c r="L22" s="1021"/>
      <c r="M22" s="1021"/>
      <c r="N22" s="1021"/>
      <c r="O22" s="1021"/>
      <c r="P22" s="1021"/>
      <c r="Q22" s="1021"/>
      <c r="R22" s="1021"/>
      <c r="S22" s="1021"/>
    </row>
    <row r="23" spans="1:19" ht="15.75" customHeight="1" thickBot="1">
      <c r="A23" s="536" t="s">
        <v>1933</v>
      </c>
      <c r="B23" s="1057" t="s">
        <v>2850</v>
      </c>
      <c r="C23" s="1044"/>
      <c r="D23" s="1058"/>
      <c r="E23" s="1057" t="s">
        <v>2851</v>
      </c>
      <c r="F23" s="1044"/>
      <c r="G23" s="1058"/>
      <c r="H23" s="1057" t="s">
        <v>2852</v>
      </c>
      <c r="I23" s="1044"/>
      <c r="J23" s="1058"/>
      <c r="K23" s="1057" t="s">
        <v>2853</v>
      </c>
      <c r="L23" s="1044"/>
      <c r="M23" s="1058"/>
      <c r="N23" s="1043" t="s">
        <v>2854</v>
      </c>
      <c r="O23" s="1044"/>
      <c r="P23" s="1045"/>
      <c r="Q23" s="1048" t="s">
        <v>2913</v>
      </c>
      <c r="R23" s="1048" t="s">
        <v>2914</v>
      </c>
      <c r="S23" s="1046" t="s">
        <v>2849</v>
      </c>
    </row>
    <row r="24" spans="1:19" ht="15.75" thickBot="1">
      <c r="A24" s="535" t="s">
        <v>2185</v>
      </c>
      <c r="B24" s="538">
        <v>44621</v>
      </c>
      <c r="C24" s="538">
        <v>44652</v>
      </c>
      <c r="D24" s="539" t="s">
        <v>2849</v>
      </c>
      <c r="E24" s="538">
        <v>44621</v>
      </c>
      <c r="F24" s="538">
        <v>44652</v>
      </c>
      <c r="G24" s="539" t="s">
        <v>2849</v>
      </c>
      <c r="H24" s="538">
        <v>44621</v>
      </c>
      <c r="I24" s="538">
        <v>44652</v>
      </c>
      <c r="J24" s="539" t="s">
        <v>2849</v>
      </c>
      <c r="K24" s="538">
        <v>44621</v>
      </c>
      <c r="L24" s="538">
        <v>44652</v>
      </c>
      <c r="M24" s="539" t="s">
        <v>2849</v>
      </c>
      <c r="N24" s="538">
        <v>44621</v>
      </c>
      <c r="O24" s="538">
        <v>44652</v>
      </c>
      <c r="P24" s="540" t="s">
        <v>2849</v>
      </c>
      <c r="Q24" s="1049"/>
      <c r="R24" s="1049"/>
      <c r="S24" s="1047"/>
    </row>
    <row r="25" spans="1:19" s="253" customFormat="1" ht="18" customHeight="1">
      <c r="A25" s="552" t="s">
        <v>222</v>
      </c>
      <c r="B25" s="553">
        <v>0</v>
      </c>
      <c r="C25" s="578" t="e">
        <f>Evaluation!#REF!</f>
        <v>#REF!</v>
      </c>
      <c r="D25" s="579" t="e">
        <f>IF(AND(B25=0,C25=0),"",IF(B25=0,"",(C25-B25)/B25))</f>
        <v>#REF!</v>
      </c>
      <c r="E25" s="556">
        <v>292400</v>
      </c>
      <c r="F25" s="580" t="e">
        <f>Evaluation!#REF!</f>
        <v>#REF!</v>
      </c>
      <c r="G25" s="579" t="e">
        <f>IF(AND(E25=0,F25=0),"",IF(E25=0,"",(F25-E25)/E25))</f>
        <v>#REF!</v>
      </c>
      <c r="H25" s="556">
        <v>0</v>
      </c>
      <c r="I25" s="580" t="e">
        <f>Evaluation!#REF!</f>
        <v>#REF!</v>
      </c>
      <c r="J25" s="574" t="e">
        <f t="shared" ref="J25:J52" si="0">IF(AND(H25=0,I25=0),"",IF(H25=0,"",(I25-H25)/H25))</f>
        <v>#REF!</v>
      </c>
      <c r="K25" s="556">
        <v>0</v>
      </c>
      <c r="L25" s="581" t="e">
        <f>Evaluation!#REF!</f>
        <v>#REF!</v>
      </c>
      <c r="M25" s="574" t="e">
        <f t="shared" ref="M25:M52" si="1">IF(AND(K25=0,L25=0),"",IF(K25=0,"",(L25-K25)/K25))</f>
        <v>#REF!</v>
      </c>
      <c r="N25" s="556">
        <v>1271600</v>
      </c>
      <c r="O25" s="580" t="e">
        <f>Evaluation!#REF!</f>
        <v>#REF!</v>
      </c>
      <c r="P25" s="574" t="e">
        <f t="shared" ref="P25:P52" si="2">IF(AND(N25=0,O25=0),"",IF(N25=0,"",(O25-N25)/N25))</f>
        <v>#REF!</v>
      </c>
      <c r="Q25" s="556">
        <f>B25+E25+H25+K25+N25</f>
        <v>1564000</v>
      </c>
      <c r="R25" s="580" t="e">
        <f>C25+F25+I25+L25+O25</f>
        <v>#REF!</v>
      </c>
      <c r="S25" s="632" t="e">
        <f t="shared" ref="S25:S52" si="3">IF(AND(Q25=0,R25=0),"",IF(Q25=0,"",(R25-Q25)/Q25))</f>
        <v>#REF!</v>
      </c>
    </row>
    <row r="26" spans="1:19" s="253" customFormat="1" ht="18" customHeight="1">
      <c r="A26" s="552" t="s">
        <v>190</v>
      </c>
      <c r="B26" s="560">
        <v>0</v>
      </c>
      <c r="C26" s="581" t="e">
        <f>Evaluation!#REF!</f>
        <v>#REF!</v>
      </c>
      <c r="D26" s="574" t="e">
        <f t="shared" ref="D26:D30" si="4">IF(AND(B26=0,C26=0),"",IF(B26=0,"",(C26-B26)/B26))</f>
        <v>#REF!</v>
      </c>
      <c r="E26" s="560">
        <v>0</v>
      </c>
      <c r="F26" s="581" t="e">
        <f>Evaluation!#REF!</f>
        <v>#REF!</v>
      </c>
      <c r="G26" s="574" t="e">
        <f>IF(AND(E26=0,F26=0),"",IF(E26=0,"",(F26-E26)/E26))</f>
        <v>#REF!</v>
      </c>
      <c r="H26" s="560">
        <v>0</v>
      </c>
      <c r="I26" s="581" t="e">
        <f>Evaluation!#REF!</f>
        <v>#REF!</v>
      </c>
      <c r="J26" s="574" t="e">
        <f t="shared" si="0"/>
        <v>#REF!</v>
      </c>
      <c r="K26" s="560">
        <v>0</v>
      </c>
      <c r="L26" s="581" t="e">
        <f>Evaluation!#REF!</f>
        <v>#REF!</v>
      </c>
      <c r="M26" s="574" t="e">
        <f t="shared" si="1"/>
        <v>#REF!</v>
      </c>
      <c r="N26" s="560">
        <v>0</v>
      </c>
      <c r="O26" s="581" t="e">
        <f>Evaluation!#REF!</f>
        <v>#REF!</v>
      </c>
      <c r="P26" s="574" t="e">
        <f t="shared" si="2"/>
        <v>#REF!</v>
      </c>
      <c r="Q26" s="556">
        <f t="shared" ref="Q26:R52" si="5">B26+E26+H26+K26+N26</f>
        <v>0</v>
      </c>
      <c r="R26" s="580" t="e">
        <f t="shared" si="5"/>
        <v>#REF!</v>
      </c>
      <c r="S26" s="632" t="e">
        <f t="shared" si="3"/>
        <v>#REF!</v>
      </c>
    </row>
    <row r="27" spans="1:19" s="253" customFormat="1" ht="18" customHeight="1">
      <c r="A27" s="552" t="s">
        <v>191</v>
      </c>
      <c r="B27" s="560">
        <v>339417</v>
      </c>
      <c r="C27" s="581" t="e">
        <f>Evaluation!#REF!</f>
        <v>#REF!</v>
      </c>
      <c r="D27" s="574" t="e">
        <f t="shared" si="4"/>
        <v>#REF!</v>
      </c>
      <c r="E27" s="560">
        <v>0</v>
      </c>
      <c r="F27" s="581" t="e">
        <f>Evaluation!#REF!</f>
        <v>#REF!</v>
      </c>
      <c r="G27" s="574" t="e">
        <f t="shared" ref="G27:G52" si="6">IF(AND(E27=0,F27=0),"",IF(E27=0,"",(F27-E27)/E27))</f>
        <v>#REF!</v>
      </c>
      <c r="H27" s="560">
        <v>0</v>
      </c>
      <c r="I27" s="581" t="e">
        <f>Evaluation!#REF!</f>
        <v>#REF!</v>
      </c>
      <c r="J27" s="574" t="e">
        <f t="shared" si="0"/>
        <v>#REF!</v>
      </c>
      <c r="K27" s="560">
        <v>0</v>
      </c>
      <c r="L27" s="581" t="e">
        <f>Evaluation!#REF!</f>
        <v>#REF!</v>
      </c>
      <c r="M27" s="574" t="e">
        <f t="shared" si="1"/>
        <v>#REF!</v>
      </c>
      <c r="N27" s="560">
        <v>0</v>
      </c>
      <c r="O27" s="581" t="e">
        <f>Evaluation!#REF!</f>
        <v>#REF!</v>
      </c>
      <c r="P27" s="574" t="e">
        <f t="shared" si="2"/>
        <v>#REF!</v>
      </c>
      <c r="Q27" s="556">
        <f t="shared" si="5"/>
        <v>339417</v>
      </c>
      <c r="R27" s="580" t="e">
        <f t="shared" si="5"/>
        <v>#REF!</v>
      </c>
      <c r="S27" s="632" t="e">
        <f t="shared" si="3"/>
        <v>#REF!</v>
      </c>
    </row>
    <row r="28" spans="1:19" s="253" customFormat="1" ht="18" customHeight="1">
      <c r="A28" s="552" t="s">
        <v>137</v>
      </c>
      <c r="B28" s="560">
        <v>854763</v>
      </c>
      <c r="C28" s="581" t="e">
        <f>Evaluation!#REF!</f>
        <v>#REF!</v>
      </c>
      <c r="D28" s="574" t="e">
        <f t="shared" si="4"/>
        <v>#REF!</v>
      </c>
      <c r="E28" s="560">
        <v>10202517.818181816</v>
      </c>
      <c r="F28" s="581" t="e">
        <f>Evaluation!#REF!</f>
        <v>#REF!</v>
      </c>
      <c r="G28" s="574" t="e">
        <f t="shared" si="6"/>
        <v>#REF!</v>
      </c>
      <c r="H28" s="560">
        <v>50092025</v>
      </c>
      <c r="I28" s="581" t="e">
        <f>Evaluation!#REF!</f>
        <v>#REF!</v>
      </c>
      <c r="J28" s="574" t="e">
        <f t="shared" si="0"/>
        <v>#REF!</v>
      </c>
      <c r="K28" s="560">
        <v>12762268.909090908</v>
      </c>
      <c r="L28" s="581" t="e">
        <f>Evaluation!#REF!</f>
        <v>#REF!</v>
      </c>
      <c r="M28" s="574" t="e">
        <f t="shared" si="1"/>
        <v>#REF!</v>
      </c>
      <c r="N28" s="560">
        <v>4741641.6363636367</v>
      </c>
      <c r="O28" s="581" t="e">
        <f>Evaluation!#REF!</f>
        <v>#REF!</v>
      </c>
      <c r="P28" s="574" t="e">
        <f t="shared" si="2"/>
        <v>#REF!</v>
      </c>
      <c r="Q28" s="556">
        <f t="shared" si="5"/>
        <v>78653216.36363636</v>
      </c>
      <c r="R28" s="583" t="e">
        <f t="shared" si="5"/>
        <v>#REF!</v>
      </c>
      <c r="S28" s="632" t="e">
        <f t="shared" si="3"/>
        <v>#REF!</v>
      </c>
    </row>
    <row r="29" spans="1:19" s="253" customFormat="1" ht="18" customHeight="1">
      <c r="A29" s="552" t="s">
        <v>1997</v>
      </c>
      <c r="B29" s="560">
        <v>363835.45454545453</v>
      </c>
      <c r="C29" s="581" t="e">
        <f>Evaluation!#REF!</f>
        <v>#REF!</v>
      </c>
      <c r="D29" s="574" t="e">
        <f t="shared" si="4"/>
        <v>#REF!</v>
      </c>
      <c r="E29" s="560">
        <v>1223415.4545454544</v>
      </c>
      <c r="F29" s="581" t="e">
        <f>Evaluation!#REF!</f>
        <v>#REF!</v>
      </c>
      <c r="G29" s="574" t="e">
        <f t="shared" si="6"/>
        <v>#REF!</v>
      </c>
      <c r="H29" s="560">
        <v>0</v>
      </c>
      <c r="I29" s="581" t="e">
        <f>Evaluation!#REF!</f>
        <v>#REF!</v>
      </c>
      <c r="J29" s="574" t="e">
        <f t="shared" si="0"/>
        <v>#REF!</v>
      </c>
      <c r="K29" s="560">
        <v>153598.18181818179</v>
      </c>
      <c r="L29" s="581" t="e">
        <f>Evaluation!#REF!</f>
        <v>#REF!</v>
      </c>
      <c r="M29" s="574" t="e">
        <f t="shared" si="1"/>
        <v>#REF!</v>
      </c>
      <c r="N29" s="560">
        <v>1702731.8181818179</v>
      </c>
      <c r="O29" s="581" t="e">
        <f>Evaluation!#REF!</f>
        <v>#REF!</v>
      </c>
      <c r="P29" s="574" t="e">
        <f t="shared" si="2"/>
        <v>#REF!</v>
      </c>
      <c r="Q29" s="556">
        <f t="shared" si="5"/>
        <v>3443580.9090909087</v>
      </c>
      <c r="R29" s="580" t="e">
        <f t="shared" si="5"/>
        <v>#REF!</v>
      </c>
      <c r="S29" s="632" t="e">
        <f t="shared" si="3"/>
        <v>#REF!</v>
      </c>
    </row>
    <row r="30" spans="1:19" s="253" customFormat="1" ht="18" customHeight="1">
      <c r="A30" s="552" t="s">
        <v>141</v>
      </c>
      <c r="B30" s="560">
        <v>1502534.1818181819</v>
      </c>
      <c r="C30" s="581" t="e">
        <f>Evaluation!#REF!</f>
        <v>#REF!</v>
      </c>
      <c r="D30" s="574" t="e">
        <f t="shared" si="4"/>
        <v>#REF!</v>
      </c>
      <c r="E30" s="560">
        <v>4094682.0909090908</v>
      </c>
      <c r="F30" s="581" t="e">
        <f>Evaluation!#REF!</f>
        <v>#REF!</v>
      </c>
      <c r="G30" s="574" t="e">
        <f t="shared" si="6"/>
        <v>#REF!</v>
      </c>
      <c r="H30" s="560">
        <v>626335.90909090906</v>
      </c>
      <c r="I30" s="581" t="e">
        <f>Evaluation!#REF!</f>
        <v>#REF!</v>
      </c>
      <c r="J30" s="574" t="e">
        <f t="shared" si="0"/>
        <v>#REF!</v>
      </c>
      <c r="K30" s="560">
        <v>5162048.9090909092</v>
      </c>
      <c r="L30" s="581" t="e">
        <f>Evaluation!#REF!</f>
        <v>#REF!</v>
      </c>
      <c r="M30" s="574" t="e">
        <f t="shared" si="1"/>
        <v>#REF!</v>
      </c>
      <c r="N30" s="560">
        <v>991255.54545454541</v>
      </c>
      <c r="O30" s="581" t="e">
        <f>Evaluation!#REF!</f>
        <v>#REF!</v>
      </c>
      <c r="P30" s="574" t="e">
        <f t="shared" si="2"/>
        <v>#REF!</v>
      </c>
      <c r="Q30" s="556">
        <f t="shared" si="5"/>
        <v>12376856.636363635</v>
      </c>
      <c r="R30" s="580" t="e">
        <f t="shared" si="5"/>
        <v>#REF!</v>
      </c>
      <c r="S30" s="632" t="e">
        <f t="shared" si="3"/>
        <v>#REF!</v>
      </c>
    </row>
    <row r="31" spans="1:19" s="253" customFormat="1" ht="18" customHeight="1">
      <c r="A31" s="552" t="s">
        <v>291</v>
      </c>
      <c r="B31" s="560">
        <v>0</v>
      </c>
      <c r="C31" s="581" t="e">
        <f>Evaluation!#REF!</f>
        <v>#REF!</v>
      </c>
      <c r="D31" s="574" t="e">
        <f>IF(AND(B31=0,C31=0),"",IF(B31=0,"",(C31-B31)/B31))</f>
        <v>#REF!</v>
      </c>
      <c r="E31" s="560">
        <v>15407</v>
      </c>
      <c r="F31" s="581" t="e">
        <f>Evaluation!#REF!</f>
        <v>#REF!</v>
      </c>
      <c r="G31" s="574" t="e">
        <f t="shared" si="6"/>
        <v>#REF!</v>
      </c>
      <c r="H31" s="560">
        <v>50442</v>
      </c>
      <c r="I31" s="581" t="e">
        <f>Evaluation!#REF!</f>
        <v>#REF!</v>
      </c>
      <c r="J31" s="574" t="e">
        <f t="shared" si="0"/>
        <v>#REF!</v>
      </c>
      <c r="K31" s="560">
        <v>0</v>
      </c>
      <c r="L31" s="581" t="e">
        <f>Evaluation!#REF!</f>
        <v>#REF!</v>
      </c>
      <c r="M31" s="574" t="e">
        <f t="shared" si="1"/>
        <v>#REF!</v>
      </c>
      <c r="N31" s="560">
        <v>22440</v>
      </c>
      <c r="O31" s="581" t="e">
        <f>Evaluation!#REF!</f>
        <v>#REF!</v>
      </c>
      <c r="P31" s="574" t="e">
        <f t="shared" si="2"/>
        <v>#REF!</v>
      </c>
      <c r="Q31" s="556">
        <f t="shared" si="5"/>
        <v>88289</v>
      </c>
      <c r="R31" s="580" t="e">
        <f t="shared" si="5"/>
        <v>#REF!</v>
      </c>
      <c r="S31" s="632" t="e">
        <f t="shared" si="3"/>
        <v>#REF!</v>
      </c>
    </row>
    <row r="32" spans="1:19" s="253" customFormat="1" ht="18" customHeight="1">
      <c r="A32" s="552" t="s">
        <v>2186</v>
      </c>
      <c r="B32" s="560">
        <v>12898561.818181818</v>
      </c>
      <c r="C32" s="581" t="e">
        <f>Evaluation!#REF!</f>
        <v>#REF!</v>
      </c>
      <c r="D32" s="574" t="e">
        <f>IF(AND(B32=0,C32=0),"",IF(B32=0,"",(C32-B32)/B32))</f>
        <v>#REF!</v>
      </c>
      <c r="E32" s="560">
        <v>7220721.8181818184</v>
      </c>
      <c r="F32" s="581" t="e">
        <f>Evaluation!#REF!</f>
        <v>#REF!</v>
      </c>
      <c r="G32" s="574" t="e">
        <f t="shared" si="6"/>
        <v>#REF!</v>
      </c>
      <c r="H32" s="560">
        <v>366955.45454545453</v>
      </c>
      <c r="I32" s="581" t="e">
        <f>Evaluation!#REF!</f>
        <v>#REF!</v>
      </c>
      <c r="J32" s="574" t="e">
        <f t="shared" si="0"/>
        <v>#REF!</v>
      </c>
      <c r="K32" s="560">
        <v>46332684.545454547</v>
      </c>
      <c r="L32" s="581" t="e">
        <f>Evaluation!#REF!</f>
        <v>#REF!</v>
      </c>
      <c r="M32" s="574" t="e">
        <f t="shared" si="1"/>
        <v>#REF!</v>
      </c>
      <c r="N32" s="560">
        <v>2628281.8181818179</v>
      </c>
      <c r="O32" s="581" t="e">
        <f>Evaluation!#REF!</f>
        <v>#REF!</v>
      </c>
      <c r="P32" s="574" t="e">
        <f t="shared" si="2"/>
        <v>#REF!</v>
      </c>
      <c r="Q32" s="556">
        <f t="shared" si="5"/>
        <v>69447205.454545453</v>
      </c>
      <c r="R32" s="580" t="e">
        <f t="shared" si="5"/>
        <v>#REF!</v>
      </c>
      <c r="S32" s="632" t="e">
        <f t="shared" si="3"/>
        <v>#REF!</v>
      </c>
    </row>
    <row r="33" spans="1:19" s="253" customFormat="1" ht="18" customHeight="1">
      <c r="A33" s="552" t="s">
        <v>182</v>
      </c>
      <c r="B33" s="560">
        <v>0</v>
      </c>
      <c r="C33" s="581" t="e">
        <f>Evaluation!#REF!</f>
        <v>#REF!</v>
      </c>
      <c r="D33" s="574" t="e">
        <f t="shared" ref="D33:D35" si="7">IF(AND(B33=0,C33=0),"",IF(B33=0,"",(C33-B33)/B33))</f>
        <v>#REF!</v>
      </c>
      <c r="E33" s="560">
        <v>0</v>
      </c>
      <c r="F33" s="581" t="e">
        <f>Evaluation!#REF!</f>
        <v>#REF!</v>
      </c>
      <c r="G33" s="574" t="e">
        <f t="shared" si="6"/>
        <v>#REF!</v>
      </c>
      <c r="H33" s="560">
        <v>0</v>
      </c>
      <c r="I33" s="581" t="e">
        <f>Evaluation!#REF!</f>
        <v>#REF!</v>
      </c>
      <c r="J33" s="574" t="e">
        <f t="shared" si="0"/>
        <v>#REF!</v>
      </c>
      <c r="K33" s="560">
        <v>0</v>
      </c>
      <c r="L33" s="581" t="e">
        <f>Evaluation!#REF!</f>
        <v>#REF!</v>
      </c>
      <c r="M33" s="574" t="e">
        <f t="shared" si="1"/>
        <v>#REF!</v>
      </c>
      <c r="N33" s="560">
        <v>0</v>
      </c>
      <c r="O33" s="581" t="e">
        <f>Evaluation!#REF!</f>
        <v>#REF!</v>
      </c>
      <c r="P33" s="574" t="e">
        <f t="shared" si="2"/>
        <v>#REF!</v>
      </c>
      <c r="Q33" s="556">
        <f t="shared" si="5"/>
        <v>0</v>
      </c>
      <c r="R33" s="583" t="e">
        <f t="shared" si="5"/>
        <v>#REF!</v>
      </c>
      <c r="S33" s="632" t="e">
        <f t="shared" si="3"/>
        <v>#REF!</v>
      </c>
    </row>
    <row r="34" spans="1:19" s="253" customFormat="1" ht="18" customHeight="1">
      <c r="A34" s="552" t="s">
        <v>181</v>
      </c>
      <c r="B34" s="560">
        <v>0</v>
      </c>
      <c r="C34" s="581" t="e">
        <f>Evaluation!#REF!</f>
        <v>#REF!</v>
      </c>
      <c r="D34" s="574" t="e">
        <f t="shared" si="7"/>
        <v>#REF!</v>
      </c>
      <c r="E34" s="560">
        <v>151294</v>
      </c>
      <c r="F34" s="581" t="e">
        <f>Evaluation!#REF!</f>
        <v>#REF!</v>
      </c>
      <c r="G34" s="574" t="e">
        <f t="shared" si="6"/>
        <v>#REF!</v>
      </c>
      <c r="H34" s="560">
        <v>0</v>
      </c>
      <c r="I34" s="581" t="e">
        <f>Evaluation!#REF!</f>
        <v>#REF!</v>
      </c>
      <c r="J34" s="574" t="e">
        <f t="shared" si="0"/>
        <v>#REF!</v>
      </c>
      <c r="K34" s="560">
        <v>2500</v>
      </c>
      <c r="L34" s="581" t="e">
        <f>Evaluation!#REF!</f>
        <v>#REF!</v>
      </c>
      <c r="M34" s="574" t="e">
        <f t="shared" si="1"/>
        <v>#REF!</v>
      </c>
      <c r="N34" s="560">
        <v>2798</v>
      </c>
      <c r="O34" s="581" t="e">
        <f>Evaluation!#REF!</f>
        <v>#REF!</v>
      </c>
      <c r="P34" s="574" t="e">
        <f t="shared" si="2"/>
        <v>#REF!</v>
      </c>
      <c r="Q34" s="556">
        <f t="shared" si="5"/>
        <v>156592</v>
      </c>
      <c r="R34" s="583" t="e">
        <f t="shared" si="5"/>
        <v>#REF!</v>
      </c>
      <c r="S34" s="632" t="e">
        <f t="shared" si="3"/>
        <v>#REF!</v>
      </c>
    </row>
    <row r="35" spans="1:19" s="253" customFormat="1" ht="18" customHeight="1">
      <c r="A35" s="552" t="s">
        <v>129</v>
      </c>
      <c r="B35" s="560">
        <v>1614910.5454545454</v>
      </c>
      <c r="C35" s="581" t="e">
        <f>Evaluation!#REF!</f>
        <v>#REF!</v>
      </c>
      <c r="D35" s="574" t="e">
        <f t="shared" si="7"/>
        <v>#REF!</v>
      </c>
      <c r="E35" s="560">
        <v>718377</v>
      </c>
      <c r="F35" s="581" t="e">
        <f>Evaluation!#REF!</f>
        <v>#REF!</v>
      </c>
      <c r="G35" s="574" t="e">
        <f t="shared" si="6"/>
        <v>#REF!</v>
      </c>
      <c r="H35" s="560">
        <v>1911456</v>
      </c>
      <c r="I35" s="581" t="e">
        <f>Evaluation!#REF!</f>
        <v>#REF!</v>
      </c>
      <c r="J35" s="574" t="e">
        <f t="shared" si="0"/>
        <v>#REF!</v>
      </c>
      <c r="K35" s="560">
        <v>844718</v>
      </c>
      <c r="L35" s="581" t="e">
        <f>Evaluation!#REF!</f>
        <v>#REF!</v>
      </c>
      <c r="M35" s="574" t="e">
        <f t="shared" si="1"/>
        <v>#REF!</v>
      </c>
      <c r="N35" s="560">
        <v>2166425.6363636367</v>
      </c>
      <c r="O35" s="581" t="e">
        <f>Evaluation!#REF!</f>
        <v>#REF!</v>
      </c>
      <c r="P35" s="574" t="e">
        <f t="shared" si="2"/>
        <v>#REF!</v>
      </c>
      <c r="Q35" s="556">
        <f t="shared" si="5"/>
        <v>7255887.1818181816</v>
      </c>
      <c r="R35" s="583" t="e">
        <f t="shared" si="5"/>
        <v>#REF!</v>
      </c>
      <c r="S35" s="632" t="e">
        <f t="shared" si="3"/>
        <v>#REF!</v>
      </c>
    </row>
    <row r="36" spans="1:19" s="253" customFormat="1" ht="18" customHeight="1">
      <c r="A36" s="552" t="s">
        <v>179</v>
      </c>
      <c r="B36" s="560">
        <v>0</v>
      </c>
      <c r="C36" s="581" t="e">
        <f>Evaluation!#REF!</f>
        <v>#REF!</v>
      </c>
      <c r="D36" s="574" t="e">
        <f>IF(AND(B36=0,C36=0),"",IF(B36=0,"",(C36-B36)/B36))</f>
        <v>#REF!</v>
      </c>
      <c r="E36" s="560">
        <v>0</v>
      </c>
      <c r="F36" s="581" t="e">
        <f>Evaluation!#REF!</f>
        <v>#REF!</v>
      </c>
      <c r="G36" s="574" t="e">
        <f t="shared" si="6"/>
        <v>#REF!</v>
      </c>
      <c r="H36" s="560">
        <v>0</v>
      </c>
      <c r="I36" s="581" t="e">
        <f>Evaluation!#REF!</f>
        <v>#REF!</v>
      </c>
      <c r="J36" s="574" t="e">
        <f t="shared" si="0"/>
        <v>#REF!</v>
      </c>
      <c r="K36" s="560">
        <v>0</v>
      </c>
      <c r="L36" s="581" t="e">
        <f>Evaluation!#REF!</f>
        <v>#REF!</v>
      </c>
      <c r="M36" s="574" t="e">
        <f t="shared" si="1"/>
        <v>#REF!</v>
      </c>
      <c r="N36" s="560">
        <v>0</v>
      </c>
      <c r="O36" s="581" t="e">
        <f>Evaluation!#REF!</f>
        <v>#REF!</v>
      </c>
      <c r="P36" s="574" t="e">
        <f t="shared" si="2"/>
        <v>#REF!</v>
      </c>
      <c r="Q36" s="556">
        <f t="shared" si="5"/>
        <v>0</v>
      </c>
      <c r="R36" s="580" t="e">
        <f t="shared" si="5"/>
        <v>#REF!</v>
      </c>
      <c r="S36" s="632" t="e">
        <f t="shared" si="3"/>
        <v>#REF!</v>
      </c>
    </row>
    <row r="37" spans="1:19" s="253" customFormat="1" ht="18" customHeight="1">
      <c r="A37" s="552" t="s">
        <v>180</v>
      </c>
      <c r="B37" s="560">
        <v>0</v>
      </c>
      <c r="C37" s="581" t="e">
        <f>Evaluation!#REF!</f>
        <v>#REF!</v>
      </c>
      <c r="D37" s="574" t="e">
        <f t="shared" ref="D37:D41" si="8">IF(AND(B37=0,C37=0),"",IF(B37=0,"",(C37-B37)/B37))</f>
        <v>#REF!</v>
      </c>
      <c r="E37" s="560">
        <v>0</v>
      </c>
      <c r="F37" s="581" t="e">
        <f>Evaluation!#REF!</f>
        <v>#REF!</v>
      </c>
      <c r="G37" s="574" t="e">
        <f t="shared" si="6"/>
        <v>#REF!</v>
      </c>
      <c r="H37" s="560">
        <v>0</v>
      </c>
      <c r="I37" s="581" t="e">
        <f>Evaluation!#REF!</f>
        <v>#REF!</v>
      </c>
      <c r="J37" s="574" t="e">
        <f t="shared" si="0"/>
        <v>#REF!</v>
      </c>
      <c r="K37" s="560">
        <v>0</v>
      </c>
      <c r="L37" s="581" t="e">
        <f>Evaluation!#REF!</f>
        <v>#REF!</v>
      </c>
      <c r="M37" s="574" t="e">
        <f t="shared" si="1"/>
        <v>#REF!</v>
      </c>
      <c r="N37" s="560">
        <v>0</v>
      </c>
      <c r="O37" s="581" t="e">
        <f>Evaluation!#REF!</f>
        <v>#REF!</v>
      </c>
      <c r="P37" s="574" t="e">
        <f t="shared" si="2"/>
        <v>#REF!</v>
      </c>
      <c r="Q37" s="556">
        <f t="shared" si="5"/>
        <v>0</v>
      </c>
      <c r="R37" s="580" t="e">
        <f t="shared" si="5"/>
        <v>#REF!</v>
      </c>
      <c r="S37" s="632" t="e">
        <f t="shared" si="3"/>
        <v>#REF!</v>
      </c>
    </row>
    <row r="38" spans="1:19" s="253" customFormat="1" ht="18" customHeight="1">
      <c r="A38" s="552" t="s">
        <v>1589</v>
      </c>
      <c r="B38" s="560">
        <v>1800000</v>
      </c>
      <c r="C38" s="581" t="e">
        <f>Evaluation!#REF!</f>
        <v>#REF!</v>
      </c>
      <c r="D38" s="574" t="e">
        <f t="shared" si="8"/>
        <v>#REF!</v>
      </c>
      <c r="E38" s="560">
        <v>0</v>
      </c>
      <c r="F38" s="581" t="e">
        <f>Evaluation!#REF!</f>
        <v>#REF!</v>
      </c>
      <c r="G38" s="574" t="e">
        <f t="shared" si="6"/>
        <v>#REF!</v>
      </c>
      <c r="H38" s="560">
        <v>114090.72727272726</v>
      </c>
      <c r="I38" s="581" t="e">
        <f>Evaluation!#REF!</f>
        <v>#REF!</v>
      </c>
      <c r="J38" s="574" t="e">
        <f t="shared" si="0"/>
        <v>#REF!</v>
      </c>
      <c r="K38" s="560">
        <v>0</v>
      </c>
      <c r="L38" s="581" t="e">
        <f>Evaluation!#REF!</f>
        <v>#REF!</v>
      </c>
      <c r="M38" s="574" t="e">
        <f t="shared" si="1"/>
        <v>#REF!</v>
      </c>
      <c r="N38" s="560">
        <v>2500177.2727272729</v>
      </c>
      <c r="O38" s="581" t="e">
        <f>Evaluation!#REF!</f>
        <v>#REF!</v>
      </c>
      <c r="P38" s="574" t="e">
        <f t="shared" si="2"/>
        <v>#REF!</v>
      </c>
      <c r="Q38" s="556">
        <f t="shared" si="5"/>
        <v>4414268</v>
      </c>
      <c r="R38" s="580" t="e">
        <f t="shared" si="5"/>
        <v>#REF!</v>
      </c>
      <c r="S38" s="632" t="e">
        <f t="shared" si="3"/>
        <v>#REF!</v>
      </c>
    </row>
    <row r="39" spans="1:19" s="253" customFormat="1" ht="18" customHeight="1">
      <c r="A39" s="552" t="s">
        <v>2126</v>
      </c>
      <c r="B39" s="560">
        <v>0</v>
      </c>
      <c r="C39" s="581" t="e">
        <f>Evaluation!#REF!</f>
        <v>#REF!</v>
      </c>
      <c r="D39" s="574" t="e">
        <f t="shared" si="8"/>
        <v>#REF!</v>
      </c>
      <c r="E39" s="560">
        <v>0</v>
      </c>
      <c r="F39" s="581" t="e">
        <f>Evaluation!#REF!</f>
        <v>#REF!</v>
      </c>
      <c r="G39" s="574" t="e">
        <f t="shared" si="6"/>
        <v>#REF!</v>
      </c>
      <c r="H39" s="560">
        <v>0</v>
      </c>
      <c r="I39" s="581" t="e">
        <f>Evaluation!#REF!</f>
        <v>#REF!</v>
      </c>
      <c r="J39" s="574" t="e">
        <f t="shared" si="0"/>
        <v>#REF!</v>
      </c>
      <c r="K39" s="560">
        <v>0</v>
      </c>
      <c r="L39" s="581" t="e">
        <f>Evaluation!#REF!</f>
        <v>#REF!</v>
      </c>
      <c r="M39" s="574" t="e">
        <f t="shared" si="1"/>
        <v>#REF!</v>
      </c>
      <c r="N39" s="560">
        <v>0</v>
      </c>
      <c r="O39" s="581" t="e">
        <f>Evaluation!#REF!</f>
        <v>#REF!</v>
      </c>
      <c r="P39" s="574" t="e">
        <f t="shared" si="2"/>
        <v>#REF!</v>
      </c>
      <c r="Q39" s="556">
        <f t="shared" si="5"/>
        <v>0</v>
      </c>
      <c r="R39" s="580" t="e">
        <f t="shared" si="5"/>
        <v>#REF!</v>
      </c>
      <c r="S39" s="632" t="e">
        <f t="shared" si="3"/>
        <v>#REF!</v>
      </c>
    </row>
    <row r="40" spans="1:19" s="253" customFormat="1" ht="18" customHeight="1">
      <c r="A40" s="552" t="s">
        <v>134</v>
      </c>
      <c r="B40" s="560">
        <v>2140457</v>
      </c>
      <c r="C40" s="581" t="e">
        <f>Evaluation!#REF!</f>
        <v>#REF!</v>
      </c>
      <c r="D40" s="574" t="e">
        <f t="shared" si="8"/>
        <v>#REF!</v>
      </c>
      <c r="E40" s="560">
        <v>9583165</v>
      </c>
      <c r="F40" s="581" t="e">
        <f>Evaluation!#REF!</f>
        <v>#REF!</v>
      </c>
      <c r="G40" s="574" t="e">
        <f t="shared" si="6"/>
        <v>#REF!</v>
      </c>
      <c r="H40" s="560">
        <v>0</v>
      </c>
      <c r="I40" s="581" t="e">
        <f>Evaluation!#REF!</f>
        <v>#REF!</v>
      </c>
      <c r="J40" s="574" t="e">
        <f t="shared" si="0"/>
        <v>#REF!</v>
      </c>
      <c r="K40" s="560">
        <v>167924</v>
      </c>
      <c r="L40" s="581" t="e">
        <f>Evaluation!#REF!</f>
        <v>#REF!</v>
      </c>
      <c r="M40" s="574" t="e">
        <f t="shared" si="1"/>
        <v>#REF!</v>
      </c>
      <c r="N40" s="560">
        <v>0</v>
      </c>
      <c r="O40" s="581" t="e">
        <f>Evaluation!#REF!</f>
        <v>#REF!</v>
      </c>
      <c r="P40" s="574" t="e">
        <f t="shared" si="2"/>
        <v>#REF!</v>
      </c>
      <c r="Q40" s="556">
        <f t="shared" si="5"/>
        <v>11891546</v>
      </c>
      <c r="R40" s="580" t="e">
        <f t="shared" si="5"/>
        <v>#REF!</v>
      </c>
      <c r="S40" s="632" t="e">
        <f t="shared" si="3"/>
        <v>#REF!</v>
      </c>
    </row>
    <row r="41" spans="1:19" s="253" customFormat="1" ht="18" customHeight="1">
      <c r="A41" s="552" t="s">
        <v>136</v>
      </c>
      <c r="B41" s="560">
        <v>0</v>
      </c>
      <c r="C41" s="581" t="e">
        <f>Evaluation!#REF!</f>
        <v>#REF!</v>
      </c>
      <c r="D41" s="574" t="e">
        <f t="shared" si="8"/>
        <v>#REF!</v>
      </c>
      <c r="E41" s="560">
        <v>951092</v>
      </c>
      <c r="F41" s="581" t="e">
        <f>Evaluation!#REF!</f>
        <v>#REF!</v>
      </c>
      <c r="G41" s="574" t="e">
        <f t="shared" si="6"/>
        <v>#REF!</v>
      </c>
      <c r="H41" s="560">
        <v>0</v>
      </c>
      <c r="I41" s="581" t="e">
        <f>Evaluation!#REF!</f>
        <v>#REF!</v>
      </c>
      <c r="J41" s="574" t="e">
        <f t="shared" si="0"/>
        <v>#REF!</v>
      </c>
      <c r="K41" s="560">
        <v>0</v>
      </c>
      <c r="L41" s="581" t="e">
        <f>Evaluation!#REF!</f>
        <v>#REF!</v>
      </c>
      <c r="M41" s="574" t="e">
        <f t="shared" si="1"/>
        <v>#REF!</v>
      </c>
      <c r="N41" s="560">
        <v>343570</v>
      </c>
      <c r="O41" s="581" t="e">
        <f>Evaluation!#REF!</f>
        <v>#REF!</v>
      </c>
      <c r="P41" s="574" t="e">
        <f t="shared" si="2"/>
        <v>#REF!</v>
      </c>
      <c r="Q41" s="556">
        <f t="shared" si="5"/>
        <v>1294662</v>
      </c>
      <c r="R41" s="580" t="e">
        <f t="shared" si="5"/>
        <v>#REF!</v>
      </c>
      <c r="S41" s="632" t="e">
        <f t="shared" si="3"/>
        <v>#REF!</v>
      </c>
    </row>
    <row r="42" spans="1:19" s="253" customFormat="1" ht="18" customHeight="1">
      <c r="A42" s="552" t="s">
        <v>145</v>
      </c>
      <c r="B42" s="560">
        <v>0</v>
      </c>
      <c r="C42" s="581" t="e">
        <f>Evaluation!#REF!</f>
        <v>#REF!</v>
      </c>
      <c r="D42" s="574" t="e">
        <f>IF(AND(B42=0,C42=0),"",IF(B42=0,"",(C42-B42)/B42))</f>
        <v>#REF!</v>
      </c>
      <c r="E42" s="560">
        <v>0</v>
      </c>
      <c r="F42" s="581" t="e">
        <f>Evaluation!#REF!</f>
        <v>#REF!</v>
      </c>
      <c r="G42" s="574" t="e">
        <f t="shared" si="6"/>
        <v>#REF!</v>
      </c>
      <c r="H42" s="560">
        <v>0</v>
      </c>
      <c r="I42" s="581" t="e">
        <f>Evaluation!#REF!</f>
        <v>#REF!</v>
      </c>
      <c r="J42" s="574" t="e">
        <f t="shared" si="0"/>
        <v>#REF!</v>
      </c>
      <c r="K42" s="560">
        <v>28250000</v>
      </c>
      <c r="L42" s="581" t="e">
        <f>Evaluation!#REF!</f>
        <v>#REF!</v>
      </c>
      <c r="M42" s="574" t="e">
        <f t="shared" si="1"/>
        <v>#REF!</v>
      </c>
      <c r="N42" s="560">
        <v>0</v>
      </c>
      <c r="O42" s="581" t="e">
        <f>Evaluation!#REF!</f>
        <v>#REF!</v>
      </c>
      <c r="P42" s="574" t="e">
        <f t="shared" si="2"/>
        <v>#REF!</v>
      </c>
      <c r="Q42" s="556">
        <f t="shared" si="5"/>
        <v>28250000</v>
      </c>
      <c r="R42" s="580" t="e">
        <f t="shared" si="5"/>
        <v>#REF!</v>
      </c>
      <c r="S42" s="632" t="e">
        <f t="shared" si="3"/>
        <v>#REF!</v>
      </c>
    </row>
    <row r="43" spans="1:19" s="253" customFormat="1" ht="18" customHeight="1">
      <c r="A43" s="552" t="s">
        <v>146</v>
      </c>
      <c r="B43" s="560">
        <v>0</v>
      </c>
      <c r="C43" s="581" t="e">
        <f>Evaluation!#REF!</f>
        <v>#REF!</v>
      </c>
      <c r="D43" s="574" t="e">
        <f>IF(AND(B43=0,C43=0),"",IF(B43=0,"",(C43-B43)/B43))</f>
        <v>#REF!</v>
      </c>
      <c r="E43" s="560">
        <v>0</v>
      </c>
      <c r="F43" s="581" t="e">
        <f>Evaluation!#REF!</f>
        <v>#REF!</v>
      </c>
      <c r="G43" s="574" t="e">
        <f t="shared" si="6"/>
        <v>#REF!</v>
      </c>
      <c r="H43" s="560">
        <v>0</v>
      </c>
      <c r="I43" s="581" t="e">
        <f>Evaluation!#REF!</f>
        <v>#REF!</v>
      </c>
      <c r="J43" s="574" t="e">
        <f t="shared" si="0"/>
        <v>#REF!</v>
      </c>
      <c r="K43" s="560">
        <v>800000</v>
      </c>
      <c r="L43" s="581" t="e">
        <f>Evaluation!#REF!</f>
        <v>#REF!</v>
      </c>
      <c r="M43" s="574" t="e">
        <f t="shared" si="1"/>
        <v>#REF!</v>
      </c>
      <c r="N43" s="560">
        <v>147000</v>
      </c>
      <c r="O43" s="581" t="e">
        <f>Evaluation!#REF!</f>
        <v>#REF!</v>
      </c>
      <c r="P43" s="574" t="e">
        <f t="shared" si="2"/>
        <v>#REF!</v>
      </c>
      <c r="Q43" s="556">
        <f t="shared" si="5"/>
        <v>947000</v>
      </c>
      <c r="R43" s="580" t="e">
        <f t="shared" si="5"/>
        <v>#REF!</v>
      </c>
      <c r="S43" s="632" t="e">
        <f t="shared" si="3"/>
        <v>#REF!</v>
      </c>
    </row>
    <row r="44" spans="1:19" s="253" customFormat="1" ht="18" customHeight="1">
      <c r="A44" s="552" t="s">
        <v>147</v>
      </c>
      <c r="B44" s="560">
        <v>0</v>
      </c>
      <c r="C44" s="581" t="e">
        <f>Evaluation!#REF!</f>
        <v>#REF!</v>
      </c>
      <c r="D44" s="574" t="e">
        <f t="shared" ref="D44:D52" si="9">IF(AND(B44=0,C44=0),"",IF(B44=0,"",(C44-B44)/B44))</f>
        <v>#REF!</v>
      </c>
      <c r="E44" s="560">
        <v>0</v>
      </c>
      <c r="F44" s="581" t="e">
        <f>Evaluation!#REF!</f>
        <v>#REF!</v>
      </c>
      <c r="G44" s="574" t="e">
        <f t="shared" si="6"/>
        <v>#REF!</v>
      </c>
      <c r="H44" s="560">
        <v>0</v>
      </c>
      <c r="I44" s="581" t="e">
        <f>Evaluation!#REF!</f>
        <v>#REF!</v>
      </c>
      <c r="J44" s="574" t="e">
        <f t="shared" si="0"/>
        <v>#REF!</v>
      </c>
      <c r="K44" s="560">
        <v>439452.25</v>
      </c>
      <c r="L44" s="581" t="e">
        <f>Evaluation!#REF!</f>
        <v>#REF!</v>
      </c>
      <c r="M44" s="574" t="e">
        <f t="shared" si="1"/>
        <v>#REF!</v>
      </c>
      <c r="N44" s="560">
        <v>0</v>
      </c>
      <c r="O44" s="581" t="e">
        <f>Evaluation!#REF!</f>
        <v>#REF!</v>
      </c>
      <c r="P44" s="574" t="e">
        <f t="shared" si="2"/>
        <v>#REF!</v>
      </c>
      <c r="Q44" s="556">
        <f t="shared" si="5"/>
        <v>439452.25</v>
      </c>
      <c r="R44" s="580" t="e">
        <f t="shared" si="5"/>
        <v>#REF!</v>
      </c>
      <c r="S44" s="632" t="e">
        <f t="shared" si="3"/>
        <v>#REF!</v>
      </c>
    </row>
    <row r="45" spans="1:19" s="253" customFormat="1" ht="18" customHeight="1">
      <c r="A45" s="552" t="s">
        <v>151</v>
      </c>
      <c r="B45" s="560">
        <v>250000</v>
      </c>
      <c r="C45" s="581" t="e">
        <f>Evaluation!#REF!</f>
        <v>#REF!</v>
      </c>
      <c r="D45" s="574" t="e">
        <f t="shared" si="9"/>
        <v>#REF!</v>
      </c>
      <c r="E45" s="560">
        <v>0</v>
      </c>
      <c r="F45" s="581" t="e">
        <f>Evaluation!#REF!</f>
        <v>#REF!</v>
      </c>
      <c r="G45" s="574" t="e">
        <f t="shared" si="6"/>
        <v>#REF!</v>
      </c>
      <c r="H45" s="560">
        <v>0</v>
      </c>
      <c r="I45" s="581" t="e">
        <f>Evaluation!#REF!</f>
        <v>#REF!</v>
      </c>
      <c r="J45" s="574" t="e">
        <f t="shared" si="0"/>
        <v>#REF!</v>
      </c>
      <c r="K45" s="560">
        <v>75783835</v>
      </c>
      <c r="L45" s="581" t="e">
        <f>Evaluation!#REF!</f>
        <v>#REF!</v>
      </c>
      <c r="M45" s="574" t="e">
        <f>IF(AND(K45=0,L45=0),"",IF(K45=0,"",(L45-K45)/K45))</f>
        <v>#REF!</v>
      </c>
      <c r="N45" s="560">
        <v>617721</v>
      </c>
      <c r="O45" s="581" t="e">
        <f>Evaluation!#REF!</f>
        <v>#REF!</v>
      </c>
      <c r="P45" s="574" t="e">
        <f t="shared" si="2"/>
        <v>#REF!</v>
      </c>
      <c r="Q45" s="556">
        <f t="shared" si="5"/>
        <v>76651556</v>
      </c>
      <c r="R45" s="583" t="e">
        <f t="shared" si="5"/>
        <v>#REF!</v>
      </c>
      <c r="S45" s="632" t="e">
        <f t="shared" si="3"/>
        <v>#REF!</v>
      </c>
    </row>
    <row r="46" spans="1:19" s="253" customFormat="1" ht="18" customHeight="1">
      <c r="A46" s="552" t="s">
        <v>152</v>
      </c>
      <c r="B46" s="560">
        <v>0</v>
      </c>
      <c r="C46" s="581" t="e">
        <f>Evaluation!#REF!</f>
        <v>#REF!</v>
      </c>
      <c r="D46" s="574" t="e">
        <f t="shared" si="9"/>
        <v>#REF!</v>
      </c>
      <c r="E46" s="560">
        <v>0</v>
      </c>
      <c r="F46" s="581" t="e">
        <f>Evaluation!#REF!</f>
        <v>#REF!</v>
      </c>
      <c r="G46" s="574" t="e">
        <f t="shared" si="6"/>
        <v>#REF!</v>
      </c>
      <c r="H46" s="560">
        <v>0</v>
      </c>
      <c r="I46" s="581" t="e">
        <f>Evaluation!#REF!</f>
        <v>#REF!</v>
      </c>
      <c r="J46" s="574" t="e">
        <f t="shared" si="0"/>
        <v>#REF!</v>
      </c>
      <c r="K46" s="560">
        <v>78578596</v>
      </c>
      <c r="L46" s="581" t="e">
        <f>Evaluation!#REF!</f>
        <v>#REF!</v>
      </c>
      <c r="M46" s="574" t="e">
        <f t="shared" si="1"/>
        <v>#REF!</v>
      </c>
      <c r="N46" s="560">
        <v>0</v>
      </c>
      <c r="O46" s="581" t="e">
        <f>Evaluation!#REF!</f>
        <v>#REF!</v>
      </c>
      <c r="P46" s="574" t="e">
        <f t="shared" si="2"/>
        <v>#REF!</v>
      </c>
      <c r="Q46" s="556">
        <f t="shared" si="5"/>
        <v>78578596</v>
      </c>
      <c r="R46" s="580" t="e">
        <f t="shared" si="5"/>
        <v>#REF!</v>
      </c>
      <c r="S46" s="632" t="e">
        <f t="shared" si="3"/>
        <v>#REF!</v>
      </c>
    </row>
    <row r="47" spans="1:19" s="253" customFormat="1" ht="18" customHeight="1">
      <c r="A47" s="552" t="s">
        <v>156</v>
      </c>
      <c r="B47" s="560">
        <v>109000</v>
      </c>
      <c r="C47" s="581" t="e">
        <f>Evaluation!#REF!</f>
        <v>#REF!</v>
      </c>
      <c r="D47" s="574" t="e">
        <f t="shared" si="9"/>
        <v>#REF!</v>
      </c>
      <c r="E47" s="560">
        <v>694188</v>
      </c>
      <c r="F47" s="581" t="e">
        <f>Evaluation!#REF!</f>
        <v>#REF!</v>
      </c>
      <c r="G47" s="574" t="e">
        <f t="shared" si="6"/>
        <v>#REF!</v>
      </c>
      <c r="H47" s="560">
        <v>0</v>
      </c>
      <c r="I47" s="581" t="e">
        <f>Evaluation!#REF!</f>
        <v>#REF!</v>
      </c>
      <c r="J47" s="574" t="e">
        <f t="shared" si="0"/>
        <v>#REF!</v>
      </c>
      <c r="K47" s="560">
        <v>99743</v>
      </c>
      <c r="L47" s="581" t="e">
        <f>Evaluation!#REF!</f>
        <v>#REF!</v>
      </c>
      <c r="M47" s="574" t="e">
        <f t="shared" si="1"/>
        <v>#REF!</v>
      </c>
      <c r="N47" s="560">
        <v>185568</v>
      </c>
      <c r="O47" s="581" t="e">
        <f>Evaluation!#REF!</f>
        <v>#REF!</v>
      </c>
      <c r="P47" s="574" t="e">
        <f>IF(AND(N47=0,O47=0),"",IF(N47=0,"",(O47-N47)/N47))</f>
        <v>#REF!</v>
      </c>
      <c r="Q47" s="556">
        <f t="shared" si="5"/>
        <v>1088499</v>
      </c>
      <c r="R47" s="583" t="e">
        <f t="shared" si="5"/>
        <v>#REF!</v>
      </c>
      <c r="S47" s="632" t="e">
        <f t="shared" si="3"/>
        <v>#REF!</v>
      </c>
    </row>
    <row r="48" spans="1:19" s="253" customFormat="1" ht="18" customHeight="1">
      <c r="A48" s="552" t="s">
        <v>183</v>
      </c>
      <c r="B48" s="560">
        <v>0</v>
      </c>
      <c r="C48" s="581" t="e">
        <f>Evaluation!#REF!</f>
        <v>#REF!</v>
      </c>
      <c r="D48" s="574" t="e">
        <f>IF(AND(B48=0,C48=0),"",IF(B48=0,"",(C48-B48)/B48))</f>
        <v>#REF!</v>
      </c>
      <c r="E48" s="560">
        <v>0</v>
      </c>
      <c r="F48" s="581" t="e">
        <f>Evaluation!#REF!</f>
        <v>#REF!</v>
      </c>
      <c r="G48" s="574" t="e">
        <f t="shared" si="6"/>
        <v>#REF!</v>
      </c>
      <c r="H48" s="560">
        <v>0</v>
      </c>
      <c r="I48" s="581" t="e">
        <f>Evaluation!#REF!</f>
        <v>#REF!</v>
      </c>
      <c r="J48" s="574" t="e">
        <f t="shared" si="0"/>
        <v>#REF!</v>
      </c>
      <c r="K48" s="560">
        <v>0</v>
      </c>
      <c r="L48" s="581" t="e">
        <f>Evaluation!#REF!</f>
        <v>#REF!</v>
      </c>
      <c r="M48" s="574" t="e">
        <f t="shared" si="1"/>
        <v>#REF!</v>
      </c>
      <c r="N48" s="560">
        <v>0</v>
      </c>
      <c r="O48" s="581" t="e">
        <f>Evaluation!#REF!</f>
        <v>#REF!</v>
      </c>
      <c r="P48" s="574" t="e">
        <f t="shared" si="2"/>
        <v>#REF!</v>
      </c>
      <c r="Q48" s="556">
        <f t="shared" si="5"/>
        <v>0</v>
      </c>
      <c r="R48" s="580" t="e">
        <f t="shared" si="5"/>
        <v>#REF!</v>
      </c>
      <c r="S48" s="632" t="e">
        <f t="shared" si="3"/>
        <v>#REF!</v>
      </c>
    </row>
    <row r="49" spans="1:19" s="253" customFormat="1" ht="18" customHeight="1">
      <c r="A49" s="552" t="s">
        <v>157</v>
      </c>
      <c r="B49" s="560">
        <v>0</v>
      </c>
      <c r="C49" s="581" t="e">
        <f>Evaluation!#REF!</f>
        <v>#REF!</v>
      </c>
      <c r="D49" s="574" t="e">
        <f t="shared" si="9"/>
        <v>#REF!</v>
      </c>
      <c r="E49" s="560">
        <v>0</v>
      </c>
      <c r="F49" s="581" t="e">
        <f>Evaluation!#REF!</f>
        <v>#REF!</v>
      </c>
      <c r="G49" s="574" t="e">
        <f t="shared" si="6"/>
        <v>#REF!</v>
      </c>
      <c r="H49" s="560">
        <v>0</v>
      </c>
      <c r="I49" s="581" t="e">
        <f>Evaluation!#REF!</f>
        <v>#REF!</v>
      </c>
      <c r="J49" s="574" t="e">
        <f t="shared" si="0"/>
        <v>#REF!</v>
      </c>
      <c r="K49" s="560">
        <v>0</v>
      </c>
      <c r="L49" s="581" t="e">
        <f>Evaluation!#REF!</f>
        <v>#REF!</v>
      </c>
      <c r="M49" s="574" t="e">
        <f t="shared" si="1"/>
        <v>#REF!</v>
      </c>
      <c r="N49" s="560">
        <v>0</v>
      </c>
      <c r="O49" s="581" t="e">
        <f>Evaluation!#REF!</f>
        <v>#REF!</v>
      </c>
      <c r="P49" s="574" t="e">
        <f t="shared" si="2"/>
        <v>#REF!</v>
      </c>
      <c r="Q49" s="556">
        <f t="shared" si="5"/>
        <v>0</v>
      </c>
      <c r="R49" s="580" t="e">
        <f t="shared" si="5"/>
        <v>#REF!</v>
      </c>
      <c r="S49" s="632" t="e">
        <f t="shared" si="3"/>
        <v>#REF!</v>
      </c>
    </row>
    <row r="50" spans="1:19" s="253" customFormat="1" ht="18" customHeight="1">
      <c r="A50" s="552" t="s">
        <v>158</v>
      </c>
      <c r="B50" s="560">
        <v>0</v>
      </c>
      <c r="C50" s="581" t="e">
        <f>Evaluation!#REF!</f>
        <v>#REF!</v>
      </c>
      <c r="D50" s="574" t="e">
        <f t="shared" si="9"/>
        <v>#REF!</v>
      </c>
      <c r="E50" s="560">
        <v>687001</v>
      </c>
      <c r="F50" s="581" t="e">
        <f>Evaluation!#REF!</f>
        <v>#REF!</v>
      </c>
      <c r="G50" s="574" t="e">
        <f t="shared" si="6"/>
        <v>#REF!</v>
      </c>
      <c r="H50" s="560">
        <v>0</v>
      </c>
      <c r="I50" s="581" t="e">
        <f>Evaluation!#REF!</f>
        <v>#REF!</v>
      </c>
      <c r="J50" s="574" t="e">
        <f t="shared" si="0"/>
        <v>#REF!</v>
      </c>
      <c r="K50" s="560">
        <v>0</v>
      </c>
      <c r="L50" s="581" t="e">
        <f>Evaluation!#REF!</f>
        <v>#REF!</v>
      </c>
      <c r="M50" s="574" t="e">
        <f t="shared" si="1"/>
        <v>#REF!</v>
      </c>
      <c r="N50" s="560">
        <v>0</v>
      </c>
      <c r="O50" s="581" t="e">
        <f>Evaluation!#REF!</f>
        <v>#REF!</v>
      </c>
      <c r="P50" s="574" t="e">
        <f t="shared" si="2"/>
        <v>#REF!</v>
      </c>
      <c r="Q50" s="556">
        <f t="shared" si="5"/>
        <v>687001</v>
      </c>
      <c r="R50" s="580" t="e">
        <f t="shared" si="5"/>
        <v>#REF!</v>
      </c>
      <c r="S50" s="632" t="e">
        <f t="shared" si="3"/>
        <v>#REF!</v>
      </c>
    </row>
    <row r="51" spans="1:19" s="253" customFormat="1" ht="18" customHeight="1">
      <c r="A51" s="552" t="s">
        <v>159</v>
      </c>
      <c r="B51" s="560">
        <v>14950</v>
      </c>
      <c r="C51" s="581" t="e">
        <f>Evaluation!#REF!</f>
        <v>#REF!</v>
      </c>
      <c r="D51" s="574" t="e">
        <f t="shared" si="9"/>
        <v>#REF!</v>
      </c>
      <c r="E51" s="560">
        <v>0</v>
      </c>
      <c r="F51" s="581" t="e">
        <f>Evaluation!#REF!</f>
        <v>#REF!</v>
      </c>
      <c r="G51" s="574" t="e">
        <f t="shared" si="6"/>
        <v>#REF!</v>
      </c>
      <c r="H51" s="560">
        <v>0</v>
      </c>
      <c r="I51" s="581" t="e">
        <f>Evaluation!#REF!</f>
        <v>#REF!</v>
      </c>
      <c r="J51" s="574" t="e">
        <f t="shared" si="0"/>
        <v>#REF!</v>
      </c>
      <c r="K51" s="560">
        <v>0</v>
      </c>
      <c r="L51" s="581" t="e">
        <f>Evaluation!#REF!</f>
        <v>#REF!</v>
      </c>
      <c r="M51" s="574" t="e">
        <f t="shared" si="1"/>
        <v>#REF!</v>
      </c>
      <c r="N51" s="560">
        <v>0</v>
      </c>
      <c r="O51" s="581" t="e">
        <f>Evaluation!#REF!</f>
        <v>#REF!</v>
      </c>
      <c r="P51" s="574" t="e">
        <f t="shared" si="2"/>
        <v>#REF!</v>
      </c>
      <c r="Q51" s="556">
        <f t="shared" si="5"/>
        <v>14950</v>
      </c>
      <c r="R51" s="580" t="e">
        <f t="shared" si="5"/>
        <v>#REF!</v>
      </c>
      <c r="S51" s="632" t="e">
        <f t="shared" si="3"/>
        <v>#REF!</v>
      </c>
    </row>
    <row r="52" spans="1:19" s="253" customFormat="1" ht="18" customHeight="1" thickBot="1">
      <c r="A52" s="563" t="s">
        <v>161</v>
      </c>
      <c r="B52" s="564">
        <v>0</v>
      </c>
      <c r="C52" s="584" t="e">
        <f>Evaluation!#REF!</f>
        <v>#REF!</v>
      </c>
      <c r="D52" s="582" t="e">
        <f t="shared" si="9"/>
        <v>#REF!</v>
      </c>
      <c r="E52" s="564">
        <v>0</v>
      </c>
      <c r="F52" s="584" t="e">
        <f>Evaluation!#REF!</f>
        <v>#REF!</v>
      </c>
      <c r="G52" s="582" t="e">
        <f t="shared" si="6"/>
        <v>#REF!</v>
      </c>
      <c r="H52" s="564">
        <v>0</v>
      </c>
      <c r="I52" s="584" t="e">
        <f>Evaluation!#REF!</f>
        <v>#REF!</v>
      </c>
      <c r="J52" s="582" t="e">
        <f t="shared" si="0"/>
        <v>#REF!</v>
      </c>
      <c r="K52" s="564">
        <v>0</v>
      </c>
      <c r="L52" s="584" t="e">
        <f>Evaluation!#REF!</f>
        <v>#REF!</v>
      </c>
      <c r="M52" s="582" t="e">
        <f t="shared" si="1"/>
        <v>#REF!</v>
      </c>
      <c r="N52" s="564">
        <v>0</v>
      </c>
      <c r="O52" s="584" t="e">
        <f>Evaluation!#REF!</f>
        <v>#REF!</v>
      </c>
      <c r="P52" s="582" t="e">
        <f t="shared" si="2"/>
        <v>#REF!</v>
      </c>
      <c r="Q52" s="566">
        <f t="shared" si="5"/>
        <v>0</v>
      </c>
      <c r="R52" s="585" t="e">
        <f t="shared" si="5"/>
        <v>#REF!</v>
      </c>
      <c r="S52" s="632" t="e">
        <f t="shared" si="3"/>
        <v>#REF!</v>
      </c>
    </row>
    <row r="53" spans="1:19" s="253" customFormat="1" ht="18" customHeight="1" thickBot="1">
      <c r="A53" s="568" t="s">
        <v>1609</v>
      </c>
      <c r="B53" s="586">
        <f>SUM(B25:B52)</f>
        <v>21888429</v>
      </c>
      <c r="C53" s="587" t="e">
        <f t="shared" ref="C53:R53" si="10">SUM(C25:C52)</f>
        <v>#REF!</v>
      </c>
      <c r="D53" s="588" t="e">
        <f>IF(AND(B53=0,C53=0),"",IF(B53=0,"",(C53-B53)/B53))</f>
        <v>#REF!</v>
      </c>
      <c r="E53" s="589">
        <f t="shared" si="10"/>
        <v>35834261.18181818</v>
      </c>
      <c r="F53" s="587" t="e">
        <f t="shared" si="10"/>
        <v>#REF!</v>
      </c>
      <c r="G53" s="588" t="e">
        <f>IF(AND(E53=0,F53=0),"",IF(E53=0,"",(F53-E53)/E53))</f>
        <v>#REF!</v>
      </c>
      <c r="H53" s="589">
        <f t="shared" si="10"/>
        <v>53161305.090909086</v>
      </c>
      <c r="I53" s="587" t="e">
        <f t="shared" si="10"/>
        <v>#REF!</v>
      </c>
      <c r="J53" s="588" t="e">
        <f>IF(AND(H53=0,I53=0),"",IF(H53=0,"",(I53-H53)/H53))</f>
        <v>#REF!</v>
      </c>
      <c r="K53" s="589">
        <f t="shared" si="10"/>
        <v>249377368.79545456</v>
      </c>
      <c r="L53" s="587" t="e">
        <f t="shared" si="10"/>
        <v>#REF!</v>
      </c>
      <c r="M53" s="588" t="e">
        <f>IF(AND(K53=0,L53=0),"",IF(K53=0,"",(L53-K53)/K53))</f>
        <v>#REF!</v>
      </c>
      <c r="N53" s="589">
        <f t="shared" si="10"/>
        <v>17321210.727272727</v>
      </c>
      <c r="O53" s="587" t="e">
        <f t="shared" si="10"/>
        <v>#REF!</v>
      </c>
      <c r="P53" s="588" t="e">
        <f>IF(AND(N53=0,O53=0),"",IF(N53=0,"",(O53-N53)/N53))</f>
        <v>#REF!</v>
      </c>
      <c r="Q53" s="590">
        <f t="shared" si="10"/>
        <v>377582574.79545456</v>
      </c>
      <c r="R53" s="591" t="e">
        <f t="shared" si="10"/>
        <v>#REF!</v>
      </c>
      <c r="S53" s="631" t="e">
        <f>IF(AND(Q53=0,R53=0),"",IF(Q53=0,"",(R53-Q53)/Q53))</f>
        <v>#REF!</v>
      </c>
    </row>
    <row r="54" spans="1:19" ht="20.25" customHeight="1"/>
    <row r="55" spans="1:19" ht="20.25" customHeight="1"/>
    <row r="56" spans="1:19" ht="26.25">
      <c r="B56" s="1028" t="s">
        <v>2861</v>
      </c>
      <c r="C56" s="1028"/>
      <c r="D56" s="1028"/>
      <c r="E56" s="1028"/>
      <c r="F56" s="1028"/>
      <c r="G56" s="1028"/>
      <c r="H56" s="1028"/>
      <c r="I56" s="1028"/>
      <c r="J56" s="1028"/>
      <c r="L56" s="543"/>
      <c r="M56" s="543"/>
      <c r="N56" s="543"/>
      <c r="O56" s="543"/>
      <c r="P56" s="543"/>
      <c r="Q56" s="543"/>
      <c r="R56" s="543"/>
    </row>
    <row r="57" spans="1:19" ht="19.5" thickBot="1">
      <c r="L57" s="543"/>
      <c r="M57" s="543"/>
      <c r="N57" s="543"/>
      <c r="O57" s="543"/>
      <c r="P57" s="543"/>
      <c r="Q57" s="543"/>
      <c r="R57" s="543"/>
    </row>
    <row r="58" spans="1:19" ht="35.25" customHeight="1" thickBot="1">
      <c r="B58" s="1022" t="s">
        <v>2855</v>
      </c>
      <c r="C58" s="1023"/>
      <c r="D58" s="1024" t="s">
        <v>2925</v>
      </c>
      <c r="E58" s="1025"/>
      <c r="F58" s="1024" t="s">
        <v>2915</v>
      </c>
      <c r="G58" s="1025"/>
      <c r="H58" s="1024" t="s">
        <v>2860</v>
      </c>
      <c r="I58" s="1025"/>
      <c r="J58" s="577" t="s">
        <v>2849</v>
      </c>
      <c r="L58" s="543"/>
      <c r="M58" s="543"/>
      <c r="N58" s="543"/>
      <c r="O58" s="543"/>
      <c r="P58" s="543"/>
      <c r="Q58" s="543"/>
      <c r="R58" s="543"/>
    </row>
    <row r="59" spans="1:19" ht="32.25" customHeight="1">
      <c r="B59" s="1059" t="s">
        <v>2857</v>
      </c>
      <c r="C59" s="1060"/>
      <c r="D59" s="1030">
        <v>156785302.43181822</v>
      </c>
      <c r="E59" s="1031"/>
      <c r="F59" s="1030" t="e">
        <f>+Evaluation!#REF!</f>
        <v>#REF!</v>
      </c>
      <c r="G59" s="1031"/>
      <c r="H59" s="1030" t="e">
        <f>+F59-D59</f>
        <v>#REF!</v>
      </c>
      <c r="I59" s="1031"/>
      <c r="J59" s="574" t="e">
        <f t="shared" ref="J59:J65" si="11">IF(AND(F59=0,D59=0),"",IF(D59=0,"",(F59-D59)/D59))</f>
        <v>#REF!</v>
      </c>
      <c r="L59" s="543"/>
      <c r="M59" s="543"/>
      <c r="N59" s="543"/>
      <c r="O59" s="543"/>
      <c r="P59" s="543"/>
      <c r="Q59" s="543"/>
      <c r="R59" s="543"/>
    </row>
    <row r="60" spans="1:19" ht="32.25" customHeight="1">
      <c r="B60" s="1038" t="s">
        <v>1962</v>
      </c>
      <c r="C60" s="1039" t="s">
        <v>1994</v>
      </c>
      <c r="D60" s="1030">
        <v>75505054.363636374</v>
      </c>
      <c r="E60" s="1031"/>
      <c r="F60" s="1016" t="e">
        <f>+Evaluation!#REF!</f>
        <v>#REF!</v>
      </c>
      <c r="G60" s="1017"/>
      <c r="H60" s="1016" t="e">
        <f t="shared" ref="H60:H61" si="12">+F60-D60</f>
        <v>#REF!</v>
      </c>
      <c r="I60" s="1017"/>
      <c r="J60" s="574" t="e">
        <f t="shared" si="11"/>
        <v>#REF!</v>
      </c>
      <c r="L60" s="543"/>
      <c r="M60" s="543"/>
      <c r="N60" s="543"/>
      <c r="O60" s="543"/>
      <c r="P60" s="543"/>
      <c r="Q60" s="543"/>
      <c r="R60" s="543"/>
    </row>
    <row r="61" spans="1:19" ht="32.25" customHeight="1">
      <c r="B61" s="1038" t="s">
        <v>2858</v>
      </c>
      <c r="C61" s="1039" t="s">
        <v>2856</v>
      </c>
      <c r="D61" s="1030">
        <v>145292217.18181819</v>
      </c>
      <c r="E61" s="1031"/>
      <c r="F61" s="1016" t="e">
        <f>+Evaluation!#REF!</f>
        <v>#REF!</v>
      </c>
      <c r="G61" s="1017"/>
      <c r="H61" s="1016" t="e">
        <f t="shared" si="12"/>
        <v>#REF!</v>
      </c>
      <c r="I61" s="1017"/>
      <c r="J61" s="574" t="e">
        <f t="shared" si="11"/>
        <v>#REF!</v>
      </c>
      <c r="L61" s="543"/>
      <c r="M61" s="543"/>
      <c r="N61" s="543"/>
      <c r="O61" s="543"/>
      <c r="P61" s="543"/>
      <c r="Q61" s="543"/>
      <c r="R61" s="543"/>
    </row>
    <row r="62" spans="1:19" ht="32.25" customHeight="1">
      <c r="B62" s="1041" t="s">
        <v>2866</v>
      </c>
      <c r="C62" s="1042"/>
      <c r="D62" s="1010">
        <f>SUM(D59:E61)</f>
        <v>377582573.97727275</v>
      </c>
      <c r="E62" s="1011"/>
      <c r="F62" s="1010" t="e">
        <f>SUM(F59:G61)</f>
        <v>#REF!</v>
      </c>
      <c r="G62" s="1011"/>
      <c r="H62" s="1010" t="e">
        <f>SUM(H59:I61)</f>
        <v>#REF!</v>
      </c>
      <c r="I62" s="1032"/>
      <c r="J62" s="574" t="e">
        <f t="shared" si="11"/>
        <v>#REF!</v>
      </c>
      <c r="L62" s="543"/>
      <c r="M62" s="543"/>
      <c r="N62" s="543"/>
      <c r="O62" s="543"/>
      <c r="P62" s="543"/>
      <c r="Q62" s="543"/>
      <c r="R62" s="543"/>
    </row>
    <row r="63" spans="1:19" ht="32.25" customHeight="1">
      <c r="B63" s="1041" t="s">
        <v>2864</v>
      </c>
      <c r="C63" s="1042"/>
      <c r="D63" s="1010">
        <v>19545454.545454547</v>
      </c>
      <c r="E63" s="1011"/>
      <c r="F63" s="1010" t="e">
        <f>+Evaluation!#REF!</f>
        <v>#REF!</v>
      </c>
      <c r="G63" s="1011"/>
      <c r="H63" s="1010" t="e">
        <f t="shared" ref="H63:H65" si="13">+F63-D63</f>
        <v>#REF!</v>
      </c>
      <c r="I63" s="1011"/>
      <c r="J63" s="574" t="e">
        <f t="shared" si="11"/>
        <v>#REF!</v>
      </c>
      <c r="L63" s="543"/>
      <c r="M63" s="543"/>
      <c r="N63" s="543"/>
      <c r="O63" s="543"/>
      <c r="P63" s="543"/>
      <c r="Q63" s="543"/>
      <c r="R63" s="543"/>
    </row>
    <row r="64" spans="1:19" ht="32.25" customHeight="1" thickBot="1">
      <c r="B64" s="1063" t="s">
        <v>2865</v>
      </c>
      <c r="C64" s="1064"/>
      <c r="D64" s="1010">
        <v>31918256</v>
      </c>
      <c r="E64" s="1011"/>
      <c r="F64" s="1008" t="e">
        <f>+Evaluation!#REF!</f>
        <v>#REF!</v>
      </c>
      <c r="G64" s="1019"/>
      <c r="H64" s="1008" t="e">
        <f t="shared" si="13"/>
        <v>#REF!</v>
      </c>
      <c r="I64" s="1009"/>
      <c r="J64" s="574" t="e">
        <f t="shared" si="11"/>
        <v>#REF!</v>
      </c>
      <c r="L64" s="543"/>
      <c r="M64" s="543"/>
      <c r="N64" s="543"/>
      <c r="O64" s="543"/>
      <c r="P64" s="543"/>
      <c r="Q64" s="543"/>
      <c r="R64" s="543"/>
    </row>
    <row r="65" spans="2:18" ht="32.25" customHeight="1" thickBot="1">
      <c r="B65" s="1061" t="s">
        <v>2859</v>
      </c>
      <c r="C65" s="1062"/>
      <c r="D65" s="1033">
        <f>+D62+D63+D64</f>
        <v>429046284.52272731</v>
      </c>
      <c r="E65" s="1033"/>
      <c r="F65" s="1033" t="e">
        <f>+F62+F63+F64</f>
        <v>#REF!</v>
      </c>
      <c r="G65" s="1033"/>
      <c r="H65" s="1026" t="e">
        <f t="shared" si="13"/>
        <v>#REF!</v>
      </c>
      <c r="I65" s="1027"/>
      <c r="J65" s="633" t="e">
        <f t="shared" si="11"/>
        <v>#REF!</v>
      </c>
      <c r="L65" s="543"/>
      <c r="M65" s="543"/>
      <c r="N65" s="543"/>
      <c r="O65" s="543"/>
      <c r="P65" s="543"/>
      <c r="Q65" s="543"/>
      <c r="R65" s="543"/>
    </row>
    <row r="66" spans="2:18" ht="20.25" customHeight="1"/>
    <row r="67" spans="2:18" ht="20.25" customHeight="1"/>
  </sheetData>
  <mergeCells count="74">
    <mergeCell ref="B65:C65"/>
    <mergeCell ref="D65:E65"/>
    <mergeCell ref="F65:G65"/>
    <mergeCell ref="H65:I65"/>
    <mergeCell ref="B63:C63"/>
    <mergeCell ref="D63:E63"/>
    <mergeCell ref="F63:G63"/>
    <mergeCell ref="H63:I63"/>
    <mergeCell ref="B64:C64"/>
    <mergeCell ref="D64:E64"/>
    <mergeCell ref="F64:G64"/>
    <mergeCell ref="H64:I64"/>
    <mergeCell ref="B61:C61"/>
    <mergeCell ref="D61:E61"/>
    <mergeCell ref="F61:G61"/>
    <mergeCell ref="H61:I61"/>
    <mergeCell ref="B62:C62"/>
    <mergeCell ref="D62:E62"/>
    <mergeCell ref="F62:G62"/>
    <mergeCell ref="H62:I62"/>
    <mergeCell ref="B59:C59"/>
    <mergeCell ref="D59:E59"/>
    <mergeCell ref="F59:G59"/>
    <mergeCell ref="H59:I59"/>
    <mergeCell ref="B60:C60"/>
    <mergeCell ref="D60:E60"/>
    <mergeCell ref="F60:G60"/>
    <mergeCell ref="H60:I60"/>
    <mergeCell ref="B56:J56"/>
    <mergeCell ref="B58:C58"/>
    <mergeCell ref="D58:E58"/>
    <mergeCell ref="F58:G58"/>
    <mergeCell ref="H58:I58"/>
    <mergeCell ref="A19:S19"/>
    <mergeCell ref="A21:S21"/>
    <mergeCell ref="A22:S22"/>
    <mergeCell ref="B23:D23"/>
    <mergeCell ref="E23:G23"/>
    <mergeCell ref="H23:J23"/>
    <mergeCell ref="K23:M23"/>
    <mergeCell ref="N23:P23"/>
    <mergeCell ref="Q23:Q24"/>
    <mergeCell ref="R23:R24"/>
    <mergeCell ref="S23:S24"/>
    <mergeCell ref="C17:G17"/>
    <mergeCell ref="C11:H11"/>
    <mergeCell ref="M11:Q11"/>
    <mergeCell ref="C12:H12"/>
    <mergeCell ref="M12:Q12"/>
    <mergeCell ref="C13:H13"/>
    <mergeCell ref="M13:Q13"/>
    <mergeCell ref="C14:H14"/>
    <mergeCell ref="M14:Q14"/>
    <mergeCell ref="C15:H15"/>
    <mergeCell ref="M15:P15"/>
    <mergeCell ref="C16:H16"/>
    <mergeCell ref="C8:H8"/>
    <mergeCell ref="M8:Q8"/>
    <mergeCell ref="C9:H9"/>
    <mergeCell ref="M9:Q9"/>
    <mergeCell ref="C10:H10"/>
    <mergeCell ref="M10:Q10"/>
    <mergeCell ref="C5:H5"/>
    <mergeCell ref="M5:Q5"/>
    <mergeCell ref="C6:H6"/>
    <mergeCell ref="M6:Q6"/>
    <mergeCell ref="C7:H7"/>
    <mergeCell ref="M7:Q7"/>
    <mergeCell ref="C2:H2"/>
    <mergeCell ref="M2:Q2"/>
    <mergeCell ref="C3:H3"/>
    <mergeCell ref="M3:Q3"/>
    <mergeCell ref="C4:H4"/>
    <mergeCell ref="M4:Q4"/>
  </mergeCells>
  <printOptions horizontalCentered="1"/>
  <pageMargins left="0.23622047244094491" right="0.23622047244094491" top="0.17" bottom="0.19" header="0.18" footer="0.17"/>
  <pageSetup paperSize="9" scale="4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21"/>
  <sheetViews>
    <sheetView topLeftCell="B2" workbookViewId="0">
      <selection activeCell="G22" sqref="G22"/>
    </sheetView>
  </sheetViews>
  <sheetFormatPr baseColWidth="10" defaultRowHeight="15"/>
  <cols>
    <col min="12" max="12" width="16.42578125" bestFit="1" customWidth="1"/>
    <col min="13" max="13" width="12.7109375" bestFit="1" customWidth="1"/>
  </cols>
  <sheetData>
    <row r="1" spans="1:13">
      <c r="A1" t="s">
        <v>483</v>
      </c>
    </row>
    <row r="3" spans="1:13">
      <c r="A3" t="s">
        <v>3131</v>
      </c>
      <c r="B3">
        <v>71116</v>
      </c>
      <c r="C3" s="339">
        <v>9000</v>
      </c>
      <c r="D3" s="339">
        <v>15000</v>
      </c>
      <c r="E3" s="339">
        <v>9000</v>
      </c>
      <c r="F3" s="339">
        <v>170000</v>
      </c>
      <c r="G3" s="339">
        <v>200000</v>
      </c>
      <c r="H3" s="339">
        <v>209300</v>
      </c>
      <c r="L3" s="721">
        <f>C3+D3+E3+F3+G3+H3+I3+J3+K3</f>
        <v>612300</v>
      </c>
    </row>
    <row r="4" spans="1:13">
      <c r="A4" t="s">
        <v>3132</v>
      </c>
      <c r="B4">
        <v>71111</v>
      </c>
      <c r="C4" s="339">
        <v>9000</v>
      </c>
      <c r="D4" s="339">
        <v>15000</v>
      </c>
      <c r="E4" s="339">
        <v>209566</v>
      </c>
      <c r="F4" s="339">
        <v>6500</v>
      </c>
      <c r="G4" s="339">
        <v>662566</v>
      </c>
      <c r="H4" s="339">
        <v>301577</v>
      </c>
      <c r="I4" s="339">
        <v>160000</v>
      </c>
      <c r="J4" s="339">
        <v>208437</v>
      </c>
      <c r="K4" s="339">
        <v>114065</v>
      </c>
      <c r="L4" s="721">
        <f t="shared" ref="L4:L6" si="0">C4+D4+E4+F4+G4+H4+I4+J4+K4</f>
        <v>1686711</v>
      </c>
    </row>
    <row r="5" spans="1:13">
      <c r="A5" t="s">
        <v>3133</v>
      </c>
      <c r="B5">
        <v>71210</v>
      </c>
      <c r="C5" s="339">
        <v>15000</v>
      </c>
      <c r="D5" s="339">
        <v>426110</v>
      </c>
      <c r="E5" s="339">
        <v>15000</v>
      </c>
      <c r="F5" s="339">
        <v>7926</v>
      </c>
      <c r="G5" s="339">
        <v>19250</v>
      </c>
      <c r="H5" s="339">
        <v>198822</v>
      </c>
      <c r="I5" s="339">
        <v>426110</v>
      </c>
      <c r="J5" s="339">
        <v>15000</v>
      </c>
      <c r="K5" s="339">
        <v>144636</v>
      </c>
      <c r="L5" s="721">
        <f t="shared" si="0"/>
        <v>1267854</v>
      </c>
    </row>
    <row r="6" spans="1:13">
      <c r="A6" t="s">
        <v>137</v>
      </c>
      <c r="B6">
        <v>71411</v>
      </c>
      <c r="C6" s="339">
        <v>729531</v>
      </c>
      <c r="D6" s="339">
        <v>2318983</v>
      </c>
      <c r="E6" s="339">
        <v>3328325</v>
      </c>
      <c r="F6" s="659">
        <v>8036454</v>
      </c>
      <c r="G6" s="339">
        <v>2638795</v>
      </c>
      <c r="H6" s="339">
        <v>2111036</v>
      </c>
      <c r="I6" s="339">
        <v>732550</v>
      </c>
      <c r="L6" s="721">
        <f t="shared" si="0"/>
        <v>19895674</v>
      </c>
      <c r="M6" s="6">
        <f>L6-F6</f>
        <v>11859220</v>
      </c>
    </row>
    <row r="7" spans="1:13">
      <c r="L7" s="6">
        <f>L3+L4+L5+L6</f>
        <v>23462539</v>
      </c>
    </row>
    <row r="8" spans="1:13">
      <c r="L8" s="6">
        <f>L7-F6</f>
        <v>15426085</v>
      </c>
    </row>
    <row r="16" spans="1:13">
      <c r="F16">
        <v>2202931</v>
      </c>
      <c r="G16">
        <f>F16*0.1</f>
        <v>220293.1</v>
      </c>
      <c r="H16">
        <f>F16+G16</f>
        <v>2423224.1</v>
      </c>
    </row>
    <row r="17" spans="6:8">
      <c r="G17">
        <f>2727438-H16</f>
        <v>304213.89999999991</v>
      </c>
      <c r="H17" s="6">
        <f>G17/1.1</f>
        <v>276558.09090909082</v>
      </c>
    </row>
    <row r="20" spans="6:8">
      <c r="F20">
        <v>1732500</v>
      </c>
      <c r="G20">
        <f>F20*0.1</f>
        <v>173250</v>
      </c>
      <c r="H20">
        <f>F20+G20</f>
        <v>1905750</v>
      </c>
    </row>
    <row r="21" spans="6:8">
      <c r="G21">
        <f>2145000-H20</f>
        <v>239250</v>
      </c>
      <c r="H21" s="6">
        <f>G21/1.1</f>
        <v>217499.99999999997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19</vt:i4>
      </vt:variant>
      <vt:variant>
        <vt:lpstr>Plages nommées</vt:lpstr>
      </vt:variant>
      <vt:variant>
        <vt:i4>4</vt:i4>
      </vt:variant>
    </vt:vector>
  </HeadingPairs>
  <TitlesOfParts>
    <vt:vector size="23" baseType="lpstr">
      <vt:lpstr>pointage</vt:lpstr>
      <vt:lpstr>SUIVI JOURNALIER AVRIL</vt:lpstr>
      <vt:lpstr>vs mars</vt:lpstr>
      <vt:lpstr>CONTROLES</vt:lpstr>
      <vt:lpstr>AVRIL</vt:lpstr>
      <vt:lpstr>R. AFFECTEES</vt:lpstr>
      <vt:lpstr>point sur les patentes</vt:lpstr>
      <vt:lpstr>labo</vt:lpstr>
      <vt:lpstr>tendances</vt:lpstr>
      <vt:lpstr>Plan d actions </vt:lpstr>
      <vt:lpstr>Etats des virements</vt:lpstr>
      <vt:lpstr>Etats des virements2</vt:lpstr>
      <vt:lpstr>Evaluation</vt:lpstr>
      <vt:lpstr>Feuil1</vt:lpstr>
      <vt:lpstr>reliquataires</vt:lpstr>
      <vt:lpstr>suivi des TAV</vt:lpstr>
      <vt:lpstr>Etat comparatif 1</vt:lpstr>
      <vt:lpstr>Etat comparatif 2</vt:lpstr>
      <vt:lpstr>Feuil2</vt:lpstr>
      <vt:lpstr>'Etat comparatif 1'!Zone_d_impression</vt:lpstr>
      <vt:lpstr>'Etat comparatif 2'!Zone_d_impression</vt:lpstr>
      <vt:lpstr>'Plan d actions '!Zone_d_impression</vt:lpstr>
      <vt:lpstr>'vs mars'!Zone_d_impression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2022-06-08T14:12:19Z</dcterms:modified>
</cp:coreProperties>
</file>